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bookViews>
    <workbookView xWindow="0" yWindow="0" windowWidth="20490" windowHeight="7050" tabRatio="838" firstSheet="1" activeTab="1"/>
  </bookViews>
  <sheets>
    <sheet name="Validations" sheetId="10" state="veryHidden" r:id="rId1"/>
    <sheet name="Input" sheetId="2" r:id="rId2"/>
    <sheet name="Charges" sheetId="1" state="veryHidden" r:id="rId3"/>
    <sheet name="Table A" sheetId="35" r:id="rId4"/>
    <sheet name="Calculation_8%" sheetId="31" state="veryHidden" r:id="rId5"/>
    <sheet name="Calculation_4%" sheetId="42" state="veryHidden" r:id="rId6"/>
    <sheet name="Calculation IRDA Circular" sheetId="43" state="veryHidden" r:id="rId7"/>
    <sheet name="Modelling" sheetId="23" state="veryHidden" r:id="rId8"/>
  </sheets>
  <definedNames>
    <definedName name="_emr1">Input!$E$81</definedName>
    <definedName name="_emr2">Input!$E$82</definedName>
    <definedName name="_xlnm._FilterDatabase" localSheetId="6" hidden="1">'Calculation IRDA Circular'!$B$5:$AE$367</definedName>
    <definedName name="_xlnm._FilterDatabase" localSheetId="5" hidden="1">'Calculation_4%'!$B$5:$AE$367</definedName>
    <definedName name="_xlnm._FilterDatabase" localSheetId="4" hidden="1">'Calculation_8%'!$B$5:$AE$367</definedName>
    <definedName name="_rpm1">Input!$F$81</definedName>
    <definedName name="_rpm2">Input!$F$82</definedName>
    <definedName name="ADB_Charge">Charges!$C$29</definedName>
    <definedName name="adb_emr">Input!$E$83</definedName>
    <definedName name="ADB_Flag">Input!$C$86</definedName>
    <definedName name="ADB_MAX_AGE">Charges!$Z$27</definedName>
    <definedName name="ADB_MIN_AGE">Charges!$Z$28</definedName>
    <definedName name="adb_rate">Charges!$C$30</definedName>
    <definedName name="adb_rpm">Input!$F$83</definedName>
    <definedName name="age">Input!$C$18</definedName>
    <definedName name="age_2">Input!$D$18</definedName>
    <definedName name="allctp">Charges!$U$3</definedName>
    <definedName name="Alloc_Table_RP_LP_Off">Charges!$U$42:$X$52</definedName>
    <definedName name="Alloc_Table_RP_LP_On">Charges!$U$57:$X$67</definedName>
    <definedName name="atp">Input!$F$57</definedName>
    <definedName name="Cess1_Rate">Input!$C$35</definedName>
    <definedName name="Cess2_Rate">Input!$C$36</definedName>
    <definedName name="channel">Input!$D$4</definedName>
    <definedName name="cl">Input!$C$33</definedName>
    <definedName name="cl_chosen">Input!$C$22</definedName>
    <definedName name="Commission_TOPUP">Charges!$AW$3</definedName>
    <definedName name="dtp">Input!$F$56</definedName>
    <definedName name="Flag_ADB">Input!$D$78</definedName>
    <definedName name="Flag_Joint_Life">Input!$D$77</definedName>
    <definedName name="Flag_Mort_Rider_Charge" localSheetId="6">'Calculation IRDA Circular'!$Q$2</definedName>
    <definedName name="Flag_Mort_Rider_Charge" localSheetId="5">'Calculation_4%'!$R$2</definedName>
    <definedName name="Flag_Mort_Rider_Charge" localSheetId="4">'Calculation_8%'!$Q$2</definedName>
    <definedName name="Flag_Rating">Input!$D$76</definedName>
    <definedName name="Flag_Service_Tax" localSheetId="6">'Calculation IRDA Circular'!$BH$2</definedName>
    <definedName name="Flag_Service_Tax" localSheetId="5">'Calculation_4%'!$BH$2</definedName>
    <definedName name="Flag_Service_Tax" localSheetId="4">'Calculation_8%'!$BH$2</definedName>
    <definedName name="Flag_UL_Type">Input!$G$28</definedName>
    <definedName name="fq">Input!$C$19</definedName>
    <definedName name="Gender">Input!$C$12</definedName>
    <definedName name="Gender_2">Input!$D$12</definedName>
    <definedName name="icounter">Input!$F$20</definedName>
    <definedName name="Legal_Age">Charges!$BB$5</definedName>
    <definedName name="Lock_In_Period">Charges!$BB$4</definedName>
    <definedName name="Max_Cover_Level">Charges!$Z$9</definedName>
    <definedName name="Max_Entry_Age">Charges!$Z$22</definedName>
    <definedName name="Max_Maturity_Age">Charges!$Z$15</definedName>
    <definedName name="Max_PT">Charges!$Z$18</definedName>
    <definedName name="Max_sa_adb">Charges!$C$34</definedName>
    <definedName name="Max_Sum_Assured">Charges!$Z$12</definedName>
    <definedName name="Min_Cover_Level">Charges!$Z$8</definedName>
    <definedName name="Min_Entry_Age">Charges!$Z$21</definedName>
    <definedName name="Min_Maturity_Age">Charges!$Z$14</definedName>
    <definedName name="min_PPT">Charges!$AC$2:$AF$18</definedName>
    <definedName name="Min_PT">Charges!$Z$17</definedName>
    <definedName name="Min_PW_Amount">Charges!$BB$8</definedName>
    <definedName name="Min_Sum_Assured">Charges!$Z$11</definedName>
    <definedName name="Min_SWP_Amount_pa">Charges!$BB$19</definedName>
    <definedName name="Min_SWP_Period">Charges!$BB$13</definedName>
    <definedName name="Minimum_Premium">Charges!$Z$2</definedName>
    <definedName name="Minimum_Top_Up_Premium">Charges!$Z$5</definedName>
    <definedName name="Model_Type">Input!$F$27</definedName>
    <definedName name="Mort_Charge_Table">Charges!$P$71:$T$75</definedName>
    <definedName name="option">Input!$C$28</definedName>
    <definedName name="Option_PW">Input!$C$63</definedName>
    <definedName name="Option_SPW">Input!$C$64</definedName>
    <definedName name="Option_Sys_TopUp">Input!$C$51</definedName>
    <definedName name="Option_TopUP">Input!$C$50</definedName>
    <definedName name="Partial_Withdrawal_Year">Input!$B$68</definedName>
    <definedName name="pay_option">Input!$C$21</definedName>
    <definedName name="ppt">Input!$C$32</definedName>
    <definedName name="PQIS_NAME">Input!$C$7</definedName>
    <definedName name="pr">Input!$C$23</definedName>
    <definedName name="_xlnm.Print_Area" localSheetId="3">'Table A'!$B$1:$P$24,'Table A'!$B$28:$P$62,'Table A'!$R$28:$AF$62,'Table A'!$R$64:$AF$113</definedName>
    <definedName name="pt">Input!$C$29</definedName>
    <definedName name="ROC">Charges!$B$39:$C$49</definedName>
    <definedName name="Round">Input!$F$29</definedName>
    <definedName name="sa">Input!$C$26</definedName>
    <definedName name="sa_adb">Input!$D$86</definedName>
    <definedName name="Service_Tax_Rate">Input!$C$34</definedName>
    <definedName name="SPW_Amount_pa">Input!$F$71</definedName>
    <definedName name="SPW_Duration">Input!$F$68</definedName>
    <definedName name="SPW_Payout_Freq">Input!$F$72</definedName>
    <definedName name="SPW_Start_Date_FV">Input!$F$73</definedName>
    <definedName name="SPW_Start_Min_FV">Charges!$BB$14</definedName>
    <definedName name="SPW_Start_Year">Input!$F$67</definedName>
    <definedName name="sytp">Input!$F$55</definedName>
    <definedName name="Tab_Mort_Charge">Charges!$F$6:$H$105</definedName>
    <definedName name="top">Input!$C$18</definedName>
    <definedName name="TOPUP_Cover_Level">Charges!$C$31</definedName>
    <definedName name="UL_Type">Input!$F$28</definedName>
    <definedName name="Validation1_PW" localSheetId="6">'Calculation IRDA Circular'!$O$6</definedName>
    <definedName name="Validation1_PW" localSheetId="5">'Calculation_4%'!$O$6</definedName>
    <definedName name="Validation1_PW">'Calculation_8%'!$O$6</definedName>
    <definedName name="Validation2_PW" localSheetId="6">'Calculation IRDA Circular'!$CC$2</definedName>
    <definedName name="Validation2_PW" localSheetId="5">'Calculation_4%'!$CC$2</definedName>
    <definedName name="Validation2_PW">'Calculation_8%'!$CC$2</definedName>
    <definedName name="Validation3_SPW">'Calculation_8%'!$CH$4</definedName>
    <definedName name="wfmc">Charges!$C$26</definedName>
    <definedName name="WoP_Flag">Input!$C$89</definedName>
    <definedName name="WoP_Max_Age">Charges!$Z$30</definedName>
    <definedName name="WoP_Min_Age">Charges!$Z$31</definedName>
  </definedNames>
  <calcPr calcId="145621"/>
</workbook>
</file>

<file path=xl/calcChain.xml><?xml version="1.0" encoding="utf-8"?>
<calcChain xmlns="http://schemas.openxmlformats.org/spreadsheetml/2006/main">
  <c r="D11" i="35" l="1"/>
  <c r="F6" i="35"/>
  <c r="D8" i="35"/>
  <c r="AC7" i="43" l="1"/>
  <c r="AC7" i="42"/>
  <c r="AC7" i="31"/>
  <c r="D78" i="2" l="1"/>
  <c r="F83" i="2" s="1"/>
  <c r="E83" i="2" l="1"/>
  <c r="AU4" i="1" l="1"/>
  <c r="D64" i="2"/>
  <c r="F2" i="43" l="1"/>
  <c r="F2" i="42"/>
  <c r="AU41" i="1" l="1"/>
  <c r="AU42" i="1" s="1"/>
  <c r="BH6" i="31" l="1"/>
  <c r="F15" i="2"/>
  <c r="G15" i="2" s="1"/>
  <c r="F17" i="2"/>
  <c r="G17" i="2" s="1"/>
  <c r="Z8" i="1" l="1"/>
  <c r="C46" i="2"/>
  <c r="F2" i="31" l="1"/>
  <c r="A5" i="10" l="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G14" i="42" l="1"/>
  <c r="G15" i="42"/>
  <c r="G16" i="42"/>
  <c r="G22" i="42" s="1"/>
  <c r="G28" i="42" s="1"/>
  <c r="G34" i="42" s="1"/>
  <c r="G40" i="42" s="1"/>
  <c r="G46" i="42" s="1"/>
  <c r="G52" i="42" s="1"/>
  <c r="G58" i="42" s="1"/>
  <c r="G64" i="42" s="1"/>
  <c r="G70" i="42" s="1"/>
  <c r="G76" i="42" s="1"/>
  <c r="G82" i="42" s="1"/>
  <c r="G88" i="42" s="1"/>
  <c r="G94" i="42" s="1"/>
  <c r="G100" i="42" s="1"/>
  <c r="G106" i="42" s="1"/>
  <c r="G112" i="42" s="1"/>
  <c r="G118" i="42" s="1"/>
  <c r="G124" i="42" s="1"/>
  <c r="G130" i="42" s="1"/>
  <c r="G136" i="42" s="1"/>
  <c r="G142" i="42" s="1"/>
  <c r="G148" i="42" s="1"/>
  <c r="G154" i="42" s="1"/>
  <c r="G160" i="42" s="1"/>
  <c r="G166" i="42" s="1"/>
  <c r="G172" i="42" s="1"/>
  <c r="G178" i="42" s="1"/>
  <c r="G184" i="42" s="1"/>
  <c r="G190" i="42" s="1"/>
  <c r="G196" i="42" s="1"/>
  <c r="G202" i="42" s="1"/>
  <c r="G208" i="42" s="1"/>
  <c r="G214" i="42" s="1"/>
  <c r="G220" i="42" s="1"/>
  <c r="G226" i="42" s="1"/>
  <c r="G232" i="42" s="1"/>
  <c r="G238" i="42" s="1"/>
  <c r="G244" i="42" s="1"/>
  <c r="G250" i="42" s="1"/>
  <c r="G256" i="42" s="1"/>
  <c r="G262" i="42" s="1"/>
  <c r="G268" i="42" s="1"/>
  <c r="G274" i="42" s="1"/>
  <c r="G280" i="42" s="1"/>
  <c r="G286" i="42" s="1"/>
  <c r="G292" i="42" s="1"/>
  <c r="G298" i="42" s="1"/>
  <c r="G304" i="42" s="1"/>
  <c r="G310" i="42" s="1"/>
  <c r="G316" i="42" s="1"/>
  <c r="G322" i="42" s="1"/>
  <c r="G328" i="42" s="1"/>
  <c r="G334" i="42" s="1"/>
  <c r="G340" i="42" s="1"/>
  <c r="G346" i="42" s="1"/>
  <c r="G352" i="42" s="1"/>
  <c r="G358" i="42" s="1"/>
  <c r="G364" i="42" s="1"/>
  <c r="G17" i="42"/>
  <c r="G23" i="42" s="1"/>
  <c r="G29" i="42" s="1"/>
  <c r="G35" i="42" s="1"/>
  <c r="G41" i="42" s="1"/>
  <c r="G47" i="42" s="1"/>
  <c r="G53" i="42" s="1"/>
  <c r="G59" i="42" s="1"/>
  <c r="G65" i="42" s="1"/>
  <c r="G71" i="42" s="1"/>
  <c r="G77" i="42" s="1"/>
  <c r="G83" i="42" s="1"/>
  <c r="G89" i="42" s="1"/>
  <c r="G95" i="42" s="1"/>
  <c r="G101" i="42" s="1"/>
  <c r="G107" i="42" s="1"/>
  <c r="G113" i="42" s="1"/>
  <c r="G119" i="42" s="1"/>
  <c r="G125" i="42" s="1"/>
  <c r="G131" i="42" s="1"/>
  <c r="G137" i="42" s="1"/>
  <c r="G143" i="42" s="1"/>
  <c r="G149" i="42" s="1"/>
  <c r="G155" i="42" s="1"/>
  <c r="G161" i="42" s="1"/>
  <c r="G167" i="42" s="1"/>
  <c r="G173" i="42" s="1"/>
  <c r="G179" i="42" s="1"/>
  <c r="G185" i="42" s="1"/>
  <c r="G191" i="42" s="1"/>
  <c r="G197" i="42" s="1"/>
  <c r="G203" i="42" s="1"/>
  <c r="G209" i="42" s="1"/>
  <c r="G215" i="42" s="1"/>
  <c r="G221" i="42" s="1"/>
  <c r="G227" i="42" s="1"/>
  <c r="G233" i="42" s="1"/>
  <c r="G239" i="42" s="1"/>
  <c r="G245" i="42" s="1"/>
  <c r="G251" i="42" s="1"/>
  <c r="G257" i="42" s="1"/>
  <c r="G263" i="42" s="1"/>
  <c r="G269" i="42" s="1"/>
  <c r="G275" i="42" s="1"/>
  <c r="G281" i="42" s="1"/>
  <c r="G287" i="42" s="1"/>
  <c r="G293" i="42" s="1"/>
  <c r="G299" i="42" s="1"/>
  <c r="G305" i="42" s="1"/>
  <c r="G311" i="42" s="1"/>
  <c r="G317" i="42" s="1"/>
  <c r="G323" i="42" s="1"/>
  <c r="G329" i="42" s="1"/>
  <c r="G335" i="42" s="1"/>
  <c r="G341" i="42" s="1"/>
  <c r="G347" i="42" s="1"/>
  <c r="G353" i="42" s="1"/>
  <c r="G359" i="42" s="1"/>
  <c r="G365" i="42" s="1"/>
  <c r="G18" i="42"/>
  <c r="G24" i="42" s="1"/>
  <c r="G30" i="42" s="1"/>
  <c r="G36" i="42" s="1"/>
  <c r="G42" i="42" s="1"/>
  <c r="G48" i="42" s="1"/>
  <c r="G54" i="42" s="1"/>
  <c r="G60" i="42" s="1"/>
  <c r="G66" i="42" s="1"/>
  <c r="G72" i="42" s="1"/>
  <c r="G78" i="42" s="1"/>
  <c r="G84" i="42" s="1"/>
  <c r="G90" i="42" s="1"/>
  <c r="G96" i="42" s="1"/>
  <c r="G102" i="42" s="1"/>
  <c r="G108" i="42" s="1"/>
  <c r="G114" i="42" s="1"/>
  <c r="G120" i="42" s="1"/>
  <c r="G126" i="42" s="1"/>
  <c r="G132" i="42" s="1"/>
  <c r="G138" i="42" s="1"/>
  <c r="G144" i="42" s="1"/>
  <c r="G150" i="42" s="1"/>
  <c r="G156" i="42" s="1"/>
  <c r="G162" i="42" s="1"/>
  <c r="G168" i="42" s="1"/>
  <c r="G174" i="42" s="1"/>
  <c r="G180" i="42" s="1"/>
  <c r="G186" i="42" s="1"/>
  <c r="G192" i="42" s="1"/>
  <c r="G198" i="42" s="1"/>
  <c r="G204" i="42" s="1"/>
  <c r="G210" i="42" s="1"/>
  <c r="G216" i="42" s="1"/>
  <c r="G222" i="42" s="1"/>
  <c r="G228" i="42" s="1"/>
  <c r="G234" i="42" s="1"/>
  <c r="G240" i="42" s="1"/>
  <c r="G246" i="42" s="1"/>
  <c r="G252" i="42" s="1"/>
  <c r="G258" i="42" s="1"/>
  <c r="G264" i="42" s="1"/>
  <c r="G270" i="42" s="1"/>
  <c r="G276" i="42" s="1"/>
  <c r="G282" i="42" s="1"/>
  <c r="G288" i="42" s="1"/>
  <c r="G294" i="42" s="1"/>
  <c r="G300" i="42" s="1"/>
  <c r="G306" i="42" s="1"/>
  <c r="G312" i="42" s="1"/>
  <c r="G318" i="42" s="1"/>
  <c r="G324" i="42" s="1"/>
  <c r="G330" i="42" s="1"/>
  <c r="G336" i="42" s="1"/>
  <c r="G342" i="42" s="1"/>
  <c r="G348" i="42" s="1"/>
  <c r="G354" i="42" s="1"/>
  <c r="G360" i="42" s="1"/>
  <c r="G366" i="42" s="1"/>
  <c r="G19" i="42"/>
  <c r="G25" i="42" s="1"/>
  <c r="G31" i="42" s="1"/>
  <c r="G37" i="42" s="1"/>
  <c r="G43" i="42" s="1"/>
  <c r="G49" i="42" s="1"/>
  <c r="G55" i="42" s="1"/>
  <c r="G61" i="42" s="1"/>
  <c r="G67" i="42" s="1"/>
  <c r="G73" i="42" s="1"/>
  <c r="G79" i="42" s="1"/>
  <c r="G85" i="42" s="1"/>
  <c r="G91" i="42" s="1"/>
  <c r="G97" i="42" s="1"/>
  <c r="G103" i="42" s="1"/>
  <c r="G109" i="42" s="1"/>
  <c r="G115" i="42" s="1"/>
  <c r="G121" i="42" s="1"/>
  <c r="G127" i="42" s="1"/>
  <c r="G133" i="42" s="1"/>
  <c r="G139" i="42" s="1"/>
  <c r="G145" i="42" s="1"/>
  <c r="G151" i="42" s="1"/>
  <c r="G157" i="42" s="1"/>
  <c r="G163" i="42" s="1"/>
  <c r="G169" i="42" s="1"/>
  <c r="G175" i="42" s="1"/>
  <c r="G181" i="42" s="1"/>
  <c r="G187" i="42" s="1"/>
  <c r="G193" i="42" s="1"/>
  <c r="G199" i="42" s="1"/>
  <c r="G205" i="42" s="1"/>
  <c r="G211" i="42" s="1"/>
  <c r="G217" i="42" s="1"/>
  <c r="G223" i="42" s="1"/>
  <c r="G229" i="42" s="1"/>
  <c r="G235" i="42" s="1"/>
  <c r="G241" i="42" s="1"/>
  <c r="G247" i="42" s="1"/>
  <c r="G253" i="42" s="1"/>
  <c r="G259" i="42" s="1"/>
  <c r="G265" i="42" s="1"/>
  <c r="G271" i="42" s="1"/>
  <c r="G277" i="42" s="1"/>
  <c r="G283" i="42" s="1"/>
  <c r="G289" i="42" s="1"/>
  <c r="G295" i="42" s="1"/>
  <c r="G301" i="42" s="1"/>
  <c r="G307" i="42" s="1"/>
  <c r="G313" i="42" s="1"/>
  <c r="G319" i="42" s="1"/>
  <c r="G325" i="42" s="1"/>
  <c r="G331" i="42" s="1"/>
  <c r="G337" i="42" s="1"/>
  <c r="G343" i="42" s="1"/>
  <c r="G349" i="42" s="1"/>
  <c r="G355" i="42" s="1"/>
  <c r="G361" i="42" s="1"/>
  <c r="G367" i="42" s="1"/>
  <c r="G20" i="42"/>
  <c r="G26" i="42" s="1"/>
  <c r="G32" i="42" s="1"/>
  <c r="G38" i="42" s="1"/>
  <c r="G44" i="42" s="1"/>
  <c r="G50" i="42" s="1"/>
  <c r="G56" i="42" s="1"/>
  <c r="G62" i="42" s="1"/>
  <c r="G68" i="42" s="1"/>
  <c r="G74" i="42" s="1"/>
  <c r="G80" i="42" s="1"/>
  <c r="G86" i="42" s="1"/>
  <c r="G92" i="42" s="1"/>
  <c r="G98" i="42" s="1"/>
  <c r="G104" i="42" s="1"/>
  <c r="G110" i="42" s="1"/>
  <c r="G116" i="42" s="1"/>
  <c r="G122" i="42" s="1"/>
  <c r="G128" i="42" s="1"/>
  <c r="G134" i="42" s="1"/>
  <c r="G140" i="42" s="1"/>
  <c r="G146" i="42" s="1"/>
  <c r="G152" i="42" s="1"/>
  <c r="G158" i="42" s="1"/>
  <c r="G164" i="42" s="1"/>
  <c r="G170" i="42" s="1"/>
  <c r="G176" i="42" s="1"/>
  <c r="G182" i="42" s="1"/>
  <c r="G188" i="42" s="1"/>
  <c r="G194" i="42" s="1"/>
  <c r="G200" i="42" s="1"/>
  <c r="G206" i="42" s="1"/>
  <c r="G212" i="42" s="1"/>
  <c r="G218" i="42" s="1"/>
  <c r="G224" i="42" s="1"/>
  <c r="G230" i="42" s="1"/>
  <c r="G236" i="42" s="1"/>
  <c r="G242" i="42" s="1"/>
  <c r="G248" i="42" s="1"/>
  <c r="G254" i="42" s="1"/>
  <c r="G260" i="42" s="1"/>
  <c r="G266" i="42" s="1"/>
  <c r="G272" i="42" s="1"/>
  <c r="G278" i="42" s="1"/>
  <c r="G284" i="42" s="1"/>
  <c r="G290" i="42" s="1"/>
  <c r="G296" i="42" s="1"/>
  <c r="G302" i="42" s="1"/>
  <c r="G308" i="42" s="1"/>
  <c r="G314" i="42" s="1"/>
  <c r="G320" i="42" s="1"/>
  <c r="G326" i="42" s="1"/>
  <c r="G332" i="42" s="1"/>
  <c r="G338" i="42" s="1"/>
  <c r="G344" i="42" s="1"/>
  <c r="G350" i="42" s="1"/>
  <c r="G356" i="42" s="1"/>
  <c r="G362" i="42" s="1"/>
  <c r="G21" i="42"/>
  <c r="G27" i="42" s="1"/>
  <c r="G33" i="42" s="1"/>
  <c r="G39" i="42" s="1"/>
  <c r="G45" i="42" s="1"/>
  <c r="G51" i="42" s="1"/>
  <c r="G57" i="42" s="1"/>
  <c r="G63" i="42" s="1"/>
  <c r="G69" i="42" s="1"/>
  <c r="G75" i="42" s="1"/>
  <c r="G81" i="42" s="1"/>
  <c r="G87" i="42" s="1"/>
  <c r="G93" i="42" s="1"/>
  <c r="G99" i="42" s="1"/>
  <c r="G105" i="42" s="1"/>
  <c r="G111" i="42" s="1"/>
  <c r="G117" i="42" s="1"/>
  <c r="G123" i="42" s="1"/>
  <c r="G129" i="42" s="1"/>
  <c r="G135" i="42" s="1"/>
  <c r="G141" i="42" s="1"/>
  <c r="G147" i="42" s="1"/>
  <c r="G153" i="42" s="1"/>
  <c r="G159" i="42" s="1"/>
  <c r="G165" i="42" s="1"/>
  <c r="G171" i="42" s="1"/>
  <c r="G177" i="42" s="1"/>
  <c r="G183" i="42" s="1"/>
  <c r="G189" i="42" s="1"/>
  <c r="G195" i="42" s="1"/>
  <c r="G201" i="42" s="1"/>
  <c r="G207" i="42" s="1"/>
  <c r="G213" i="42" s="1"/>
  <c r="G219" i="42" s="1"/>
  <c r="G225" i="42" s="1"/>
  <c r="G231" i="42" s="1"/>
  <c r="G237" i="42" s="1"/>
  <c r="G243" i="42" s="1"/>
  <c r="G249" i="42" s="1"/>
  <c r="G255" i="42" s="1"/>
  <c r="G261" i="42" s="1"/>
  <c r="G267" i="42" s="1"/>
  <c r="G273" i="42" s="1"/>
  <c r="G279" i="42" s="1"/>
  <c r="G285" i="42" s="1"/>
  <c r="G291" i="42" s="1"/>
  <c r="G297" i="42" s="1"/>
  <c r="G303" i="42" s="1"/>
  <c r="G309" i="42" s="1"/>
  <c r="G315" i="42" s="1"/>
  <c r="G321" i="42" s="1"/>
  <c r="G327" i="42" s="1"/>
  <c r="G333" i="42" s="1"/>
  <c r="G339" i="42" s="1"/>
  <c r="G345" i="42" s="1"/>
  <c r="G351" i="42" s="1"/>
  <c r="G357" i="42" s="1"/>
  <c r="G363" i="42" s="1"/>
  <c r="G13" i="42"/>
  <c r="G14" i="43"/>
  <c r="G20" i="43" s="1"/>
  <c r="G26" i="43" s="1"/>
  <c r="G32" i="43" s="1"/>
  <c r="G38" i="43" s="1"/>
  <c r="G44" i="43" s="1"/>
  <c r="G50" i="43" s="1"/>
  <c r="G56" i="43" s="1"/>
  <c r="G62" i="43" s="1"/>
  <c r="G68" i="43" s="1"/>
  <c r="G74" i="43" s="1"/>
  <c r="G80" i="43" s="1"/>
  <c r="G86" i="43" s="1"/>
  <c r="G92" i="43" s="1"/>
  <c r="G98" i="43" s="1"/>
  <c r="G104" i="43" s="1"/>
  <c r="G110" i="43" s="1"/>
  <c r="G116" i="43" s="1"/>
  <c r="G122" i="43" s="1"/>
  <c r="G128" i="43" s="1"/>
  <c r="G134" i="43" s="1"/>
  <c r="G140" i="43" s="1"/>
  <c r="G146" i="43" s="1"/>
  <c r="G152" i="43" s="1"/>
  <c r="G158" i="43" s="1"/>
  <c r="G164" i="43" s="1"/>
  <c r="G170" i="43" s="1"/>
  <c r="G176" i="43" s="1"/>
  <c r="G182" i="43" s="1"/>
  <c r="G188" i="43" s="1"/>
  <c r="G194" i="43" s="1"/>
  <c r="G200" i="43" s="1"/>
  <c r="G206" i="43" s="1"/>
  <c r="G212" i="43" s="1"/>
  <c r="G218" i="43" s="1"/>
  <c r="G224" i="43" s="1"/>
  <c r="G230" i="43" s="1"/>
  <c r="G236" i="43" s="1"/>
  <c r="G242" i="43" s="1"/>
  <c r="G248" i="43" s="1"/>
  <c r="G254" i="43" s="1"/>
  <c r="G260" i="43" s="1"/>
  <c r="G266" i="43" s="1"/>
  <c r="G272" i="43" s="1"/>
  <c r="G278" i="43" s="1"/>
  <c r="G284" i="43" s="1"/>
  <c r="G290" i="43" s="1"/>
  <c r="G296" i="43" s="1"/>
  <c r="G302" i="43" s="1"/>
  <c r="G308" i="43" s="1"/>
  <c r="G314" i="43" s="1"/>
  <c r="G320" i="43" s="1"/>
  <c r="G326" i="43" s="1"/>
  <c r="G332" i="43" s="1"/>
  <c r="G338" i="43" s="1"/>
  <c r="G344" i="43" s="1"/>
  <c r="G350" i="43" s="1"/>
  <c r="G356" i="43" s="1"/>
  <c r="G362" i="43" s="1"/>
  <c r="G15" i="43"/>
  <c r="G21" i="43" s="1"/>
  <c r="G27" i="43" s="1"/>
  <c r="G33" i="43" s="1"/>
  <c r="G39" i="43" s="1"/>
  <c r="G45" i="43" s="1"/>
  <c r="G51" i="43" s="1"/>
  <c r="G57" i="43" s="1"/>
  <c r="G63" i="43" s="1"/>
  <c r="G69" i="43" s="1"/>
  <c r="G75" i="43" s="1"/>
  <c r="G81" i="43" s="1"/>
  <c r="G87" i="43" s="1"/>
  <c r="G93" i="43" s="1"/>
  <c r="G99" i="43" s="1"/>
  <c r="G105" i="43" s="1"/>
  <c r="G111" i="43" s="1"/>
  <c r="G117" i="43" s="1"/>
  <c r="G123" i="43" s="1"/>
  <c r="G129" i="43" s="1"/>
  <c r="G135" i="43" s="1"/>
  <c r="G141" i="43" s="1"/>
  <c r="G147" i="43" s="1"/>
  <c r="G153" i="43" s="1"/>
  <c r="G159" i="43" s="1"/>
  <c r="G165" i="43" s="1"/>
  <c r="G171" i="43" s="1"/>
  <c r="G177" i="43" s="1"/>
  <c r="G183" i="43" s="1"/>
  <c r="G189" i="43" s="1"/>
  <c r="G195" i="43" s="1"/>
  <c r="G201" i="43" s="1"/>
  <c r="G207" i="43" s="1"/>
  <c r="G213" i="43" s="1"/>
  <c r="G219" i="43" s="1"/>
  <c r="G225" i="43" s="1"/>
  <c r="G231" i="43" s="1"/>
  <c r="G237" i="43" s="1"/>
  <c r="G243" i="43" s="1"/>
  <c r="G249" i="43" s="1"/>
  <c r="G255" i="43" s="1"/>
  <c r="G261" i="43" s="1"/>
  <c r="G267" i="43" s="1"/>
  <c r="G273" i="43" s="1"/>
  <c r="G279" i="43" s="1"/>
  <c r="G285" i="43" s="1"/>
  <c r="G291" i="43" s="1"/>
  <c r="G297" i="43" s="1"/>
  <c r="G303" i="43" s="1"/>
  <c r="G309" i="43" s="1"/>
  <c r="G315" i="43" s="1"/>
  <c r="G321" i="43" s="1"/>
  <c r="G327" i="43" s="1"/>
  <c r="G333" i="43" s="1"/>
  <c r="G339" i="43" s="1"/>
  <c r="G345" i="43" s="1"/>
  <c r="G351" i="43" s="1"/>
  <c r="G357" i="43" s="1"/>
  <c r="G363" i="43" s="1"/>
  <c r="G16" i="43"/>
  <c r="G22" i="43" s="1"/>
  <c r="G28" i="43" s="1"/>
  <c r="G34" i="43" s="1"/>
  <c r="G40" i="43" s="1"/>
  <c r="G46" i="43" s="1"/>
  <c r="G52" i="43" s="1"/>
  <c r="G58" i="43" s="1"/>
  <c r="G64" i="43" s="1"/>
  <c r="G70" i="43" s="1"/>
  <c r="G76" i="43" s="1"/>
  <c r="G82" i="43" s="1"/>
  <c r="G88" i="43" s="1"/>
  <c r="G94" i="43" s="1"/>
  <c r="G100" i="43" s="1"/>
  <c r="G106" i="43" s="1"/>
  <c r="G112" i="43" s="1"/>
  <c r="G118" i="43" s="1"/>
  <c r="G124" i="43" s="1"/>
  <c r="G130" i="43" s="1"/>
  <c r="G136" i="43" s="1"/>
  <c r="G142" i="43" s="1"/>
  <c r="G148" i="43" s="1"/>
  <c r="G154" i="43" s="1"/>
  <c r="G160" i="43" s="1"/>
  <c r="G166" i="43" s="1"/>
  <c r="G172" i="43" s="1"/>
  <c r="G178" i="43" s="1"/>
  <c r="G184" i="43" s="1"/>
  <c r="G190" i="43" s="1"/>
  <c r="G196" i="43" s="1"/>
  <c r="G202" i="43" s="1"/>
  <c r="G208" i="43" s="1"/>
  <c r="G214" i="43" s="1"/>
  <c r="G220" i="43" s="1"/>
  <c r="G226" i="43" s="1"/>
  <c r="G232" i="43" s="1"/>
  <c r="G238" i="43" s="1"/>
  <c r="G244" i="43" s="1"/>
  <c r="G250" i="43" s="1"/>
  <c r="G256" i="43" s="1"/>
  <c r="G262" i="43" s="1"/>
  <c r="G268" i="43" s="1"/>
  <c r="G274" i="43" s="1"/>
  <c r="G280" i="43" s="1"/>
  <c r="G286" i="43" s="1"/>
  <c r="G292" i="43" s="1"/>
  <c r="G298" i="43" s="1"/>
  <c r="G304" i="43" s="1"/>
  <c r="G310" i="43" s="1"/>
  <c r="G316" i="43" s="1"/>
  <c r="G322" i="43" s="1"/>
  <c r="G328" i="43" s="1"/>
  <c r="G334" i="43" s="1"/>
  <c r="G340" i="43" s="1"/>
  <c r="G346" i="43" s="1"/>
  <c r="G352" i="43" s="1"/>
  <c r="G358" i="43" s="1"/>
  <c r="G364" i="43" s="1"/>
  <c r="G17" i="43"/>
  <c r="G23" i="43" s="1"/>
  <c r="G29" i="43" s="1"/>
  <c r="G35" i="43" s="1"/>
  <c r="G41" i="43" s="1"/>
  <c r="G47" i="43" s="1"/>
  <c r="G53" i="43" s="1"/>
  <c r="G59" i="43" s="1"/>
  <c r="G65" i="43" s="1"/>
  <c r="G71" i="43" s="1"/>
  <c r="G77" i="43" s="1"/>
  <c r="G83" i="43" s="1"/>
  <c r="G89" i="43" s="1"/>
  <c r="G95" i="43" s="1"/>
  <c r="G101" i="43" s="1"/>
  <c r="G107" i="43" s="1"/>
  <c r="G113" i="43" s="1"/>
  <c r="G119" i="43" s="1"/>
  <c r="G125" i="43" s="1"/>
  <c r="G131" i="43" s="1"/>
  <c r="G137" i="43" s="1"/>
  <c r="G143" i="43" s="1"/>
  <c r="G149" i="43" s="1"/>
  <c r="G155" i="43" s="1"/>
  <c r="G161" i="43" s="1"/>
  <c r="G167" i="43" s="1"/>
  <c r="G173" i="43" s="1"/>
  <c r="G179" i="43" s="1"/>
  <c r="G185" i="43" s="1"/>
  <c r="G191" i="43" s="1"/>
  <c r="G197" i="43" s="1"/>
  <c r="G203" i="43" s="1"/>
  <c r="G209" i="43" s="1"/>
  <c r="G215" i="43" s="1"/>
  <c r="G221" i="43" s="1"/>
  <c r="G227" i="43" s="1"/>
  <c r="G233" i="43" s="1"/>
  <c r="G239" i="43" s="1"/>
  <c r="G245" i="43" s="1"/>
  <c r="G251" i="43" s="1"/>
  <c r="G257" i="43" s="1"/>
  <c r="G263" i="43" s="1"/>
  <c r="G269" i="43" s="1"/>
  <c r="G275" i="43" s="1"/>
  <c r="G281" i="43" s="1"/>
  <c r="G287" i="43" s="1"/>
  <c r="G293" i="43" s="1"/>
  <c r="G299" i="43" s="1"/>
  <c r="G305" i="43" s="1"/>
  <c r="G311" i="43" s="1"/>
  <c r="G317" i="43" s="1"/>
  <c r="G323" i="43" s="1"/>
  <c r="G329" i="43" s="1"/>
  <c r="G335" i="43" s="1"/>
  <c r="G341" i="43" s="1"/>
  <c r="G347" i="43" s="1"/>
  <c r="G353" i="43" s="1"/>
  <c r="G359" i="43" s="1"/>
  <c r="G365" i="43" s="1"/>
  <c r="G18" i="43"/>
  <c r="G24" i="43"/>
  <c r="G30" i="43" s="1"/>
  <c r="G36" i="43" s="1"/>
  <c r="G42" i="43" s="1"/>
  <c r="G48" i="43" s="1"/>
  <c r="G54" i="43" s="1"/>
  <c r="G60" i="43" s="1"/>
  <c r="G66" i="43" s="1"/>
  <c r="G72" i="43" s="1"/>
  <c r="G78" i="43" s="1"/>
  <c r="G84" i="43" s="1"/>
  <c r="G90" i="43" s="1"/>
  <c r="G96" i="43" s="1"/>
  <c r="G102" i="43" s="1"/>
  <c r="G108" i="43" s="1"/>
  <c r="G114" i="43" s="1"/>
  <c r="G120" i="43" s="1"/>
  <c r="G126" i="43" s="1"/>
  <c r="G132" i="43" s="1"/>
  <c r="G138" i="43" s="1"/>
  <c r="G144" i="43" s="1"/>
  <c r="G150" i="43" s="1"/>
  <c r="G156" i="43" s="1"/>
  <c r="G162" i="43" s="1"/>
  <c r="G168" i="43" s="1"/>
  <c r="G174" i="43" s="1"/>
  <c r="G180" i="43" s="1"/>
  <c r="G186" i="43" s="1"/>
  <c r="G192" i="43" s="1"/>
  <c r="G198" i="43" s="1"/>
  <c r="G204" i="43" s="1"/>
  <c r="G210" i="43" s="1"/>
  <c r="G216" i="43" s="1"/>
  <c r="G222" i="43" s="1"/>
  <c r="G228" i="43" s="1"/>
  <c r="G234" i="43" s="1"/>
  <c r="G240" i="43" s="1"/>
  <c r="G246" i="43" s="1"/>
  <c r="G252" i="43" s="1"/>
  <c r="G258" i="43" s="1"/>
  <c r="G264" i="43" s="1"/>
  <c r="G270" i="43" s="1"/>
  <c r="G276" i="43" s="1"/>
  <c r="G282" i="43" s="1"/>
  <c r="G288" i="43" s="1"/>
  <c r="G294" i="43" s="1"/>
  <c r="G300" i="43" s="1"/>
  <c r="G306" i="43" s="1"/>
  <c r="G312" i="43" s="1"/>
  <c r="G318" i="43" s="1"/>
  <c r="G324" i="43" s="1"/>
  <c r="G330" i="43" s="1"/>
  <c r="G336" i="43" s="1"/>
  <c r="G342" i="43" s="1"/>
  <c r="G348" i="43" s="1"/>
  <c r="G354" i="43" s="1"/>
  <c r="G360" i="43" s="1"/>
  <c r="G366" i="43" s="1"/>
  <c r="G13" i="43"/>
  <c r="G19" i="43" s="1"/>
  <c r="G25" i="43" s="1"/>
  <c r="G31" i="43" s="1"/>
  <c r="G37" i="43" s="1"/>
  <c r="G43" i="43" s="1"/>
  <c r="G49" i="43" s="1"/>
  <c r="G55" i="43" s="1"/>
  <c r="G61" i="43" s="1"/>
  <c r="G67" i="43" s="1"/>
  <c r="G73" i="43" s="1"/>
  <c r="G79" i="43" s="1"/>
  <c r="G85" i="43" s="1"/>
  <c r="G91" i="43" s="1"/>
  <c r="G97" i="43" s="1"/>
  <c r="G103" i="43" s="1"/>
  <c r="G109" i="43" s="1"/>
  <c r="G115" i="43" s="1"/>
  <c r="G121" i="43" s="1"/>
  <c r="G127" i="43" s="1"/>
  <c r="G133" i="43" s="1"/>
  <c r="G139" i="43" s="1"/>
  <c r="G145" i="43" s="1"/>
  <c r="G151" i="43" s="1"/>
  <c r="G157" i="43" s="1"/>
  <c r="G163" i="43" s="1"/>
  <c r="G169" i="43" s="1"/>
  <c r="G175" i="43" s="1"/>
  <c r="G181" i="43" s="1"/>
  <c r="G187" i="43" s="1"/>
  <c r="G193" i="43" s="1"/>
  <c r="G199" i="43" s="1"/>
  <c r="G205" i="43" s="1"/>
  <c r="G211" i="43" s="1"/>
  <c r="G217" i="43" s="1"/>
  <c r="G223" i="43" s="1"/>
  <c r="G229" i="43" s="1"/>
  <c r="G235" i="43" s="1"/>
  <c r="G241" i="43" s="1"/>
  <c r="G247" i="43" s="1"/>
  <c r="G253" i="43" s="1"/>
  <c r="G259" i="43" s="1"/>
  <c r="G265" i="43" s="1"/>
  <c r="G271" i="43" s="1"/>
  <c r="G277" i="43" s="1"/>
  <c r="G283" i="43" s="1"/>
  <c r="G289" i="43" s="1"/>
  <c r="G295" i="43" s="1"/>
  <c r="G301" i="43" s="1"/>
  <c r="G307" i="43" s="1"/>
  <c r="G313" i="43" s="1"/>
  <c r="G319" i="43" s="1"/>
  <c r="G325" i="43" s="1"/>
  <c r="G331" i="43" s="1"/>
  <c r="G337" i="43" s="1"/>
  <c r="G343" i="43" s="1"/>
  <c r="G349" i="43" s="1"/>
  <c r="G355" i="43" s="1"/>
  <c r="G361" i="43" s="1"/>
  <c r="G367" i="43" s="1"/>
  <c r="G14" i="31"/>
  <c r="G15" i="31"/>
  <c r="G21" i="31" s="1"/>
  <c r="G27" i="31" s="1"/>
  <c r="G33" i="31" s="1"/>
  <c r="G39" i="31" s="1"/>
  <c r="G45" i="31" s="1"/>
  <c r="G51" i="31" s="1"/>
  <c r="G57" i="31" s="1"/>
  <c r="G63" i="31" s="1"/>
  <c r="G69" i="31" s="1"/>
  <c r="G75" i="31" s="1"/>
  <c r="G81" i="31" s="1"/>
  <c r="G87" i="31" s="1"/>
  <c r="G93" i="31" s="1"/>
  <c r="G99" i="31" s="1"/>
  <c r="G105" i="31" s="1"/>
  <c r="G111" i="31" s="1"/>
  <c r="G117" i="31" s="1"/>
  <c r="G123" i="31" s="1"/>
  <c r="G129" i="31" s="1"/>
  <c r="G135" i="31" s="1"/>
  <c r="G141" i="31" s="1"/>
  <c r="G147" i="31" s="1"/>
  <c r="G153" i="31" s="1"/>
  <c r="G159" i="31" s="1"/>
  <c r="G165" i="31" s="1"/>
  <c r="G171" i="31" s="1"/>
  <c r="G177" i="31" s="1"/>
  <c r="G183" i="31" s="1"/>
  <c r="G189" i="31" s="1"/>
  <c r="G195" i="31" s="1"/>
  <c r="G201" i="31" s="1"/>
  <c r="G207" i="31" s="1"/>
  <c r="G213" i="31" s="1"/>
  <c r="G219" i="31" s="1"/>
  <c r="G225" i="31" s="1"/>
  <c r="G231" i="31" s="1"/>
  <c r="G237" i="31" s="1"/>
  <c r="G243" i="31" s="1"/>
  <c r="G249" i="31" s="1"/>
  <c r="G255" i="31" s="1"/>
  <c r="G261" i="31" s="1"/>
  <c r="G267" i="31" s="1"/>
  <c r="G273" i="31" s="1"/>
  <c r="G279" i="31" s="1"/>
  <c r="G285" i="31" s="1"/>
  <c r="G291" i="31" s="1"/>
  <c r="G297" i="31" s="1"/>
  <c r="G303" i="31" s="1"/>
  <c r="G309" i="31" s="1"/>
  <c r="G315" i="31" s="1"/>
  <c r="G321" i="31" s="1"/>
  <c r="G327" i="31" s="1"/>
  <c r="G333" i="31" s="1"/>
  <c r="G339" i="31" s="1"/>
  <c r="G345" i="31" s="1"/>
  <c r="G351" i="31" s="1"/>
  <c r="G357" i="31" s="1"/>
  <c r="G363" i="31" s="1"/>
  <c r="G16" i="31"/>
  <c r="G22" i="31" s="1"/>
  <c r="G28" i="31" s="1"/>
  <c r="G34" i="31" s="1"/>
  <c r="G40" i="31" s="1"/>
  <c r="G46" i="31" s="1"/>
  <c r="G52" i="31" s="1"/>
  <c r="G58" i="31" s="1"/>
  <c r="G64" i="31" s="1"/>
  <c r="G70" i="31" s="1"/>
  <c r="G76" i="31" s="1"/>
  <c r="G82" i="31" s="1"/>
  <c r="G88" i="31" s="1"/>
  <c r="G94" i="31" s="1"/>
  <c r="G100" i="31" s="1"/>
  <c r="G106" i="31" s="1"/>
  <c r="G112" i="31" s="1"/>
  <c r="G118" i="31" s="1"/>
  <c r="G124" i="31" s="1"/>
  <c r="G130" i="31" s="1"/>
  <c r="G136" i="31" s="1"/>
  <c r="G142" i="31" s="1"/>
  <c r="G148" i="31" s="1"/>
  <c r="G154" i="31" s="1"/>
  <c r="G160" i="31" s="1"/>
  <c r="G166" i="31" s="1"/>
  <c r="G172" i="31" s="1"/>
  <c r="G178" i="31" s="1"/>
  <c r="G184" i="31" s="1"/>
  <c r="G190" i="31" s="1"/>
  <c r="G196" i="31" s="1"/>
  <c r="G202" i="31" s="1"/>
  <c r="G208" i="31" s="1"/>
  <c r="G214" i="31" s="1"/>
  <c r="G220" i="31" s="1"/>
  <c r="G226" i="31" s="1"/>
  <c r="G232" i="31" s="1"/>
  <c r="G238" i="31" s="1"/>
  <c r="G244" i="31" s="1"/>
  <c r="G250" i="31" s="1"/>
  <c r="G256" i="31" s="1"/>
  <c r="G262" i="31" s="1"/>
  <c r="G268" i="31" s="1"/>
  <c r="G274" i="31" s="1"/>
  <c r="G280" i="31" s="1"/>
  <c r="G286" i="31" s="1"/>
  <c r="G292" i="31" s="1"/>
  <c r="G298" i="31" s="1"/>
  <c r="G304" i="31" s="1"/>
  <c r="G310" i="31" s="1"/>
  <c r="G316" i="31" s="1"/>
  <c r="G322" i="31" s="1"/>
  <c r="G328" i="31" s="1"/>
  <c r="G334" i="31" s="1"/>
  <c r="G340" i="31" s="1"/>
  <c r="G346" i="31" s="1"/>
  <c r="G352" i="31" s="1"/>
  <c r="G358" i="31" s="1"/>
  <c r="G364" i="31" s="1"/>
  <c r="G17" i="31"/>
  <c r="G23" i="31" s="1"/>
  <c r="G29" i="31" s="1"/>
  <c r="G35" i="31" s="1"/>
  <c r="G41" i="31" s="1"/>
  <c r="G47" i="31" s="1"/>
  <c r="G53" i="31" s="1"/>
  <c r="G59" i="31" s="1"/>
  <c r="G65" i="31" s="1"/>
  <c r="G71" i="31" s="1"/>
  <c r="G77" i="31" s="1"/>
  <c r="G83" i="31" s="1"/>
  <c r="G89" i="31" s="1"/>
  <c r="G95" i="31" s="1"/>
  <c r="G101" i="31" s="1"/>
  <c r="G107" i="31" s="1"/>
  <c r="G113" i="31" s="1"/>
  <c r="G119" i="31" s="1"/>
  <c r="G125" i="31" s="1"/>
  <c r="G131" i="31" s="1"/>
  <c r="G137" i="31" s="1"/>
  <c r="G143" i="31" s="1"/>
  <c r="G149" i="31" s="1"/>
  <c r="G155" i="31" s="1"/>
  <c r="G161" i="31" s="1"/>
  <c r="G167" i="31" s="1"/>
  <c r="G173" i="31" s="1"/>
  <c r="G179" i="31" s="1"/>
  <c r="G185" i="31" s="1"/>
  <c r="G191" i="31" s="1"/>
  <c r="G197" i="31" s="1"/>
  <c r="G203" i="31" s="1"/>
  <c r="G209" i="31" s="1"/>
  <c r="G215" i="31" s="1"/>
  <c r="G221" i="31" s="1"/>
  <c r="G227" i="31" s="1"/>
  <c r="G233" i="31" s="1"/>
  <c r="G239" i="31" s="1"/>
  <c r="G245" i="31" s="1"/>
  <c r="G251" i="31" s="1"/>
  <c r="G257" i="31" s="1"/>
  <c r="G263" i="31" s="1"/>
  <c r="G269" i="31" s="1"/>
  <c r="G275" i="31" s="1"/>
  <c r="G281" i="31" s="1"/>
  <c r="G287" i="31" s="1"/>
  <c r="G293" i="31" s="1"/>
  <c r="G299" i="31" s="1"/>
  <c r="G305" i="31" s="1"/>
  <c r="G311" i="31" s="1"/>
  <c r="G317" i="31" s="1"/>
  <c r="G323" i="31" s="1"/>
  <c r="G329" i="31" s="1"/>
  <c r="G335" i="31" s="1"/>
  <c r="G341" i="31" s="1"/>
  <c r="G347" i="31" s="1"/>
  <c r="G353" i="31" s="1"/>
  <c r="G359" i="31" s="1"/>
  <c r="G365" i="31" s="1"/>
  <c r="G18" i="31"/>
  <c r="G24" i="31" s="1"/>
  <c r="G30" i="31" s="1"/>
  <c r="G36" i="31" s="1"/>
  <c r="G42" i="31" s="1"/>
  <c r="G48" i="31" s="1"/>
  <c r="G54" i="31" s="1"/>
  <c r="G60" i="31" s="1"/>
  <c r="G66" i="31" s="1"/>
  <c r="G72" i="31" s="1"/>
  <c r="G78" i="31" s="1"/>
  <c r="G84" i="31" s="1"/>
  <c r="G90" i="31" s="1"/>
  <c r="G96" i="31" s="1"/>
  <c r="G102" i="31" s="1"/>
  <c r="G108" i="31" s="1"/>
  <c r="G114" i="31" s="1"/>
  <c r="G120" i="31" s="1"/>
  <c r="G126" i="31" s="1"/>
  <c r="G132" i="31" s="1"/>
  <c r="G138" i="31" s="1"/>
  <c r="G144" i="31" s="1"/>
  <c r="G150" i="31" s="1"/>
  <c r="G156" i="31" s="1"/>
  <c r="G162" i="31" s="1"/>
  <c r="G168" i="31" s="1"/>
  <c r="G174" i="31" s="1"/>
  <c r="G180" i="31" s="1"/>
  <c r="G186" i="31" s="1"/>
  <c r="G192" i="31" s="1"/>
  <c r="G198" i="31" s="1"/>
  <c r="G204" i="31" s="1"/>
  <c r="G210" i="31" s="1"/>
  <c r="G216" i="31" s="1"/>
  <c r="G222" i="31" s="1"/>
  <c r="G228" i="31" s="1"/>
  <c r="G234" i="31" s="1"/>
  <c r="G240" i="31" s="1"/>
  <c r="G246" i="31" s="1"/>
  <c r="G252" i="31" s="1"/>
  <c r="G258" i="31" s="1"/>
  <c r="G264" i="31" s="1"/>
  <c r="G270" i="31" s="1"/>
  <c r="G276" i="31" s="1"/>
  <c r="G282" i="31" s="1"/>
  <c r="G288" i="31" s="1"/>
  <c r="G294" i="31" s="1"/>
  <c r="G300" i="31" s="1"/>
  <c r="G306" i="31" s="1"/>
  <c r="G312" i="31" s="1"/>
  <c r="G318" i="31" s="1"/>
  <c r="G324" i="31" s="1"/>
  <c r="G330" i="31" s="1"/>
  <c r="G336" i="31" s="1"/>
  <c r="G342" i="31" s="1"/>
  <c r="G348" i="31" s="1"/>
  <c r="G354" i="31" s="1"/>
  <c r="G360" i="31" s="1"/>
  <c r="G366" i="31" s="1"/>
  <c r="G20" i="31"/>
  <c r="G26" i="31" s="1"/>
  <c r="G32" i="31" s="1"/>
  <c r="G38" i="31" s="1"/>
  <c r="G44" i="31" s="1"/>
  <c r="G50" i="31" s="1"/>
  <c r="G56" i="31" s="1"/>
  <c r="G62" i="31" s="1"/>
  <c r="G68" i="31" s="1"/>
  <c r="G74" i="31" s="1"/>
  <c r="G80" i="31" s="1"/>
  <c r="G86" i="31" s="1"/>
  <c r="G92" i="31" s="1"/>
  <c r="G98" i="31" s="1"/>
  <c r="G104" i="31" s="1"/>
  <c r="G110" i="31" s="1"/>
  <c r="G116" i="31" s="1"/>
  <c r="G122" i="31" s="1"/>
  <c r="G128" i="31" s="1"/>
  <c r="G134" i="31" s="1"/>
  <c r="G140" i="31" s="1"/>
  <c r="G146" i="31" s="1"/>
  <c r="G152" i="31" s="1"/>
  <c r="G158" i="31" s="1"/>
  <c r="G164" i="31" s="1"/>
  <c r="G170" i="31" s="1"/>
  <c r="G176" i="31" s="1"/>
  <c r="G182" i="31" s="1"/>
  <c r="G188" i="31" s="1"/>
  <c r="G194" i="31" s="1"/>
  <c r="G200" i="31" s="1"/>
  <c r="G206" i="31" s="1"/>
  <c r="G212" i="31" s="1"/>
  <c r="G218" i="31" s="1"/>
  <c r="G224" i="31" s="1"/>
  <c r="G230" i="31" s="1"/>
  <c r="G236" i="31" s="1"/>
  <c r="G242" i="31" s="1"/>
  <c r="G248" i="31" s="1"/>
  <c r="G254" i="31" s="1"/>
  <c r="G260" i="31" s="1"/>
  <c r="G266" i="31" s="1"/>
  <c r="G272" i="31" s="1"/>
  <c r="G278" i="31" s="1"/>
  <c r="G284" i="31" s="1"/>
  <c r="G290" i="31" s="1"/>
  <c r="G296" i="31" s="1"/>
  <c r="G302" i="31" s="1"/>
  <c r="G308" i="31" s="1"/>
  <c r="G314" i="31" s="1"/>
  <c r="G320" i="31" s="1"/>
  <c r="G326" i="31" s="1"/>
  <c r="G332" i="31" s="1"/>
  <c r="G338" i="31" s="1"/>
  <c r="G344" i="31" s="1"/>
  <c r="G350" i="31" s="1"/>
  <c r="G356" i="31" s="1"/>
  <c r="G362" i="31" s="1"/>
  <c r="G13" i="31"/>
  <c r="G19" i="31" s="1"/>
  <c r="G25" i="31" s="1"/>
  <c r="G31" i="31" s="1"/>
  <c r="G37" i="31" s="1"/>
  <c r="G43" i="31" s="1"/>
  <c r="G49" i="31" s="1"/>
  <c r="G55" i="31" s="1"/>
  <c r="G61" i="31" s="1"/>
  <c r="G67" i="31" s="1"/>
  <c r="G73" i="31" s="1"/>
  <c r="G79" i="31" s="1"/>
  <c r="G85" i="31" s="1"/>
  <c r="G91" i="31" s="1"/>
  <c r="G97" i="31" s="1"/>
  <c r="G103" i="31" s="1"/>
  <c r="G109" i="31" s="1"/>
  <c r="G115" i="31" s="1"/>
  <c r="G121" i="31" s="1"/>
  <c r="G127" i="31" s="1"/>
  <c r="G133" i="31" s="1"/>
  <c r="G139" i="31" s="1"/>
  <c r="G145" i="31" s="1"/>
  <c r="G151" i="31" s="1"/>
  <c r="G157" i="31" s="1"/>
  <c r="G163" i="31" s="1"/>
  <c r="G169" i="31" s="1"/>
  <c r="G175" i="31" s="1"/>
  <c r="G181" i="31" s="1"/>
  <c r="G187" i="31" s="1"/>
  <c r="G193" i="31" s="1"/>
  <c r="G199" i="31" s="1"/>
  <c r="G205" i="31" s="1"/>
  <c r="G211" i="31" s="1"/>
  <c r="G217" i="31" s="1"/>
  <c r="G223" i="31" s="1"/>
  <c r="G229" i="31" s="1"/>
  <c r="G235" i="31" s="1"/>
  <c r="G241" i="31" s="1"/>
  <c r="G247" i="31" s="1"/>
  <c r="G253" i="31" s="1"/>
  <c r="G259" i="31" s="1"/>
  <c r="G265" i="31" s="1"/>
  <c r="G271" i="31" s="1"/>
  <c r="G277" i="31" s="1"/>
  <c r="G283" i="31" s="1"/>
  <c r="G289" i="31" s="1"/>
  <c r="G295" i="31" s="1"/>
  <c r="G301" i="31" s="1"/>
  <c r="G307" i="31" s="1"/>
  <c r="G313" i="31" s="1"/>
  <c r="G319" i="31" s="1"/>
  <c r="G325" i="31" s="1"/>
  <c r="G331" i="31" s="1"/>
  <c r="G337" i="31" s="1"/>
  <c r="G343" i="31" s="1"/>
  <c r="G349" i="31" s="1"/>
  <c r="G355" i="31" s="1"/>
  <c r="G361" i="31" s="1"/>
  <c r="G367" i="31" s="1"/>
  <c r="J369" i="43"/>
  <c r="H369" i="43"/>
  <c r="H30" i="43"/>
  <c r="B30" i="43"/>
  <c r="H29" i="43"/>
  <c r="H28" i="43"/>
  <c r="B28" i="43"/>
  <c r="H27" i="43"/>
  <c r="H26" i="43"/>
  <c r="B26" i="43"/>
  <c r="H25" i="43"/>
  <c r="H24" i="43"/>
  <c r="B24" i="43"/>
  <c r="H23" i="43"/>
  <c r="B23" i="43"/>
  <c r="H22" i="43"/>
  <c r="B22" i="43"/>
  <c r="H21" i="43"/>
  <c r="H20" i="43"/>
  <c r="H19" i="43"/>
  <c r="F19" i="43"/>
  <c r="F31" i="43" s="1"/>
  <c r="F43" i="43" s="1"/>
  <c r="F55" i="43" s="1"/>
  <c r="F67" i="43" s="1"/>
  <c r="F79" i="43" s="1"/>
  <c r="F91" i="43" s="1"/>
  <c r="F103" i="43" s="1"/>
  <c r="F115" i="43" s="1"/>
  <c r="F127" i="43" s="1"/>
  <c r="F139" i="43" s="1"/>
  <c r="F151" i="43" s="1"/>
  <c r="F163" i="43" s="1"/>
  <c r="F175" i="43" s="1"/>
  <c r="F187" i="43" s="1"/>
  <c r="F199" i="43" s="1"/>
  <c r="F211" i="43" s="1"/>
  <c r="F223" i="43" s="1"/>
  <c r="F235" i="43" s="1"/>
  <c r="F247" i="43" s="1"/>
  <c r="F259" i="43" s="1"/>
  <c r="F271" i="43" s="1"/>
  <c r="F283" i="43" s="1"/>
  <c r="F295" i="43" s="1"/>
  <c r="F307" i="43" s="1"/>
  <c r="F319" i="43" s="1"/>
  <c r="F331" i="43" s="1"/>
  <c r="F343" i="43" s="1"/>
  <c r="F355" i="43" s="1"/>
  <c r="F367" i="43" s="1"/>
  <c r="B19" i="43"/>
  <c r="B18" i="43"/>
  <c r="B17" i="43"/>
  <c r="B16" i="43"/>
  <c r="B15" i="43"/>
  <c r="B14" i="43"/>
  <c r="B13" i="43"/>
  <c r="B12" i="43"/>
  <c r="B11" i="43"/>
  <c r="B10" i="43"/>
  <c r="B9" i="43"/>
  <c r="AW8" i="43"/>
  <c r="F8" i="43"/>
  <c r="B8" i="43"/>
  <c r="AB7" i="43"/>
  <c r="AA7" i="43"/>
  <c r="D7" i="43"/>
  <c r="D8" i="43" s="1"/>
  <c r="D9" i="43" s="1"/>
  <c r="D10" i="43" s="1"/>
  <c r="D11" i="43" s="1"/>
  <c r="D12" i="43" s="1"/>
  <c r="D13" i="43" s="1"/>
  <c r="D14" i="43" s="1"/>
  <c r="D15" i="43" s="1"/>
  <c r="D16" i="43" s="1"/>
  <c r="D17" i="43" s="1"/>
  <c r="D18" i="43" s="1"/>
  <c r="D19" i="43" s="1"/>
  <c r="D20" i="43" s="1"/>
  <c r="D21" i="43" s="1"/>
  <c r="D22" i="43" s="1"/>
  <c r="D23" i="43" s="1"/>
  <c r="D24" i="43" s="1"/>
  <c r="D25" i="43" s="1"/>
  <c r="D26" i="43" s="1"/>
  <c r="D27" i="43" s="1"/>
  <c r="D28" i="43" s="1"/>
  <c r="D29" i="43" s="1"/>
  <c r="D30" i="43" s="1"/>
  <c r="D31" i="43" s="1"/>
  <c r="D32" i="43" s="1"/>
  <c r="D33" i="43" s="1"/>
  <c r="D34" i="43" s="1"/>
  <c r="D35" i="43" s="1"/>
  <c r="D36" i="43" s="1"/>
  <c r="D37" i="43" s="1"/>
  <c r="D38" i="43" s="1"/>
  <c r="D39" i="43" s="1"/>
  <c r="D40" i="43" s="1"/>
  <c r="D41" i="43" s="1"/>
  <c r="D42" i="43" s="1"/>
  <c r="D43" i="43" s="1"/>
  <c r="D44" i="43" s="1"/>
  <c r="D45" i="43" s="1"/>
  <c r="D46" i="43" s="1"/>
  <c r="D47" i="43" s="1"/>
  <c r="D48" i="43" s="1"/>
  <c r="D49" i="43" s="1"/>
  <c r="D50" i="43" s="1"/>
  <c r="D51" i="43" s="1"/>
  <c r="D52" i="43" s="1"/>
  <c r="D53" i="43" s="1"/>
  <c r="D54" i="43" s="1"/>
  <c r="D55" i="43" s="1"/>
  <c r="D56" i="43" s="1"/>
  <c r="D57" i="43" s="1"/>
  <c r="D58" i="43" s="1"/>
  <c r="D59" i="43" s="1"/>
  <c r="D60" i="43" s="1"/>
  <c r="D61" i="43" s="1"/>
  <c r="D62" i="43" s="1"/>
  <c r="D63" i="43" s="1"/>
  <c r="D64" i="43" s="1"/>
  <c r="D65" i="43" s="1"/>
  <c r="D66" i="43" s="1"/>
  <c r="D67" i="43" s="1"/>
  <c r="D68" i="43" s="1"/>
  <c r="D69" i="43" s="1"/>
  <c r="D70" i="43" s="1"/>
  <c r="D71" i="43" s="1"/>
  <c r="D72" i="43" s="1"/>
  <c r="D73" i="43" s="1"/>
  <c r="D74" i="43" s="1"/>
  <c r="D75" i="43" s="1"/>
  <c r="D76" i="43" s="1"/>
  <c r="D77" i="43" s="1"/>
  <c r="D78" i="43" s="1"/>
  <c r="D79" i="43" s="1"/>
  <c r="D80" i="43" s="1"/>
  <c r="D81" i="43" s="1"/>
  <c r="D82" i="43" s="1"/>
  <c r="D83" i="43" s="1"/>
  <c r="D84" i="43" s="1"/>
  <c r="D85" i="43" s="1"/>
  <c r="D86" i="43" s="1"/>
  <c r="D87" i="43" s="1"/>
  <c r="D88" i="43" s="1"/>
  <c r="D89" i="43" s="1"/>
  <c r="D90" i="43" s="1"/>
  <c r="D91" i="43" s="1"/>
  <c r="D92" i="43" s="1"/>
  <c r="D93" i="43" s="1"/>
  <c r="D94" i="43" s="1"/>
  <c r="D95" i="43" s="1"/>
  <c r="D96" i="43" s="1"/>
  <c r="D97" i="43" s="1"/>
  <c r="D98" i="43" s="1"/>
  <c r="D99" i="43" s="1"/>
  <c r="D100" i="43" s="1"/>
  <c r="D101" i="43" s="1"/>
  <c r="D102" i="43" s="1"/>
  <c r="D103" i="43" s="1"/>
  <c r="D104" i="43" s="1"/>
  <c r="D105" i="43" s="1"/>
  <c r="D106" i="43" s="1"/>
  <c r="D107" i="43" s="1"/>
  <c r="D108" i="43" s="1"/>
  <c r="D109" i="43" s="1"/>
  <c r="D110" i="43" s="1"/>
  <c r="D111" i="43" s="1"/>
  <c r="D112" i="43" s="1"/>
  <c r="D113" i="43" s="1"/>
  <c r="D114" i="43" s="1"/>
  <c r="D115" i="43" s="1"/>
  <c r="D116" i="43" s="1"/>
  <c r="D117" i="43" s="1"/>
  <c r="D118" i="43" s="1"/>
  <c r="D119" i="43" s="1"/>
  <c r="D120" i="43" s="1"/>
  <c r="D121" i="43" s="1"/>
  <c r="D122" i="43" s="1"/>
  <c r="D123" i="43" s="1"/>
  <c r="D124" i="43" s="1"/>
  <c r="D125" i="43" s="1"/>
  <c r="D126" i="43" s="1"/>
  <c r="D127" i="43" s="1"/>
  <c r="D128" i="43" s="1"/>
  <c r="D129" i="43" s="1"/>
  <c r="D130" i="43" s="1"/>
  <c r="D131" i="43" s="1"/>
  <c r="D132" i="43" s="1"/>
  <c r="D133" i="43" s="1"/>
  <c r="D134" i="43" s="1"/>
  <c r="D135" i="43" s="1"/>
  <c r="D136" i="43" s="1"/>
  <c r="D137" i="43" s="1"/>
  <c r="D138" i="43" s="1"/>
  <c r="D139" i="43" s="1"/>
  <c r="D140" i="43" s="1"/>
  <c r="D141" i="43" s="1"/>
  <c r="D142" i="43" s="1"/>
  <c r="D143" i="43" s="1"/>
  <c r="D144" i="43" s="1"/>
  <c r="D145" i="43" s="1"/>
  <c r="D146" i="43" s="1"/>
  <c r="D147" i="43" s="1"/>
  <c r="D148" i="43" s="1"/>
  <c r="D149" i="43" s="1"/>
  <c r="D150" i="43" s="1"/>
  <c r="D151" i="43" s="1"/>
  <c r="D152" i="43" s="1"/>
  <c r="D153" i="43" s="1"/>
  <c r="D154" i="43" s="1"/>
  <c r="D155" i="43" s="1"/>
  <c r="D156" i="43" s="1"/>
  <c r="D157" i="43" s="1"/>
  <c r="D158" i="43" s="1"/>
  <c r="D159" i="43" s="1"/>
  <c r="D160" i="43" s="1"/>
  <c r="D161" i="43" s="1"/>
  <c r="D162" i="43" s="1"/>
  <c r="D163" i="43" s="1"/>
  <c r="D164" i="43" s="1"/>
  <c r="D165" i="43" s="1"/>
  <c r="D166" i="43" s="1"/>
  <c r="D167" i="43" s="1"/>
  <c r="D168" i="43" s="1"/>
  <c r="D169" i="43" s="1"/>
  <c r="D170" i="43" s="1"/>
  <c r="D171" i="43" s="1"/>
  <c r="D172" i="43" s="1"/>
  <c r="D173" i="43" s="1"/>
  <c r="D174" i="43" s="1"/>
  <c r="D175" i="43" s="1"/>
  <c r="D176" i="43" s="1"/>
  <c r="D177" i="43" s="1"/>
  <c r="D178" i="43" s="1"/>
  <c r="D179" i="43" s="1"/>
  <c r="D180" i="43" s="1"/>
  <c r="D181" i="43" s="1"/>
  <c r="D182" i="43" s="1"/>
  <c r="D183" i="43" s="1"/>
  <c r="D184" i="43" s="1"/>
  <c r="D185" i="43" s="1"/>
  <c r="D186" i="43" s="1"/>
  <c r="D187" i="43" s="1"/>
  <c r="D188" i="43" s="1"/>
  <c r="D189" i="43" s="1"/>
  <c r="D190" i="43" s="1"/>
  <c r="D191" i="43" s="1"/>
  <c r="D192" i="43" s="1"/>
  <c r="D193" i="43" s="1"/>
  <c r="D194" i="43" s="1"/>
  <c r="D195" i="43" s="1"/>
  <c r="D196" i="43" s="1"/>
  <c r="D197" i="43" s="1"/>
  <c r="D198" i="43" s="1"/>
  <c r="D199" i="43" s="1"/>
  <c r="D200" i="43" s="1"/>
  <c r="D201" i="43" s="1"/>
  <c r="D202" i="43" s="1"/>
  <c r="D203" i="43" s="1"/>
  <c r="D204" i="43" s="1"/>
  <c r="D205" i="43" s="1"/>
  <c r="D206" i="43" s="1"/>
  <c r="D207" i="43" s="1"/>
  <c r="D208" i="43" s="1"/>
  <c r="D209" i="43" s="1"/>
  <c r="D210" i="43" s="1"/>
  <c r="D211" i="43" s="1"/>
  <c r="D212" i="43" s="1"/>
  <c r="D213" i="43" s="1"/>
  <c r="D214" i="43" s="1"/>
  <c r="D215" i="43" s="1"/>
  <c r="D216" i="43" s="1"/>
  <c r="D217" i="43" s="1"/>
  <c r="D218" i="43" s="1"/>
  <c r="D219" i="43" s="1"/>
  <c r="D220" i="43" s="1"/>
  <c r="D221" i="43" s="1"/>
  <c r="D222" i="43" s="1"/>
  <c r="D223" i="43" s="1"/>
  <c r="D224" i="43" s="1"/>
  <c r="D225" i="43" s="1"/>
  <c r="D226" i="43" s="1"/>
  <c r="D227" i="43" s="1"/>
  <c r="D228" i="43" s="1"/>
  <c r="D229" i="43" s="1"/>
  <c r="D230" i="43" s="1"/>
  <c r="D231" i="43" s="1"/>
  <c r="D232" i="43" s="1"/>
  <c r="D233" i="43" s="1"/>
  <c r="D234" i="43" s="1"/>
  <c r="D235" i="43" s="1"/>
  <c r="D236" i="43" s="1"/>
  <c r="D237" i="43" s="1"/>
  <c r="D238" i="43" s="1"/>
  <c r="D239" i="43" s="1"/>
  <c r="D240" i="43" s="1"/>
  <c r="D241" i="43" s="1"/>
  <c r="D242" i="43" s="1"/>
  <c r="D243" i="43" s="1"/>
  <c r="D244" i="43" s="1"/>
  <c r="D245" i="43" s="1"/>
  <c r="D246" i="43" s="1"/>
  <c r="D247" i="43" s="1"/>
  <c r="D248" i="43" s="1"/>
  <c r="D249" i="43" s="1"/>
  <c r="D250" i="43" s="1"/>
  <c r="D251" i="43" s="1"/>
  <c r="D252" i="43" s="1"/>
  <c r="D253" i="43" s="1"/>
  <c r="D254" i="43" s="1"/>
  <c r="D255" i="43" s="1"/>
  <c r="D256" i="43" s="1"/>
  <c r="D257" i="43" s="1"/>
  <c r="D258" i="43" s="1"/>
  <c r="D259" i="43" s="1"/>
  <c r="D260" i="43" s="1"/>
  <c r="D261" i="43" s="1"/>
  <c r="D262" i="43" s="1"/>
  <c r="D263" i="43" s="1"/>
  <c r="D264" i="43" s="1"/>
  <c r="D265" i="43" s="1"/>
  <c r="D266" i="43" s="1"/>
  <c r="D267" i="43" s="1"/>
  <c r="D268" i="43" s="1"/>
  <c r="D269" i="43" s="1"/>
  <c r="D270" i="43" s="1"/>
  <c r="D271" i="43" s="1"/>
  <c r="D272" i="43" s="1"/>
  <c r="D273" i="43" s="1"/>
  <c r="D274" i="43" s="1"/>
  <c r="D275" i="43" s="1"/>
  <c r="D276" i="43" s="1"/>
  <c r="D277" i="43" s="1"/>
  <c r="D278" i="43" s="1"/>
  <c r="D279" i="43" s="1"/>
  <c r="D280" i="43" s="1"/>
  <c r="D281" i="43" s="1"/>
  <c r="D282" i="43" s="1"/>
  <c r="D283" i="43" s="1"/>
  <c r="D284" i="43" s="1"/>
  <c r="D285" i="43" s="1"/>
  <c r="D286" i="43" s="1"/>
  <c r="D287" i="43" s="1"/>
  <c r="D288" i="43" s="1"/>
  <c r="D289" i="43" s="1"/>
  <c r="D290" i="43" s="1"/>
  <c r="D291" i="43" s="1"/>
  <c r="D292" i="43" s="1"/>
  <c r="D293" i="43" s="1"/>
  <c r="D294" i="43" s="1"/>
  <c r="D295" i="43" s="1"/>
  <c r="D296" i="43" s="1"/>
  <c r="D297" i="43" s="1"/>
  <c r="D298" i="43" s="1"/>
  <c r="D299" i="43" s="1"/>
  <c r="D300" i="43" s="1"/>
  <c r="D301" i="43" s="1"/>
  <c r="D302" i="43" s="1"/>
  <c r="D303" i="43" s="1"/>
  <c r="D304" i="43" s="1"/>
  <c r="D305" i="43" s="1"/>
  <c r="D306" i="43" s="1"/>
  <c r="D307" i="43" s="1"/>
  <c r="D308" i="43" s="1"/>
  <c r="D309" i="43" s="1"/>
  <c r="D310" i="43" s="1"/>
  <c r="D311" i="43" s="1"/>
  <c r="D312" i="43" s="1"/>
  <c r="D313" i="43" s="1"/>
  <c r="D314" i="43" s="1"/>
  <c r="D315" i="43" s="1"/>
  <c r="D316" i="43" s="1"/>
  <c r="D317" i="43" s="1"/>
  <c r="D318" i="43" s="1"/>
  <c r="D319" i="43" s="1"/>
  <c r="D320" i="43" s="1"/>
  <c r="D321" i="43" s="1"/>
  <c r="D322" i="43" s="1"/>
  <c r="D323" i="43" s="1"/>
  <c r="D324" i="43" s="1"/>
  <c r="D325" i="43" s="1"/>
  <c r="D326" i="43" s="1"/>
  <c r="D327" i="43" s="1"/>
  <c r="D328" i="43" s="1"/>
  <c r="D329" i="43" s="1"/>
  <c r="D330" i="43" s="1"/>
  <c r="D331" i="43" s="1"/>
  <c r="D332" i="43" s="1"/>
  <c r="D333" i="43" s="1"/>
  <c r="D334" i="43" s="1"/>
  <c r="D335" i="43" s="1"/>
  <c r="D336" i="43" s="1"/>
  <c r="D337" i="43" s="1"/>
  <c r="D338" i="43" s="1"/>
  <c r="D339" i="43" s="1"/>
  <c r="D340" i="43" s="1"/>
  <c r="D341" i="43" s="1"/>
  <c r="D342" i="43" s="1"/>
  <c r="D343" i="43" s="1"/>
  <c r="D344" i="43" s="1"/>
  <c r="D345" i="43" s="1"/>
  <c r="D346" i="43" s="1"/>
  <c r="D347" i="43" s="1"/>
  <c r="D348" i="43" s="1"/>
  <c r="D349" i="43" s="1"/>
  <c r="D350" i="43" s="1"/>
  <c r="D351" i="43" s="1"/>
  <c r="D352" i="43" s="1"/>
  <c r="D353" i="43" s="1"/>
  <c r="D354" i="43" s="1"/>
  <c r="D355" i="43" s="1"/>
  <c r="D356" i="43" s="1"/>
  <c r="D357" i="43" s="1"/>
  <c r="D358" i="43" s="1"/>
  <c r="D359" i="43" s="1"/>
  <c r="D360" i="43" s="1"/>
  <c r="D361" i="43" s="1"/>
  <c r="D362" i="43" s="1"/>
  <c r="D363" i="43" s="1"/>
  <c r="D364" i="43" s="1"/>
  <c r="D365" i="43" s="1"/>
  <c r="D366" i="43" s="1"/>
  <c r="D367" i="43" s="1"/>
  <c r="B7" i="43"/>
  <c r="F3" i="43"/>
  <c r="F3" i="42"/>
  <c r="H30" i="42"/>
  <c r="H29" i="42"/>
  <c r="H28" i="42"/>
  <c r="H27" i="42"/>
  <c r="H26" i="42"/>
  <c r="H25" i="42"/>
  <c r="H24" i="42"/>
  <c r="H23" i="42"/>
  <c r="H22" i="42"/>
  <c r="H21" i="42"/>
  <c r="H20" i="42"/>
  <c r="H19" i="42"/>
  <c r="F19" i="42"/>
  <c r="F31" i="42" s="1"/>
  <c r="F43" i="42" s="1"/>
  <c r="F55" i="42" s="1"/>
  <c r="F67" i="42" s="1"/>
  <c r="F79" i="42" s="1"/>
  <c r="F91" i="42" s="1"/>
  <c r="F103" i="42" s="1"/>
  <c r="F115" i="42" s="1"/>
  <c r="F127" i="42" s="1"/>
  <c r="F139" i="42" s="1"/>
  <c r="F151" i="42" s="1"/>
  <c r="F163" i="42" s="1"/>
  <c r="F175" i="42" s="1"/>
  <c r="F187" i="42" s="1"/>
  <c r="F199" i="42" s="1"/>
  <c r="F211" i="42" s="1"/>
  <c r="F223" i="42" s="1"/>
  <c r="F235" i="42" s="1"/>
  <c r="F247" i="42" s="1"/>
  <c r="F259" i="42" s="1"/>
  <c r="F271" i="42" s="1"/>
  <c r="F283" i="42" s="1"/>
  <c r="F295" i="42" s="1"/>
  <c r="F307" i="42" s="1"/>
  <c r="F319" i="42" s="1"/>
  <c r="F331" i="42" s="1"/>
  <c r="F343" i="42" s="1"/>
  <c r="F355" i="42" s="1"/>
  <c r="F367" i="42" s="1"/>
  <c r="B18" i="42"/>
  <c r="B17" i="42"/>
  <c r="B16" i="42"/>
  <c r="B15" i="42"/>
  <c r="B14" i="42"/>
  <c r="B13" i="42"/>
  <c r="B12" i="42"/>
  <c r="B11" i="42"/>
  <c r="B10" i="42"/>
  <c r="B9" i="42"/>
  <c r="AW8" i="42"/>
  <c r="F8" i="42"/>
  <c r="B8" i="42"/>
  <c r="AB7" i="42"/>
  <c r="AA7" i="42"/>
  <c r="D7" i="42"/>
  <c r="D8" i="42" s="1"/>
  <c r="D9" i="42" s="1"/>
  <c r="D10" i="42" s="1"/>
  <c r="D11" i="42" s="1"/>
  <c r="D12" i="42" s="1"/>
  <c r="D13" i="42" s="1"/>
  <c r="D14" i="42" s="1"/>
  <c r="D15" i="42" s="1"/>
  <c r="D16" i="42" s="1"/>
  <c r="D17" i="42" s="1"/>
  <c r="D18" i="42" s="1"/>
  <c r="D19" i="42" s="1"/>
  <c r="D20" i="42" s="1"/>
  <c r="D21" i="42" s="1"/>
  <c r="D22" i="42" s="1"/>
  <c r="D23" i="42" s="1"/>
  <c r="D24" i="42" s="1"/>
  <c r="D25" i="42" s="1"/>
  <c r="D26" i="42" s="1"/>
  <c r="D27" i="42" s="1"/>
  <c r="D28" i="42" s="1"/>
  <c r="D29" i="42" s="1"/>
  <c r="D30" i="42" s="1"/>
  <c r="D31" i="42" s="1"/>
  <c r="D32" i="42" s="1"/>
  <c r="D33" i="42" s="1"/>
  <c r="D34" i="42" s="1"/>
  <c r="D35" i="42" s="1"/>
  <c r="D36" i="42" s="1"/>
  <c r="D37" i="42" s="1"/>
  <c r="D38" i="42" s="1"/>
  <c r="D39" i="42" s="1"/>
  <c r="D40" i="42" s="1"/>
  <c r="D41" i="42" s="1"/>
  <c r="D42" i="42" s="1"/>
  <c r="D43" i="42" s="1"/>
  <c r="D44" i="42" s="1"/>
  <c r="D45" i="42" s="1"/>
  <c r="D46" i="42" s="1"/>
  <c r="D47" i="42" s="1"/>
  <c r="D48" i="42" s="1"/>
  <c r="D49" i="42" s="1"/>
  <c r="D50" i="42" s="1"/>
  <c r="D51" i="42" s="1"/>
  <c r="D52" i="42" s="1"/>
  <c r="D53" i="42" s="1"/>
  <c r="D54" i="42" s="1"/>
  <c r="D55" i="42" s="1"/>
  <c r="D56" i="42" s="1"/>
  <c r="D57" i="42" s="1"/>
  <c r="D58" i="42" s="1"/>
  <c r="D59" i="42" s="1"/>
  <c r="D60" i="42" s="1"/>
  <c r="D61" i="42" s="1"/>
  <c r="D62" i="42" s="1"/>
  <c r="D63" i="42" s="1"/>
  <c r="D64" i="42" s="1"/>
  <c r="D65" i="42" s="1"/>
  <c r="D66" i="42" s="1"/>
  <c r="D67" i="42" s="1"/>
  <c r="D68" i="42" s="1"/>
  <c r="D69" i="42" s="1"/>
  <c r="D70" i="42" s="1"/>
  <c r="D71" i="42" s="1"/>
  <c r="D72" i="42" s="1"/>
  <c r="D73" i="42" s="1"/>
  <c r="D74" i="42" s="1"/>
  <c r="D75" i="42" s="1"/>
  <c r="D76" i="42" s="1"/>
  <c r="D77" i="42" s="1"/>
  <c r="D78" i="42" s="1"/>
  <c r="D79" i="42" s="1"/>
  <c r="D80" i="42" s="1"/>
  <c r="D81" i="42" s="1"/>
  <c r="D82" i="42" s="1"/>
  <c r="D83" i="42" s="1"/>
  <c r="D84" i="42" s="1"/>
  <c r="D85" i="42" s="1"/>
  <c r="D86" i="42" s="1"/>
  <c r="D87" i="42" s="1"/>
  <c r="D88" i="42" s="1"/>
  <c r="D89" i="42" s="1"/>
  <c r="D90" i="42" s="1"/>
  <c r="D91" i="42" s="1"/>
  <c r="D92" i="42" s="1"/>
  <c r="D93" i="42" s="1"/>
  <c r="D94" i="42" s="1"/>
  <c r="D95" i="42" s="1"/>
  <c r="D96" i="42" s="1"/>
  <c r="D97" i="42" s="1"/>
  <c r="D98" i="42" s="1"/>
  <c r="D99" i="42" s="1"/>
  <c r="D100" i="42" s="1"/>
  <c r="D101" i="42" s="1"/>
  <c r="D102" i="42" s="1"/>
  <c r="D103" i="42" s="1"/>
  <c r="D104" i="42" s="1"/>
  <c r="D105" i="42" s="1"/>
  <c r="D106" i="42" s="1"/>
  <c r="D107" i="42" s="1"/>
  <c r="D108" i="42" s="1"/>
  <c r="D109" i="42" s="1"/>
  <c r="D110" i="42" s="1"/>
  <c r="D111" i="42" s="1"/>
  <c r="D112" i="42" s="1"/>
  <c r="D113" i="42" s="1"/>
  <c r="D114" i="42" s="1"/>
  <c r="D115" i="42" s="1"/>
  <c r="D116" i="42" s="1"/>
  <c r="D117" i="42" s="1"/>
  <c r="D118" i="42" s="1"/>
  <c r="D119" i="42" s="1"/>
  <c r="D120" i="42" s="1"/>
  <c r="D121" i="42" s="1"/>
  <c r="D122" i="42" s="1"/>
  <c r="D123" i="42" s="1"/>
  <c r="D124" i="42" s="1"/>
  <c r="D125" i="42" s="1"/>
  <c r="D126" i="42" s="1"/>
  <c r="D127" i="42" s="1"/>
  <c r="D128" i="42" s="1"/>
  <c r="D129" i="42" s="1"/>
  <c r="D130" i="42" s="1"/>
  <c r="D131" i="42" s="1"/>
  <c r="D132" i="42" s="1"/>
  <c r="D133" i="42" s="1"/>
  <c r="D134" i="42" s="1"/>
  <c r="D135" i="42" s="1"/>
  <c r="D136" i="42" s="1"/>
  <c r="D137" i="42" s="1"/>
  <c r="D138" i="42" s="1"/>
  <c r="D139" i="42" s="1"/>
  <c r="D140" i="42" s="1"/>
  <c r="D141" i="42" s="1"/>
  <c r="D142" i="42" s="1"/>
  <c r="D143" i="42" s="1"/>
  <c r="D144" i="42" s="1"/>
  <c r="D145" i="42" s="1"/>
  <c r="D146" i="42" s="1"/>
  <c r="D147" i="42" s="1"/>
  <c r="D148" i="42" s="1"/>
  <c r="D149" i="42" s="1"/>
  <c r="D150" i="42" s="1"/>
  <c r="D151" i="42" s="1"/>
  <c r="D152" i="42" s="1"/>
  <c r="D153" i="42" s="1"/>
  <c r="D154" i="42" s="1"/>
  <c r="D155" i="42" s="1"/>
  <c r="D156" i="42" s="1"/>
  <c r="D157" i="42" s="1"/>
  <c r="D158" i="42" s="1"/>
  <c r="D159" i="42" s="1"/>
  <c r="D160" i="42" s="1"/>
  <c r="D161" i="42" s="1"/>
  <c r="D162" i="42" s="1"/>
  <c r="D163" i="42" s="1"/>
  <c r="D164" i="42" s="1"/>
  <c r="D165" i="42" s="1"/>
  <c r="D166" i="42" s="1"/>
  <c r="D167" i="42" s="1"/>
  <c r="D168" i="42" s="1"/>
  <c r="D169" i="42" s="1"/>
  <c r="D170" i="42" s="1"/>
  <c r="D171" i="42" s="1"/>
  <c r="D172" i="42" s="1"/>
  <c r="D173" i="42" s="1"/>
  <c r="D174" i="42" s="1"/>
  <c r="D175" i="42" s="1"/>
  <c r="D176" i="42" s="1"/>
  <c r="D177" i="42" s="1"/>
  <c r="D178" i="42" s="1"/>
  <c r="D179" i="42" s="1"/>
  <c r="D180" i="42" s="1"/>
  <c r="D181" i="42" s="1"/>
  <c r="D182" i="42" s="1"/>
  <c r="D183" i="42" s="1"/>
  <c r="D184" i="42" s="1"/>
  <c r="D185" i="42" s="1"/>
  <c r="D186" i="42" s="1"/>
  <c r="D187" i="42" s="1"/>
  <c r="D188" i="42" s="1"/>
  <c r="D189" i="42" s="1"/>
  <c r="D190" i="42" s="1"/>
  <c r="D191" i="42" s="1"/>
  <c r="D192" i="42" s="1"/>
  <c r="D193" i="42" s="1"/>
  <c r="D194" i="42" s="1"/>
  <c r="D195" i="42" s="1"/>
  <c r="D196" i="42" s="1"/>
  <c r="D197" i="42" s="1"/>
  <c r="D198" i="42" s="1"/>
  <c r="D199" i="42" s="1"/>
  <c r="D200" i="42" s="1"/>
  <c r="D201" i="42" s="1"/>
  <c r="D202" i="42" s="1"/>
  <c r="D203" i="42" s="1"/>
  <c r="D204" i="42" s="1"/>
  <c r="D205" i="42" s="1"/>
  <c r="D206" i="42" s="1"/>
  <c r="D207" i="42" s="1"/>
  <c r="D208" i="42" s="1"/>
  <c r="D209" i="42" s="1"/>
  <c r="D210" i="42" s="1"/>
  <c r="D211" i="42" s="1"/>
  <c r="D212" i="42" s="1"/>
  <c r="D213" i="42" s="1"/>
  <c r="D214" i="42" s="1"/>
  <c r="D215" i="42" s="1"/>
  <c r="D216" i="42" s="1"/>
  <c r="D217" i="42" s="1"/>
  <c r="D218" i="42" s="1"/>
  <c r="D219" i="42" s="1"/>
  <c r="D220" i="42" s="1"/>
  <c r="D221" i="42" s="1"/>
  <c r="D222" i="42" s="1"/>
  <c r="D223" i="42" s="1"/>
  <c r="D224" i="42" s="1"/>
  <c r="D225" i="42" s="1"/>
  <c r="D226" i="42" s="1"/>
  <c r="D227" i="42" s="1"/>
  <c r="D228" i="42" s="1"/>
  <c r="D229" i="42" s="1"/>
  <c r="D230" i="42" s="1"/>
  <c r="D231" i="42" s="1"/>
  <c r="D232" i="42" s="1"/>
  <c r="D233" i="42" s="1"/>
  <c r="D234" i="42" s="1"/>
  <c r="D235" i="42" s="1"/>
  <c r="D236" i="42" s="1"/>
  <c r="D237" i="42" s="1"/>
  <c r="D238" i="42" s="1"/>
  <c r="D239" i="42" s="1"/>
  <c r="D240" i="42" s="1"/>
  <c r="D241" i="42" s="1"/>
  <c r="D242" i="42" s="1"/>
  <c r="D243" i="42" s="1"/>
  <c r="D244" i="42" s="1"/>
  <c r="D245" i="42" s="1"/>
  <c r="D246" i="42" s="1"/>
  <c r="D247" i="42" s="1"/>
  <c r="D248" i="42" s="1"/>
  <c r="D249" i="42" s="1"/>
  <c r="D250" i="42" s="1"/>
  <c r="D251" i="42" s="1"/>
  <c r="D252" i="42" s="1"/>
  <c r="D253" i="42" s="1"/>
  <c r="D254" i="42" s="1"/>
  <c r="D255" i="42" s="1"/>
  <c r="D256" i="42" s="1"/>
  <c r="D257" i="42" s="1"/>
  <c r="D258" i="42" s="1"/>
  <c r="D259" i="42" s="1"/>
  <c r="D260" i="42" s="1"/>
  <c r="D261" i="42" s="1"/>
  <c r="D262" i="42" s="1"/>
  <c r="D263" i="42" s="1"/>
  <c r="D264" i="42" s="1"/>
  <c r="D265" i="42" s="1"/>
  <c r="D266" i="42" s="1"/>
  <c r="D267" i="42" s="1"/>
  <c r="D268" i="42" s="1"/>
  <c r="D269" i="42" s="1"/>
  <c r="D270" i="42" s="1"/>
  <c r="D271" i="42" s="1"/>
  <c r="D272" i="42" s="1"/>
  <c r="D273" i="42" s="1"/>
  <c r="D274" i="42" s="1"/>
  <c r="D275" i="42" s="1"/>
  <c r="D276" i="42" s="1"/>
  <c r="D277" i="42" s="1"/>
  <c r="D278" i="42" s="1"/>
  <c r="D279" i="42" s="1"/>
  <c r="D280" i="42" s="1"/>
  <c r="D281" i="42" s="1"/>
  <c r="D282" i="42" s="1"/>
  <c r="D283" i="42" s="1"/>
  <c r="D284" i="42" s="1"/>
  <c r="D285" i="42" s="1"/>
  <c r="D286" i="42" s="1"/>
  <c r="D287" i="42" s="1"/>
  <c r="D288" i="42" s="1"/>
  <c r="D289" i="42" s="1"/>
  <c r="D290" i="42" s="1"/>
  <c r="D291" i="42" s="1"/>
  <c r="D292" i="42" s="1"/>
  <c r="D293" i="42" s="1"/>
  <c r="D294" i="42" s="1"/>
  <c r="D295" i="42" s="1"/>
  <c r="D296" i="42" s="1"/>
  <c r="D297" i="42" s="1"/>
  <c r="D298" i="42" s="1"/>
  <c r="D299" i="42" s="1"/>
  <c r="D300" i="42" s="1"/>
  <c r="D301" i="42" s="1"/>
  <c r="D302" i="42" s="1"/>
  <c r="D303" i="42" s="1"/>
  <c r="D304" i="42" s="1"/>
  <c r="D305" i="42" s="1"/>
  <c r="D306" i="42" s="1"/>
  <c r="D307" i="42" s="1"/>
  <c r="D308" i="42" s="1"/>
  <c r="D309" i="42" s="1"/>
  <c r="D310" i="42" s="1"/>
  <c r="D311" i="42" s="1"/>
  <c r="D312" i="42" s="1"/>
  <c r="D313" i="42" s="1"/>
  <c r="D314" i="42" s="1"/>
  <c r="D315" i="42" s="1"/>
  <c r="D316" i="42" s="1"/>
  <c r="D317" i="42" s="1"/>
  <c r="D318" i="42" s="1"/>
  <c r="D319" i="42" s="1"/>
  <c r="D320" i="42" s="1"/>
  <c r="D321" i="42" s="1"/>
  <c r="D322" i="42" s="1"/>
  <c r="D323" i="42" s="1"/>
  <c r="D324" i="42" s="1"/>
  <c r="D325" i="42" s="1"/>
  <c r="D326" i="42" s="1"/>
  <c r="D327" i="42" s="1"/>
  <c r="D328" i="42" s="1"/>
  <c r="D329" i="42" s="1"/>
  <c r="D330" i="42" s="1"/>
  <c r="D331" i="42" s="1"/>
  <c r="D332" i="42" s="1"/>
  <c r="D333" i="42" s="1"/>
  <c r="D334" i="42" s="1"/>
  <c r="D335" i="42" s="1"/>
  <c r="D336" i="42" s="1"/>
  <c r="D337" i="42" s="1"/>
  <c r="D338" i="42" s="1"/>
  <c r="D339" i="42" s="1"/>
  <c r="D340" i="42" s="1"/>
  <c r="D341" i="42" s="1"/>
  <c r="D342" i="42" s="1"/>
  <c r="D343" i="42" s="1"/>
  <c r="D344" i="42" s="1"/>
  <c r="D345" i="42" s="1"/>
  <c r="D346" i="42" s="1"/>
  <c r="D347" i="42" s="1"/>
  <c r="D348" i="42" s="1"/>
  <c r="D349" i="42" s="1"/>
  <c r="D350" i="42" s="1"/>
  <c r="D351" i="42" s="1"/>
  <c r="D352" i="42" s="1"/>
  <c r="D353" i="42" s="1"/>
  <c r="D354" i="42" s="1"/>
  <c r="D355" i="42" s="1"/>
  <c r="D356" i="42" s="1"/>
  <c r="D357" i="42" s="1"/>
  <c r="D358" i="42" s="1"/>
  <c r="D359" i="42" s="1"/>
  <c r="D360" i="42" s="1"/>
  <c r="D361" i="42" s="1"/>
  <c r="D362" i="42" s="1"/>
  <c r="D363" i="42" s="1"/>
  <c r="D364" i="42" s="1"/>
  <c r="D365" i="42" s="1"/>
  <c r="D366" i="42" s="1"/>
  <c r="D367" i="42" s="1"/>
  <c r="B7" i="42"/>
  <c r="F9" i="42" l="1"/>
  <c r="AC9" i="42" s="1"/>
  <c r="AC8" i="42"/>
  <c r="F20" i="43"/>
  <c r="F32" i="43" s="1"/>
  <c r="F44" i="43" s="1"/>
  <c r="F56" i="43" s="1"/>
  <c r="F68" i="43" s="1"/>
  <c r="F80" i="43" s="1"/>
  <c r="F92" i="43" s="1"/>
  <c r="F104" i="43" s="1"/>
  <c r="F116" i="43" s="1"/>
  <c r="F128" i="43" s="1"/>
  <c r="F140" i="43" s="1"/>
  <c r="F152" i="43" s="1"/>
  <c r="F164" i="43" s="1"/>
  <c r="F176" i="43" s="1"/>
  <c r="F188" i="43" s="1"/>
  <c r="F200" i="43" s="1"/>
  <c r="F212" i="43" s="1"/>
  <c r="F224" i="43" s="1"/>
  <c r="F236" i="43" s="1"/>
  <c r="F248" i="43" s="1"/>
  <c r="F260" i="43" s="1"/>
  <c r="F272" i="43" s="1"/>
  <c r="F284" i="43" s="1"/>
  <c r="F296" i="43" s="1"/>
  <c r="F308" i="43" s="1"/>
  <c r="F320" i="43" s="1"/>
  <c r="F332" i="43" s="1"/>
  <c r="F344" i="43" s="1"/>
  <c r="F356" i="43" s="1"/>
  <c r="AC8" i="43"/>
  <c r="AC20" i="43"/>
  <c r="B25" i="43"/>
  <c r="AC19" i="42"/>
  <c r="B21" i="43"/>
  <c r="H42" i="43"/>
  <c r="AC20" i="42"/>
  <c r="H40" i="42"/>
  <c r="AC19" i="43"/>
  <c r="H38" i="43"/>
  <c r="B20" i="43"/>
  <c r="B27" i="43"/>
  <c r="B29" i="43"/>
  <c r="AA19" i="43"/>
  <c r="J370" i="43"/>
  <c r="H50" i="43"/>
  <c r="B38" i="43"/>
  <c r="B42" i="43"/>
  <c r="AA20" i="43"/>
  <c r="AB8" i="43"/>
  <c r="AW9" i="43"/>
  <c r="H39" i="43"/>
  <c r="AA8" i="43"/>
  <c r="F9" i="43"/>
  <c r="AC9" i="43" s="1"/>
  <c r="H40" i="43"/>
  <c r="AB19" i="43"/>
  <c r="AB20" i="43"/>
  <c r="H31" i="43"/>
  <c r="AC31" i="43" s="1"/>
  <c r="H32" i="43"/>
  <c r="AC32" i="43" s="1"/>
  <c r="H33" i="43"/>
  <c r="H34" i="43"/>
  <c r="H35" i="43"/>
  <c r="H36" i="43"/>
  <c r="H37" i="43"/>
  <c r="H41" i="43"/>
  <c r="H52" i="42"/>
  <c r="AB9" i="42"/>
  <c r="F10" i="42"/>
  <c r="AC10" i="42" s="1"/>
  <c r="F21" i="42"/>
  <c r="F33" i="42" s="1"/>
  <c r="F45" i="42" s="1"/>
  <c r="F57" i="42" s="1"/>
  <c r="F69" i="42" s="1"/>
  <c r="F81" i="42" s="1"/>
  <c r="F93" i="42" s="1"/>
  <c r="F105" i="42" s="1"/>
  <c r="F117" i="42" s="1"/>
  <c r="F129" i="42" s="1"/>
  <c r="F141" i="42" s="1"/>
  <c r="F153" i="42" s="1"/>
  <c r="F165" i="42" s="1"/>
  <c r="F177" i="42" s="1"/>
  <c r="F189" i="42" s="1"/>
  <c r="F201" i="42" s="1"/>
  <c r="F213" i="42" s="1"/>
  <c r="F225" i="42" s="1"/>
  <c r="F237" i="42" s="1"/>
  <c r="F249" i="42" s="1"/>
  <c r="F261" i="42" s="1"/>
  <c r="F273" i="42" s="1"/>
  <c r="F285" i="42" s="1"/>
  <c r="F297" i="42" s="1"/>
  <c r="F309" i="42" s="1"/>
  <c r="F321" i="42" s="1"/>
  <c r="F333" i="42" s="1"/>
  <c r="F345" i="42" s="1"/>
  <c r="F357" i="42" s="1"/>
  <c r="AA9" i="42"/>
  <c r="H31" i="42"/>
  <c r="AC31" i="42" s="1"/>
  <c r="H33" i="42"/>
  <c r="H36" i="42"/>
  <c r="H37" i="42"/>
  <c r="H41" i="42"/>
  <c r="B19" i="42"/>
  <c r="AA19" i="42"/>
  <c r="B20" i="42"/>
  <c r="F20" i="42"/>
  <c r="F32" i="42" s="1"/>
  <c r="F44" i="42" s="1"/>
  <c r="F56" i="42" s="1"/>
  <c r="F68" i="42" s="1"/>
  <c r="F80" i="42" s="1"/>
  <c r="F92" i="42" s="1"/>
  <c r="F104" i="42" s="1"/>
  <c r="F116" i="42" s="1"/>
  <c r="F128" i="42" s="1"/>
  <c r="F140" i="42" s="1"/>
  <c r="F152" i="42" s="1"/>
  <c r="F164" i="42" s="1"/>
  <c r="F176" i="42" s="1"/>
  <c r="F188" i="42" s="1"/>
  <c r="F200" i="42" s="1"/>
  <c r="F212" i="42" s="1"/>
  <c r="F224" i="42" s="1"/>
  <c r="F236" i="42" s="1"/>
  <c r="F248" i="42" s="1"/>
  <c r="F260" i="42" s="1"/>
  <c r="F272" i="42" s="1"/>
  <c r="F284" i="42" s="1"/>
  <c r="F296" i="42" s="1"/>
  <c r="F308" i="42" s="1"/>
  <c r="F320" i="42" s="1"/>
  <c r="F332" i="42" s="1"/>
  <c r="F344" i="42" s="1"/>
  <c r="F356" i="42" s="1"/>
  <c r="AA20" i="42"/>
  <c r="B21" i="42"/>
  <c r="B22" i="42"/>
  <c r="B23" i="42"/>
  <c r="B24" i="42"/>
  <c r="B25" i="42"/>
  <c r="B26" i="42"/>
  <c r="B27" i="42"/>
  <c r="B28" i="42"/>
  <c r="B29" i="42"/>
  <c r="B30" i="42"/>
  <c r="H38" i="42"/>
  <c r="H42" i="42"/>
  <c r="H34" i="42"/>
  <c r="AB8" i="42"/>
  <c r="AW9" i="42"/>
  <c r="H39" i="42"/>
  <c r="AB19" i="42"/>
  <c r="H32" i="42"/>
  <c r="AC32" i="42" s="1"/>
  <c r="H35" i="42"/>
  <c r="AA8" i="42"/>
  <c r="AC21" i="42" l="1"/>
  <c r="AC33" i="42"/>
  <c r="AB20" i="42"/>
  <c r="B40" i="42"/>
  <c r="H54" i="43"/>
  <c r="B36" i="43"/>
  <c r="H48" i="43"/>
  <c r="AA32" i="43"/>
  <c r="B32" i="43"/>
  <c r="AB32" i="43"/>
  <c r="H44" i="43"/>
  <c r="AC44" i="43" s="1"/>
  <c r="B37" i="43"/>
  <c r="H49" i="43"/>
  <c r="B33" i="43"/>
  <c r="H45" i="43"/>
  <c r="F21" i="43"/>
  <c r="AC21" i="43" s="1"/>
  <c r="F10" i="43"/>
  <c r="AC10" i="43" s="1"/>
  <c r="AA9" i="43"/>
  <c r="AB9" i="43"/>
  <c r="B41" i="43"/>
  <c r="H53" i="43"/>
  <c r="H46" i="43"/>
  <c r="B34" i="43"/>
  <c r="B40" i="43"/>
  <c r="H52" i="43"/>
  <c r="AW10" i="43"/>
  <c r="B39" i="43"/>
  <c r="H51" i="43"/>
  <c r="B35" i="43"/>
  <c r="H47" i="43"/>
  <c r="AA31" i="43"/>
  <c r="B31" i="43"/>
  <c r="AB31" i="43"/>
  <c r="H43" i="43"/>
  <c r="AC43" i="43" s="1"/>
  <c r="H66" i="43"/>
  <c r="B54" i="43"/>
  <c r="H62" i="43"/>
  <c r="B50" i="43"/>
  <c r="AW10" i="42"/>
  <c r="H46" i="42"/>
  <c r="B34" i="42"/>
  <c r="B42" i="42"/>
  <c r="H54" i="42"/>
  <c r="AA33" i="42"/>
  <c r="B33" i="42"/>
  <c r="H45" i="42"/>
  <c r="AC45" i="42" s="1"/>
  <c r="AB33" i="42"/>
  <c r="H48" i="42"/>
  <c r="B36" i="42"/>
  <c r="H64" i="42"/>
  <c r="B52" i="42"/>
  <c r="AA21" i="42"/>
  <c r="H44" i="42"/>
  <c r="AC44" i="42" s="1"/>
  <c r="AA32" i="42"/>
  <c r="B32" i="42"/>
  <c r="AB32" i="42"/>
  <c r="B37" i="42"/>
  <c r="H49" i="42"/>
  <c r="AB10" i="42"/>
  <c r="F22" i="42"/>
  <c r="AC22" i="42" s="1"/>
  <c r="F11" i="42"/>
  <c r="AC11" i="42" s="1"/>
  <c r="AA10" i="42"/>
  <c r="H47" i="42"/>
  <c r="B35" i="42"/>
  <c r="B39" i="42"/>
  <c r="H51" i="42"/>
  <c r="B38" i="42"/>
  <c r="H50" i="42"/>
  <c r="H53" i="42"/>
  <c r="B41" i="42"/>
  <c r="H43" i="42"/>
  <c r="AC43" i="42" s="1"/>
  <c r="AA31" i="42"/>
  <c r="B31" i="42"/>
  <c r="AB31" i="42"/>
  <c r="AB21" i="42"/>
  <c r="H78" i="43" l="1"/>
  <c r="B66" i="43"/>
  <c r="B51" i="43"/>
  <c r="H63" i="43"/>
  <c r="AW11" i="43"/>
  <c r="H58" i="43"/>
  <c r="B46" i="43"/>
  <c r="F22" i="43"/>
  <c r="AC22" i="43" s="1"/>
  <c r="F11" i="43"/>
  <c r="AC11" i="43" s="1"/>
  <c r="AA10" i="43"/>
  <c r="AB10" i="43"/>
  <c r="AA44" i="43"/>
  <c r="B44" i="43"/>
  <c r="H56" i="43"/>
  <c r="AC56" i="43" s="1"/>
  <c r="AB44" i="43"/>
  <c r="B48" i="43"/>
  <c r="H60" i="43"/>
  <c r="H74" i="43"/>
  <c r="B62" i="43"/>
  <c r="F33" i="43"/>
  <c r="AC33" i="43" s="1"/>
  <c r="AB21" i="43"/>
  <c r="AA21" i="43"/>
  <c r="B52" i="43"/>
  <c r="H64" i="43"/>
  <c r="B45" i="43"/>
  <c r="H57" i="43"/>
  <c r="B53" i="43"/>
  <c r="H65" i="43"/>
  <c r="AA43" i="43"/>
  <c r="B43" i="43"/>
  <c r="H55" i="43"/>
  <c r="AC55" i="43" s="1"/>
  <c r="AB43" i="43"/>
  <c r="B47" i="43"/>
  <c r="H59" i="43"/>
  <c r="B49" i="43"/>
  <c r="H61" i="43"/>
  <c r="H65" i="42"/>
  <c r="B53" i="42"/>
  <c r="AA43" i="42"/>
  <c r="B43" i="42"/>
  <c r="H55" i="42"/>
  <c r="AC55" i="42" s="1"/>
  <c r="AB43" i="42"/>
  <c r="F34" i="42"/>
  <c r="AC34" i="42" s="1"/>
  <c r="AA22" i="42"/>
  <c r="AB22" i="42"/>
  <c r="H76" i="42"/>
  <c r="B64" i="42"/>
  <c r="H60" i="42"/>
  <c r="B48" i="42"/>
  <c r="B51" i="42"/>
  <c r="H63" i="42"/>
  <c r="H56" i="42"/>
  <c r="AC56" i="42" s="1"/>
  <c r="AB44" i="42"/>
  <c r="B44" i="42"/>
  <c r="AA44" i="42"/>
  <c r="AB45" i="42"/>
  <c r="AA45" i="42"/>
  <c r="B45" i="42"/>
  <c r="H57" i="42"/>
  <c r="AC57" i="42" s="1"/>
  <c r="B50" i="42"/>
  <c r="H62" i="42"/>
  <c r="B47" i="42"/>
  <c r="H59" i="42"/>
  <c r="B54" i="42"/>
  <c r="H66" i="42"/>
  <c r="AW11" i="42"/>
  <c r="F12" i="42"/>
  <c r="AC12" i="42" s="1"/>
  <c r="AA11" i="42"/>
  <c r="F23" i="42"/>
  <c r="AC23" i="42" s="1"/>
  <c r="AB11" i="42"/>
  <c r="B49" i="42"/>
  <c r="H61" i="42"/>
  <c r="B46" i="42"/>
  <c r="H58" i="42"/>
  <c r="C32" i="2"/>
  <c r="D9" i="35" s="1"/>
  <c r="Z17" i="1"/>
  <c r="I7" i="31" l="1"/>
  <c r="BW7" i="31" s="1"/>
  <c r="T13" i="31"/>
  <c r="T21" i="31"/>
  <c r="T29" i="31"/>
  <c r="T37" i="31"/>
  <c r="T45" i="31"/>
  <c r="T53" i="31"/>
  <c r="T61" i="31"/>
  <c r="T69" i="31"/>
  <c r="T77" i="31"/>
  <c r="T85" i="31"/>
  <c r="T93" i="31"/>
  <c r="T101" i="31"/>
  <c r="T109" i="31"/>
  <c r="T117" i="31"/>
  <c r="T125" i="31"/>
  <c r="T133" i="31"/>
  <c r="T141" i="31"/>
  <c r="T149" i="31"/>
  <c r="T157" i="31"/>
  <c r="T165" i="31"/>
  <c r="T173" i="31"/>
  <c r="T181" i="31"/>
  <c r="T189" i="31"/>
  <c r="T197" i="31"/>
  <c r="T205" i="31"/>
  <c r="T213" i="31"/>
  <c r="T221" i="31"/>
  <c r="T229" i="31"/>
  <c r="T237" i="31"/>
  <c r="T245" i="31"/>
  <c r="T253" i="31"/>
  <c r="T261" i="31"/>
  <c r="T269" i="31"/>
  <c r="T277" i="31"/>
  <c r="T285" i="31"/>
  <c r="T293" i="31"/>
  <c r="T301" i="31"/>
  <c r="T309" i="31"/>
  <c r="T317" i="31"/>
  <c r="T325" i="31"/>
  <c r="T333" i="31"/>
  <c r="T341" i="31"/>
  <c r="T349" i="31"/>
  <c r="T357" i="31"/>
  <c r="T365" i="31"/>
  <c r="T12" i="43"/>
  <c r="T20" i="43"/>
  <c r="T28" i="43"/>
  <c r="T36" i="43"/>
  <c r="T44" i="43"/>
  <c r="T52" i="43"/>
  <c r="T60" i="43"/>
  <c r="T68" i="43"/>
  <c r="T76" i="43"/>
  <c r="T84" i="43"/>
  <c r="T92" i="43"/>
  <c r="T100" i="43"/>
  <c r="T108" i="43"/>
  <c r="T116" i="43"/>
  <c r="T124" i="43"/>
  <c r="T132" i="43"/>
  <c r="T140" i="43"/>
  <c r="T148" i="43"/>
  <c r="T156" i="43"/>
  <c r="T164" i="43"/>
  <c r="T172" i="43"/>
  <c r="T180" i="43"/>
  <c r="T188" i="43"/>
  <c r="T196" i="43"/>
  <c r="T204" i="43"/>
  <c r="T212" i="43"/>
  <c r="T220" i="43"/>
  <c r="T228" i="43"/>
  <c r="T236" i="43"/>
  <c r="T244" i="43"/>
  <c r="T252" i="43"/>
  <c r="T260" i="43"/>
  <c r="T268" i="43"/>
  <c r="T276" i="43"/>
  <c r="T284" i="43"/>
  <c r="T292" i="43"/>
  <c r="T300" i="43"/>
  <c r="T308" i="43"/>
  <c r="T316" i="43"/>
  <c r="T324" i="43"/>
  <c r="T332" i="43"/>
  <c r="T340" i="43"/>
  <c r="T348" i="43"/>
  <c r="T356" i="43"/>
  <c r="T364" i="43"/>
  <c r="T11" i="42"/>
  <c r="T19" i="42"/>
  <c r="T27" i="42"/>
  <c r="T35" i="42"/>
  <c r="T43" i="42"/>
  <c r="T51" i="42"/>
  <c r="T59" i="42"/>
  <c r="T67" i="42"/>
  <c r="T75" i="42"/>
  <c r="T83" i="42"/>
  <c r="T91" i="42"/>
  <c r="T99" i="42"/>
  <c r="T107" i="42"/>
  <c r="T115" i="42"/>
  <c r="T123" i="42"/>
  <c r="T131" i="42"/>
  <c r="T139" i="42"/>
  <c r="T147" i="42"/>
  <c r="T155" i="42"/>
  <c r="T163" i="42"/>
  <c r="T171" i="42"/>
  <c r="T179" i="42"/>
  <c r="T187" i="42"/>
  <c r="T195" i="42"/>
  <c r="T203" i="42"/>
  <c r="T211" i="42"/>
  <c r="T219" i="42"/>
  <c r="T227" i="42"/>
  <c r="T235" i="42"/>
  <c r="T243" i="42"/>
  <c r="T251" i="42"/>
  <c r="T259" i="42"/>
  <c r="T267" i="42"/>
  <c r="T275" i="42"/>
  <c r="T283" i="42"/>
  <c r="T291" i="42"/>
  <c r="T299" i="42"/>
  <c r="T307" i="42"/>
  <c r="T315" i="42"/>
  <c r="T323" i="42"/>
  <c r="T331" i="42"/>
  <c r="T339" i="42"/>
  <c r="T347" i="42"/>
  <c r="T355" i="42"/>
  <c r="T363" i="42"/>
  <c r="T12" i="31"/>
  <c r="T20" i="31"/>
  <c r="T28" i="31"/>
  <c r="T36" i="31"/>
  <c r="T44" i="31"/>
  <c r="T52" i="31"/>
  <c r="T60" i="31"/>
  <c r="T68" i="31"/>
  <c r="T76" i="31"/>
  <c r="T84" i="31"/>
  <c r="T92" i="31"/>
  <c r="T100" i="31"/>
  <c r="T108" i="31"/>
  <c r="T116" i="31"/>
  <c r="T124" i="31"/>
  <c r="T132" i="31"/>
  <c r="T140" i="31"/>
  <c r="T148" i="31"/>
  <c r="T156" i="31"/>
  <c r="T164" i="31"/>
  <c r="T172" i="31"/>
  <c r="T180" i="31"/>
  <c r="T188" i="31"/>
  <c r="T196" i="31"/>
  <c r="T204" i="31"/>
  <c r="T212" i="31"/>
  <c r="T220" i="31"/>
  <c r="T228" i="31"/>
  <c r="T236" i="31"/>
  <c r="T244" i="31"/>
  <c r="T252" i="31"/>
  <c r="T260" i="31"/>
  <c r="T268" i="31"/>
  <c r="T276" i="31"/>
  <c r="T284" i="31"/>
  <c r="T292" i="31"/>
  <c r="T300" i="31"/>
  <c r="T308" i="31"/>
  <c r="T316" i="31"/>
  <c r="T324" i="31"/>
  <c r="T332" i="31"/>
  <c r="T340" i="31"/>
  <c r="T348" i="31"/>
  <c r="T356" i="31"/>
  <c r="T364" i="31"/>
  <c r="T11" i="43"/>
  <c r="T19" i="43"/>
  <c r="T27" i="43"/>
  <c r="T35" i="43"/>
  <c r="T43" i="43"/>
  <c r="T51" i="43"/>
  <c r="T59" i="43"/>
  <c r="T67" i="43"/>
  <c r="T75" i="43"/>
  <c r="T83" i="43"/>
  <c r="T91" i="43"/>
  <c r="T99" i="43"/>
  <c r="T107" i="43"/>
  <c r="T115" i="43"/>
  <c r="T123" i="43"/>
  <c r="T131" i="43"/>
  <c r="T139" i="43"/>
  <c r="T147" i="43"/>
  <c r="T155" i="43"/>
  <c r="T163" i="43"/>
  <c r="T171" i="43"/>
  <c r="T179" i="43"/>
  <c r="T187" i="43"/>
  <c r="T195" i="43"/>
  <c r="T203" i="43"/>
  <c r="T211" i="43"/>
  <c r="T219" i="43"/>
  <c r="T227" i="43"/>
  <c r="T235" i="43"/>
  <c r="T243" i="43"/>
  <c r="T251" i="43"/>
  <c r="T259" i="43"/>
  <c r="T267" i="43"/>
  <c r="T275" i="43"/>
  <c r="T283" i="43"/>
  <c r="T291" i="43"/>
  <c r="T299" i="43"/>
  <c r="T307" i="43"/>
  <c r="T315" i="43"/>
  <c r="T323" i="43"/>
  <c r="T331" i="43"/>
  <c r="T339" i="43"/>
  <c r="T347" i="43"/>
  <c r="T355" i="43"/>
  <c r="T363" i="43"/>
  <c r="T10" i="42"/>
  <c r="T18" i="42"/>
  <c r="T26" i="42"/>
  <c r="T34" i="42"/>
  <c r="T42" i="42"/>
  <c r="T50" i="42"/>
  <c r="T58" i="42"/>
  <c r="T66" i="42"/>
  <c r="T74" i="42"/>
  <c r="T82" i="42"/>
  <c r="T90" i="42"/>
  <c r="T98" i="42"/>
  <c r="T106" i="42"/>
  <c r="T114" i="42"/>
  <c r="T122" i="42"/>
  <c r="T130" i="42"/>
  <c r="T138" i="42"/>
  <c r="T146" i="42"/>
  <c r="T154" i="42"/>
  <c r="T162" i="42"/>
  <c r="T170" i="42"/>
  <c r="T178" i="42"/>
  <c r="T186" i="42"/>
  <c r="T194" i="42"/>
  <c r="T202" i="42"/>
  <c r="T210" i="42"/>
  <c r="T218" i="42"/>
  <c r="T226" i="42"/>
  <c r="T234" i="42"/>
  <c r="T242" i="42"/>
  <c r="T250" i="42"/>
  <c r="T258" i="42"/>
  <c r="T266" i="42"/>
  <c r="T274" i="42"/>
  <c r="T282" i="42"/>
  <c r="T290" i="42"/>
  <c r="T298" i="42"/>
  <c r="T306" i="42"/>
  <c r="T314" i="42"/>
  <c r="T322" i="42"/>
  <c r="T330" i="42"/>
  <c r="T338" i="42"/>
  <c r="T346" i="42"/>
  <c r="T354" i="42"/>
  <c r="T362" i="42"/>
  <c r="T11" i="31"/>
  <c r="T19" i="31"/>
  <c r="T27" i="31"/>
  <c r="T35" i="31"/>
  <c r="T43" i="31"/>
  <c r="T51" i="31"/>
  <c r="T59" i="31"/>
  <c r="T67" i="31"/>
  <c r="T75" i="31"/>
  <c r="T83" i="31"/>
  <c r="T91" i="31"/>
  <c r="T99" i="31"/>
  <c r="T107" i="31"/>
  <c r="T115" i="31"/>
  <c r="T123" i="31"/>
  <c r="T131" i="31"/>
  <c r="T139" i="31"/>
  <c r="T147" i="31"/>
  <c r="T155" i="31"/>
  <c r="T163" i="31"/>
  <c r="T171" i="31"/>
  <c r="T179" i="31"/>
  <c r="T187" i="31"/>
  <c r="T195" i="31"/>
  <c r="T203" i="31"/>
  <c r="T211" i="31"/>
  <c r="T219" i="31"/>
  <c r="T227" i="31"/>
  <c r="T235" i="31"/>
  <c r="T243" i="31"/>
  <c r="T251" i="31"/>
  <c r="T259" i="31"/>
  <c r="T267" i="31"/>
  <c r="T275" i="31"/>
  <c r="T283" i="31"/>
  <c r="T291" i="31"/>
  <c r="T299" i="31"/>
  <c r="T307" i="31"/>
  <c r="T315" i="31"/>
  <c r="T323" i="31"/>
  <c r="T331" i="31"/>
  <c r="T339" i="31"/>
  <c r="T347" i="31"/>
  <c r="T355" i="31"/>
  <c r="T363" i="31"/>
  <c r="T10" i="43"/>
  <c r="T18" i="43"/>
  <c r="T26" i="43"/>
  <c r="T34" i="43"/>
  <c r="T42" i="43"/>
  <c r="T50" i="43"/>
  <c r="T58" i="43"/>
  <c r="T66" i="43"/>
  <c r="T74" i="43"/>
  <c r="T82" i="43"/>
  <c r="T90" i="43"/>
  <c r="T98" i="43"/>
  <c r="T106" i="43"/>
  <c r="T114" i="43"/>
  <c r="T122" i="43"/>
  <c r="T130" i="43"/>
  <c r="T138" i="43"/>
  <c r="T146" i="43"/>
  <c r="T154" i="43"/>
  <c r="T162" i="43"/>
  <c r="T170" i="43"/>
  <c r="T178" i="43"/>
  <c r="T186" i="43"/>
  <c r="T194" i="43"/>
  <c r="T202" i="43"/>
  <c r="T210" i="43"/>
  <c r="T218" i="43"/>
  <c r="T226" i="43"/>
  <c r="T234" i="43"/>
  <c r="T242" i="43"/>
  <c r="T250" i="43"/>
  <c r="T258" i="43"/>
  <c r="T266" i="43"/>
  <c r="T274" i="43"/>
  <c r="T282" i="43"/>
  <c r="T290" i="43"/>
  <c r="T298" i="43"/>
  <c r="T306" i="43"/>
  <c r="T314" i="43"/>
  <c r="T322" i="43"/>
  <c r="T330" i="43"/>
  <c r="T338" i="43"/>
  <c r="T346" i="43"/>
  <c r="T354" i="43"/>
  <c r="T362" i="43"/>
  <c r="T9" i="42"/>
  <c r="T17" i="42"/>
  <c r="T25" i="42"/>
  <c r="T33" i="42"/>
  <c r="T41" i="42"/>
  <c r="T49" i="42"/>
  <c r="T57" i="42"/>
  <c r="T65" i="42"/>
  <c r="T73" i="42"/>
  <c r="T81" i="42"/>
  <c r="T89" i="42"/>
  <c r="T97" i="42"/>
  <c r="T105" i="42"/>
  <c r="T113" i="42"/>
  <c r="T121" i="42"/>
  <c r="T129" i="42"/>
  <c r="T137" i="42"/>
  <c r="T145" i="42"/>
  <c r="T153" i="42"/>
  <c r="T161" i="42"/>
  <c r="T169" i="42"/>
  <c r="T177" i="42"/>
  <c r="T185" i="42"/>
  <c r="T193" i="42"/>
  <c r="T201" i="42"/>
  <c r="T209" i="42"/>
  <c r="T217" i="42"/>
  <c r="T225" i="42"/>
  <c r="T233" i="42"/>
  <c r="T241" i="42"/>
  <c r="T249" i="42"/>
  <c r="T257" i="42"/>
  <c r="T265" i="42"/>
  <c r="T273" i="42"/>
  <c r="T281" i="42"/>
  <c r="T289" i="42"/>
  <c r="T297" i="42"/>
  <c r="T305" i="42"/>
  <c r="T313" i="42"/>
  <c r="T321" i="42"/>
  <c r="T329" i="42"/>
  <c r="T337" i="42"/>
  <c r="T345" i="42"/>
  <c r="T353" i="42"/>
  <c r="T361" i="42"/>
  <c r="T10" i="31"/>
  <c r="T18" i="31"/>
  <c r="T26" i="31"/>
  <c r="T34" i="31"/>
  <c r="T42" i="31"/>
  <c r="T50" i="31"/>
  <c r="T58" i="31"/>
  <c r="T66" i="31"/>
  <c r="T74" i="31"/>
  <c r="T82" i="31"/>
  <c r="T90" i="31"/>
  <c r="T98" i="31"/>
  <c r="T106" i="31"/>
  <c r="T114" i="31"/>
  <c r="T122" i="31"/>
  <c r="T130" i="31"/>
  <c r="T138" i="31"/>
  <c r="T146" i="31"/>
  <c r="T154" i="31"/>
  <c r="T162" i="31"/>
  <c r="T170" i="31"/>
  <c r="T178" i="31"/>
  <c r="T186" i="31"/>
  <c r="T194" i="31"/>
  <c r="T202" i="31"/>
  <c r="T210" i="31"/>
  <c r="T218" i="31"/>
  <c r="T226" i="31"/>
  <c r="T234" i="31"/>
  <c r="T242" i="31"/>
  <c r="T250" i="31"/>
  <c r="T258" i="31"/>
  <c r="T266" i="31"/>
  <c r="T274" i="31"/>
  <c r="T282" i="31"/>
  <c r="T290" i="31"/>
  <c r="T298" i="31"/>
  <c r="T306" i="31"/>
  <c r="T314" i="31"/>
  <c r="T322" i="31"/>
  <c r="T330" i="31"/>
  <c r="T338" i="31"/>
  <c r="T346" i="31"/>
  <c r="T354" i="31"/>
  <c r="T362" i="31"/>
  <c r="T9" i="43"/>
  <c r="T17" i="43"/>
  <c r="T25" i="43"/>
  <c r="T33" i="43"/>
  <c r="T41" i="43"/>
  <c r="T49" i="43"/>
  <c r="T57" i="43"/>
  <c r="T65" i="43"/>
  <c r="T73" i="43"/>
  <c r="T81" i="43"/>
  <c r="T89" i="43"/>
  <c r="T97" i="43"/>
  <c r="T105" i="43"/>
  <c r="T113" i="43"/>
  <c r="T121" i="43"/>
  <c r="T129" i="43"/>
  <c r="T137" i="43"/>
  <c r="T145" i="43"/>
  <c r="T153" i="43"/>
  <c r="T161" i="43"/>
  <c r="T169" i="43"/>
  <c r="T177" i="43"/>
  <c r="T185" i="43"/>
  <c r="T193" i="43"/>
  <c r="T201" i="43"/>
  <c r="T209" i="43"/>
  <c r="T217" i="43"/>
  <c r="T225" i="43"/>
  <c r="T233" i="43"/>
  <c r="T241" i="43"/>
  <c r="T249" i="43"/>
  <c r="T257" i="43"/>
  <c r="T265" i="43"/>
  <c r="T273" i="43"/>
  <c r="T281" i="43"/>
  <c r="T289" i="43"/>
  <c r="T297" i="43"/>
  <c r="T305" i="43"/>
  <c r="T313" i="43"/>
  <c r="T321" i="43"/>
  <c r="T329" i="43"/>
  <c r="T337" i="43"/>
  <c r="T345" i="43"/>
  <c r="T353" i="43"/>
  <c r="T361" i="43"/>
  <c r="T8" i="42"/>
  <c r="T16" i="42"/>
  <c r="T24" i="42"/>
  <c r="T32" i="42"/>
  <c r="T40" i="42"/>
  <c r="T48" i="42"/>
  <c r="T56" i="42"/>
  <c r="T64" i="42"/>
  <c r="T72" i="42"/>
  <c r="T80" i="42"/>
  <c r="T88" i="42"/>
  <c r="T96" i="42"/>
  <c r="T104" i="42"/>
  <c r="T112" i="42"/>
  <c r="T120" i="42"/>
  <c r="T128" i="42"/>
  <c r="T136" i="42"/>
  <c r="T144" i="42"/>
  <c r="T152" i="42"/>
  <c r="T160" i="42"/>
  <c r="T168" i="42"/>
  <c r="T176" i="42"/>
  <c r="T184" i="42"/>
  <c r="T192" i="42"/>
  <c r="T200" i="42"/>
  <c r="T208" i="42"/>
  <c r="T216" i="42"/>
  <c r="T224" i="42"/>
  <c r="T232" i="42"/>
  <c r="T240" i="42"/>
  <c r="T248" i="42"/>
  <c r="T256" i="42"/>
  <c r="T264" i="42"/>
  <c r="T272" i="42"/>
  <c r="T280" i="42"/>
  <c r="T288" i="42"/>
  <c r="T296" i="42"/>
  <c r="T304" i="42"/>
  <c r="T312" i="42"/>
  <c r="T320" i="42"/>
  <c r="T328" i="42"/>
  <c r="T336" i="42"/>
  <c r="T344" i="42"/>
  <c r="T352" i="42"/>
  <c r="T360" i="42"/>
  <c r="T7" i="42"/>
  <c r="T9" i="31"/>
  <c r="T17" i="31"/>
  <c r="T25" i="31"/>
  <c r="T33" i="31"/>
  <c r="T41" i="31"/>
  <c r="T49" i="31"/>
  <c r="T57" i="31"/>
  <c r="T65" i="31"/>
  <c r="T73" i="31"/>
  <c r="T81" i="31"/>
  <c r="T89" i="31"/>
  <c r="T97" i="31"/>
  <c r="T105" i="31"/>
  <c r="T113" i="31"/>
  <c r="T121" i="31"/>
  <c r="T129" i="31"/>
  <c r="T137" i="31"/>
  <c r="T145" i="31"/>
  <c r="T153" i="31"/>
  <c r="T161" i="31"/>
  <c r="T169" i="31"/>
  <c r="T177" i="31"/>
  <c r="T185" i="31"/>
  <c r="T193" i="31"/>
  <c r="T201" i="31"/>
  <c r="T209" i="31"/>
  <c r="T217" i="31"/>
  <c r="T225" i="31"/>
  <c r="T233" i="31"/>
  <c r="T241" i="31"/>
  <c r="T249" i="31"/>
  <c r="T257" i="31"/>
  <c r="T265" i="31"/>
  <c r="T273" i="31"/>
  <c r="T281" i="31"/>
  <c r="T289" i="31"/>
  <c r="T297" i="31"/>
  <c r="T305" i="31"/>
  <c r="T313" i="31"/>
  <c r="T321" i="31"/>
  <c r="T329" i="31"/>
  <c r="T337" i="31"/>
  <c r="T345" i="31"/>
  <c r="T353" i="31"/>
  <c r="T361" i="31"/>
  <c r="T8" i="43"/>
  <c r="T16" i="43"/>
  <c r="T24" i="43"/>
  <c r="T32" i="43"/>
  <c r="T40" i="43"/>
  <c r="T48" i="43"/>
  <c r="T56" i="43"/>
  <c r="T64" i="43"/>
  <c r="T72" i="43"/>
  <c r="T80" i="43"/>
  <c r="T88" i="43"/>
  <c r="T96" i="43"/>
  <c r="T104" i="43"/>
  <c r="T112" i="43"/>
  <c r="T120" i="43"/>
  <c r="T128" i="43"/>
  <c r="T136" i="43"/>
  <c r="T144" i="43"/>
  <c r="T152" i="43"/>
  <c r="T160" i="43"/>
  <c r="T168" i="43"/>
  <c r="T176" i="43"/>
  <c r="T184" i="43"/>
  <c r="T192" i="43"/>
  <c r="T200" i="43"/>
  <c r="T208" i="43"/>
  <c r="T216" i="43"/>
  <c r="T224" i="43"/>
  <c r="T232" i="43"/>
  <c r="T240" i="43"/>
  <c r="T248" i="43"/>
  <c r="T256" i="43"/>
  <c r="T264" i="43"/>
  <c r="T272" i="43"/>
  <c r="T280" i="43"/>
  <c r="T288" i="43"/>
  <c r="T296" i="43"/>
  <c r="T304" i="43"/>
  <c r="T312" i="43"/>
  <c r="T320" i="43"/>
  <c r="T328" i="43"/>
  <c r="T336" i="43"/>
  <c r="T344" i="43"/>
  <c r="T352" i="43"/>
  <c r="T360" i="43"/>
  <c r="T7" i="43"/>
  <c r="T15" i="42"/>
  <c r="T23" i="42"/>
  <c r="T31" i="42"/>
  <c r="T39" i="42"/>
  <c r="T47" i="42"/>
  <c r="T55" i="42"/>
  <c r="T63" i="42"/>
  <c r="T71" i="42"/>
  <c r="T79" i="42"/>
  <c r="T87" i="42"/>
  <c r="T95" i="42"/>
  <c r="T103" i="42"/>
  <c r="T111" i="42"/>
  <c r="T119" i="42"/>
  <c r="T127" i="42"/>
  <c r="T135" i="42"/>
  <c r="T143" i="42"/>
  <c r="T151" i="42"/>
  <c r="T159" i="42"/>
  <c r="T167" i="42"/>
  <c r="T175" i="42"/>
  <c r="T183" i="42"/>
  <c r="T191" i="42"/>
  <c r="T199" i="42"/>
  <c r="T207" i="42"/>
  <c r="T215" i="42"/>
  <c r="T223" i="42"/>
  <c r="T231" i="42"/>
  <c r="T239" i="42"/>
  <c r="T247" i="42"/>
  <c r="T255" i="42"/>
  <c r="T263" i="42"/>
  <c r="T271" i="42"/>
  <c r="T279" i="42"/>
  <c r="T287" i="42"/>
  <c r="T295" i="42"/>
  <c r="T303" i="42"/>
  <c r="T311" i="42"/>
  <c r="T319" i="42"/>
  <c r="T327" i="42"/>
  <c r="T335" i="42"/>
  <c r="T343" i="42"/>
  <c r="T351" i="42"/>
  <c r="T359" i="42"/>
  <c r="T367" i="42"/>
  <c r="T8" i="31"/>
  <c r="T16" i="31"/>
  <c r="T24" i="31"/>
  <c r="T32" i="31"/>
  <c r="T40" i="31"/>
  <c r="T48" i="31"/>
  <c r="T56" i="31"/>
  <c r="T64" i="31"/>
  <c r="T72" i="31"/>
  <c r="T80" i="31"/>
  <c r="T88" i="31"/>
  <c r="T96" i="31"/>
  <c r="T104" i="31"/>
  <c r="T112" i="31"/>
  <c r="T120" i="31"/>
  <c r="T128" i="31"/>
  <c r="T136" i="31"/>
  <c r="T144" i="31"/>
  <c r="T152" i="31"/>
  <c r="T160" i="31"/>
  <c r="T168" i="31"/>
  <c r="T176" i="31"/>
  <c r="T184" i="31"/>
  <c r="T192" i="31"/>
  <c r="T200" i="31"/>
  <c r="T208" i="31"/>
  <c r="T216" i="31"/>
  <c r="T224" i="31"/>
  <c r="T232" i="31"/>
  <c r="T240" i="31"/>
  <c r="T248" i="31"/>
  <c r="T256" i="31"/>
  <c r="T264" i="31"/>
  <c r="T272" i="31"/>
  <c r="T280" i="31"/>
  <c r="T288" i="31"/>
  <c r="T296" i="31"/>
  <c r="T304" i="31"/>
  <c r="T312" i="31"/>
  <c r="T320" i="31"/>
  <c r="T328" i="31"/>
  <c r="T336" i="31"/>
  <c r="T344" i="31"/>
  <c r="T352" i="31"/>
  <c r="T360" i="31"/>
  <c r="T7" i="31"/>
  <c r="T15" i="43"/>
  <c r="T23" i="43"/>
  <c r="T31" i="43"/>
  <c r="T39" i="43"/>
  <c r="T47" i="43"/>
  <c r="T55" i="43"/>
  <c r="T63" i="43"/>
  <c r="T71" i="43"/>
  <c r="T79" i="43"/>
  <c r="T87" i="43"/>
  <c r="T95" i="43"/>
  <c r="T103" i="43"/>
  <c r="T111" i="43"/>
  <c r="T119" i="43"/>
  <c r="T127" i="43"/>
  <c r="T135" i="43"/>
  <c r="T143" i="43"/>
  <c r="T151" i="43"/>
  <c r="T159" i="43"/>
  <c r="T167" i="43"/>
  <c r="T175" i="43"/>
  <c r="T183" i="43"/>
  <c r="T191" i="43"/>
  <c r="T199" i="43"/>
  <c r="T207" i="43"/>
  <c r="T215" i="43"/>
  <c r="T223" i="43"/>
  <c r="T231" i="43"/>
  <c r="T239" i="43"/>
  <c r="T247" i="43"/>
  <c r="T255" i="43"/>
  <c r="T263" i="43"/>
  <c r="T271" i="43"/>
  <c r="T279" i="43"/>
  <c r="T287" i="43"/>
  <c r="T295" i="43"/>
  <c r="T303" i="43"/>
  <c r="T311" i="43"/>
  <c r="T319" i="43"/>
  <c r="T327" i="43"/>
  <c r="T335" i="43"/>
  <c r="T343" i="43"/>
  <c r="T351" i="43"/>
  <c r="T359" i="43"/>
  <c r="T367" i="43"/>
  <c r="T14" i="42"/>
  <c r="T22" i="42"/>
  <c r="T30" i="42"/>
  <c r="T38" i="42"/>
  <c r="T46" i="42"/>
  <c r="T54" i="42"/>
  <c r="T62" i="42"/>
  <c r="T70" i="42"/>
  <c r="T78" i="42"/>
  <c r="T86" i="42"/>
  <c r="T94" i="42"/>
  <c r="T102" i="42"/>
  <c r="T110" i="42"/>
  <c r="T118" i="42"/>
  <c r="T126" i="42"/>
  <c r="T134" i="42"/>
  <c r="T142" i="42"/>
  <c r="T150" i="42"/>
  <c r="T158" i="42"/>
  <c r="T166" i="42"/>
  <c r="T174" i="42"/>
  <c r="T182" i="42"/>
  <c r="T190" i="42"/>
  <c r="T198" i="42"/>
  <c r="T206" i="42"/>
  <c r="T214" i="42"/>
  <c r="T222" i="42"/>
  <c r="T230" i="42"/>
  <c r="T238" i="42"/>
  <c r="T246" i="42"/>
  <c r="T254" i="42"/>
  <c r="T262" i="42"/>
  <c r="T270" i="42"/>
  <c r="T278" i="42"/>
  <c r="T286" i="42"/>
  <c r="T294" i="42"/>
  <c r="T302" i="42"/>
  <c r="T310" i="42"/>
  <c r="T318" i="42"/>
  <c r="T326" i="42"/>
  <c r="T334" i="42"/>
  <c r="T342" i="42"/>
  <c r="T350" i="42"/>
  <c r="T358" i="42"/>
  <c r="T366" i="42"/>
  <c r="T15" i="31"/>
  <c r="T23" i="31"/>
  <c r="T31" i="31"/>
  <c r="T39" i="31"/>
  <c r="T47" i="31"/>
  <c r="T55" i="31"/>
  <c r="T63" i="31"/>
  <c r="T71" i="31"/>
  <c r="T79" i="31"/>
  <c r="T87" i="31"/>
  <c r="T95" i="31"/>
  <c r="T103" i="31"/>
  <c r="T111" i="31"/>
  <c r="T119" i="31"/>
  <c r="T127" i="31"/>
  <c r="T135" i="31"/>
  <c r="T143" i="31"/>
  <c r="T151" i="31"/>
  <c r="T159" i="31"/>
  <c r="T167" i="31"/>
  <c r="T175" i="31"/>
  <c r="T183" i="31"/>
  <c r="T191" i="31"/>
  <c r="T199" i="31"/>
  <c r="T207" i="31"/>
  <c r="T215" i="31"/>
  <c r="T223" i="31"/>
  <c r="T231" i="31"/>
  <c r="T239" i="31"/>
  <c r="T247" i="31"/>
  <c r="T255" i="31"/>
  <c r="T263" i="31"/>
  <c r="T271" i="31"/>
  <c r="T279" i="31"/>
  <c r="T287" i="31"/>
  <c r="T295" i="31"/>
  <c r="T303" i="31"/>
  <c r="T311" i="31"/>
  <c r="T319" i="31"/>
  <c r="T327" i="31"/>
  <c r="T335" i="31"/>
  <c r="T343" i="31"/>
  <c r="T351" i="31"/>
  <c r="T359" i="31"/>
  <c r="T367" i="31"/>
  <c r="T14" i="43"/>
  <c r="T22" i="43"/>
  <c r="T30" i="43"/>
  <c r="T38" i="43"/>
  <c r="T46" i="43"/>
  <c r="T54" i="43"/>
  <c r="T62" i="43"/>
  <c r="T70" i="43"/>
  <c r="T78" i="43"/>
  <c r="T86" i="43"/>
  <c r="T94" i="43"/>
  <c r="T102" i="43"/>
  <c r="T110" i="43"/>
  <c r="T118" i="43"/>
  <c r="T126" i="43"/>
  <c r="T134" i="43"/>
  <c r="T142" i="43"/>
  <c r="T150" i="43"/>
  <c r="T158" i="43"/>
  <c r="T166" i="43"/>
  <c r="T174" i="43"/>
  <c r="T182" i="43"/>
  <c r="T190" i="43"/>
  <c r="T198" i="43"/>
  <c r="T206" i="43"/>
  <c r="T214" i="43"/>
  <c r="T222" i="43"/>
  <c r="T230" i="43"/>
  <c r="T238" i="43"/>
  <c r="T246" i="43"/>
  <c r="T254" i="43"/>
  <c r="T262" i="43"/>
  <c r="T270" i="43"/>
  <c r="T278" i="43"/>
  <c r="T286" i="43"/>
  <c r="T294" i="43"/>
  <c r="T302" i="43"/>
  <c r="T310" i="43"/>
  <c r="T318" i="43"/>
  <c r="T326" i="43"/>
  <c r="T334" i="43"/>
  <c r="T342" i="43"/>
  <c r="T350" i="43"/>
  <c r="T358" i="43"/>
  <c r="T366" i="43"/>
  <c r="T13" i="42"/>
  <c r="T21" i="42"/>
  <c r="T29" i="42"/>
  <c r="T37" i="42"/>
  <c r="T45" i="42"/>
  <c r="T53" i="42"/>
  <c r="T61" i="42"/>
  <c r="T69" i="42"/>
  <c r="T77" i="42"/>
  <c r="T85" i="42"/>
  <c r="T93" i="42"/>
  <c r="T101" i="42"/>
  <c r="T109" i="42"/>
  <c r="T117" i="42"/>
  <c r="T125" i="42"/>
  <c r="T133" i="42"/>
  <c r="T141" i="42"/>
  <c r="T149" i="42"/>
  <c r="T157" i="42"/>
  <c r="T165" i="42"/>
  <c r="T173" i="42"/>
  <c r="T181" i="42"/>
  <c r="T189" i="42"/>
  <c r="T197" i="42"/>
  <c r="T205" i="42"/>
  <c r="T213" i="42"/>
  <c r="T221" i="42"/>
  <c r="T229" i="42"/>
  <c r="T237" i="42"/>
  <c r="T245" i="42"/>
  <c r="T253" i="42"/>
  <c r="T261" i="42"/>
  <c r="T269" i="42"/>
  <c r="T277" i="42"/>
  <c r="T285" i="42"/>
  <c r="T293" i="42"/>
  <c r="T301" i="42"/>
  <c r="T309" i="42"/>
  <c r="T317" i="42"/>
  <c r="T325" i="42"/>
  <c r="T333" i="42"/>
  <c r="T341" i="42"/>
  <c r="T349" i="42"/>
  <c r="T357" i="42"/>
  <c r="T365" i="42"/>
  <c r="T14" i="31"/>
  <c r="T22" i="31"/>
  <c r="T30" i="31"/>
  <c r="T38" i="31"/>
  <c r="T46" i="31"/>
  <c r="T54" i="31"/>
  <c r="T62" i="31"/>
  <c r="T70" i="31"/>
  <c r="T78" i="31"/>
  <c r="T86" i="31"/>
  <c r="T94" i="31"/>
  <c r="T102" i="31"/>
  <c r="T110" i="31"/>
  <c r="T118" i="31"/>
  <c r="T126" i="31"/>
  <c r="T134" i="31"/>
  <c r="T142" i="31"/>
  <c r="T150" i="31"/>
  <c r="T158" i="31"/>
  <c r="T166" i="31"/>
  <c r="T174" i="31"/>
  <c r="T182" i="31"/>
  <c r="T190" i="31"/>
  <c r="T198" i="31"/>
  <c r="T206" i="31"/>
  <c r="T214" i="31"/>
  <c r="T222" i="31"/>
  <c r="T230" i="31"/>
  <c r="T238" i="31"/>
  <c r="T246" i="31"/>
  <c r="T254" i="31"/>
  <c r="T262" i="31"/>
  <c r="T270" i="31"/>
  <c r="T278" i="31"/>
  <c r="T286" i="31"/>
  <c r="T294" i="31"/>
  <c r="T302" i="31"/>
  <c r="T310" i="31"/>
  <c r="T318" i="31"/>
  <c r="T326" i="31"/>
  <c r="T334" i="31"/>
  <c r="T342" i="31"/>
  <c r="T350" i="31"/>
  <c r="T358" i="31"/>
  <c r="T366" i="31"/>
  <c r="T13" i="43"/>
  <c r="T21" i="43"/>
  <c r="T29" i="43"/>
  <c r="T37" i="43"/>
  <c r="T45" i="43"/>
  <c r="T53" i="43"/>
  <c r="T61" i="43"/>
  <c r="T69" i="43"/>
  <c r="T77" i="43"/>
  <c r="T85" i="43"/>
  <c r="T93" i="43"/>
  <c r="T101" i="43"/>
  <c r="T109" i="43"/>
  <c r="T117" i="43"/>
  <c r="T125" i="43"/>
  <c r="T133" i="43"/>
  <c r="T141" i="43"/>
  <c r="T149" i="43"/>
  <c r="T157" i="43"/>
  <c r="T165" i="43"/>
  <c r="T173" i="43"/>
  <c r="T181" i="43"/>
  <c r="T189" i="43"/>
  <c r="T197" i="43"/>
  <c r="T205" i="43"/>
  <c r="T213" i="43"/>
  <c r="T221" i="43"/>
  <c r="T229" i="43"/>
  <c r="T237" i="43"/>
  <c r="T245" i="43"/>
  <c r="T253" i="43"/>
  <c r="T261" i="43"/>
  <c r="T269" i="43"/>
  <c r="T277" i="43"/>
  <c r="T285" i="43"/>
  <c r="T293" i="43"/>
  <c r="T301" i="43"/>
  <c r="T309" i="43"/>
  <c r="T317" i="43"/>
  <c r="T325" i="43"/>
  <c r="T333" i="43"/>
  <c r="T341" i="43"/>
  <c r="T349" i="43"/>
  <c r="T357" i="43"/>
  <c r="T365" i="43"/>
  <c r="T12" i="42"/>
  <c r="T20" i="42"/>
  <c r="T28" i="42"/>
  <c r="T36" i="42"/>
  <c r="T44" i="42"/>
  <c r="T52" i="42"/>
  <c r="T60" i="42"/>
  <c r="T68" i="42"/>
  <c r="T76" i="42"/>
  <c r="T84" i="42"/>
  <c r="T92" i="42"/>
  <c r="T100" i="42"/>
  <c r="T108" i="42"/>
  <c r="T116" i="42"/>
  <c r="T124" i="42"/>
  <c r="T132" i="42"/>
  <c r="T140" i="42"/>
  <c r="T148" i="42"/>
  <c r="T156" i="42"/>
  <c r="T164" i="42"/>
  <c r="T172" i="42"/>
  <c r="T180" i="42"/>
  <c r="T188" i="42"/>
  <c r="T196" i="42"/>
  <c r="T204" i="42"/>
  <c r="T212" i="42"/>
  <c r="T220" i="42"/>
  <c r="T228" i="42"/>
  <c r="T236" i="42"/>
  <c r="T244" i="42"/>
  <c r="T252" i="42"/>
  <c r="T260" i="42"/>
  <c r="T268" i="42"/>
  <c r="T276" i="42"/>
  <c r="T284" i="42"/>
  <c r="T292" i="42"/>
  <c r="T300" i="42"/>
  <c r="T308" i="42"/>
  <c r="T316" i="42"/>
  <c r="T324" i="42"/>
  <c r="T332" i="42"/>
  <c r="T340" i="42"/>
  <c r="T348" i="42"/>
  <c r="T356" i="42"/>
  <c r="T364" i="42"/>
  <c r="Z2" i="1"/>
  <c r="C66" i="43"/>
  <c r="C47" i="42"/>
  <c r="C45" i="43"/>
  <c r="B64" i="43"/>
  <c r="H76" i="43"/>
  <c r="C64" i="43"/>
  <c r="H90" i="43"/>
  <c r="C78" i="43"/>
  <c r="B78" i="43"/>
  <c r="B59" i="43"/>
  <c r="H71" i="43"/>
  <c r="C59" i="43"/>
  <c r="I55" i="43"/>
  <c r="AA55" i="43"/>
  <c r="B55" i="43"/>
  <c r="H67" i="43"/>
  <c r="AC67" i="43" s="1"/>
  <c r="AB55" i="43"/>
  <c r="C55" i="43"/>
  <c r="F34" i="43"/>
  <c r="AC34" i="43" s="1"/>
  <c r="AA22" i="43"/>
  <c r="AB22" i="43"/>
  <c r="H70" i="43"/>
  <c r="C58" i="43"/>
  <c r="B58" i="43"/>
  <c r="B63" i="43"/>
  <c r="H75" i="43"/>
  <c r="C63" i="43"/>
  <c r="C49" i="43"/>
  <c r="C53" i="43"/>
  <c r="C62" i="43"/>
  <c r="C48" i="43"/>
  <c r="I44" i="43"/>
  <c r="C44" i="43"/>
  <c r="B57" i="43"/>
  <c r="H69" i="43"/>
  <c r="C57" i="43"/>
  <c r="F23" i="43"/>
  <c r="AC23" i="43" s="1"/>
  <c r="AB11" i="43"/>
  <c r="F12" i="43"/>
  <c r="AC12" i="43" s="1"/>
  <c r="AA11" i="43"/>
  <c r="AW12" i="43"/>
  <c r="C52" i="43"/>
  <c r="C45" i="42"/>
  <c r="C16" i="43"/>
  <c r="C12" i="43"/>
  <c r="I8" i="43"/>
  <c r="C8" i="43"/>
  <c r="C7" i="43"/>
  <c r="C30" i="43"/>
  <c r="C29" i="43"/>
  <c r="C28" i="43"/>
  <c r="C27" i="43"/>
  <c r="C26" i="43"/>
  <c r="C25" i="43"/>
  <c r="C24" i="43"/>
  <c r="C23" i="43"/>
  <c r="C22" i="43"/>
  <c r="C21" i="43"/>
  <c r="C20" i="43"/>
  <c r="C19" i="43"/>
  <c r="C15" i="43"/>
  <c r="I11" i="43"/>
  <c r="C11" i="43"/>
  <c r="I23" i="43"/>
  <c r="I22" i="43"/>
  <c r="I21" i="43"/>
  <c r="I20" i="43"/>
  <c r="I19" i="43"/>
  <c r="C18" i="43"/>
  <c r="C14" i="43"/>
  <c r="I10" i="43"/>
  <c r="C10" i="43"/>
  <c r="C17" i="43"/>
  <c r="C13" i="43"/>
  <c r="I9" i="43"/>
  <c r="C9" i="43"/>
  <c r="I7" i="43"/>
  <c r="C38" i="43"/>
  <c r="C42" i="43"/>
  <c r="C39" i="43"/>
  <c r="C32" i="43"/>
  <c r="C35" i="43"/>
  <c r="C41" i="43"/>
  <c r="C34" i="43"/>
  <c r="C54" i="43"/>
  <c r="C50" i="43"/>
  <c r="C36" i="43"/>
  <c r="C31" i="43"/>
  <c r="I31" i="43"/>
  <c r="I32" i="43"/>
  <c r="C37" i="43"/>
  <c r="C33" i="43"/>
  <c r="I33" i="43"/>
  <c r="C40" i="43"/>
  <c r="B61" i="43"/>
  <c r="H73" i="43"/>
  <c r="C61" i="43"/>
  <c r="B65" i="43"/>
  <c r="H77" i="43"/>
  <c r="C65" i="43"/>
  <c r="F45" i="43"/>
  <c r="AC45" i="43" s="1"/>
  <c r="AB33" i="43"/>
  <c r="AA33" i="43"/>
  <c r="H86" i="43"/>
  <c r="C74" i="43"/>
  <c r="B74" i="43"/>
  <c r="B60" i="43"/>
  <c r="H72" i="43"/>
  <c r="C60" i="43"/>
  <c r="AA56" i="43"/>
  <c r="B56" i="43"/>
  <c r="H68" i="43"/>
  <c r="AC68" i="43" s="1"/>
  <c r="AB56" i="43"/>
  <c r="C56" i="43"/>
  <c r="I56" i="43"/>
  <c r="C47" i="43"/>
  <c r="C43" i="43"/>
  <c r="I43" i="43"/>
  <c r="C46" i="43"/>
  <c r="C51" i="43"/>
  <c r="C44" i="42"/>
  <c r="C46" i="42"/>
  <c r="C51" i="42"/>
  <c r="C53" i="42"/>
  <c r="C54" i="42"/>
  <c r="I45" i="42"/>
  <c r="I44" i="42"/>
  <c r="AW12" i="42"/>
  <c r="B62" i="42"/>
  <c r="H74" i="42"/>
  <c r="C62" i="42"/>
  <c r="I57" i="42"/>
  <c r="AB57" i="42"/>
  <c r="C57" i="42"/>
  <c r="AA57" i="42"/>
  <c r="B57" i="42"/>
  <c r="H69" i="42"/>
  <c r="AC69" i="42" s="1"/>
  <c r="F46" i="42"/>
  <c r="AC46" i="42" s="1"/>
  <c r="AB34" i="42"/>
  <c r="AA34" i="42"/>
  <c r="B59" i="42"/>
  <c r="H71" i="42"/>
  <c r="C59" i="42"/>
  <c r="H68" i="42"/>
  <c r="AC68" i="42" s="1"/>
  <c r="AB56" i="42"/>
  <c r="C56" i="42"/>
  <c r="I56" i="42"/>
  <c r="AA56" i="42"/>
  <c r="B56" i="42"/>
  <c r="B63" i="42"/>
  <c r="H75" i="42"/>
  <c r="C63" i="42"/>
  <c r="F35" i="42"/>
  <c r="AA23" i="42"/>
  <c r="AB23" i="42"/>
  <c r="H72" i="42"/>
  <c r="C60" i="42"/>
  <c r="B60" i="42"/>
  <c r="H88" i="42"/>
  <c r="C76" i="42"/>
  <c r="B76" i="42"/>
  <c r="AA55" i="42"/>
  <c r="B55" i="42"/>
  <c r="H67" i="42"/>
  <c r="AC67" i="42" s="1"/>
  <c r="AB55" i="42"/>
  <c r="C55" i="42"/>
  <c r="I55" i="42"/>
  <c r="C65" i="42"/>
  <c r="B65" i="42"/>
  <c r="H77" i="42"/>
  <c r="Z24" i="1"/>
  <c r="C18" i="42"/>
  <c r="C14" i="42"/>
  <c r="I10" i="42"/>
  <c r="C10" i="42"/>
  <c r="I7" i="42"/>
  <c r="I8" i="42"/>
  <c r="C15" i="42"/>
  <c r="I11" i="42"/>
  <c r="C17" i="42"/>
  <c r="C13" i="42"/>
  <c r="I9" i="42"/>
  <c r="C9" i="42"/>
  <c r="C8" i="42"/>
  <c r="C28" i="42"/>
  <c r="C24" i="42"/>
  <c r="C23" i="42"/>
  <c r="C20" i="42"/>
  <c r="C19" i="42"/>
  <c r="C11" i="42"/>
  <c r="C16" i="42"/>
  <c r="I12" i="42"/>
  <c r="C12" i="42"/>
  <c r="C7" i="42"/>
  <c r="C30" i="42"/>
  <c r="C26" i="42"/>
  <c r="C21" i="42"/>
  <c r="C40" i="42"/>
  <c r="C27" i="42"/>
  <c r="I21" i="42"/>
  <c r="I22" i="42"/>
  <c r="C29" i="42"/>
  <c r="C22" i="42"/>
  <c r="C25" i="42"/>
  <c r="I19" i="42"/>
  <c r="I23" i="42"/>
  <c r="I20" i="42"/>
  <c r="C34" i="42"/>
  <c r="C42" i="42"/>
  <c r="C32" i="42"/>
  <c r="C38" i="42"/>
  <c r="I34" i="42"/>
  <c r="C36" i="42"/>
  <c r="C37" i="42"/>
  <c r="I32" i="42"/>
  <c r="C35" i="42"/>
  <c r="C33" i="42"/>
  <c r="C39" i="42"/>
  <c r="I33" i="42"/>
  <c r="C41" i="42"/>
  <c r="C31" i="42"/>
  <c r="C52" i="42"/>
  <c r="I31" i="42"/>
  <c r="B58" i="42"/>
  <c r="H70" i="42"/>
  <c r="C58" i="42"/>
  <c r="H73" i="42"/>
  <c r="C61" i="42"/>
  <c r="B61" i="42"/>
  <c r="F13" i="42"/>
  <c r="AA12" i="42"/>
  <c r="AB12" i="42"/>
  <c r="F24" i="42"/>
  <c r="AC24" i="42" s="1"/>
  <c r="B66" i="42"/>
  <c r="H78" i="42"/>
  <c r="C66" i="42"/>
  <c r="C49" i="42"/>
  <c r="C50" i="42"/>
  <c r="C48" i="42"/>
  <c r="C64" i="42"/>
  <c r="I43" i="42"/>
  <c r="C43" i="42"/>
  <c r="BB6" i="1"/>
  <c r="I13" i="42" l="1"/>
  <c r="AC13" i="42"/>
  <c r="I35" i="42"/>
  <c r="AC35" i="42"/>
  <c r="I34" i="43"/>
  <c r="I12" i="43"/>
  <c r="B77" i="43"/>
  <c r="H89" i="43"/>
  <c r="C77" i="43"/>
  <c r="B73" i="43"/>
  <c r="H85" i="43"/>
  <c r="C73" i="43"/>
  <c r="F35" i="43"/>
  <c r="AC35" i="43" s="1"/>
  <c r="AA23" i="43"/>
  <c r="AB23" i="43"/>
  <c r="H102" i="43"/>
  <c r="C90" i="43"/>
  <c r="B90" i="43"/>
  <c r="H98" i="43"/>
  <c r="C86" i="43"/>
  <c r="B86" i="43"/>
  <c r="F57" i="43"/>
  <c r="AC57" i="43" s="1"/>
  <c r="AB45" i="43"/>
  <c r="AA45" i="43"/>
  <c r="I45" i="43"/>
  <c r="AW13" i="43"/>
  <c r="B76" i="43"/>
  <c r="H88" i="43"/>
  <c r="C76" i="43"/>
  <c r="AA68" i="43"/>
  <c r="B68" i="43"/>
  <c r="H80" i="43"/>
  <c r="AC80" i="43" s="1"/>
  <c r="AB68" i="43"/>
  <c r="C68" i="43"/>
  <c r="I68" i="43"/>
  <c r="B72" i="43"/>
  <c r="H84" i="43"/>
  <c r="C72" i="43"/>
  <c r="H82" i="43"/>
  <c r="C70" i="43"/>
  <c r="B70" i="43"/>
  <c r="F46" i="43"/>
  <c r="AC46" i="43" s="1"/>
  <c r="AA34" i="43"/>
  <c r="AB34" i="43"/>
  <c r="F24" i="43"/>
  <c r="AC24" i="43" s="1"/>
  <c r="F13" i="43"/>
  <c r="AC13" i="43" s="1"/>
  <c r="AA12" i="43"/>
  <c r="AB12" i="43"/>
  <c r="B69" i="43"/>
  <c r="H81" i="43"/>
  <c r="C69" i="43"/>
  <c r="B75" i="43"/>
  <c r="H87" i="43"/>
  <c r="C75" i="43"/>
  <c r="I67" i="43"/>
  <c r="AA67" i="43"/>
  <c r="B67" i="43"/>
  <c r="H79" i="43"/>
  <c r="AC79" i="43" s="1"/>
  <c r="AB67" i="43"/>
  <c r="C67" i="43"/>
  <c r="B71" i="43"/>
  <c r="H83" i="43"/>
  <c r="C71" i="43"/>
  <c r="H100" i="42"/>
  <c r="C88" i="42"/>
  <c r="B88" i="42"/>
  <c r="F36" i="42"/>
  <c r="AC36" i="42" s="1"/>
  <c r="AB24" i="42"/>
  <c r="AA24" i="42"/>
  <c r="B70" i="42"/>
  <c r="H82" i="42"/>
  <c r="C70" i="42"/>
  <c r="F47" i="42"/>
  <c r="AC47" i="42" s="1"/>
  <c r="AB35" i="42"/>
  <c r="AA35" i="42"/>
  <c r="B75" i="42"/>
  <c r="H87" i="42"/>
  <c r="C75" i="42"/>
  <c r="B71" i="42"/>
  <c r="H83" i="42"/>
  <c r="C71" i="42"/>
  <c r="I69" i="42"/>
  <c r="H81" i="42"/>
  <c r="AC81" i="42" s="1"/>
  <c r="AB69" i="42"/>
  <c r="C69" i="42"/>
  <c r="AA69" i="42"/>
  <c r="B69" i="42"/>
  <c r="B74" i="42"/>
  <c r="H86" i="42"/>
  <c r="C74" i="42"/>
  <c r="AW13" i="42"/>
  <c r="I24" i="42"/>
  <c r="AA67" i="42"/>
  <c r="B67" i="42"/>
  <c r="H79" i="42"/>
  <c r="AC79" i="42" s="1"/>
  <c r="AB67" i="42"/>
  <c r="C67" i="42"/>
  <c r="I67" i="42"/>
  <c r="H84" i="42"/>
  <c r="C72" i="42"/>
  <c r="B72" i="42"/>
  <c r="H90" i="42"/>
  <c r="B78" i="42"/>
  <c r="C78" i="42"/>
  <c r="AB13" i="42"/>
  <c r="F14" i="42"/>
  <c r="AC14" i="42" s="1"/>
  <c r="AA13" i="42"/>
  <c r="F25" i="42"/>
  <c r="AC25" i="42" s="1"/>
  <c r="H85" i="42"/>
  <c r="C73" i="42"/>
  <c r="B73" i="42"/>
  <c r="H89" i="42"/>
  <c r="C77" i="42"/>
  <c r="B77" i="42"/>
  <c r="H80" i="42"/>
  <c r="AC80" i="42" s="1"/>
  <c r="AB68" i="42"/>
  <c r="C68" i="42"/>
  <c r="I68" i="42"/>
  <c r="AA68" i="42"/>
  <c r="B68" i="42"/>
  <c r="F58" i="42"/>
  <c r="AC58" i="42" s="1"/>
  <c r="I46" i="42"/>
  <c r="AA46" i="42"/>
  <c r="AB46" i="42"/>
  <c r="Z79" i="1"/>
  <c r="V80" i="1" s="1"/>
  <c r="Z80" i="1"/>
  <c r="AA80" i="1" s="1"/>
  <c r="W81" i="1" s="1"/>
  <c r="Z81" i="1"/>
  <c r="V82" i="1" s="1"/>
  <c r="Z82" i="1"/>
  <c r="AA82" i="1" s="1"/>
  <c r="W83" i="1" s="1"/>
  <c r="Z83" i="1"/>
  <c r="V84" i="1" s="1"/>
  <c r="Z84" i="1"/>
  <c r="AA84" i="1" s="1"/>
  <c r="W85" i="1" s="1"/>
  <c r="Z85" i="1"/>
  <c r="V86" i="1" s="1"/>
  <c r="Z86" i="1"/>
  <c r="AA86" i="1" s="1"/>
  <c r="W87" i="1" s="1"/>
  <c r="Z87" i="1"/>
  <c r="V88" i="1" s="1"/>
  <c r="Z88" i="1"/>
  <c r="AA88" i="1" s="1"/>
  <c r="W89" i="1" s="1"/>
  <c r="Z89" i="1"/>
  <c r="V90" i="1" s="1"/>
  <c r="Z90" i="1"/>
  <c r="AA90" i="1" s="1"/>
  <c r="W91" i="1" s="1"/>
  <c r="Z91" i="1"/>
  <c r="V92" i="1" s="1"/>
  <c r="Z92" i="1"/>
  <c r="AA92" i="1" s="1"/>
  <c r="W93" i="1" s="1"/>
  <c r="Z93" i="1"/>
  <c r="V94" i="1" s="1"/>
  <c r="Z94" i="1"/>
  <c r="AA94" i="1" s="1"/>
  <c r="W95" i="1" s="1"/>
  <c r="Z95" i="1"/>
  <c r="V96" i="1" s="1"/>
  <c r="Z96" i="1"/>
  <c r="AA96" i="1" s="1"/>
  <c r="W97" i="1" s="1"/>
  <c r="Z97" i="1"/>
  <c r="V98" i="1" s="1"/>
  <c r="Z98" i="1"/>
  <c r="AA98" i="1" s="1"/>
  <c r="W99" i="1" s="1"/>
  <c r="Z99" i="1"/>
  <c r="V100" i="1" s="1"/>
  <c r="Z100" i="1"/>
  <c r="AA100" i="1" s="1"/>
  <c r="W101" i="1" s="1"/>
  <c r="Z101" i="1"/>
  <c r="V102" i="1" s="1"/>
  <c r="Z102" i="1"/>
  <c r="AA102" i="1" s="1"/>
  <c r="W103" i="1" s="1"/>
  <c r="Z103" i="1"/>
  <c r="V104" i="1" s="1"/>
  <c r="Z104" i="1"/>
  <c r="AA104" i="1" s="1"/>
  <c r="W105" i="1" s="1"/>
  <c r="Z105" i="1"/>
  <c r="V106" i="1" s="1"/>
  <c r="Z106" i="1"/>
  <c r="AA106" i="1" s="1"/>
  <c r="W107" i="1" s="1"/>
  <c r="Z107" i="1"/>
  <c r="V108" i="1" s="1"/>
  <c r="Z108" i="1"/>
  <c r="AA108" i="1" s="1"/>
  <c r="W109" i="1" s="1"/>
  <c r="Z109" i="1"/>
  <c r="V110" i="1" s="1"/>
  <c r="Z110" i="1"/>
  <c r="AA110" i="1" s="1"/>
  <c r="W111" i="1" s="1"/>
  <c r="Z111" i="1"/>
  <c r="V112" i="1" s="1"/>
  <c r="Z112" i="1"/>
  <c r="AA112" i="1" s="1"/>
  <c r="W113" i="1" s="1"/>
  <c r="Z113" i="1"/>
  <c r="V114" i="1" s="1"/>
  <c r="Z114" i="1"/>
  <c r="AA114" i="1" s="1"/>
  <c r="W115" i="1" s="1"/>
  <c r="Z115" i="1"/>
  <c r="V116" i="1" s="1"/>
  <c r="Z116" i="1"/>
  <c r="AA116" i="1" s="1"/>
  <c r="W117" i="1" s="1"/>
  <c r="Z117" i="1"/>
  <c r="V118" i="1" s="1"/>
  <c r="Z118" i="1"/>
  <c r="AA118" i="1" s="1"/>
  <c r="W119" i="1" s="1"/>
  <c r="Z119" i="1"/>
  <c r="AA119" i="1" s="1"/>
  <c r="B81" i="43" l="1"/>
  <c r="H93" i="43"/>
  <c r="C81" i="43"/>
  <c r="F36" i="43"/>
  <c r="AC36" i="43" s="1"/>
  <c r="AB24" i="43"/>
  <c r="AA24" i="43"/>
  <c r="I24" i="43"/>
  <c r="H114" i="43"/>
  <c r="C102" i="43"/>
  <c r="B102" i="43"/>
  <c r="F47" i="43"/>
  <c r="AC47" i="43" s="1"/>
  <c r="AB35" i="43"/>
  <c r="AA35" i="43"/>
  <c r="I35" i="43"/>
  <c r="F58" i="43"/>
  <c r="AC58" i="43" s="1"/>
  <c r="AA46" i="43"/>
  <c r="AB46" i="43"/>
  <c r="I46" i="43"/>
  <c r="H94" i="43"/>
  <c r="C82" i="43"/>
  <c r="B82" i="43"/>
  <c r="AW14" i="43"/>
  <c r="B83" i="43"/>
  <c r="H95" i="43"/>
  <c r="C83" i="43"/>
  <c r="I79" i="43"/>
  <c r="AA79" i="43"/>
  <c r="B79" i="43"/>
  <c r="H91" i="43"/>
  <c r="AC91" i="43" s="1"/>
  <c r="AB79" i="43"/>
  <c r="C79" i="43"/>
  <c r="B87" i="43"/>
  <c r="H99" i="43"/>
  <c r="C87" i="43"/>
  <c r="F25" i="43"/>
  <c r="AC25" i="43" s="1"/>
  <c r="F14" i="43"/>
  <c r="AC14" i="43" s="1"/>
  <c r="AA13" i="43"/>
  <c r="AB13" i="43"/>
  <c r="I13" i="43"/>
  <c r="B84" i="43"/>
  <c r="H96" i="43"/>
  <c r="C84" i="43"/>
  <c r="AA80" i="43"/>
  <c r="B80" i="43"/>
  <c r="H92" i="43"/>
  <c r="AC92" i="43" s="1"/>
  <c r="AB80" i="43"/>
  <c r="C80" i="43"/>
  <c r="I80" i="43"/>
  <c r="F69" i="43"/>
  <c r="AC69" i="43" s="1"/>
  <c r="AA57" i="43"/>
  <c r="I57" i="43"/>
  <c r="AB57" i="43"/>
  <c r="H110" i="43"/>
  <c r="C98" i="43"/>
  <c r="B98" i="43"/>
  <c r="B88" i="43"/>
  <c r="H100" i="43"/>
  <c r="C88" i="43"/>
  <c r="B85" i="43"/>
  <c r="H97" i="43"/>
  <c r="C85" i="43"/>
  <c r="B89" i="43"/>
  <c r="H101" i="43"/>
  <c r="C89" i="43"/>
  <c r="H101" i="42"/>
  <c r="B89" i="42"/>
  <c r="C89" i="42"/>
  <c r="H99" i="42"/>
  <c r="B87" i="42"/>
  <c r="C87" i="42"/>
  <c r="F37" i="42"/>
  <c r="AC37" i="42" s="1"/>
  <c r="AB25" i="42"/>
  <c r="AA25" i="42"/>
  <c r="I25" i="42"/>
  <c r="H102" i="42"/>
  <c r="B90" i="42"/>
  <c r="C90" i="42"/>
  <c r="H96" i="42"/>
  <c r="C84" i="42"/>
  <c r="B84" i="42"/>
  <c r="B100" i="42"/>
  <c r="H112" i="42"/>
  <c r="C100" i="42"/>
  <c r="F70" i="42"/>
  <c r="AC70" i="42" s="1"/>
  <c r="AB58" i="42"/>
  <c r="AA58" i="42"/>
  <c r="I58" i="42"/>
  <c r="H92" i="42"/>
  <c r="AC92" i="42" s="1"/>
  <c r="AB80" i="42"/>
  <c r="C80" i="42"/>
  <c r="AA80" i="42"/>
  <c r="I80" i="42"/>
  <c r="B80" i="42"/>
  <c r="AW14" i="42"/>
  <c r="H97" i="42"/>
  <c r="B85" i="42"/>
  <c r="C85" i="42"/>
  <c r="AB14" i="42"/>
  <c r="F26" i="42"/>
  <c r="AC26" i="42" s="1"/>
  <c r="F15" i="42"/>
  <c r="AC15" i="42" s="1"/>
  <c r="AA14" i="42"/>
  <c r="I14" i="42"/>
  <c r="H98" i="42"/>
  <c r="B86" i="42"/>
  <c r="C86" i="42"/>
  <c r="B82" i="42"/>
  <c r="H94" i="42"/>
  <c r="C82" i="42"/>
  <c r="AA79" i="42"/>
  <c r="B79" i="42"/>
  <c r="H91" i="42"/>
  <c r="AC91" i="42" s="1"/>
  <c r="AB79" i="42"/>
  <c r="C79" i="42"/>
  <c r="I79" i="42"/>
  <c r="H95" i="42"/>
  <c r="B83" i="42"/>
  <c r="C83" i="42"/>
  <c r="I81" i="42"/>
  <c r="C81" i="42"/>
  <c r="AB81" i="42"/>
  <c r="H93" i="42"/>
  <c r="AC93" i="42" s="1"/>
  <c r="AA81" i="42"/>
  <c r="B81" i="42"/>
  <c r="F59" i="42"/>
  <c r="AC59" i="42" s="1"/>
  <c r="AA47" i="42"/>
  <c r="AB47" i="42"/>
  <c r="I47" i="42"/>
  <c r="F48" i="42"/>
  <c r="AC48" i="42" s="1"/>
  <c r="AA36" i="42"/>
  <c r="AB36" i="42"/>
  <c r="I36" i="42"/>
  <c r="V119" i="1"/>
  <c r="V117" i="1"/>
  <c r="V115" i="1"/>
  <c r="V113" i="1"/>
  <c r="V111" i="1"/>
  <c r="V109" i="1"/>
  <c r="V107" i="1"/>
  <c r="V105" i="1"/>
  <c r="V103" i="1"/>
  <c r="V101" i="1"/>
  <c r="V99" i="1"/>
  <c r="V97" i="1"/>
  <c r="V95" i="1"/>
  <c r="V93" i="1"/>
  <c r="V91" i="1"/>
  <c r="V89" i="1"/>
  <c r="V87" i="1"/>
  <c r="V85" i="1"/>
  <c r="V83" i="1"/>
  <c r="V81" i="1"/>
  <c r="AA107" i="1"/>
  <c r="W108" i="1" s="1"/>
  <c r="AA81" i="1"/>
  <c r="W82" i="1" s="1"/>
  <c r="AA117" i="1"/>
  <c r="W118" i="1" s="1"/>
  <c r="AA115" i="1"/>
  <c r="W116" i="1" s="1"/>
  <c r="AA113" i="1"/>
  <c r="W114" i="1" s="1"/>
  <c r="AA111" i="1"/>
  <c r="W112" i="1" s="1"/>
  <c r="AA109" i="1"/>
  <c r="W110" i="1" s="1"/>
  <c r="AA105" i="1"/>
  <c r="W106" i="1" s="1"/>
  <c r="AA103" i="1"/>
  <c r="W104" i="1" s="1"/>
  <c r="AA101" i="1"/>
  <c r="W102" i="1" s="1"/>
  <c r="AA99" i="1"/>
  <c r="W100" i="1" s="1"/>
  <c r="AA97" i="1"/>
  <c r="W98" i="1" s="1"/>
  <c r="AA95" i="1"/>
  <c r="W96" i="1" s="1"/>
  <c r="AA93" i="1"/>
  <c r="W94" i="1" s="1"/>
  <c r="AA91" i="1"/>
  <c r="W92" i="1" s="1"/>
  <c r="AA89" i="1"/>
  <c r="W90" i="1" s="1"/>
  <c r="AA87" i="1"/>
  <c r="W88" i="1" s="1"/>
  <c r="AA85" i="1"/>
  <c r="W86" i="1" s="1"/>
  <c r="AA83" i="1"/>
  <c r="W84" i="1" s="1"/>
  <c r="AA79" i="1"/>
  <c r="W80" i="1" s="1"/>
  <c r="H113" i="43" l="1"/>
  <c r="B101" i="43"/>
  <c r="C101" i="43"/>
  <c r="H109" i="43"/>
  <c r="B97" i="43"/>
  <c r="C97" i="43"/>
  <c r="B110" i="43"/>
  <c r="H122" i="43"/>
  <c r="C110" i="43"/>
  <c r="F26" i="43"/>
  <c r="AC26" i="43" s="1"/>
  <c r="F15" i="43"/>
  <c r="AC15" i="43" s="1"/>
  <c r="AA14" i="43"/>
  <c r="AB14" i="43"/>
  <c r="I14" i="43"/>
  <c r="H111" i="43"/>
  <c r="B99" i="43"/>
  <c r="C99" i="43"/>
  <c r="I91" i="43"/>
  <c r="AA91" i="43"/>
  <c r="B91" i="43"/>
  <c r="H103" i="43"/>
  <c r="AC103" i="43" s="1"/>
  <c r="AB91" i="43"/>
  <c r="C91" i="43"/>
  <c r="B95" i="43"/>
  <c r="H107" i="43"/>
  <c r="C95" i="43"/>
  <c r="AW15" i="43"/>
  <c r="H106" i="43"/>
  <c r="C94" i="43"/>
  <c r="B94" i="43"/>
  <c r="F59" i="43"/>
  <c r="AC59" i="43" s="1"/>
  <c r="AA47" i="43"/>
  <c r="AB47" i="43"/>
  <c r="I47" i="43"/>
  <c r="B114" i="43"/>
  <c r="H126" i="43"/>
  <c r="C114" i="43"/>
  <c r="B93" i="43"/>
  <c r="H105" i="43"/>
  <c r="C93" i="43"/>
  <c r="H112" i="43"/>
  <c r="B100" i="43"/>
  <c r="C100" i="43"/>
  <c r="AA92" i="43"/>
  <c r="B92" i="43"/>
  <c r="H104" i="43"/>
  <c r="AC104" i="43" s="1"/>
  <c r="AB92" i="43"/>
  <c r="C92" i="43"/>
  <c r="I92" i="43"/>
  <c r="B96" i="43"/>
  <c r="H108" i="43"/>
  <c r="C96" i="43"/>
  <c r="F48" i="43"/>
  <c r="AC48" i="43" s="1"/>
  <c r="AB36" i="43"/>
  <c r="AA36" i="43"/>
  <c r="I36" i="43"/>
  <c r="F81" i="43"/>
  <c r="AC81" i="43" s="1"/>
  <c r="AA69" i="43"/>
  <c r="I69" i="43"/>
  <c r="AB69" i="43"/>
  <c r="F37" i="43"/>
  <c r="AC37" i="43" s="1"/>
  <c r="AB25" i="43"/>
  <c r="AA25" i="43"/>
  <c r="I25" i="43"/>
  <c r="F70" i="43"/>
  <c r="AC70" i="43" s="1"/>
  <c r="AB58" i="43"/>
  <c r="I58" i="43"/>
  <c r="AA58" i="43"/>
  <c r="F60" i="42"/>
  <c r="AC60" i="42" s="1"/>
  <c r="AA48" i="42"/>
  <c r="AB48" i="42"/>
  <c r="I48" i="42"/>
  <c r="C94" i="42"/>
  <c r="B94" i="42"/>
  <c r="H106" i="42"/>
  <c r="F16" i="42"/>
  <c r="AC16" i="42" s="1"/>
  <c r="AA15" i="42"/>
  <c r="F27" i="42"/>
  <c r="AC27" i="42" s="1"/>
  <c r="AB15" i="42"/>
  <c r="I15" i="42"/>
  <c r="H109" i="42"/>
  <c r="C97" i="42"/>
  <c r="B97" i="42"/>
  <c r="F82" i="42"/>
  <c r="AC82" i="42" s="1"/>
  <c r="AB70" i="42"/>
  <c r="AA70" i="42"/>
  <c r="I70" i="42"/>
  <c r="B99" i="42"/>
  <c r="H111" i="42"/>
  <c r="C99" i="42"/>
  <c r="H113" i="42"/>
  <c r="C101" i="42"/>
  <c r="B101" i="42"/>
  <c r="AW15" i="42"/>
  <c r="H104" i="42"/>
  <c r="AC104" i="42" s="1"/>
  <c r="AB92" i="42"/>
  <c r="C92" i="42"/>
  <c r="AA92" i="42"/>
  <c r="I92" i="42"/>
  <c r="B92" i="42"/>
  <c r="B102" i="42"/>
  <c r="H114" i="42"/>
  <c r="C102" i="42"/>
  <c r="B96" i="42"/>
  <c r="H108" i="42"/>
  <c r="C96" i="42"/>
  <c r="F71" i="42"/>
  <c r="AC71" i="42" s="1"/>
  <c r="AB59" i="42"/>
  <c r="I59" i="42"/>
  <c r="AA59" i="42"/>
  <c r="H105" i="42"/>
  <c r="AC105" i="42" s="1"/>
  <c r="I93" i="42"/>
  <c r="AA93" i="42"/>
  <c r="C93" i="42"/>
  <c r="AB93" i="42"/>
  <c r="B93" i="42"/>
  <c r="B95" i="42"/>
  <c r="H107" i="42"/>
  <c r="C95" i="42"/>
  <c r="H103" i="42"/>
  <c r="AC103" i="42" s="1"/>
  <c r="AA91" i="42"/>
  <c r="B91" i="42"/>
  <c r="AB91" i="42"/>
  <c r="I91" i="42"/>
  <c r="C91" i="42"/>
  <c r="B98" i="42"/>
  <c r="C98" i="42"/>
  <c r="H110" i="42"/>
  <c r="F38" i="42"/>
  <c r="AC38" i="42" s="1"/>
  <c r="AA26" i="42"/>
  <c r="AB26" i="42"/>
  <c r="I26" i="42"/>
  <c r="B112" i="42"/>
  <c r="H124" i="42"/>
  <c r="C112" i="42"/>
  <c r="F49" i="42"/>
  <c r="AC49" i="42" s="1"/>
  <c r="AB37" i="42"/>
  <c r="AA37" i="42"/>
  <c r="I37" i="42"/>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U6" i="1"/>
  <c r="BW91" i="43" l="1"/>
  <c r="BW11" i="43"/>
  <c r="BW7" i="43"/>
  <c r="BW14" i="43"/>
  <c r="BW10" i="43"/>
  <c r="BW13" i="43"/>
  <c r="BW9" i="43"/>
  <c r="BW12" i="43"/>
  <c r="BW8" i="43"/>
  <c r="BW80" i="43"/>
  <c r="BW79" i="43"/>
  <c r="BW33" i="43"/>
  <c r="BW36" i="43"/>
  <c r="BW32" i="43"/>
  <c r="BW35" i="43"/>
  <c r="BW31" i="43"/>
  <c r="BW34" i="43"/>
  <c r="F60" i="43"/>
  <c r="AC60" i="43" s="1"/>
  <c r="AA48" i="43"/>
  <c r="AB48" i="43"/>
  <c r="I48" i="43"/>
  <c r="BW48" i="43" s="1"/>
  <c r="AW16" i="43"/>
  <c r="F38" i="43"/>
  <c r="AC38" i="43" s="1"/>
  <c r="AA26" i="43"/>
  <c r="AB26" i="43"/>
  <c r="I26" i="43"/>
  <c r="BW26" i="43" s="1"/>
  <c r="B109" i="43"/>
  <c r="H121" i="43"/>
  <c r="C109" i="43"/>
  <c r="B113" i="43"/>
  <c r="H125" i="43"/>
  <c r="C113" i="43"/>
  <c r="J17" i="43"/>
  <c r="J13" i="43"/>
  <c r="J9" i="43"/>
  <c r="J7" i="43"/>
  <c r="J16" i="43"/>
  <c r="J12" i="43"/>
  <c r="J8" i="43"/>
  <c r="J15" i="43"/>
  <c r="J11" i="43"/>
  <c r="J18" i="43"/>
  <c r="J14" i="43"/>
  <c r="J10" i="43"/>
  <c r="BW91" i="42"/>
  <c r="BW45" i="43"/>
  <c r="BW46" i="43"/>
  <c r="BW43" i="43"/>
  <c r="BW47" i="43"/>
  <c r="BW44" i="43"/>
  <c r="F82" i="43"/>
  <c r="AC82" i="43" s="1"/>
  <c r="I70" i="43"/>
  <c r="BW70" i="43" s="1"/>
  <c r="AA70" i="43"/>
  <c r="AB70" i="43"/>
  <c r="F93" i="43"/>
  <c r="AC93" i="43" s="1"/>
  <c r="AA81" i="43"/>
  <c r="I81" i="43"/>
  <c r="AB81" i="43"/>
  <c r="H120" i="43"/>
  <c r="B108" i="43"/>
  <c r="C108" i="43"/>
  <c r="H116" i="43"/>
  <c r="AC116" i="43" s="1"/>
  <c r="AA104" i="43"/>
  <c r="B104" i="43"/>
  <c r="AB104" i="43"/>
  <c r="C104" i="43"/>
  <c r="I104" i="43"/>
  <c r="F27" i="43"/>
  <c r="AC27" i="43" s="1"/>
  <c r="AB15" i="43"/>
  <c r="F16" i="43"/>
  <c r="AC16" i="43" s="1"/>
  <c r="AA15" i="43"/>
  <c r="I15" i="43"/>
  <c r="BW58" i="43"/>
  <c r="BW56" i="43"/>
  <c r="BW55" i="43"/>
  <c r="BW57" i="43"/>
  <c r="F49" i="43"/>
  <c r="AC49" i="43" s="1"/>
  <c r="AA37" i="43"/>
  <c r="AB37" i="43"/>
  <c r="I37" i="43"/>
  <c r="BW37" i="43" s="1"/>
  <c r="B112" i="43"/>
  <c r="H124" i="43"/>
  <c r="C112" i="43"/>
  <c r="H117" i="43"/>
  <c r="B105" i="43"/>
  <c r="C105" i="43"/>
  <c r="B126" i="43"/>
  <c r="H138" i="43"/>
  <c r="C126" i="43"/>
  <c r="F71" i="43"/>
  <c r="AC71" i="43" s="1"/>
  <c r="I59" i="43"/>
  <c r="AA59" i="43"/>
  <c r="AB59" i="43"/>
  <c r="H123" i="43"/>
  <c r="C111" i="43"/>
  <c r="B111" i="43"/>
  <c r="BW92" i="43"/>
  <c r="BW68" i="43"/>
  <c r="BW67" i="43"/>
  <c r="BW69" i="43"/>
  <c r="BW19" i="43"/>
  <c r="BW23" i="43"/>
  <c r="BW20" i="43"/>
  <c r="BW22" i="43"/>
  <c r="BW24" i="43"/>
  <c r="BW21" i="43"/>
  <c r="BW25" i="43"/>
  <c r="H118" i="43"/>
  <c r="C106" i="43"/>
  <c r="B106" i="43"/>
  <c r="H119" i="43"/>
  <c r="B107" i="43"/>
  <c r="C107" i="43"/>
  <c r="H115" i="43"/>
  <c r="AC115" i="43" s="1"/>
  <c r="I103" i="43"/>
  <c r="AA103" i="43"/>
  <c r="B103" i="43"/>
  <c r="AB103" i="43"/>
  <c r="C103" i="43"/>
  <c r="B122" i="43"/>
  <c r="H134" i="43"/>
  <c r="C122" i="43"/>
  <c r="F61" i="42"/>
  <c r="AC61" i="42" s="1"/>
  <c r="AB49" i="42"/>
  <c r="AA49" i="42"/>
  <c r="I49" i="42"/>
  <c r="BW49" i="42" s="1"/>
  <c r="F50" i="42"/>
  <c r="AC50" i="42" s="1"/>
  <c r="AA38" i="42"/>
  <c r="AB38" i="42"/>
  <c r="I38" i="42"/>
  <c r="BW38" i="42" s="1"/>
  <c r="AA103" i="42"/>
  <c r="B103" i="42"/>
  <c r="H115" i="42"/>
  <c r="AC115" i="42" s="1"/>
  <c r="AB103" i="42"/>
  <c r="C103" i="42"/>
  <c r="I103" i="42"/>
  <c r="BW103" i="42" s="1"/>
  <c r="H121" i="42"/>
  <c r="C109" i="42"/>
  <c r="B109" i="42"/>
  <c r="F17" i="42"/>
  <c r="AC17" i="42" s="1"/>
  <c r="AA16" i="42"/>
  <c r="AB16" i="42"/>
  <c r="F28" i="42"/>
  <c r="AC28" i="42" s="1"/>
  <c r="I16" i="42"/>
  <c r="BW16" i="42" s="1"/>
  <c r="BW46" i="42"/>
  <c r="BW44" i="42"/>
  <c r="BW45" i="42"/>
  <c r="BW47" i="42"/>
  <c r="BW43" i="42"/>
  <c r="BW48" i="42"/>
  <c r="F39" i="42"/>
  <c r="AC39" i="42" s="1"/>
  <c r="AA27" i="42"/>
  <c r="AB27" i="42"/>
  <c r="I27" i="42"/>
  <c r="BW27" i="42" s="1"/>
  <c r="B106" i="42"/>
  <c r="H118" i="42"/>
  <c r="C106" i="42"/>
  <c r="F72" i="42"/>
  <c r="AC72" i="42" s="1"/>
  <c r="AA60" i="42"/>
  <c r="AB60" i="42"/>
  <c r="I60" i="42"/>
  <c r="BW60" i="42" s="1"/>
  <c r="B124" i="42"/>
  <c r="H136" i="42"/>
  <c r="C124" i="42"/>
  <c r="H117" i="42"/>
  <c r="AC117" i="42" s="1"/>
  <c r="AB105" i="42"/>
  <c r="C105" i="42"/>
  <c r="I105" i="42"/>
  <c r="BW105" i="42" s="1"/>
  <c r="AA105" i="42"/>
  <c r="B105" i="42"/>
  <c r="BW70" i="42"/>
  <c r="BW67" i="42"/>
  <c r="BW68" i="42"/>
  <c r="BW69" i="42"/>
  <c r="BW22" i="42"/>
  <c r="BW26" i="42"/>
  <c r="BW20" i="42"/>
  <c r="BW25" i="42"/>
  <c r="BW19" i="42"/>
  <c r="BW23" i="42"/>
  <c r="BW21" i="42"/>
  <c r="BW24" i="42"/>
  <c r="B107" i="42"/>
  <c r="H119" i="42"/>
  <c r="C107" i="42"/>
  <c r="B114" i="42"/>
  <c r="C114" i="42"/>
  <c r="H126" i="42"/>
  <c r="AW16" i="42"/>
  <c r="H125" i="42"/>
  <c r="C113" i="42"/>
  <c r="B113" i="42"/>
  <c r="BW93" i="42"/>
  <c r="J15" i="42"/>
  <c r="J11" i="42"/>
  <c r="J18" i="42"/>
  <c r="J14" i="42"/>
  <c r="J10" i="42"/>
  <c r="J7" i="42"/>
  <c r="J12" i="42"/>
  <c r="J8" i="42"/>
  <c r="J17" i="42"/>
  <c r="J13" i="42"/>
  <c r="J9" i="42"/>
  <c r="J16" i="42"/>
  <c r="F83" i="42"/>
  <c r="AC83" i="42" s="1"/>
  <c r="I71" i="42"/>
  <c r="AA71" i="42"/>
  <c r="AB71" i="42"/>
  <c r="BW57" i="42"/>
  <c r="BW59" i="42"/>
  <c r="BW58" i="42"/>
  <c r="BW56" i="42"/>
  <c r="BW55" i="42"/>
  <c r="AA104" i="42"/>
  <c r="B104" i="42"/>
  <c r="H116" i="42"/>
  <c r="AC116" i="42" s="1"/>
  <c r="AB104" i="42"/>
  <c r="C104" i="42"/>
  <c r="I104" i="42"/>
  <c r="BW104" i="42" s="1"/>
  <c r="F94" i="42"/>
  <c r="AC94" i="42" s="1"/>
  <c r="AA82" i="42"/>
  <c r="AB82" i="42"/>
  <c r="I82" i="42"/>
  <c r="BW82" i="42" s="1"/>
  <c r="BW13" i="42"/>
  <c r="BW9" i="42"/>
  <c r="BW12" i="42"/>
  <c r="BW8" i="42"/>
  <c r="BW7" i="42"/>
  <c r="BW10" i="42"/>
  <c r="BW15" i="42"/>
  <c r="BW11" i="42"/>
  <c r="BW14" i="42"/>
  <c r="BW79" i="42"/>
  <c r="BW80" i="42"/>
  <c r="BW81" i="42"/>
  <c r="BW36" i="42"/>
  <c r="BW33" i="42"/>
  <c r="BW37" i="42"/>
  <c r="BW34" i="42"/>
  <c r="BW32" i="42"/>
  <c r="BW31" i="42"/>
  <c r="BW35" i="42"/>
  <c r="B110" i="42"/>
  <c r="C110" i="42"/>
  <c r="H122" i="42"/>
  <c r="B108" i="42"/>
  <c r="H120" i="42"/>
  <c r="C108" i="42"/>
  <c r="B111" i="42"/>
  <c r="H123" i="42"/>
  <c r="C111" i="42"/>
  <c r="BW92" i="42"/>
  <c r="D14" i="2"/>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7" i="1"/>
  <c r="AB7" i="31"/>
  <c r="AA7" i="31"/>
  <c r="J124" i="42" l="1"/>
  <c r="J111" i="42"/>
  <c r="J104" i="43"/>
  <c r="J86" i="43"/>
  <c r="J90" i="43"/>
  <c r="J84" i="43"/>
  <c r="J80" i="43"/>
  <c r="J88" i="43"/>
  <c r="J81" i="43"/>
  <c r="J82" i="43"/>
  <c r="J83" i="43"/>
  <c r="J79" i="43"/>
  <c r="J87" i="43"/>
  <c r="J85" i="43"/>
  <c r="J89" i="43"/>
  <c r="J38" i="43"/>
  <c r="J42" i="43"/>
  <c r="J36" i="43"/>
  <c r="J32" i="43"/>
  <c r="J37" i="43"/>
  <c r="J33" i="43"/>
  <c r="J35" i="43"/>
  <c r="J31" i="43"/>
  <c r="J41" i="43"/>
  <c r="J40" i="43"/>
  <c r="J34" i="43"/>
  <c r="J39" i="43"/>
  <c r="H127" i="43"/>
  <c r="AC127" i="43" s="1"/>
  <c r="AB115" i="43"/>
  <c r="C115" i="43"/>
  <c r="J115" i="43" s="1"/>
  <c r="I115" i="43"/>
  <c r="BW115" i="43" s="1"/>
  <c r="AA115" i="43"/>
  <c r="B115" i="43"/>
  <c r="H131" i="43"/>
  <c r="C119" i="43"/>
  <c r="J119" i="43" s="1"/>
  <c r="B119" i="43"/>
  <c r="B118" i="43"/>
  <c r="H130" i="43"/>
  <c r="C118" i="43"/>
  <c r="J118" i="43" s="1"/>
  <c r="B117" i="43"/>
  <c r="H129" i="43"/>
  <c r="C117" i="43"/>
  <c r="J117" i="43" s="1"/>
  <c r="B120" i="43"/>
  <c r="H132" i="43"/>
  <c r="C120" i="43"/>
  <c r="J120" i="43" s="1"/>
  <c r="F50" i="43"/>
  <c r="AC50" i="43" s="1"/>
  <c r="AA38" i="43"/>
  <c r="AB38" i="43"/>
  <c r="I38" i="43"/>
  <c r="J106" i="43"/>
  <c r="J102" i="43"/>
  <c r="J98" i="43"/>
  <c r="J101" i="43"/>
  <c r="J97" i="43"/>
  <c r="J91" i="43"/>
  <c r="J95" i="43"/>
  <c r="J94" i="43"/>
  <c r="J93" i="43"/>
  <c r="J92" i="43"/>
  <c r="J96" i="43"/>
  <c r="J99" i="43"/>
  <c r="J100" i="43"/>
  <c r="J50" i="43"/>
  <c r="J54" i="43"/>
  <c r="J44" i="43"/>
  <c r="J48" i="43"/>
  <c r="J53" i="43"/>
  <c r="J49" i="43"/>
  <c r="J45" i="43"/>
  <c r="J51" i="43"/>
  <c r="J46" i="43"/>
  <c r="J43" i="43"/>
  <c r="J47" i="43"/>
  <c r="J52" i="43"/>
  <c r="B124" i="43"/>
  <c r="H136" i="43"/>
  <c r="C124" i="43"/>
  <c r="J124" i="43" s="1"/>
  <c r="F94" i="43"/>
  <c r="AC94" i="43" s="1"/>
  <c r="I82" i="43"/>
  <c r="AA82" i="43"/>
  <c r="AB82" i="43"/>
  <c r="J112" i="43"/>
  <c r="BW59" i="43"/>
  <c r="J112" i="42"/>
  <c r="J110" i="43"/>
  <c r="J114" i="43"/>
  <c r="J62" i="43"/>
  <c r="J66" i="43"/>
  <c r="J59" i="43"/>
  <c r="J55" i="43"/>
  <c r="J63" i="43"/>
  <c r="J57" i="43"/>
  <c r="J58" i="43"/>
  <c r="J60" i="43"/>
  <c r="J56" i="43"/>
  <c r="J64" i="43"/>
  <c r="J61" i="43"/>
  <c r="J65" i="43"/>
  <c r="F83" i="43"/>
  <c r="AC83" i="43" s="1"/>
  <c r="AB71" i="43"/>
  <c r="I71" i="43"/>
  <c r="AA71" i="43"/>
  <c r="F28" i="43"/>
  <c r="AC28" i="43" s="1"/>
  <c r="F17" i="43"/>
  <c r="AC17" i="43" s="1"/>
  <c r="AA16" i="43"/>
  <c r="AB16" i="43"/>
  <c r="I16" i="43"/>
  <c r="F105" i="43"/>
  <c r="AC105" i="43" s="1"/>
  <c r="AB93" i="43"/>
  <c r="AA93" i="43"/>
  <c r="I93" i="43"/>
  <c r="B125" i="43"/>
  <c r="H137" i="43"/>
  <c r="C125" i="43"/>
  <c r="J125" i="43" s="1"/>
  <c r="B121" i="43"/>
  <c r="H133" i="43"/>
  <c r="C121" i="43"/>
  <c r="J121" i="43" s="1"/>
  <c r="F72" i="43"/>
  <c r="AC72" i="43" s="1"/>
  <c r="AB60" i="43"/>
  <c r="AA60" i="43"/>
  <c r="I60" i="43"/>
  <c r="J103" i="43"/>
  <c r="J107" i="43"/>
  <c r="BW104" i="43"/>
  <c r="J108" i="43"/>
  <c r="J113" i="43"/>
  <c r="J109" i="43"/>
  <c r="BW15" i="43"/>
  <c r="J26" i="43"/>
  <c r="J25" i="43"/>
  <c r="J24" i="43"/>
  <c r="J23" i="43"/>
  <c r="J22" i="43"/>
  <c r="J21" i="43"/>
  <c r="J20" i="43"/>
  <c r="J19" i="43"/>
  <c r="J28" i="43"/>
  <c r="J30" i="43"/>
  <c r="J27" i="43"/>
  <c r="J29" i="43"/>
  <c r="J74" i="43"/>
  <c r="J78" i="43"/>
  <c r="J77" i="43"/>
  <c r="J73" i="43"/>
  <c r="J76" i="43"/>
  <c r="J68" i="43"/>
  <c r="J72" i="43"/>
  <c r="J75" i="43"/>
  <c r="J67" i="43"/>
  <c r="J71" i="43"/>
  <c r="J70" i="43"/>
  <c r="J69" i="43"/>
  <c r="B134" i="43"/>
  <c r="H146" i="43"/>
  <c r="C134" i="43"/>
  <c r="J134" i="43" s="1"/>
  <c r="H135" i="43"/>
  <c r="C123" i="43"/>
  <c r="J123" i="43" s="1"/>
  <c r="B123" i="43"/>
  <c r="B138" i="43"/>
  <c r="H150" i="43"/>
  <c r="C138" i="43"/>
  <c r="J138" i="43" s="1"/>
  <c r="F61" i="43"/>
  <c r="AC61" i="43" s="1"/>
  <c r="AB49" i="43"/>
  <c r="AA49" i="43"/>
  <c r="I49" i="43"/>
  <c r="F39" i="43"/>
  <c r="AC39" i="43" s="1"/>
  <c r="AB27" i="43"/>
  <c r="AA27" i="43"/>
  <c r="I27" i="43"/>
  <c r="I116" i="43"/>
  <c r="BW116" i="43" s="1"/>
  <c r="AA116" i="43"/>
  <c r="B116" i="43"/>
  <c r="H128" i="43"/>
  <c r="AC128" i="43" s="1"/>
  <c r="AB116" i="43"/>
  <c r="C116" i="43"/>
  <c r="J116" i="43" s="1"/>
  <c r="AW17" i="43"/>
  <c r="J122" i="43"/>
  <c r="BW103" i="43"/>
  <c r="J111" i="43"/>
  <c r="J126" i="43"/>
  <c r="J105" i="43"/>
  <c r="BW81" i="43"/>
  <c r="J110" i="42"/>
  <c r="J113" i="42"/>
  <c r="J114" i="42"/>
  <c r="B123" i="42"/>
  <c r="H135" i="42"/>
  <c r="C123" i="42"/>
  <c r="J123" i="42" s="1"/>
  <c r="B120" i="42"/>
  <c r="H132" i="42"/>
  <c r="C120" i="42"/>
  <c r="J120" i="42" s="1"/>
  <c r="F73" i="42"/>
  <c r="AC73" i="42" s="1"/>
  <c r="AA61" i="42"/>
  <c r="I61" i="42"/>
  <c r="AB61" i="42"/>
  <c r="J19" i="42"/>
  <c r="J21" i="42"/>
  <c r="J23" i="42"/>
  <c r="J25" i="42"/>
  <c r="J27" i="42"/>
  <c r="J29" i="42"/>
  <c r="J20" i="42"/>
  <c r="J22" i="42"/>
  <c r="J24" i="42"/>
  <c r="J26" i="42"/>
  <c r="J28" i="42"/>
  <c r="J30" i="42"/>
  <c r="J88" i="42"/>
  <c r="J80" i="42"/>
  <c r="J89" i="42"/>
  <c r="J82" i="42"/>
  <c r="J79" i="42"/>
  <c r="J90" i="42"/>
  <c r="J84" i="42"/>
  <c r="J86" i="42"/>
  <c r="J83" i="42"/>
  <c r="J81" i="42"/>
  <c r="J87" i="42"/>
  <c r="J85" i="42"/>
  <c r="J40" i="42"/>
  <c r="J42" i="42"/>
  <c r="J37" i="42"/>
  <c r="J35" i="42"/>
  <c r="J41" i="42"/>
  <c r="J34" i="42"/>
  <c r="J36" i="42"/>
  <c r="J39" i="42"/>
  <c r="J31" i="42"/>
  <c r="J32" i="42"/>
  <c r="J38" i="42"/>
  <c r="J33" i="42"/>
  <c r="B122" i="42"/>
  <c r="H134" i="42"/>
  <c r="C122" i="42"/>
  <c r="J122" i="42" s="1"/>
  <c r="AA116" i="42"/>
  <c r="B116" i="42"/>
  <c r="H128" i="42"/>
  <c r="AC128" i="42" s="1"/>
  <c r="AB116" i="42"/>
  <c r="C116" i="42"/>
  <c r="J116" i="42" s="1"/>
  <c r="I116" i="42"/>
  <c r="BW116" i="42" s="1"/>
  <c r="H129" i="42"/>
  <c r="AC129" i="42" s="1"/>
  <c r="AB117" i="42"/>
  <c r="C117" i="42"/>
  <c r="J117" i="42" s="1"/>
  <c r="I117" i="42"/>
  <c r="BW117" i="42" s="1"/>
  <c r="B117" i="42"/>
  <c r="AA117" i="42"/>
  <c r="B118" i="42"/>
  <c r="H130" i="42"/>
  <c r="C118" i="42"/>
  <c r="J118" i="42" s="1"/>
  <c r="F40" i="42"/>
  <c r="AC40" i="42" s="1"/>
  <c r="AA28" i="42"/>
  <c r="AB28" i="42"/>
  <c r="I28" i="42"/>
  <c r="F62" i="42"/>
  <c r="AC62" i="42" s="1"/>
  <c r="AB50" i="42"/>
  <c r="AA50" i="42"/>
  <c r="I50" i="42"/>
  <c r="J104" i="42"/>
  <c r="J105" i="42"/>
  <c r="J106" i="42"/>
  <c r="H137" i="42"/>
  <c r="C125" i="42"/>
  <c r="J125" i="42" s="1"/>
  <c r="B125" i="42"/>
  <c r="AW17" i="42"/>
  <c r="B136" i="42"/>
  <c r="H148" i="42"/>
  <c r="C136" i="42"/>
  <c r="J136" i="42" s="1"/>
  <c r="F84" i="42"/>
  <c r="AC84" i="42" s="1"/>
  <c r="AA72" i="42"/>
  <c r="AB72" i="42"/>
  <c r="I72" i="42"/>
  <c r="J100" i="42"/>
  <c r="J99" i="42"/>
  <c r="J92" i="42"/>
  <c r="J94" i="42"/>
  <c r="J101" i="42"/>
  <c r="J102" i="42"/>
  <c r="J96" i="42"/>
  <c r="J95" i="42"/>
  <c r="J91" i="42"/>
  <c r="J98" i="42"/>
  <c r="J93" i="42"/>
  <c r="J97" i="42"/>
  <c r="J52" i="42"/>
  <c r="J53" i="42"/>
  <c r="J48" i="42"/>
  <c r="J44" i="42"/>
  <c r="J50" i="42"/>
  <c r="J54" i="42"/>
  <c r="J47" i="42"/>
  <c r="J49" i="42"/>
  <c r="J45" i="42"/>
  <c r="J51" i="42"/>
  <c r="J46" i="42"/>
  <c r="J43" i="42"/>
  <c r="F106" i="42"/>
  <c r="AC106" i="42" s="1"/>
  <c r="AA94" i="42"/>
  <c r="AB94" i="42"/>
  <c r="I94" i="42"/>
  <c r="B126" i="42"/>
  <c r="C126" i="42"/>
  <c r="J126" i="42" s="1"/>
  <c r="H138" i="42"/>
  <c r="B119" i="42"/>
  <c r="H131" i="42"/>
  <c r="C119" i="42"/>
  <c r="J119" i="42" s="1"/>
  <c r="AB17" i="42"/>
  <c r="F18" i="42"/>
  <c r="AC18" i="42" s="1"/>
  <c r="F29" i="42"/>
  <c r="AC29" i="42" s="1"/>
  <c r="AA17" i="42"/>
  <c r="I17" i="42"/>
  <c r="H133" i="42"/>
  <c r="C121" i="42"/>
  <c r="J121" i="42" s="1"/>
  <c r="B121" i="42"/>
  <c r="J107" i="42"/>
  <c r="J109" i="42"/>
  <c r="J76" i="42"/>
  <c r="J75" i="42"/>
  <c r="J71" i="42"/>
  <c r="J69" i="42"/>
  <c r="J67" i="42"/>
  <c r="J72" i="42"/>
  <c r="J74" i="42"/>
  <c r="J78" i="42"/>
  <c r="J77" i="42"/>
  <c r="J70" i="42"/>
  <c r="J73" i="42"/>
  <c r="J68" i="42"/>
  <c r="J64" i="42"/>
  <c r="J56" i="42"/>
  <c r="J55" i="42"/>
  <c r="J58" i="42"/>
  <c r="J57" i="42"/>
  <c r="J59" i="42"/>
  <c r="J63" i="42"/>
  <c r="J60" i="42"/>
  <c r="J65" i="42"/>
  <c r="J61" i="42"/>
  <c r="J66" i="42"/>
  <c r="J62" i="42"/>
  <c r="F95" i="42"/>
  <c r="AC95" i="42" s="1"/>
  <c r="AB83" i="42"/>
  <c r="AA83" i="42"/>
  <c r="I83" i="42"/>
  <c r="F51" i="42"/>
  <c r="AC51" i="42" s="1"/>
  <c r="AB39" i="42"/>
  <c r="AA39" i="42"/>
  <c r="I39" i="42"/>
  <c r="AA115" i="42"/>
  <c r="B115" i="42"/>
  <c r="H127" i="42"/>
  <c r="AC127" i="42" s="1"/>
  <c r="AB115" i="42"/>
  <c r="C115" i="42"/>
  <c r="J115" i="42" s="1"/>
  <c r="I115" i="42"/>
  <c r="BW71" i="42"/>
  <c r="J108" i="42"/>
  <c r="J103" i="42"/>
  <c r="AW18" i="43" l="1"/>
  <c r="BW49" i="43"/>
  <c r="F73" i="43"/>
  <c r="AC73" i="43" s="1"/>
  <c r="AA61" i="43"/>
  <c r="I61" i="43"/>
  <c r="AB61" i="43"/>
  <c r="B133" i="43"/>
  <c r="H145" i="43"/>
  <c r="C133" i="43"/>
  <c r="J133" i="43" s="1"/>
  <c r="B137" i="43"/>
  <c r="H149" i="43"/>
  <c r="C137" i="43"/>
  <c r="J137" i="43" s="1"/>
  <c r="BW93" i="43"/>
  <c r="F117" i="43"/>
  <c r="AC117" i="43" s="1"/>
  <c r="AA105" i="43"/>
  <c r="I105" i="43"/>
  <c r="AB105" i="43"/>
  <c r="F40" i="43"/>
  <c r="AC40" i="43" s="1"/>
  <c r="AA28" i="43"/>
  <c r="AB28" i="43"/>
  <c r="I28" i="43"/>
  <c r="F106" i="43"/>
  <c r="AC106" i="43" s="1"/>
  <c r="I94" i="43"/>
  <c r="AA94" i="43"/>
  <c r="AB94" i="43"/>
  <c r="BW38" i="43"/>
  <c r="F62" i="43"/>
  <c r="AC62" i="43" s="1"/>
  <c r="AA50" i="43"/>
  <c r="AB50" i="43"/>
  <c r="I50" i="43"/>
  <c r="H143" i="43"/>
  <c r="C131" i="43"/>
  <c r="J131" i="43" s="1"/>
  <c r="B131" i="43"/>
  <c r="H139" i="43"/>
  <c r="AC139" i="43" s="1"/>
  <c r="AB127" i="43"/>
  <c r="C127" i="43"/>
  <c r="J127" i="43" s="1"/>
  <c r="I127" i="43"/>
  <c r="BW127" i="43" s="1"/>
  <c r="AA127" i="43"/>
  <c r="B127" i="43"/>
  <c r="BW27" i="43"/>
  <c r="F51" i="43"/>
  <c r="AC51" i="43" s="1"/>
  <c r="AA39" i="43"/>
  <c r="AB39" i="43"/>
  <c r="I39" i="43"/>
  <c r="B150" i="43"/>
  <c r="H162" i="43"/>
  <c r="C150" i="43"/>
  <c r="J150" i="43" s="1"/>
  <c r="B146" i="43"/>
  <c r="H158" i="43"/>
  <c r="C146" i="43"/>
  <c r="J146" i="43" s="1"/>
  <c r="BW60" i="43"/>
  <c r="F84" i="43"/>
  <c r="AC84" i="43" s="1"/>
  <c r="AB72" i="43"/>
  <c r="AA72" i="43"/>
  <c r="I72" i="43"/>
  <c r="BW16" i="43"/>
  <c r="BW82" i="43"/>
  <c r="B136" i="43"/>
  <c r="H148" i="43"/>
  <c r="C136" i="43"/>
  <c r="J136" i="43" s="1"/>
  <c r="B132" i="43"/>
  <c r="H144" i="43"/>
  <c r="C132" i="43"/>
  <c r="J132" i="43" s="1"/>
  <c r="H147" i="43"/>
  <c r="C135" i="43"/>
  <c r="J135" i="43" s="1"/>
  <c r="B135" i="43"/>
  <c r="F29" i="43"/>
  <c r="AC29" i="43" s="1"/>
  <c r="F18" i="43"/>
  <c r="AC18" i="43" s="1"/>
  <c r="AA17" i="43"/>
  <c r="AB17" i="43"/>
  <c r="I17" i="43"/>
  <c r="BW71" i="43"/>
  <c r="I128" i="43"/>
  <c r="BW128" i="43" s="1"/>
  <c r="AA128" i="43"/>
  <c r="B128" i="43"/>
  <c r="H140" i="43"/>
  <c r="AC140" i="43" s="1"/>
  <c r="AB128" i="43"/>
  <c r="C128" i="43"/>
  <c r="J128" i="43" s="1"/>
  <c r="F95" i="43"/>
  <c r="AC95" i="43" s="1"/>
  <c r="I83" i="43"/>
  <c r="AA83" i="43"/>
  <c r="AB83" i="43"/>
  <c r="B129" i="43"/>
  <c r="H141" i="43"/>
  <c r="C129" i="43"/>
  <c r="J129" i="43" s="1"/>
  <c r="B130" i="43"/>
  <c r="H142" i="43"/>
  <c r="C130" i="43"/>
  <c r="J130" i="43" s="1"/>
  <c r="F63" i="42"/>
  <c r="AC63" i="42" s="1"/>
  <c r="AA51" i="42"/>
  <c r="AB51" i="42"/>
  <c r="I51" i="42"/>
  <c r="BW83" i="42"/>
  <c r="F107" i="42"/>
  <c r="AC107" i="42" s="1"/>
  <c r="AB95" i="42"/>
  <c r="I95" i="42"/>
  <c r="AA95" i="42"/>
  <c r="BW17" i="42"/>
  <c r="B131" i="42"/>
  <c r="H143" i="42"/>
  <c r="C131" i="42"/>
  <c r="J131" i="42" s="1"/>
  <c r="B148" i="42"/>
  <c r="H160" i="42"/>
  <c r="C148" i="42"/>
  <c r="J148" i="42" s="1"/>
  <c r="H149" i="42"/>
  <c r="C137" i="42"/>
  <c r="J137" i="42" s="1"/>
  <c r="B137" i="42"/>
  <c r="BW50" i="42"/>
  <c r="F74" i="42"/>
  <c r="AC74" i="42" s="1"/>
  <c r="AB62" i="42"/>
  <c r="AA62" i="42"/>
  <c r="I62" i="42"/>
  <c r="B130" i="42"/>
  <c r="C130" i="42"/>
  <c r="J130" i="42" s="1"/>
  <c r="H142" i="42"/>
  <c r="B134" i="42"/>
  <c r="H146" i="42"/>
  <c r="C134" i="42"/>
  <c r="J134" i="42" s="1"/>
  <c r="BW115" i="42"/>
  <c r="BW39" i="42"/>
  <c r="BW28" i="42"/>
  <c r="F52" i="42"/>
  <c r="AC52" i="42" s="1"/>
  <c r="AB40" i="42"/>
  <c r="AA40" i="42"/>
  <c r="I40" i="42"/>
  <c r="H141" i="42"/>
  <c r="AC141" i="42" s="1"/>
  <c r="AB129" i="42"/>
  <c r="C129" i="42"/>
  <c r="J129" i="42" s="1"/>
  <c r="I129" i="42"/>
  <c r="B129" i="42"/>
  <c r="AA129" i="42"/>
  <c r="B135" i="42"/>
  <c r="H147" i="42"/>
  <c r="C135" i="42"/>
  <c r="J135" i="42" s="1"/>
  <c r="H145" i="42"/>
  <c r="C133" i="42"/>
  <c r="J133" i="42" s="1"/>
  <c r="B133" i="42"/>
  <c r="AB18" i="42"/>
  <c r="F30" i="42"/>
  <c r="AC30" i="42" s="1"/>
  <c r="AA18" i="42"/>
  <c r="I18" i="42"/>
  <c r="BW94" i="42"/>
  <c r="BW72" i="42"/>
  <c r="F96" i="42"/>
  <c r="AC96" i="42" s="1"/>
  <c r="I84" i="42"/>
  <c r="AA84" i="42"/>
  <c r="AB84" i="42"/>
  <c r="BW61" i="42"/>
  <c r="B132" i="42"/>
  <c r="H144" i="42"/>
  <c r="C132" i="42"/>
  <c r="J132" i="42" s="1"/>
  <c r="AA127" i="42"/>
  <c r="B127" i="42"/>
  <c r="H139" i="42"/>
  <c r="AC139" i="42" s="1"/>
  <c r="AB127" i="42"/>
  <c r="C127" i="42"/>
  <c r="J127" i="42" s="1"/>
  <c r="I127" i="42"/>
  <c r="BW127" i="42" s="1"/>
  <c r="F41" i="42"/>
  <c r="AC41" i="42" s="1"/>
  <c r="AA29" i="42"/>
  <c r="AB29" i="42"/>
  <c r="I29" i="42"/>
  <c r="B138" i="42"/>
  <c r="H150" i="42"/>
  <c r="C138" i="42"/>
  <c r="J138" i="42" s="1"/>
  <c r="F118" i="42"/>
  <c r="AC118" i="42" s="1"/>
  <c r="I106" i="42"/>
  <c r="AA106" i="42"/>
  <c r="AB106" i="42"/>
  <c r="AW18" i="42"/>
  <c r="AA128" i="42"/>
  <c r="B128" i="42"/>
  <c r="H140" i="42"/>
  <c r="AC140" i="42" s="1"/>
  <c r="AB128" i="42"/>
  <c r="C128" i="42"/>
  <c r="J128" i="42" s="1"/>
  <c r="I128" i="42"/>
  <c r="BW128" i="42" s="1"/>
  <c r="F85" i="42"/>
  <c r="AC85" i="42" s="1"/>
  <c r="AA73" i="42"/>
  <c r="I73" i="42"/>
  <c r="AB73" i="42"/>
  <c r="D89" i="2"/>
  <c r="F18" i="2"/>
  <c r="G18" i="2" s="1"/>
  <c r="Z78" i="1"/>
  <c r="Z120" i="1"/>
  <c r="AA120" i="1" s="1"/>
  <c r="Z121" i="1"/>
  <c r="AA121" i="1" s="1"/>
  <c r="Z122" i="1"/>
  <c r="AA122" i="1" s="1"/>
  <c r="Z123" i="1"/>
  <c r="AA123" i="1" s="1"/>
  <c r="Z124" i="1"/>
  <c r="AA124" i="1" s="1"/>
  <c r="Z125" i="1"/>
  <c r="AA125" i="1" s="1"/>
  <c r="Z126" i="1"/>
  <c r="AA126" i="1" s="1"/>
  <c r="Z127" i="1"/>
  <c r="AA127" i="1" s="1"/>
  <c r="Z128" i="1"/>
  <c r="AA128" i="1" s="1"/>
  <c r="Z129" i="1"/>
  <c r="AA129" i="1" s="1"/>
  <c r="Z130" i="1"/>
  <c r="AA130" i="1" s="1"/>
  <c r="Z131" i="1"/>
  <c r="AA131" i="1" s="1"/>
  <c r="Z132" i="1"/>
  <c r="AA132" i="1" s="1"/>
  <c r="Z133" i="1"/>
  <c r="AA133" i="1" s="1"/>
  <c r="Z134" i="1"/>
  <c r="AA134" i="1" s="1"/>
  <c r="Z135" i="1"/>
  <c r="AA135" i="1" s="1"/>
  <c r="Z136" i="1"/>
  <c r="AA136" i="1" s="1"/>
  <c r="Z137" i="1"/>
  <c r="AA137" i="1" s="1"/>
  <c r="Z138" i="1"/>
  <c r="AA138" i="1" s="1"/>
  <c r="Z139" i="1"/>
  <c r="AA139" i="1" s="1"/>
  <c r="Z140" i="1"/>
  <c r="AA140" i="1" s="1"/>
  <c r="Z141" i="1"/>
  <c r="AA141" i="1" s="1"/>
  <c r="Z142" i="1"/>
  <c r="AA142" i="1" s="1"/>
  <c r="Z143" i="1"/>
  <c r="AA143" i="1" s="1"/>
  <c r="Z144" i="1"/>
  <c r="AA144" i="1" s="1"/>
  <c r="Z145" i="1"/>
  <c r="AA145" i="1" s="1"/>
  <c r="Z146" i="1"/>
  <c r="AA146" i="1" s="1"/>
  <c r="Z147" i="1"/>
  <c r="AA147" i="1" s="1"/>
  <c r="Z148" i="1"/>
  <c r="AA148" i="1" s="1"/>
  <c r="Z149" i="1"/>
  <c r="AA149" i="1" s="1"/>
  <c r="Z150" i="1"/>
  <c r="AA150" i="1" s="1"/>
  <c r="Z151" i="1"/>
  <c r="AA151" i="1" s="1"/>
  <c r="Z152" i="1"/>
  <c r="AA152" i="1" s="1"/>
  <c r="Z153" i="1"/>
  <c r="AA153" i="1" s="1"/>
  <c r="Z154" i="1"/>
  <c r="AA154" i="1" s="1"/>
  <c r="Z155" i="1"/>
  <c r="AA155" i="1" s="1"/>
  <c r="Z156" i="1"/>
  <c r="AA156" i="1" s="1"/>
  <c r="Z157" i="1"/>
  <c r="AA157" i="1" s="1"/>
  <c r="Z158" i="1"/>
  <c r="AA158" i="1" s="1"/>
  <c r="Z159" i="1"/>
  <c r="AA159" i="1" s="1"/>
  <c r="Z160" i="1"/>
  <c r="AA160" i="1" s="1"/>
  <c r="Z161" i="1"/>
  <c r="AA161" i="1" s="1"/>
  <c r="Z162" i="1"/>
  <c r="AA162" i="1" s="1"/>
  <c r="Z163" i="1"/>
  <c r="AA163" i="1" s="1"/>
  <c r="Z164" i="1"/>
  <c r="AA164" i="1" s="1"/>
  <c r="Z165" i="1"/>
  <c r="AA165" i="1" s="1"/>
  <c r="Z166" i="1"/>
  <c r="AA166" i="1" s="1"/>
  <c r="Z167" i="1"/>
  <c r="AA167" i="1" s="1"/>
  <c r="Z168" i="1"/>
  <c r="AA168" i="1" s="1"/>
  <c r="Z169" i="1"/>
  <c r="AA169" i="1" s="1"/>
  <c r="Z170" i="1"/>
  <c r="AA170" i="1" s="1"/>
  <c r="Z171" i="1"/>
  <c r="AA171" i="1" s="1"/>
  <c r="Z172" i="1"/>
  <c r="AA172" i="1" s="1"/>
  <c r="Z173" i="1"/>
  <c r="AA173" i="1" s="1"/>
  <c r="Z174" i="1"/>
  <c r="AA174" i="1" s="1"/>
  <c r="Z175" i="1"/>
  <c r="AA175" i="1" s="1"/>
  <c r="Z176" i="1"/>
  <c r="AA176" i="1" s="1"/>
  <c r="Z177" i="1"/>
  <c r="AA177" i="1" s="1"/>
  <c r="Z77" i="1"/>
  <c r="AA77" i="1" s="1"/>
  <c r="F41" i="43" l="1"/>
  <c r="AC41" i="43" s="1"/>
  <c r="AB29" i="43"/>
  <c r="AA29" i="43"/>
  <c r="I29" i="43"/>
  <c r="H159" i="43"/>
  <c r="C147" i="43"/>
  <c r="J147" i="43" s="1"/>
  <c r="B147" i="43"/>
  <c r="BW94" i="43"/>
  <c r="F129" i="43"/>
  <c r="AC129" i="43" s="1"/>
  <c r="AA117" i="43"/>
  <c r="I117" i="43"/>
  <c r="AB117" i="43"/>
  <c r="F85" i="43"/>
  <c r="AC85" i="43" s="1"/>
  <c r="AA73" i="43"/>
  <c r="I73" i="43"/>
  <c r="AB73" i="43"/>
  <c r="AW19" i="43"/>
  <c r="B142" i="43"/>
  <c r="H154" i="43"/>
  <c r="C142" i="43"/>
  <c r="J142" i="43" s="1"/>
  <c r="F107" i="43"/>
  <c r="AC107" i="43" s="1"/>
  <c r="I95" i="43"/>
  <c r="AA95" i="43"/>
  <c r="AB95" i="43"/>
  <c r="BW17" i="43"/>
  <c r="F30" i="43"/>
  <c r="AC30" i="43" s="1"/>
  <c r="AA18" i="43"/>
  <c r="AB18" i="43"/>
  <c r="I18" i="43"/>
  <c r="BW28" i="43"/>
  <c r="F52" i="43"/>
  <c r="AC52" i="43" s="1"/>
  <c r="AB40" i="43"/>
  <c r="AA40" i="43"/>
  <c r="I40" i="43"/>
  <c r="BW83" i="43"/>
  <c r="I140" i="43"/>
  <c r="BW140" i="43" s="1"/>
  <c r="AA140" i="43"/>
  <c r="B140" i="43"/>
  <c r="H152" i="43"/>
  <c r="AC152" i="43" s="1"/>
  <c r="AB140" i="43"/>
  <c r="C140" i="43"/>
  <c r="J140" i="43" s="1"/>
  <c r="B144" i="43"/>
  <c r="H156" i="43"/>
  <c r="C144" i="43"/>
  <c r="J144" i="43" s="1"/>
  <c r="B148" i="43"/>
  <c r="H160" i="43"/>
  <c r="C148" i="43"/>
  <c r="J148" i="43" s="1"/>
  <c r="BW72" i="43"/>
  <c r="F96" i="43"/>
  <c r="AC96" i="43" s="1"/>
  <c r="AB84" i="43"/>
  <c r="AA84" i="43"/>
  <c r="I84" i="43"/>
  <c r="B158" i="43"/>
  <c r="H170" i="43"/>
  <c r="C158" i="43"/>
  <c r="J158" i="43" s="1"/>
  <c r="B162" i="43"/>
  <c r="H174" i="43"/>
  <c r="C162" i="43"/>
  <c r="J162" i="43" s="1"/>
  <c r="BW39" i="43"/>
  <c r="F63" i="43"/>
  <c r="AC63" i="43" s="1"/>
  <c r="AA51" i="43"/>
  <c r="AB51" i="43"/>
  <c r="I51" i="43"/>
  <c r="BW50" i="43"/>
  <c r="F74" i="43"/>
  <c r="AC74" i="43" s="1"/>
  <c r="AA62" i="43"/>
  <c r="AB62" i="43"/>
  <c r="I62" i="43"/>
  <c r="F118" i="43"/>
  <c r="AC118" i="43" s="1"/>
  <c r="I106" i="43"/>
  <c r="AA106" i="43"/>
  <c r="AB106" i="43"/>
  <c r="B149" i="43"/>
  <c r="H161" i="43"/>
  <c r="C149" i="43"/>
  <c r="J149" i="43" s="1"/>
  <c r="B145" i="43"/>
  <c r="H157" i="43"/>
  <c r="C145" i="43"/>
  <c r="J145" i="43" s="1"/>
  <c r="BW61" i="43"/>
  <c r="B141" i="43"/>
  <c r="H153" i="43"/>
  <c r="C141" i="43"/>
  <c r="J141" i="43" s="1"/>
  <c r="H151" i="43"/>
  <c r="AC151" i="43" s="1"/>
  <c r="AB139" i="43"/>
  <c r="C139" i="43"/>
  <c r="J139" i="43" s="1"/>
  <c r="I139" i="43"/>
  <c r="BW139" i="43" s="1"/>
  <c r="AA139" i="43"/>
  <c r="B139" i="43"/>
  <c r="H155" i="43"/>
  <c r="C143" i="43"/>
  <c r="J143" i="43" s="1"/>
  <c r="B143" i="43"/>
  <c r="BW105" i="43"/>
  <c r="BW84" i="42"/>
  <c r="F75" i="42"/>
  <c r="AC75" i="42" s="1"/>
  <c r="AB63" i="42"/>
  <c r="I63" i="42"/>
  <c r="AA63" i="42"/>
  <c r="F97" i="42"/>
  <c r="AC97" i="42" s="1"/>
  <c r="AB85" i="42"/>
  <c r="AA85" i="42"/>
  <c r="I85" i="42"/>
  <c r="B147" i="42"/>
  <c r="H159" i="42"/>
  <c r="C147" i="42"/>
  <c r="J147" i="42" s="1"/>
  <c r="B146" i="42"/>
  <c r="C146" i="42"/>
  <c r="J146" i="42" s="1"/>
  <c r="H158" i="42"/>
  <c r="F86" i="42"/>
  <c r="AC86" i="42" s="1"/>
  <c r="AB74" i="42"/>
  <c r="AA74" i="42"/>
  <c r="I74" i="42"/>
  <c r="B160" i="42"/>
  <c r="H172" i="42"/>
  <c r="C160" i="42"/>
  <c r="J160" i="42" s="1"/>
  <c r="BW73" i="42"/>
  <c r="AA140" i="42"/>
  <c r="B140" i="42"/>
  <c r="H152" i="42"/>
  <c r="AC152" i="42" s="1"/>
  <c r="AB140" i="42"/>
  <c r="C140" i="42"/>
  <c r="J140" i="42" s="1"/>
  <c r="I140" i="42"/>
  <c r="BW106" i="42"/>
  <c r="B150" i="42"/>
  <c r="H162" i="42"/>
  <c r="C150" i="42"/>
  <c r="J150" i="42" s="1"/>
  <c r="B144" i="42"/>
  <c r="H156" i="42"/>
  <c r="C144" i="42"/>
  <c r="J144" i="42" s="1"/>
  <c r="BW18" i="42"/>
  <c r="H153" i="42"/>
  <c r="AC153" i="42" s="1"/>
  <c r="AB141" i="42"/>
  <c r="C141" i="42"/>
  <c r="J141" i="42" s="1"/>
  <c r="I141" i="42"/>
  <c r="BW141" i="42" s="1"/>
  <c r="AA141" i="42"/>
  <c r="B141" i="42"/>
  <c r="BW62" i="42"/>
  <c r="BW51" i="42"/>
  <c r="BW29" i="42"/>
  <c r="F53" i="42"/>
  <c r="AC53" i="42" s="1"/>
  <c r="AB41" i="42"/>
  <c r="AA41" i="42"/>
  <c r="I41" i="42"/>
  <c r="F42" i="42"/>
  <c r="AC42" i="42" s="1"/>
  <c r="AA30" i="42"/>
  <c r="AB30" i="42"/>
  <c r="I30" i="42"/>
  <c r="H161" i="42"/>
  <c r="C149" i="42"/>
  <c r="J149" i="42" s="1"/>
  <c r="B149" i="42"/>
  <c r="F119" i="42"/>
  <c r="AC119" i="42" s="1"/>
  <c r="AB107" i="42"/>
  <c r="AA107" i="42"/>
  <c r="I107" i="42"/>
  <c r="AW19" i="42"/>
  <c r="H157" i="42"/>
  <c r="C145" i="42"/>
  <c r="J145" i="42" s="1"/>
  <c r="B145" i="42"/>
  <c r="B142" i="42"/>
  <c r="C142" i="42"/>
  <c r="J142" i="42" s="1"/>
  <c r="H154" i="42"/>
  <c r="BW95" i="42"/>
  <c r="F130" i="42"/>
  <c r="AC130" i="42" s="1"/>
  <c r="I118" i="42"/>
  <c r="AA118" i="42"/>
  <c r="AB118" i="42"/>
  <c r="AA139" i="42"/>
  <c r="B139" i="42"/>
  <c r="H151" i="42"/>
  <c r="AC151" i="42" s="1"/>
  <c r="AB139" i="42"/>
  <c r="C139" i="42"/>
  <c r="J139" i="42" s="1"/>
  <c r="I139" i="42"/>
  <c r="BW139" i="42" s="1"/>
  <c r="F108" i="42"/>
  <c r="AC108" i="42" s="1"/>
  <c r="AA96" i="42"/>
  <c r="I96" i="42"/>
  <c r="AB96" i="42"/>
  <c r="BW40" i="42"/>
  <c r="F64" i="42"/>
  <c r="AC64" i="42" s="1"/>
  <c r="AB52" i="42"/>
  <c r="AA52" i="42"/>
  <c r="I52" i="42"/>
  <c r="B143" i="42"/>
  <c r="H155" i="42"/>
  <c r="C143" i="42"/>
  <c r="J143" i="42" s="1"/>
  <c r="BW129" i="42"/>
  <c r="AA78" i="1"/>
  <c r="W79" i="1" s="1"/>
  <c r="V79" i="1"/>
  <c r="C13" i="1"/>
  <c r="C26" i="1"/>
  <c r="W2" i="31" l="1"/>
  <c r="W2" i="43"/>
  <c r="Y2" i="43"/>
  <c r="W2" i="42"/>
  <c r="Y2" i="42"/>
  <c r="BW62" i="43"/>
  <c r="F86" i="43"/>
  <c r="AC86" i="43" s="1"/>
  <c r="I74" i="43"/>
  <c r="AA74" i="43"/>
  <c r="AB74" i="43"/>
  <c r="BW51" i="43"/>
  <c r="F75" i="43"/>
  <c r="AC75" i="43" s="1"/>
  <c r="I63" i="43"/>
  <c r="AA63" i="43"/>
  <c r="AB63" i="43"/>
  <c r="H186" i="43"/>
  <c r="B174" i="43"/>
  <c r="C174" i="43"/>
  <c r="J174" i="43" s="1"/>
  <c r="H182" i="43"/>
  <c r="B170" i="43"/>
  <c r="C170" i="43"/>
  <c r="J170" i="43" s="1"/>
  <c r="BW84" i="43"/>
  <c r="F108" i="43"/>
  <c r="AC108" i="43" s="1"/>
  <c r="AA96" i="43"/>
  <c r="I96" i="43"/>
  <c r="AB96" i="43"/>
  <c r="F119" i="43"/>
  <c r="AC119" i="43" s="1"/>
  <c r="AB107" i="43"/>
  <c r="I107" i="43"/>
  <c r="AA107" i="43"/>
  <c r="F97" i="43"/>
  <c r="AC97" i="43" s="1"/>
  <c r="AA85" i="43"/>
  <c r="I85" i="43"/>
  <c r="AB85" i="43"/>
  <c r="H171" i="43"/>
  <c r="C159" i="43"/>
  <c r="J159" i="43" s="1"/>
  <c r="B159" i="43"/>
  <c r="H167" i="43"/>
  <c r="C155" i="43"/>
  <c r="J155" i="43" s="1"/>
  <c r="B155" i="43"/>
  <c r="H163" i="43"/>
  <c r="AC163" i="43" s="1"/>
  <c r="AB151" i="43"/>
  <c r="C151" i="43"/>
  <c r="J151" i="43" s="1"/>
  <c r="I151" i="43"/>
  <c r="BW151" i="43" s="1"/>
  <c r="AA151" i="43"/>
  <c r="B151" i="43"/>
  <c r="F130" i="43"/>
  <c r="AC130" i="43" s="1"/>
  <c r="AA118" i="43"/>
  <c r="I118" i="43"/>
  <c r="AB118" i="43"/>
  <c r="BW18" i="43"/>
  <c r="F42" i="43"/>
  <c r="AC42" i="43" s="1"/>
  <c r="AA30" i="43"/>
  <c r="AB30" i="43"/>
  <c r="I30" i="43"/>
  <c r="AW20" i="43"/>
  <c r="B153" i="43"/>
  <c r="H165" i="43"/>
  <c r="C153" i="43"/>
  <c r="J153" i="43" s="1"/>
  <c r="BW106" i="43"/>
  <c r="B160" i="43"/>
  <c r="H172" i="43"/>
  <c r="C160" i="43"/>
  <c r="J160" i="43" s="1"/>
  <c r="B156" i="43"/>
  <c r="H168" i="43"/>
  <c r="C156" i="43"/>
  <c r="J156" i="43" s="1"/>
  <c r="I152" i="43"/>
  <c r="BW152" i="43" s="1"/>
  <c r="AA152" i="43"/>
  <c r="B152" i="43"/>
  <c r="H164" i="43"/>
  <c r="AC164" i="43" s="1"/>
  <c r="AB152" i="43"/>
  <c r="C152" i="43"/>
  <c r="J152" i="43" s="1"/>
  <c r="BW95" i="43"/>
  <c r="BW117" i="43"/>
  <c r="B157" i="43"/>
  <c r="H169" i="43"/>
  <c r="C157" i="43"/>
  <c r="J157" i="43" s="1"/>
  <c r="B161" i="43"/>
  <c r="H173" i="43"/>
  <c r="C161" i="43"/>
  <c r="J161" i="43" s="1"/>
  <c r="BW40" i="43"/>
  <c r="F64" i="43"/>
  <c r="AC64" i="43" s="1"/>
  <c r="AA52" i="43"/>
  <c r="AB52" i="43"/>
  <c r="I52" i="43"/>
  <c r="B154" i="43"/>
  <c r="H166" i="43"/>
  <c r="C154" i="43"/>
  <c r="J154" i="43" s="1"/>
  <c r="BW73" i="43"/>
  <c r="F141" i="43"/>
  <c r="AC141" i="43" s="1"/>
  <c r="AA129" i="43"/>
  <c r="I129" i="43"/>
  <c r="AB129" i="43"/>
  <c r="BW29" i="43"/>
  <c r="F53" i="43"/>
  <c r="AC53" i="43" s="1"/>
  <c r="AA41" i="43"/>
  <c r="AB41" i="43"/>
  <c r="I41" i="43"/>
  <c r="B155" i="42"/>
  <c r="H167" i="42"/>
  <c r="C155" i="42"/>
  <c r="J155" i="42" s="1"/>
  <c r="BW30" i="42"/>
  <c r="F54" i="42"/>
  <c r="AC54" i="42" s="1"/>
  <c r="AA42" i="42"/>
  <c r="AB42" i="42"/>
  <c r="I42" i="42"/>
  <c r="B172" i="42"/>
  <c r="H184" i="42"/>
  <c r="C172" i="42"/>
  <c r="J172" i="42" s="1"/>
  <c r="BW96" i="42"/>
  <c r="F142" i="42"/>
  <c r="AC142" i="42" s="1"/>
  <c r="I130" i="42"/>
  <c r="AA130" i="42"/>
  <c r="AB130" i="42"/>
  <c r="B154" i="42"/>
  <c r="H166" i="42"/>
  <c r="C154" i="42"/>
  <c r="J154" i="42" s="1"/>
  <c r="AW20" i="42"/>
  <c r="BW41" i="42"/>
  <c r="F65" i="42"/>
  <c r="AC65" i="42" s="1"/>
  <c r="AB53" i="42"/>
  <c r="AA53" i="42"/>
  <c r="I53" i="42"/>
  <c r="B156" i="42"/>
  <c r="H168" i="42"/>
  <c r="C156" i="42"/>
  <c r="J156" i="42" s="1"/>
  <c r="B159" i="42"/>
  <c r="H171" i="42"/>
  <c r="C159" i="42"/>
  <c r="J159" i="42" s="1"/>
  <c r="F98" i="42"/>
  <c r="AC98" i="42" s="1"/>
  <c r="AB86" i="42"/>
  <c r="I86" i="42"/>
  <c r="AA86" i="42"/>
  <c r="BW63" i="42"/>
  <c r="BW52" i="42"/>
  <c r="F76" i="42"/>
  <c r="AC76" i="42" s="1"/>
  <c r="AA64" i="42"/>
  <c r="I64" i="42"/>
  <c r="AB64" i="42"/>
  <c r="F120" i="42"/>
  <c r="AC120" i="42" s="1"/>
  <c r="AA108" i="42"/>
  <c r="I108" i="42"/>
  <c r="AB108" i="42"/>
  <c r="BW118" i="42"/>
  <c r="H169" i="42"/>
  <c r="C157" i="42"/>
  <c r="J157" i="42" s="1"/>
  <c r="B157" i="42"/>
  <c r="H165" i="42"/>
  <c r="AC165" i="42" s="1"/>
  <c r="AB153" i="42"/>
  <c r="C153" i="42"/>
  <c r="J153" i="42" s="1"/>
  <c r="I153" i="42"/>
  <c r="BW153" i="42" s="1"/>
  <c r="AA153" i="42"/>
  <c r="B153" i="42"/>
  <c r="AA152" i="42"/>
  <c r="B152" i="42"/>
  <c r="H164" i="42"/>
  <c r="AC164" i="42" s="1"/>
  <c r="AB152" i="42"/>
  <c r="C152" i="42"/>
  <c r="J152" i="42" s="1"/>
  <c r="I152" i="42"/>
  <c r="BW152" i="42" s="1"/>
  <c r="F87" i="42"/>
  <c r="AC87" i="42" s="1"/>
  <c r="I75" i="42"/>
  <c r="AA75" i="42"/>
  <c r="AB75" i="42"/>
  <c r="BW74" i="42"/>
  <c r="AA151" i="42"/>
  <c r="B151" i="42"/>
  <c r="H163" i="42"/>
  <c r="AC163" i="42" s="1"/>
  <c r="AB151" i="42"/>
  <c r="C151" i="42"/>
  <c r="J151" i="42" s="1"/>
  <c r="I151" i="42"/>
  <c r="BW151" i="42" s="1"/>
  <c r="BW107" i="42"/>
  <c r="F131" i="42"/>
  <c r="AC131" i="42" s="1"/>
  <c r="AA119" i="42"/>
  <c r="I119" i="42"/>
  <c r="AB119" i="42"/>
  <c r="H173" i="42"/>
  <c r="C161" i="42"/>
  <c r="J161" i="42" s="1"/>
  <c r="B161" i="42"/>
  <c r="B162" i="42"/>
  <c r="H174" i="42"/>
  <c r="C162" i="42"/>
  <c r="J162" i="42" s="1"/>
  <c r="B158" i="42"/>
  <c r="C158" i="42"/>
  <c r="J158" i="42" s="1"/>
  <c r="H170" i="42"/>
  <c r="BW85" i="42"/>
  <c r="F109" i="42"/>
  <c r="AC109" i="42" s="1"/>
  <c r="I97" i="42"/>
  <c r="AA97" i="42"/>
  <c r="AB97" i="42"/>
  <c r="BW140" i="42"/>
  <c r="BW41" i="43" l="1"/>
  <c r="F65" i="43"/>
  <c r="AC65" i="43" s="1"/>
  <c r="AB53" i="43"/>
  <c r="AA53" i="43"/>
  <c r="I53" i="43"/>
  <c r="AW21" i="43"/>
  <c r="F109" i="43"/>
  <c r="AC109" i="43" s="1"/>
  <c r="AA97" i="43"/>
  <c r="I97" i="43"/>
  <c r="AB97" i="43"/>
  <c r="F120" i="43"/>
  <c r="AC120" i="43" s="1"/>
  <c r="AA108" i="43"/>
  <c r="I108" i="43"/>
  <c r="AB108" i="43"/>
  <c r="B182" i="43"/>
  <c r="H194" i="43"/>
  <c r="C182" i="43"/>
  <c r="J182" i="43" s="1"/>
  <c r="B186" i="43"/>
  <c r="H198" i="43"/>
  <c r="C186" i="43"/>
  <c r="J186" i="43" s="1"/>
  <c r="BW118" i="43"/>
  <c r="H183" i="43"/>
  <c r="C171" i="43"/>
  <c r="J171" i="43" s="1"/>
  <c r="B171" i="43"/>
  <c r="BW63" i="43"/>
  <c r="BW129" i="43"/>
  <c r="H178" i="43"/>
  <c r="B166" i="43"/>
  <c r="C166" i="43"/>
  <c r="J166" i="43" s="1"/>
  <c r="BW52" i="43"/>
  <c r="F76" i="43"/>
  <c r="AC76" i="43" s="1"/>
  <c r="AA64" i="43"/>
  <c r="I64" i="43"/>
  <c r="AB64" i="43"/>
  <c r="I164" i="43"/>
  <c r="BW164" i="43" s="1"/>
  <c r="AA164" i="43"/>
  <c r="B164" i="43"/>
  <c r="H176" i="43"/>
  <c r="AC176" i="43" s="1"/>
  <c r="AB164" i="43"/>
  <c r="C164" i="43"/>
  <c r="J164" i="43" s="1"/>
  <c r="H180" i="43"/>
  <c r="B168" i="43"/>
  <c r="C168" i="43"/>
  <c r="J168" i="43" s="1"/>
  <c r="H184" i="43"/>
  <c r="B172" i="43"/>
  <c r="C172" i="43"/>
  <c r="J172" i="43" s="1"/>
  <c r="B165" i="43"/>
  <c r="H177" i="43"/>
  <c r="C165" i="43"/>
  <c r="J165" i="43" s="1"/>
  <c r="F142" i="43"/>
  <c r="AC142" i="43" s="1"/>
  <c r="AA130" i="43"/>
  <c r="I130" i="43"/>
  <c r="AB130" i="43"/>
  <c r="H175" i="43"/>
  <c r="AC175" i="43" s="1"/>
  <c r="AB163" i="43"/>
  <c r="C163" i="43"/>
  <c r="J163" i="43" s="1"/>
  <c r="I163" i="43"/>
  <c r="BW163" i="43" s="1"/>
  <c r="AA163" i="43"/>
  <c r="B163" i="43"/>
  <c r="H179" i="43"/>
  <c r="C167" i="43"/>
  <c r="J167" i="43" s="1"/>
  <c r="B167" i="43"/>
  <c r="BW85" i="43"/>
  <c r="BW107" i="43"/>
  <c r="BW96" i="43"/>
  <c r="F98" i="43"/>
  <c r="AC98" i="43" s="1"/>
  <c r="AB86" i="43"/>
  <c r="I86" i="43"/>
  <c r="AA86" i="43"/>
  <c r="F153" i="43"/>
  <c r="AC153" i="43" s="1"/>
  <c r="AB141" i="43"/>
  <c r="AA141" i="43"/>
  <c r="I141" i="43"/>
  <c r="H185" i="43"/>
  <c r="B173" i="43"/>
  <c r="C173" i="43"/>
  <c r="J173" i="43" s="1"/>
  <c r="H181" i="43"/>
  <c r="B169" i="43"/>
  <c r="C169" i="43"/>
  <c r="J169" i="43" s="1"/>
  <c r="BW30" i="43"/>
  <c r="F54" i="43"/>
  <c r="AC54" i="43" s="1"/>
  <c r="AA42" i="43"/>
  <c r="AB42" i="43"/>
  <c r="I42" i="43"/>
  <c r="F131" i="43"/>
  <c r="AC131" i="43" s="1"/>
  <c r="I119" i="43"/>
  <c r="AA119" i="43"/>
  <c r="AB119" i="43"/>
  <c r="F87" i="43"/>
  <c r="AC87" i="43" s="1"/>
  <c r="AB75" i="43"/>
  <c r="I75" i="43"/>
  <c r="AA75" i="43"/>
  <c r="BW74" i="43"/>
  <c r="H185" i="42"/>
  <c r="C173" i="42"/>
  <c r="J173" i="42" s="1"/>
  <c r="B173" i="42"/>
  <c r="AA163" i="42"/>
  <c r="B163" i="42"/>
  <c r="H175" i="42"/>
  <c r="AC175" i="42" s="1"/>
  <c r="AB163" i="42"/>
  <c r="C163" i="42"/>
  <c r="J163" i="42" s="1"/>
  <c r="I163" i="42"/>
  <c r="AA164" i="42"/>
  <c r="B164" i="42"/>
  <c r="H176" i="42"/>
  <c r="AC176" i="42" s="1"/>
  <c r="AB164" i="42"/>
  <c r="C164" i="42"/>
  <c r="J164" i="42" s="1"/>
  <c r="I164" i="42"/>
  <c r="BW164" i="42" s="1"/>
  <c r="F132" i="42"/>
  <c r="AC132" i="42" s="1"/>
  <c r="AB120" i="42"/>
  <c r="AA120" i="42"/>
  <c r="I120" i="42"/>
  <c r="BW86" i="42"/>
  <c r="BW42" i="42"/>
  <c r="F66" i="42"/>
  <c r="AC66" i="42" s="1"/>
  <c r="I54" i="42"/>
  <c r="BW97" i="42"/>
  <c r="B174" i="42"/>
  <c r="C174" i="42"/>
  <c r="J174" i="42" s="1"/>
  <c r="H186" i="42"/>
  <c r="BW119" i="42"/>
  <c r="F99" i="42"/>
  <c r="AC99" i="42" s="1"/>
  <c r="AA87" i="42"/>
  <c r="AB87" i="42"/>
  <c r="I87" i="42"/>
  <c r="H177" i="42"/>
  <c r="AC177" i="42" s="1"/>
  <c r="AB165" i="42"/>
  <c r="C165" i="42"/>
  <c r="J165" i="42" s="1"/>
  <c r="I165" i="42"/>
  <c r="BW165" i="42" s="1"/>
  <c r="AA165" i="42"/>
  <c r="B165" i="42"/>
  <c r="H181" i="42"/>
  <c r="C169" i="42"/>
  <c r="J169" i="42" s="1"/>
  <c r="B169" i="42"/>
  <c r="BW64" i="42"/>
  <c r="B171" i="42"/>
  <c r="H183" i="42"/>
  <c r="C171" i="42"/>
  <c r="J171" i="42" s="1"/>
  <c r="F154" i="42"/>
  <c r="AC154" i="42" s="1"/>
  <c r="I142" i="42"/>
  <c r="AA142" i="42"/>
  <c r="AB142" i="42"/>
  <c r="B167" i="42"/>
  <c r="H179" i="42"/>
  <c r="C167" i="42"/>
  <c r="J167" i="42" s="1"/>
  <c r="F121" i="42"/>
  <c r="AC121" i="42" s="1"/>
  <c r="AB109" i="42"/>
  <c r="AA109" i="42"/>
  <c r="I109" i="42"/>
  <c r="B170" i="42"/>
  <c r="C170" i="42"/>
  <c r="J170" i="42" s="1"/>
  <c r="H182" i="42"/>
  <c r="BW108" i="42"/>
  <c r="F110" i="42"/>
  <c r="AC110" i="42" s="1"/>
  <c r="AA98" i="42"/>
  <c r="AB98" i="42"/>
  <c r="I98" i="42"/>
  <c r="AW21" i="42"/>
  <c r="B184" i="42"/>
  <c r="H196" i="42"/>
  <c r="C184" i="42"/>
  <c r="J184" i="42" s="1"/>
  <c r="F143" i="42"/>
  <c r="AC143" i="42" s="1"/>
  <c r="AA131" i="42"/>
  <c r="AB131" i="42"/>
  <c r="I131" i="42"/>
  <c r="BW75" i="42"/>
  <c r="F88" i="42"/>
  <c r="AC88" i="42" s="1"/>
  <c r="I76" i="42"/>
  <c r="AA76" i="42"/>
  <c r="AB76" i="42"/>
  <c r="B168" i="42"/>
  <c r="H180" i="42"/>
  <c r="C168" i="42"/>
  <c r="J168" i="42" s="1"/>
  <c r="BW53" i="42"/>
  <c r="F77" i="42"/>
  <c r="AC77" i="42" s="1"/>
  <c r="I65" i="42"/>
  <c r="AB65" i="42"/>
  <c r="AA65" i="42"/>
  <c r="B166" i="42"/>
  <c r="H178" i="42"/>
  <c r="C166" i="42"/>
  <c r="J166" i="42" s="1"/>
  <c r="BW130" i="42"/>
  <c r="BW42" i="43" l="1"/>
  <c r="F66" i="43"/>
  <c r="AC66" i="43" s="1"/>
  <c r="I54" i="43"/>
  <c r="H193" i="43"/>
  <c r="C181" i="43"/>
  <c r="J181" i="43" s="1"/>
  <c r="B181" i="43"/>
  <c r="H197" i="43"/>
  <c r="C185" i="43"/>
  <c r="J185" i="43" s="1"/>
  <c r="B185" i="43"/>
  <c r="BW130" i="43"/>
  <c r="B198" i="43"/>
  <c r="H210" i="43"/>
  <c r="C198" i="43"/>
  <c r="J198" i="43" s="1"/>
  <c r="B194" i="43"/>
  <c r="H206" i="43"/>
  <c r="C194" i="43"/>
  <c r="J194" i="43" s="1"/>
  <c r="BW108" i="43"/>
  <c r="BW97" i="43"/>
  <c r="BW75" i="43"/>
  <c r="F143" i="43"/>
  <c r="AC143" i="43" s="1"/>
  <c r="I131" i="43"/>
  <c r="AA131" i="43"/>
  <c r="AB131" i="43"/>
  <c r="F88" i="43"/>
  <c r="AC88" i="43" s="1"/>
  <c r="AA76" i="43"/>
  <c r="I76" i="43"/>
  <c r="AB76" i="43"/>
  <c r="B178" i="43"/>
  <c r="H190" i="43"/>
  <c r="C178" i="43"/>
  <c r="J178" i="43" s="1"/>
  <c r="F121" i="43"/>
  <c r="AC121" i="43" s="1"/>
  <c r="AB109" i="43"/>
  <c r="AA109" i="43"/>
  <c r="I109" i="43"/>
  <c r="F99" i="43"/>
  <c r="AC99" i="43" s="1"/>
  <c r="I87" i="43"/>
  <c r="AA87" i="43"/>
  <c r="AB87" i="43"/>
  <c r="BW119" i="43"/>
  <c r="BW86" i="43"/>
  <c r="F154" i="43"/>
  <c r="AC154" i="43" s="1"/>
  <c r="AA142" i="43"/>
  <c r="I142" i="43"/>
  <c r="AB142" i="43"/>
  <c r="B184" i="43"/>
  <c r="H196" i="43"/>
  <c r="C184" i="43"/>
  <c r="J184" i="43" s="1"/>
  <c r="B180" i="43"/>
  <c r="H192" i="43"/>
  <c r="C180" i="43"/>
  <c r="J180" i="43" s="1"/>
  <c r="B183" i="43"/>
  <c r="H195" i="43"/>
  <c r="C183" i="43"/>
  <c r="J183" i="43" s="1"/>
  <c r="F132" i="43"/>
  <c r="AC132" i="43" s="1"/>
  <c r="I120" i="43"/>
  <c r="AA120" i="43"/>
  <c r="AB120" i="43"/>
  <c r="AW22" i="43"/>
  <c r="BW141" i="43"/>
  <c r="F165" i="43"/>
  <c r="AC165" i="43" s="1"/>
  <c r="AB153" i="43"/>
  <c r="AA153" i="43"/>
  <c r="I153" i="43"/>
  <c r="F110" i="43"/>
  <c r="AC110" i="43" s="1"/>
  <c r="I98" i="43"/>
  <c r="AA98" i="43"/>
  <c r="AB98" i="43"/>
  <c r="B179" i="43"/>
  <c r="H191" i="43"/>
  <c r="C179" i="43"/>
  <c r="J179" i="43" s="1"/>
  <c r="H187" i="43"/>
  <c r="AC187" i="43" s="1"/>
  <c r="AB175" i="43"/>
  <c r="C175" i="43"/>
  <c r="J175" i="43" s="1"/>
  <c r="I175" i="43"/>
  <c r="BW175" i="43" s="1"/>
  <c r="AA175" i="43"/>
  <c r="B175" i="43"/>
  <c r="H189" i="43"/>
  <c r="B177" i="43"/>
  <c r="C177" i="43"/>
  <c r="J177" i="43" s="1"/>
  <c r="H188" i="43"/>
  <c r="AC188" i="43" s="1"/>
  <c r="I176" i="43"/>
  <c r="BW176" i="43" s="1"/>
  <c r="AA176" i="43"/>
  <c r="B176" i="43"/>
  <c r="AB176" i="43"/>
  <c r="C176" i="43"/>
  <c r="J176" i="43" s="1"/>
  <c r="BW64" i="43"/>
  <c r="BW53" i="43"/>
  <c r="F77" i="43"/>
  <c r="AC77" i="43" s="1"/>
  <c r="AA65" i="43"/>
  <c r="I65" i="43"/>
  <c r="AB65" i="43"/>
  <c r="B180" i="42"/>
  <c r="H192" i="42"/>
  <c r="C180" i="42"/>
  <c r="J180" i="42" s="1"/>
  <c r="F100" i="42"/>
  <c r="AC100" i="42" s="1"/>
  <c r="AA88" i="42"/>
  <c r="AB88" i="42"/>
  <c r="I88" i="42"/>
  <c r="B182" i="42"/>
  <c r="H194" i="42"/>
  <c r="C182" i="42"/>
  <c r="J182" i="42" s="1"/>
  <c r="F166" i="42"/>
  <c r="AC166" i="42" s="1"/>
  <c r="I154" i="42"/>
  <c r="AA154" i="42"/>
  <c r="AB154" i="42"/>
  <c r="H193" i="42"/>
  <c r="C181" i="42"/>
  <c r="J181" i="42" s="1"/>
  <c r="B181" i="42"/>
  <c r="H189" i="42"/>
  <c r="AC189" i="42" s="1"/>
  <c r="AB177" i="42"/>
  <c r="C177" i="42"/>
  <c r="J177" i="42" s="1"/>
  <c r="I177" i="42"/>
  <c r="BW177" i="42" s="1"/>
  <c r="B177" i="42"/>
  <c r="AA177" i="42"/>
  <c r="AA176" i="42"/>
  <c r="B176" i="42"/>
  <c r="H188" i="42"/>
  <c r="AC188" i="42" s="1"/>
  <c r="AB176" i="42"/>
  <c r="C176" i="42"/>
  <c r="J176" i="42" s="1"/>
  <c r="I176" i="42"/>
  <c r="BW163" i="42"/>
  <c r="B178" i="42"/>
  <c r="H190" i="42"/>
  <c r="C178" i="42"/>
  <c r="J178" i="42" s="1"/>
  <c r="B196" i="42"/>
  <c r="H208" i="42"/>
  <c r="C196" i="42"/>
  <c r="J196" i="42" s="1"/>
  <c r="F89" i="42"/>
  <c r="AC89" i="42" s="1"/>
  <c r="I77" i="42"/>
  <c r="AB77" i="42"/>
  <c r="AA77" i="42"/>
  <c r="BW76" i="42"/>
  <c r="BW131" i="42"/>
  <c r="F155" i="42"/>
  <c r="AC155" i="42" s="1"/>
  <c r="I143" i="42"/>
  <c r="AA143" i="42"/>
  <c r="AB143" i="42"/>
  <c r="BW109" i="42"/>
  <c r="F133" i="42"/>
  <c r="AC133" i="42" s="1"/>
  <c r="AB121" i="42"/>
  <c r="AA121" i="42"/>
  <c r="I121" i="42"/>
  <c r="B183" i="42"/>
  <c r="H195" i="42"/>
  <c r="C183" i="42"/>
  <c r="J183" i="42" s="1"/>
  <c r="BW120" i="42"/>
  <c r="F144" i="42"/>
  <c r="AC144" i="42" s="1"/>
  <c r="AA132" i="42"/>
  <c r="I132" i="42"/>
  <c r="AB132" i="42"/>
  <c r="H197" i="42"/>
  <c r="C185" i="42"/>
  <c r="J185" i="42" s="1"/>
  <c r="B185" i="42"/>
  <c r="AW22" i="42"/>
  <c r="F111" i="42"/>
  <c r="AC111" i="42" s="1"/>
  <c r="AA99" i="42"/>
  <c r="AB99" i="42"/>
  <c r="I99" i="42"/>
  <c r="BW65" i="42"/>
  <c r="BW98" i="42"/>
  <c r="F122" i="42"/>
  <c r="AC122" i="42" s="1"/>
  <c r="I110" i="42"/>
  <c r="AA110" i="42"/>
  <c r="AB110" i="42"/>
  <c r="B179" i="42"/>
  <c r="H191" i="42"/>
  <c r="C179" i="42"/>
  <c r="J179" i="42" s="1"/>
  <c r="BW142" i="42"/>
  <c r="BW87" i="42"/>
  <c r="B186" i="42"/>
  <c r="C186" i="42"/>
  <c r="J186" i="42" s="1"/>
  <c r="H198" i="42"/>
  <c r="BW54" i="42"/>
  <c r="F78" i="42"/>
  <c r="AC78" i="42" s="1"/>
  <c r="I66" i="42"/>
  <c r="AA66" i="42"/>
  <c r="AB66" i="42"/>
  <c r="AA175" i="42"/>
  <c r="B175" i="42"/>
  <c r="H187" i="42"/>
  <c r="AC187" i="42" s="1"/>
  <c r="AB175" i="42"/>
  <c r="C175" i="42"/>
  <c r="J175" i="42" s="1"/>
  <c r="I175" i="42"/>
  <c r="B191" i="43" l="1"/>
  <c r="H203" i="43"/>
  <c r="C191" i="43"/>
  <c r="J191" i="43" s="1"/>
  <c r="BW142" i="43"/>
  <c r="F111" i="43"/>
  <c r="AC111" i="43" s="1"/>
  <c r="I99" i="43"/>
  <c r="AA99" i="43"/>
  <c r="AB99" i="43"/>
  <c r="B190" i="43"/>
  <c r="H202" i="43"/>
  <c r="C190" i="43"/>
  <c r="J190" i="43" s="1"/>
  <c r="H209" i="43"/>
  <c r="C197" i="43"/>
  <c r="J197" i="43" s="1"/>
  <c r="B197" i="43"/>
  <c r="H205" i="43"/>
  <c r="C193" i="43"/>
  <c r="J193" i="43" s="1"/>
  <c r="B193" i="43"/>
  <c r="BW65" i="43"/>
  <c r="BW153" i="43"/>
  <c r="F177" i="43"/>
  <c r="AC177" i="43" s="1"/>
  <c r="AA165" i="43"/>
  <c r="I165" i="43"/>
  <c r="AB165" i="43"/>
  <c r="B192" i="43"/>
  <c r="H204" i="43"/>
  <c r="C192" i="43"/>
  <c r="J192" i="43" s="1"/>
  <c r="B196" i="43"/>
  <c r="H208" i="43"/>
  <c r="C196" i="43"/>
  <c r="J196" i="43" s="1"/>
  <c r="F166" i="43"/>
  <c r="AC166" i="43" s="1"/>
  <c r="AB154" i="43"/>
  <c r="AA154" i="43"/>
  <c r="I154" i="43"/>
  <c r="BW87" i="43"/>
  <c r="BW76" i="43"/>
  <c r="F155" i="43"/>
  <c r="AC155" i="43" s="1"/>
  <c r="I143" i="43"/>
  <c r="AA143" i="43"/>
  <c r="AB143" i="43"/>
  <c r="B206" i="43"/>
  <c r="H218" i="43"/>
  <c r="C206" i="43"/>
  <c r="J206" i="43" s="1"/>
  <c r="B210" i="43"/>
  <c r="H222" i="43"/>
  <c r="C210" i="43"/>
  <c r="J210" i="43" s="1"/>
  <c r="F122" i="43"/>
  <c r="AC122" i="43" s="1"/>
  <c r="AA110" i="43"/>
  <c r="I110" i="43"/>
  <c r="AB110" i="43"/>
  <c r="F144" i="43"/>
  <c r="AC144" i="43" s="1"/>
  <c r="AB132" i="43"/>
  <c r="I132" i="43"/>
  <c r="AA132" i="43"/>
  <c r="F100" i="43"/>
  <c r="AC100" i="43" s="1"/>
  <c r="AB88" i="43"/>
  <c r="AA88" i="43"/>
  <c r="I88" i="43"/>
  <c r="F89" i="43"/>
  <c r="AC89" i="43" s="1"/>
  <c r="AA77" i="43"/>
  <c r="I77" i="43"/>
  <c r="AB77" i="43"/>
  <c r="AA188" i="43"/>
  <c r="B188" i="43"/>
  <c r="H200" i="43"/>
  <c r="AC200" i="43" s="1"/>
  <c r="AB188" i="43"/>
  <c r="C188" i="43"/>
  <c r="J188" i="43" s="1"/>
  <c r="I188" i="43"/>
  <c r="BW188" i="43" s="1"/>
  <c r="H201" i="43"/>
  <c r="C189" i="43"/>
  <c r="J189" i="43" s="1"/>
  <c r="B189" i="43"/>
  <c r="AA187" i="43"/>
  <c r="B187" i="43"/>
  <c r="H199" i="43"/>
  <c r="AC199" i="43" s="1"/>
  <c r="AB187" i="43"/>
  <c r="C187" i="43"/>
  <c r="J187" i="43" s="1"/>
  <c r="I187" i="43"/>
  <c r="BW98" i="43"/>
  <c r="AW23" i="43"/>
  <c r="BW120" i="43"/>
  <c r="B195" i="43"/>
  <c r="H207" i="43"/>
  <c r="C195" i="43"/>
  <c r="J195" i="43" s="1"/>
  <c r="BW109" i="43"/>
  <c r="F133" i="43"/>
  <c r="AC133" i="43" s="1"/>
  <c r="AA121" i="43"/>
  <c r="I121" i="43"/>
  <c r="AB121" i="43"/>
  <c r="BW131" i="43"/>
  <c r="BW54" i="43"/>
  <c r="F78" i="43"/>
  <c r="AC78" i="43" s="1"/>
  <c r="AA66" i="43"/>
  <c r="AB66" i="43"/>
  <c r="I66" i="43"/>
  <c r="B198" i="42"/>
  <c r="H210" i="42"/>
  <c r="C198" i="42"/>
  <c r="J198" i="42" s="1"/>
  <c r="BW110" i="42"/>
  <c r="BW154" i="42"/>
  <c r="B192" i="42"/>
  <c r="H204" i="42"/>
  <c r="C192" i="42"/>
  <c r="J192" i="42" s="1"/>
  <c r="B191" i="42"/>
  <c r="H203" i="42"/>
  <c r="C191" i="42"/>
  <c r="J191" i="42" s="1"/>
  <c r="AW23" i="42"/>
  <c r="BW132" i="42"/>
  <c r="F167" i="42"/>
  <c r="AC167" i="42" s="1"/>
  <c r="AA155" i="42"/>
  <c r="AB155" i="42"/>
  <c r="I155" i="42"/>
  <c r="BW77" i="42"/>
  <c r="B190" i="42"/>
  <c r="C190" i="42"/>
  <c r="J190" i="42" s="1"/>
  <c r="H202" i="42"/>
  <c r="F112" i="42"/>
  <c r="AC112" i="42" s="1"/>
  <c r="AB100" i="42"/>
  <c r="AA100" i="42"/>
  <c r="I100" i="42"/>
  <c r="H209" i="42"/>
  <c r="C197" i="42"/>
  <c r="J197" i="42" s="1"/>
  <c r="B197" i="42"/>
  <c r="B195" i="42"/>
  <c r="H207" i="42"/>
  <c r="C195" i="42"/>
  <c r="J195" i="42" s="1"/>
  <c r="AA187" i="42"/>
  <c r="B187" i="42"/>
  <c r="H199" i="42"/>
  <c r="AC199" i="42" s="1"/>
  <c r="AB187" i="42"/>
  <c r="C187" i="42"/>
  <c r="J187" i="42" s="1"/>
  <c r="I187" i="42"/>
  <c r="BW187" i="42" s="1"/>
  <c r="F90" i="42"/>
  <c r="AC90" i="42" s="1"/>
  <c r="AA78" i="42"/>
  <c r="AB78" i="42"/>
  <c r="I78" i="42"/>
  <c r="BW99" i="42"/>
  <c r="F123" i="42"/>
  <c r="AC123" i="42" s="1"/>
  <c r="I111" i="42"/>
  <c r="AA111" i="42"/>
  <c r="AB111" i="42"/>
  <c r="BW121" i="42"/>
  <c r="F145" i="42"/>
  <c r="AC145" i="42" s="1"/>
  <c r="AA133" i="42"/>
  <c r="I133" i="42"/>
  <c r="AB133" i="42"/>
  <c r="BW143" i="42"/>
  <c r="AA188" i="42"/>
  <c r="B188" i="42"/>
  <c r="H200" i="42"/>
  <c r="AC200" i="42" s="1"/>
  <c r="AB188" i="42"/>
  <c r="C188" i="42"/>
  <c r="J188" i="42" s="1"/>
  <c r="I188" i="42"/>
  <c r="BW188" i="42" s="1"/>
  <c r="F178" i="42"/>
  <c r="AC178" i="42" s="1"/>
  <c r="I166" i="42"/>
  <c r="AA166" i="42"/>
  <c r="AB166" i="42"/>
  <c r="F101" i="42"/>
  <c r="AC101" i="42" s="1"/>
  <c r="AB89" i="42"/>
  <c r="I89" i="42"/>
  <c r="AA89" i="42"/>
  <c r="BW88" i="42"/>
  <c r="BW66" i="42"/>
  <c r="F134" i="42"/>
  <c r="AC134" i="42" s="1"/>
  <c r="I122" i="42"/>
  <c r="AA122" i="42"/>
  <c r="AB122" i="42"/>
  <c r="F156" i="42"/>
  <c r="AC156" i="42" s="1"/>
  <c r="AA144" i="42"/>
  <c r="I144" i="42"/>
  <c r="AB144" i="42"/>
  <c r="H220" i="42"/>
  <c r="B208" i="42"/>
  <c r="C208" i="42"/>
  <c r="J208" i="42" s="1"/>
  <c r="H201" i="42"/>
  <c r="AC201" i="42" s="1"/>
  <c r="AB189" i="42"/>
  <c r="C189" i="42"/>
  <c r="J189" i="42" s="1"/>
  <c r="I189" i="42"/>
  <c r="BW189" i="42" s="1"/>
  <c r="B189" i="42"/>
  <c r="AA189" i="42"/>
  <c r="H205" i="42"/>
  <c r="C193" i="42"/>
  <c r="J193" i="42" s="1"/>
  <c r="B193" i="42"/>
  <c r="B194" i="42"/>
  <c r="H206" i="42"/>
  <c r="C194" i="42"/>
  <c r="J194" i="42" s="1"/>
  <c r="BW175" i="42"/>
  <c r="BW176" i="42"/>
  <c r="F31" i="2"/>
  <c r="BW121" i="43" l="1"/>
  <c r="AA200" i="43"/>
  <c r="B200" i="43"/>
  <c r="H212" i="43"/>
  <c r="AC212" i="43" s="1"/>
  <c r="AB200" i="43"/>
  <c r="C200" i="43"/>
  <c r="J200" i="43" s="1"/>
  <c r="I200" i="43"/>
  <c r="BW200" i="43" s="1"/>
  <c r="BW88" i="43"/>
  <c r="F112" i="43"/>
  <c r="AC112" i="43" s="1"/>
  <c r="AA100" i="43"/>
  <c r="I100" i="43"/>
  <c r="AB100" i="43"/>
  <c r="BW143" i="43"/>
  <c r="BW165" i="43"/>
  <c r="AW24" i="43"/>
  <c r="H213" i="43"/>
  <c r="C201" i="43"/>
  <c r="J201" i="43" s="1"/>
  <c r="B201" i="43"/>
  <c r="BW77" i="43"/>
  <c r="BW110" i="43"/>
  <c r="B222" i="43"/>
  <c r="H234" i="43"/>
  <c r="C222" i="43"/>
  <c r="J222" i="43" s="1"/>
  <c r="B218" i="43"/>
  <c r="H230" i="43"/>
  <c r="C218" i="43"/>
  <c r="J218" i="43" s="1"/>
  <c r="B208" i="43"/>
  <c r="H220" i="43"/>
  <c r="C208" i="43"/>
  <c r="J208" i="43" s="1"/>
  <c r="B204" i="43"/>
  <c r="H216" i="43"/>
  <c r="C204" i="43"/>
  <c r="J204" i="43" s="1"/>
  <c r="F189" i="43"/>
  <c r="AC189" i="43" s="1"/>
  <c r="AA177" i="43"/>
  <c r="I177" i="43"/>
  <c r="AB177" i="43"/>
  <c r="F123" i="43"/>
  <c r="AC123" i="43" s="1"/>
  <c r="I111" i="43"/>
  <c r="AA111" i="43"/>
  <c r="AB111" i="43"/>
  <c r="F145" i="43"/>
  <c r="AC145" i="43" s="1"/>
  <c r="AB133" i="43"/>
  <c r="AA133" i="43"/>
  <c r="I133" i="43"/>
  <c r="AA199" i="43"/>
  <c r="B199" i="43"/>
  <c r="H211" i="43"/>
  <c r="AC211" i="43" s="1"/>
  <c r="AB199" i="43"/>
  <c r="C199" i="43"/>
  <c r="J199" i="43" s="1"/>
  <c r="I199" i="43"/>
  <c r="BW199" i="43" s="1"/>
  <c r="F101" i="43"/>
  <c r="AC101" i="43" s="1"/>
  <c r="AA89" i="43"/>
  <c r="I89" i="43"/>
  <c r="AB89" i="43"/>
  <c r="BW132" i="43"/>
  <c r="F134" i="43"/>
  <c r="AC134" i="43" s="1"/>
  <c r="AA122" i="43"/>
  <c r="I122" i="43"/>
  <c r="AB122" i="43"/>
  <c r="BW154" i="43"/>
  <c r="F178" i="43"/>
  <c r="AC178" i="43" s="1"/>
  <c r="AA166" i="43"/>
  <c r="I166" i="43"/>
  <c r="AB166" i="43"/>
  <c r="H217" i="43"/>
  <c r="C205" i="43"/>
  <c r="J205" i="43" s="1"/>
  <c r="B205" i="43"/>
  <c r="H221" i="43"/>
  <c r="C209" i="43"/>
  <c r="J209" i="43" s="1"/>
  <c r="B209" i="43"/>
  <c r="BW99" i="43"/>
  <c r="B203" i="43"/>
  <c r="H215" i="43"/>
  <c r="C203" i="43"/>
  <c r="J203" i="43" s="1"/>
  <c r="BW66" i="43"/>
  <c r="F90" i="43"/>
  <c r="AC90" i="43" s="1"/>
  <c r="I78" i="43"/>
  <c r="AA78" i="43"/>
  <c r="AB78" i="43"/>
  <c r="B207" i="43"/>
  <c r="H219" i="43"/>
  <c r="C207" i="43"/>
  <c r="J207" i="43" s="1"/>
  <c r="F156" i="43"/>
  <c r="AC156" i="43" s="1"/>
  <c r="AB144" i="43"/>
  <c r="I144" i="43"/>
  <c r="AA144" i="43"/>
  <c r="F167" i="43"/>
  <c r="AC167" i="43" s="1"/>
  <c r="AB155" i="43"/>
  <c r="I155" i="43"/>
  <c r="AA155" i="43"/>
  <c r="B202" i="43"/>
  <c r="H214" i="43"/>
  <c r="C202" i="43"/>
  <c r="J202" i="43" s="1"/>
  <c r="BW187" i="43"/>
  <c r="F168" i="42"/>
  <c r="AC168" i="42" s="1"/>
  <c r="AA156" i="42"/>
  <c r="I156" i="42"/>
  <c r="AB156" i="42"/>
  <c r="BW122" i="42"/>
  <c r="F190" i="42"/>
  <c r="AC190" i="42" s="1"/>
  <c r="I178" i="42"/>
  <c r="AA178" i="42"/>
  <c r="AB178" i="42"/>
  <c r="H219" i="42"/>
  <c r="B207" i="42"/>
  <c r="C207" i="42"/>
  <c r="J207" i="42" s="1"/>
  <c r="BW155" i="42"/>
  <c r="F179" i="42"/>
  <c r="AC179" i="42" s="1"/>
  <c r="AB167" i="42"/>
  <c r="AA167" i="42"/>
  <c r="I167" i="42"/>
  <c r="B203" i="42"/>
  <c r="H215" i="42"/>
  <c r="C203" i="42"/>
  <c r="J203" i="42" s="1"/>
  <c r="B204" i="42"/>
  <c r="H216" i="42"/>
  <c r="C204" i="42"/>
  <c r="J204" i="42" s="1"/>
  <c r="AA200" i="42"/>
  <c r="B200" i="42"/>
  <c r="H212" i="42"/>
  <c r="AC212" i="42" s="1"/>
  <c r="AB200" i="42"/>
  <c r="C200" i="42"/>
  <c r="J200" i="42" s="1"/>
  <c r="I200" i="42"/>
  <c r="F157" i="42"/>
  <c r="AC157" i="42" s="1"/>
  <c r="AB145" i="42"/>
  <c r="AA145" i="42"/>
  <c r="I145" i="42"/>
  <c r="AW24" i="42"/>
  <c r="H217" i="42"/>
  <c r="C205" i="42"/>
  <c r="J205" i="42" s="1"/>
  <c r="B205" i="42"/>
  <c r="H213" i="42"/>
  <c r="AC213" i="42" s="1"/>
  <c r="AB201" i="42"/>
  <c r="C201" i="42"/>
  <c r="J201" i="42" s="1"/>
  <c r="I201" i="42"/>
  <c r="BW201" i="42" s="1"/>
  <c r="AA201" i="42"/>
  <c r="B201" i="42"/>
  <c r="B220" i="42"/>
  <c r="H232" i="42"/>
  <c r="C220" i="42"/>
  <c r="J220" i="42" s="1"/>
  <c r="BW89" i="42"/>
  <c r="BW166" i="42"/>
  <c r="BW133" i="42"/>
  <c r="BW78" i="42"/>
  <c r="F102" i="42"/>
  <c r="AC102" i="42" s="1"/>
  <c r="I90" i="42"/>
  <c r="AB90" i="42"/>
  <c r="AA90" i="42"/>
  <c r="F146" i="42"/>
  <c r="AC146" i="42" s="1"/>
  <c r="I134" i="42"/>
  <c r="AA134" i="42"/>
  <c r="AB134" i="42"/>
  <c r="BW111" i="42"/>
  <c r="H221" i="42"/>
  <c r="C209" i="42"/>
  <c r="J209" i="42" s="1"/>
  <c r="B209" i="42"/>
  <c r="BW100" i="42"/>
  <c r="F124" i="42"/>
  <c r="AC124" i="42" s="1"/>
  <c r="AA112" i="42"/>
  <c r="I112" i="42"/>
  <c r="AB112" i="42"/>
  <c r="B202" i="42"/>
  <c r="C202" i="42"/>
  <c r="J202" i="42" s="1"/>
  <c r="H214" i="42"/>
  <c r="H218" i="42"/>
  <c r="B206" i="42"/>
  <c r="C206" i="42"/>
  <c r="J206" i="42" s="1"/>
  <c r="BW144" i="42"/>
  <c r="F113" i="42"/>
  <c r="AC113" i="42" s="1"/>
  <c r="AB101" i="42"/>
  <c r="AA101" i="42"/>
  <c r="I101" i="42"/>
  <c r="F135" i="42"/>
  <c r="AC135" i="42" s="1"/>
  <c r="AA123" i="42"/>
  <c r="I123" i="42"/>
  <c r="AB123" i="42"/>
  <c r="AA199" i="42"/>
  <c r="B199" i="42"/>
  <c r="H211" i="42"/>
  <c r="AC211" i="42" s="1"/>
  <c r="AB199" i="42"/>
  <c r="C199" i="42"/>
  <c r="J199" i="42" s="1"/>
  <c r="I199" i="42"/>
  <c r="BW199" i="42" s="1"/>
  <c r="H222" i="42"/>
  <c r="B210" i="42"/>
  <c r="C210" i="42"/>
  <c r="J210" i="42" s="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W120" i="1"/>
  <c r="H47" i="1" s="1"/>
  <c r="W121" i="1"/>
  <c r="H48" i="1" s="1"/>
  <c r="W122" i="1"/>
  <c r="H49" i="1" s="1"/>
  <c r="W123" i="1"/>
  <c r="H50" i="1" s="1"/>
  <c r="W124" i="1"/>
  <c r="H51" i="1" s="1"/>
  <c r="W125" i="1"/>
  <c r="H52" i="1" s="1"/>
  <c r="W126" i="1"/>
  <c r="H53" i="1" s="1"/>
  <c r="W127" i="1"/>
  <c r="H54" i="1" s="1"/>
  <c r="W128" i="1"/>
  <c r="H55" i="1" s="1"/>
  <c r="W129" i="1"/>
  <c r="H56" i="1" s="1"/>
  <c r="W130" i="1"/>
  <c r="H57" i="1" s="1"/>
  <c r="W131" i="1"/>
  <c r="H58" i="1" s="1"/>
  <c r="W132" i="1"/>
  <c r="H59" i="1" s="1"/>
  <c r="W133" i="1"/>
  <c r="H60" i="1" s="1"/>
  <c r="W134" i="1"/>
  <c r="H61" i="1" s="1"/>
  <c r="W135" i="1"/>
  <c r="H62" i="1" s="1"/>
  <c r="W136" i="1"/>
  <c r="H63" i="1" s="1"/>
  <c r="W137" i="1"/>
  <c r="H64" i="1" s="1"/>
  <c r="W138" i="1"/>
  <c r="H65" i="1" s="1"/>
  <c r="W139" i="1"/>
  <c r="H66" i="1" s="1"/>
  <c r="W140" i="1"/>
  <c r="H67" i="1" s="1"/>
  <c r="W141" i="1"/>
  <c r="H68" i="1" s="1"/>
  <c r="W142" i="1"/>
  <c r="H69" i="1" s="1"/>
  <c r="W143" i="1"/>
  <c r="H70" i="1" s="1"/>
  <c r="W144" i="1"/>
  <c r="H71" i="1" s="1"/>
  <c r="W145" i="1"/>
  <c r="H72" i="1" s="1"/>
  <c r="W146" i="1"/>
  <c r="H73" i="1" s="1"/>
  <c r="W147" i="1"/>
  <c r="H74" i="1" s="1"/>
  <c r="W148" i="1"/>
  <c r="H75" i="1" s="1"/>
  <c r="W149" i="1"/>
  <c r="H76" i="1" s="1"/>
  <c r="W150" i="1"/>
  <c r="H77" i="1" s="1"/>
  <c r="W151" i="1"/>
  <c r="H78" i="1" s="1"/>
  <c r="W152" i="1"/>
  <c r="H79" i="1" s="1"/>
  <c r="W153" i="1"/>
  <c r="H80" i="1" s="1"/>
  <c r="W154" i="1"/>
  <c r="H81" i="1" s="1"/>
  <c r="W155" i="1"/>
  <c r="H82" i="1" s="1"/>
  <c r="W156" i="1"/>
  <c r="H83" i="1" s="1"/>
  <c r="W157" i="1"/>
  <c r="H84" i="1" s="1"/>
  <c r="W158" i="1"/>
  <c r="H85" i="1" s="1"/>
  <c r="W159" i="1"/>
  <c r="H86" i="1" s="1"/>
  <c r="W160" i="1"/>
  <c r="H87" i="1" s="1"/>
  <c r="W161" i="1"/>
  <c r="H88" i="1" s="1"/>
  <c r="W162" i="1"/>
  <c r="H89" i="1" s="1"/>
  <c r="W163" i="1"/>
  <c r="H90" i="1" s="1"/>
  <c r="W164" i="1"/>
  <c r="H91" i="1" s="1"/>
  <c r="W165" i="1"/>
  <c r="H92" i="1" s="1"/>
  <c r="W166" i="1"/>
  <c r="H93" i="1" s="1"/>
  <c r="W167" i="1"/>
  <c r="H94" i="1" s="1"/>
  <c r="W168" i="1"/>
  <c r="H95" i="1" s="1"/>
  <c r="W169" i="1"/>
  <c r="H96" i="1" s="1"/>
  <c r="W170" i="1"/>
  <c r="H97" i="1" s="1"/>
  <c r="W171" i="1"/>
  <c r="H98" i="1" s="1"/>
  <c r="W172" i="1"/>
  <c r="H99" i="1" s="1"/>
  <c r="W173" i="1"/>
  <c r="H100" i="1" s="1"/>
  <c r="W174" i="1"/>
  <c r="H101" i="1" s="1"/>
  <c r="W175" i="1"/>
  <c r="H102" i="1" s="1"/>
  <c r="W176" i="1"/>
  <c r="H103" i="1" s="1"/>
  <c r="W177" i="1"/>
  <c r="H104" i="1" s="1"/>
  <c r="W178" i="1"/>
  <c r="H105" i="1" s="1"/>
  <c r="W78" i="1"/>
  <c r="Q8" i="1"/>
  <c r="Q9" i="1"/>
  <c r="Q10" i="1"/>
  <c r="Q7" i="1"/>
  <c r="BW155" i="43" l="1"/>
  <c r="F168" i="43"/>
  <c r="AC168" i="43" s="1"/>
  <c r="AB156" i="43"/>
  <c r="I156" i="43"/>
  <c r="AA156" i="43"/>
  <c r="BW78" i="43"/>
  <c r="B215" i="43"/>
  <c r="H227" i="43"/>
  <c r="C215" i="43"/>
  <c r="J215" i="43" s="1"/>
  <c r="BW166" i="43"/>
  <c r="BW122" i="43"/>
  <c r="F113" i="43"/>
  <c r="AC113" i="43" s="1"/>
  <c r="AA101" i="43"/>
  <c r="I101" i="43"/>
  <c r="AB101" i="43"/>
  <c r="BW111" i="43"/>
  <c r="B216" i="43"/>
  <c r="H228" i="43"/>
  <c r="C216" i="43"/>
  <c r="J216" i="43" s="1"/>
  <c r="B220" i="43"/>
  <c r="H232" i="43"/>
  <c r="C220" i="43"/>
  <c r="J220" i="43" s="1"/>
  <c r="AW25" i="43"/>
  <c r="F179" i="43"/>
  <c r="AC179" i="43" s="1"/>
  <c r="I167" i="43"/>
  <c r="AA167" i="43"/>
  <c r="AB167" i="43"/>
  <c r="B219" i="43"/>
  <c r="H231" i="43"/>
  <c r="C219" i="43"/>
  <c r="J219" i="43" s="1"/>
  <c r="F146" i="43"/>
  <c r="AC146" i="43" s="1"/>
  <c r="AA134" i="43"/>
  <c r="I134" i="43"/>
  <c r="AB134" i="43"/>
  <c r="BW133" i="43"/>
  <c r="F157" i="43"/>
  <c r="AC157" i="43" s="1"/>
  <c r="AA145" i="43"/>
  <c r="I145" i="43"/>
  <c r="AB145" i="43"/>
  <c r="F201" i="43"/>
  <c r="AC201" i="43" s="1"/>
  <c r="I189" i="43"/>
  <c r="AA189" i="43"/>
  <c r="AB189" i="43"/>
  <c r="H225" i="43"/>
  <c r="C213" i="43"/>
  <c r="J213" i="43" s="1"/>
  <c r="B213" i="43"/>
  <c r="BW100" i="43"/>
  <c r="AA212" i="43"/>
  <c r="B212" i="43"/>
  <c r="H224" i="43"/>
  <c r="AC224" i="43" s="1"/>
  <c r="AB212" i="43"/>
  <c r="C212" i="43"/>
  <c r="J212" i="43" s="1"/>
  <c r="I212" i="43"/>
  <c r="BW212" i="43" s="1"/>
  <c r="F190" i="43"/>
  <c r="AC190" i="43" s="1"/>
  <c r="I178" i="43"/>
  <c r="AA178" i="43"/>
  <c r="AB178" i="43"/>
  <c r="BW89" i="43"/>
  <c r="F135" i="43"/>
  <c r="AC135" i="43" s="1"/>
  <c r="AB123" i="43"/>
  <c r="I123" i="43"/>
  <c r="AA123" i="43"/>
  <c r="B230" i="43"/>
  <c r="H242" i="43"/>
  <c r="C230" i="43"/>
  <c r="J230" i="43" s="1"/>
  <c r="B234" i="43"/>
  <c r="H246" i="43"/>
  <c r="C234" i="43"/>
  <c r="J234" i="43" s="1"/>
  <c r="F124" i="43"/>
  <c r="AC124" i="43" s="1"/>
  <c r="I112" i="43"/>
  <c r="AA112" i="43"/>
  <c r="AB112" i="43"/>
  <c r="B214" i="43"/>
  <c r="H226" i="43"/>
  <c r="C214" i="43"/>
  <c r="J214" i="43" s="1"/>
  <c r="BW144" i="43"/>
  <c r="F102" i="43"/>
  <c r="AC102" i="43" s="1"/>
  <c r="I90" i="43"/>
  <c r="AA90" i="43"/>
  <c r="AB90" i="43"/>
  <c r="H233" i="43"/>
  <c r="C221" i="43"/>
  <c r="J221" i="43" s="1"/>
  <c r="B221" i="43"/>
  <c r="H229" i="43"/>
  <c r="C217" i="43"/>
  <c r="J217" i="43" s="1"/>
  <c r="B217" i="43"/>
  <c r="AA211" i="43"/>
  <c r="B211" i="43"/>
  <c r="H223" i="43"/>
  <c r="AC223" i="43" s="1"/>
  <c r="AB211" i="43"/>
  <c r="C211" i="43"/>
  <c r="J211" i="43" s="1"/>
  <c r="I211" i="43"/>
  <c r="BW177" i="43"/>
  <c r="BW101" i="42"/>
  <c r="F125" i="42"/>
  <c r="AC125" i="42" s="1"/>
  <c r="AA113" i="42"/>
  <c r="I113" i="42"/>
  <c r="AB113" i="42"/>
  <c r="B232" i="42"/>
  <c r="H244" i="42"/>
  <c r="C232" i="42"/>
  <c r="J232" i="42" s="1"/>
  <c r="B219" i="42"/>
  <c r="H231" i="42"/>
  <c r="C219" i="42"/>
  <c r="J219" i="42" s="1"/>
  <c r="F147" i="42"/>
  <c r="AC147" i="42" s="1"/>
  <c r="AA135" i="42"/>
  <c r="I135" i="42"/>
  <c r="AB135" i="42"/>
  <c r="BW112" i="42"/>
  <c r="BW90" i="42"/>
  <c r="H225" i="42"/>
  <c r="AC225" i="42" s="1"/>
  <c r="AB213" i="42"/>
  <c r="C213" i="42"/>
  <c r="J213" i="42" s="1"/>
  <c r="I213" i="42"/>
  <c r="AA213" i="42"/>
  <c r="B213" i="42"/>
  <c r="H229" i="42"/>
  <c r="C217" i="42"/>
  <c r="J217" i="42" s="1"/>
  <c r="B217" i="42"/>
  <c r="BW156" i="42"/>
  <c r="AW25" i="42"/>
  <c r="BW167" i="42"/>
  <c r="B222" i="42"/>
  <c r="C222" i="42"/>
  <c r="J222" i="42" s="1"/>
  <c r="H234" i="42"/>
  <c r="B218" i="42"/>
  <c r="C218" i="42"/>
  <c r="J218" i="42" s="1"/>
  <c r="H230" i="42"/>
  <c r="H226" i="42"/>
  <c r="B214" i="42"/>
  <c r="C214" i="42"/>
  <c r="J214" i="42" s="1"/>
  <c r="F158" i="42"/>
  <c r="AC158" i="42" s="1"/>
  <c r="I146" i="42"/>
  <c r="AA146" i="42"/>
  <c r="AB146" i="42"/>
  <c r="H224" i="42"/>
  <c r="AC224" i="42" s="1"/>
  <c r="AA212" i="42"/>
  <c r="B212" i="42"/>
  <c r="AB212" i="42"/>
  <c r="C212" i="42"/>
  <c r="J212" i="42" s="1"/>
  <c r="I212" i="42"/>
  <c r="H227" i="42"/>
  <c r="B215" i="42"/>
  <c r="C215" i="42"/>
  <c r="J215" i="42" s="1"/>
  <c r="F180" i="42"/>
  <c r="AC180" i="42" s="1"/>
  <c r="AA168" i="42"/>
  <c r="I168" i="42"/>
  <c r="AB168" i="42"/>
  <c r="BW123" i="42"/>
  <c r="H228" i="42"/>
  <c r="B216" i="42"/>
  <c r="C216" i="42"/>
  <c r="J216" i="42" s="1"/>
  <c r="F191" i="42"/>
  <c r="AC191" i="42" s="1"/>
  <c r="AA179" i="42"/>
  <c r="I179" i="42"/>
  <c r="AB179" i="42"/>
  <c r="BW178" i="42"/>
  <c r="H223" i="42"/>
  <c r="AC223" i="42" s="1"/>
  <c r="AA211" i="42"/>
  <c r="B211" i="42"/>
  <c r="AB211" i="42"/>
  <c r="C211" i="42"/>
  <c r="J211" i="42" s="1"/>
  <c r="I211" i="42"/>
  <c r="F136" i="42"/>
  <c r="AC136" i="42" s="1"/>
  <c r="AA124" i="42"/>
  <c r="I124" i="42"/>
  <c r="AB124" i="42"/>
  <c r="H233" i="42"/>
  <c r="C221" i="42"/>
  <c r="J221" i="42" s="1"/>
  <c r="B221" i="42"/>
  <c r="BW134" i="42"/>
  <c r="F114" i="42"/>
  <c r="AC114" i="42" s="1"/>
  <c r="AB102" i="42"/>
  <c r="AA102" i="42"/>
  <c r="I102" i="42"/>
  <c r="BW145" i="42"/>
  <c r="F169" i="42"/>
  <c r="AC169" i="42" s="1"/>
  <c r="I157" i="42"/>
  <c r="AB157" i="42"/>
  <c r="AA157" i="42"/>
  <c r="F202" i="42"/>
  <c r="AC202" i="42" s="1"/>
  <c r="I190" i="42"/>
  <c r="AA190" i="42"/>
  <c r="AB190" i="42"/>
  <c r="BW200" i="42"/>
  <c r="V145" i="1"/>
  <c r="G72" i="1" s="1"/>
  <c r="G8" i="1"/>
  <c r="V161" i="1"/>
  <c r="G88" i="1" s="1"/>
  <c r="G24" i="1"/>
  <c r="V177" i="1"/>
  <c r="G104" i="1" s="1"/>
  <c r="G40" i="1"/>
  <c r="V129" i="1"/>
  <c r="G56" i="1" s="1"/>
  <c r="V165" i="1"/>
  <c r="G92" i="1" s="1"/>
  <c r="V149" i="1"/>
  <c r="G76" i="1" s="1"/>
  <c r="V133" i="1"/>
  <c r="G60" i="1" s="1"/>
  <c r="G44" i="1"/>
  <c r="G28" i="1"/>
  <c r="G12" i="1"/>
  <c r="V169" i="1"/>
  <c r="G96" i="1" s="1"/>
  <c r="V153" i="1"/>
  <c r="G80" i="1" s="1"/>
  <c r="V137" i="1"/>
  <c r="G64" i="1" s="1"/>
  <c r="V121" i="1"/>
  <c r="G48" i="1" s="1"/>
  <c r="G32" i="1"/>
  <c r="G16" i="1"/>
  <c r="V173" i="1"/>
  <c r="G100" i="1" s="1"/>
  <c r="V157" i="1"/>
  <c r="G84" i="1" s="1"/>
  <c r="V141" i="1"/>
  <c r="G68" i="1" s="1"/>
  <c r="V125" i="1"/>
  <c r="G52" i="1" s="1"/>
  <c r="G36" i="1"/>
  <c r="G20" i="1"/>
  <c r="V178" i="1"/>
  <c r="G105" i="1" s="1"/>
  <c r="V174" i="1"/>
  <c r="G101" i="1" s="1"/>
  <c r="V170" i="1"/>
  <c r="G97" i="1" s="1"/>
  <c r="V166" i="1"/>
  <c r="G93" i="1" s="1"/>
  <c r="V162" i="1"/>
  <c r="G89" i="1" s="1"/>
  <c r="V158" i="1"/>
  <c r="G85" i="1" s="1"/>
  <c r="V154" i="1"/>
  <c r="G81" i="1" s="1"/>
  <c r="V150" i="1"/>
  <c r="G77" i="1" s="1"/>
  <c r="V146" i="1"/>
  <c r="G73" i="1" s="1"/>
  <c r="V142" i="1"/>
  <c r="G69" i="1" s="1"/>
  <c r="V138" i="1"/>
  <c r="G65" i="1" s="1"/>
  <c r="V134" i="1"/>
  <c r="G61" i="1" s="1"/>
  <c r="V130" i="1"/>
  <c r="G57" i="1" s="1"/>
  <c r="V126" i="1"/>
  <c r="G53" i="1" s="1"/>
  <c r="V122" i="1"/>
  <c r="G49" i="1" s="1"/>
  <c r="G45" i="1"/>
  <c r="G41" i="1"/>
  <c r="G37" i="1"/>
  <c r="G33" i="1"/>
  <c r="G29" i="1"/>
  <c r="G25" i="1"/>
  <c r="G21" i="1"/>
  <c r="G17" i="1"/>
  <c r="G13" i="1"/>
  <c r="G9" i="1"/>
  <c r="V78" i="1"/>
  <c r="V175" i="1"/>
  <c r="G102" i="1" s="1"/>
  <c r="V171" i="1"/>
  <c r="G98" i="1" s="1"/>
  <c r="V167" i="1"/>
  <c r="G94" i="1" s="1"/>
  <c r="V163" i="1"/>
  <c r="G90" i="1" s="1"/>
  <c r="V159" i="1"/>
  <c r="G86" i="1" s="1"/>
  <c r="V155" i="1"/>
  <c r="G82" i="1" s="1"/>
  <c r="V151" i="1"/>
  <c r="G78" i="1" s="1"/>
  <c r="V147" i="1"/>
  <c r="G74" i="1" s="1"/>
  <c r="V143" i="1"/>
  <c r="G70" i="1" s="1"/>
  <c r="V139" i="1"/>
  <c r="G66" i="1" s="1"/>
  <c r="V135" i="1"/>
  <c r="G62" i="1" s="1"/>
  <c r="V131" i="1"/>
  <c r="G58" i="1" s="1"/>
  <c r="V127" i="1"/>
  <c r="G54" i="1" s="1"/>
  <c r="V123" i="1"/>
  <c r="G50" i="1" s="1"/>
  <c r="G46" i="1"/>
  <c r="G42" i="1"/>
  <c r="G38" i="1"/>
  <c r="G34" i="1"/>
  <c r="G30" i="1"/>
  <c r="G26" i="1"/>
  <c r="G22" i="1"/>
  <c r="G18" i="1"/>
  <c r="G14" i="1"/>
  <c r="G10" i="1"/>
  <c r="V176" i="1"/>
  <c r="G103" i="1" s="1"/>
  <c r="V172" i="1"/>
  <c r="G99" i="1" s="1"/>
  <c r="V168" i="1"/>
  <c r="G95" i="1" s="1"/>
  <c r="V164" i="1"/>
  <c r="G91" i="1" s="1"/>
  <c r="V160" i="1"/>
  <c r="G87" i="1" s="1"/>
  <c r="V156" i="1"/>
  <c r="G83" i="1" s="1"/>
  <c r="V152" i="1"/>
  <c r="G79" i="1" s="1"/>
  <c r="V148" i="1"/>
  <c r="G75" i="1" s="1"/>
  <c r="V144" i="1"/>
  <c r="G71" i="1" s="1"/>
  <c r="V140" i="1"/>
  <c r="G67" i="1" s="1"/>
  <c r="V136" i="1"/>
  <c r="G63" i="1" s="1"/>
  <c r="V132" i="1"/>
  <c r="G59" i="1" s="1"/>
  <c r="V128" i="1"/>
  <c r="G55" i="1" s="1"/>
  <c r="V124" i="1"/>
  <c r="G51" i="1" s="1"/>
  <c r="V120" i="1"/>
  <c r="G47" i="1" s="1"/>
  <c r="G43" i="1"/>
  <c r="G39" i="1"/>
  <c r="G35" i="1"/>
  <c r="AU43" i="1" s="1"/>
  <c r="AU44" i="1" s="1"/>
  <c r="AU45" i="1" s="1"/>
  <c r="G31" i="1"/>
  <c r="G27" i="1"/>
  <c r="G23" i="1"/>
  <c r="G19" i="1"/>
  <c r="G15" i="1"/>
  <c r="G11" i="1"/>
  <c r="G7" i="1"/>
  <c r="P8" i="1"/>
  <c r="P9" i="1"/>
  <c r="P10" i="1"/>
  <c r="P7" i="1"/>
  <c r="F114" i="43" l="1"/>
  <c r="AC114" i="43" s="1"/>
  <c r="I102" i="43"/>
  <c r="AA102" i="43"/>
  <c r="AB102" i="43"/>
  <c r="BW112" i="43"/>
  <c r="H258" i="43"/>
  <c r="B246" i="43"/>
  <c r="C246" i="43"/>
  <c r="J246" i="43" s="1"/>
  <c r="H254" i="43"/>
  <c r="B242" i="43"/>
  <c r="C242" i="43"/>
  <c r="J242" i="43" s="1"/>
  <c r="H237" i="43"/>
  <c r="C225" i="43"/>
  <c r="J225" i="43" s="1"/>
  <c r="B225" i="43"/>
  <c r="BW189" i="43"/>
  <c r="B231" i="43"/>
  <c r="H243" i="43"/>
  <c r="C231" i="43"/>
  <c r="J231" i="43" s="1"/>
  <c r="BW167" i="43"/>
  <c r="B232" i="43"/>
  <c r="H244" i="43"/>
  <c r="C232" i="43"/>
  <c r="J232" i="43" s="1"/>
  <c r="B228" i="43"/>
  <c r="H240" i="43"/>
  <c r="C228" i="43"/>
  <c r="J228" i="43" s="1"/>
  <c r="F125" i="43"/>
  <c r="AC125" i="43" s="1"/>
  <c r="AB113" i="43"/>
  <c r="AA113" i="43"/>
  <c r="I113" i="43"/>
  <c r="H241" i="43"/>
  <c r="C229" i="43"/>
  <c r="J229" i="43" s="1"/>
  <c r="B229" i="43"/>
  <c r="H245" i="43"/>
  <c r="C233" i="43"/>
  <c r="J233" i="43" s="1"/>
  <c r="B233" i="43"/>
  <c r="BW90" i="43"/>
  <c r="B226" i="43"/>
  <c r="H238" i="43"/>
  <c r="C226" i="43"/>
  <c r="J226" i="43" s="1"/>
  <c r="BW123" i="43"/>
  <c r="F202" i="43"/>
  <c r="AC202" i="43" s="1"/>
  <c r="I190" i="43"/>
  <c r="AA190" i="43"/>
  <c r="AB190" i="43"/>
  <c r="BW145" i="43"/>
  <c r="BW134" i="43"/>
  <c r="B227" i="43"/>
  <c r="H239" i="43"/>
  <c r="C227" i="43"/>
  <c r="J227" i="43" s="1"/>
  <c r="AA223" i="43"/>
  <c r="B223" i="43"/>
  <c r="H235" i="43"/>
  <c r="AC235" i="43" s="1"/>
  <c r="AB223" i="43"/>
  <c r="C223" i="43"/>
  <c r="J223" i="43" s="1"/>
  <c r="I223" i="43"/>
  <c r="BW223" i="43" s="1"/>
  <c r="F147" i="43"/>
  <c r="AC147" i="43" s="1"/>
  <c r="I135" i="43"/>
  <c r="AA135" i="43"/>
  <c r="AB135" i="43"/>
  <c r="BW178" i="43"/>
  <c r="F169" i="43"/>
  <c r="AC169" i="43" s="1"/>
  <c r="AA157" i="43"/>
  <c r="I157" i="43"/>
  <c r="AB157" i="43"/>
  <c r="F191" i="43"/>
  <c r="AC191" i="43" s="1"/>
  <c r="AA179" i="43"/>
  <c r="I179" i="43"/>
  <c r="AB179" i="43"/>
  <c r="BW156" i="43"/>
  <c r="F136" i="43"/>
  <c r="AC136" i="43" s="1"/>
  <c r="I124" i="43"/>
  <c r="AA124" i="43"/>
  <c r="AB124" i="43"/>
  <c r="AA224" i="43"/>
  <c r="B224" i="43"/>
  <c r="H236" i="43"/>
  <c r="AC236" i="43" s="1"/>
  <c r="AB224" i="43"/>
  <c r="C224" i="43"/>
  <c r="J224" i="43" s="1"/>
  <c r="I224" i="43"/>
  <c r="F213" i="43"/>
  <c r="AC213" i="43" s="1"/>
  <c r="I201" i="43"/>
  <c r="AA201" i="43"/>
  <c r="AB201" i="43"/>
  <c r="F158" i="43"/>
  <c r="AC158" i="43" s="1"/>
  <c r="AB146" i="43"/>
  <c r="AA146" i="43"/>
  <c r="I146" i="43"/>
  <c r="AW26" i="43"/>
  <c r="BW101" i="43"/>
  <c r="F180" i="43"/>
  <c r="AC180" i="43" s="1"/>
  <c r="I168" i="43"/>
  <c r="AA168" i="43"/>
  <c r="AB168" i="43"/>
  <c r="BW211" i="43"/>
  <c r="BW102" i="42"/>
  <c r="BW113" i="42"/>
  <c r="BW124" i="42"/>
  <c r="BW168" i="42"/>
  <c r="AW26" i="42"/>
  <c r="BW135" i="42"/>
  <c r="BW157" i="42"/>
  <c r="F126" i="42"/>
  <c r="AC126" i="42" s="1"/>
  <c r="I114" i="42"/>
  <c r="H245" i="42"/>
  <c r="C233" i="42"/>
  <c r="J233" i="42" s="1"/>
  <c r="B233" i="42"/>
  <c r="BW190" i="42"/>
  <c r="F203" i="42"/>
  <c r="AC203" i="42" s="1"/>
  <c r="AA191" i="42"/>
  <c r="AB191" i="42"/>
  <c r="I191" i="42"/>
  <c r="F170" i="42"/>
  <c r="AC170" i="42" s="1"/>
  <c r="I158" i="42"/>
  <c r="AA158" i="42"/>
  <c r="AB158" i="42"/>
  <c r="B226" i="42"/>
  <c r="H238" i="42"/>
  <c r="C226" i="42"/>
  <c r="J226" i="42" s="1"/>
  <c r="H241" i="42"/>
  <c r="C229" i="42"/>
  <c r="J229" i="42" s="1"/>
  <c r="B229" i="42"/>
  <c r="H237" i="42"/>
  <c r="AC237" i="42" s="1"/>
  <c r="AB225" i="42"/>
  <c r="C225" i="42"/>
  <c r="J225" i="42" s="1"/>
  <c r="I225" i="42"/>
  <c r="BW225" i="42" s="1"/>
  <c r="B225" i="42"/>
  <c r="AA225" i="42"/>
  <c r="B231" i="42"/>
  <c r="H243" i="42"/>
  <c r="C231" i="42"/>
  <c r="J231" i="42" s="1"/>
  <c r="B244" i="42"/>
  <c r="H256" i="42"/>
  <c r="C244" i="42"/>
  <c r="J244" i="42" s="1"/>
  <c r="F137" i="42"/>
  <c r="AC137" i="42" s="1"/>
  <c r="I125" i="42"/>
  <c r="AB125" i="42"/>
  <c r="AA125" i="42"/>
  <c r="BW211" i="42"/>
  <c r="F214" i="42"/>
  <c r="AC214" i="42" s="1"/>
  <c r="I202" i="42"/>
  <c r="AA202" i="42"/>
  <c r="AB202" i="42"/>
  <c r="BW179" i="42"/>
  <c r="B230" i="42"/>
  <c r="H242" i="42"/>
  <c r="C230" i="42"/>
  <c r="J230" i="42" s="1"/>
  <c r="B234" i="42"/>
  <c r="C234" i="42"/>
  <c r="J234" i="42" s="1"/>
  <c r="H246" i="42"/>
  <c r="F181" i="42"/>
  <c r="AC181" i="42" s="1"/>
  <c r="I169" i="42"/>
  <c r="AB169" i="42"/>
  <c r="AA169" i="42"/>
  <c r="F148" i="42"/>
  <c r="AC148" i="42" s="1"/>
  <c r="AA136" i="42"/>
  <c r="I136" i="42"/>
  <c r="AB136" i="42"/>
  <c r="AA223" i="42"/>
  <c r="B223" i="42"/>
  <c r="H235" i="42"/>
  <c r="AC235" i="42" s="1"/>
  <c r="AB223" i="42"/>
  <c r="C223" i="42"/>
  <c r="J223" i="42" s="1"/>
  <c r="I223" i="42"/>
  <c r="BW223" i="42" s="1"/>
  <c r="B228" i="42"/>
  <c r="H240" i="42"/>
  <c r="C228" i="42"/>
  <c r="J228" i="42" s="1"/>
  <c r="F192" i="42"/>
  <c r="AC192" i="42" s="1"/>
  <c r="AA180" i="42"/>
  <c r="I180" i="42"/>
  <c r="AB180" i="42"/>
  <c r="B227" i="42"/>
  <c r="H239" i="42"/>
  <c r="C227" i="42"/>
  <c r="J227" i="42" s="1"/>
  <c r="AA224" i="42"/>
  <c r="B224" i="42"/>
  <c r="H236" i="42"/>
  <c r="AC236" i="42" s="1"/>
  <c r="AB224" i="42"/>
  <c r="C224" i="42"/>
  <c r="J224" i="42" s="1"/>
  <c r="I224" i="42"/>
  <c r="BW224" i="42" s="1"/>
  <c r="BW146" i="42"/>
  <c r="F159" i="42"/>
  <c r="AC159" i="42" s="1"/>
  <c r="AA147" i="42"/>
  <c r="AB147" i="42"/>
  <c r="I147" i="42"/>
  <c r="BW212" i="42"/>
  <c r="BW213" i="42"/>
  <c r="BW146" i="43" l="1"/>
  <c r="F170" i="43"/>
  <c r="AC170" i="43" s="1"/>
  <c r="AA158" i="43"/>
  <c r="I158" i="43"/>
  <c r="AB158" i="43"/>
  <c r="BW201" i="43"/>
  <c r="F203" i="43"/>
  <c r="AC203" i="43" s="1"/>
  <c r="AB191" i="43"/>
  <c r="AA191" i="43"/>
  <c r="I191" i="43"/>
  <c r="BW190" i="43"/>
  <c r="H257" i="43"/>
  <c r="C245" i="43"/>
  <c r="J245" i="43" s="1"/>
  <c r="B245" i="43"/>
  <c r="H253" i="43"/>
  <c r="C241" i="43"/>
  <c r="J241" i="43" s="1"/>
  <c r="B241" i="43"/>
  <c r="H255" i="43"/>
  <c r="B243" i="43"/>
  <c r="C243" i="43"/>
  <c r="J243" i="43" s="1"/>
  <c r="AW27" i="43"/>
  <c r="H250" i="43"/>
  <c r="B238" i="43"/>
  <c r="C238" i="43"/>
  <c r="J238" i="43" s="1"/>
  <c r="F192" i="43"/>
  <c r="AC192" i="43" s="1"/>
  <c r="AA180" i="43"/>
  <c r="I180" i="43"/>
  <c r="AB180" i="43"/>
  <c r="H248" i="43"/>
  <c r="AC248" i="43" s="1"/>
  <c r="AA236" i="43"/>
  <c r="B236" i="43"/>
  <c r="AB236" i="43"/>
  <c r="C236" i="43"/>
  <c r="J236" i="43" s="1"/>
  <c r="I236" i="43"/>
  <c r="F148" i="43"/>
  <c r="AC148" i="43" s="1"/>
  <c r="AB136" i="43"/>
  <c r="I136" i="43"/>
  <c r="AA136" i="43"/>
  <c r="BW179" i="43"/>
  <c r="BW157" i="43"/>
  <c r="F159" i="43"/>
  <c r="AC159" i="43" s="1"/>
  <c r="I147" i="43"/>
  <c r="AA147" i="43"/>
  <c r="AB147" i="43"/>
  <c r="H251" i="43"/>
  <c r="B239" i="43"/>
  <c r="C239" i="43"/>
  <c r="J239" i="43" s="1"/>
  <c r="F214" i="43"/>
  <c r="AC214" i="43" s="1"/>
  <c r="I202" i="43"/>
  <c r="AA202" i="43"/>
  <c r="AB202" i="43"/>
  <c r="H252" i="43"/>
  <c r="B240" i="43"/>
  <c r="C240" i="43"/>
  <c r="J240" i="43" s="1"/>
  <c r="H256" i="43"/>
  <c r="B244" i="43"/>
  <c r="C244" i="43"/>
  <c r="J244" i="43" s="1"/>
  <c r="F126" i="43"/>
  <c r="AC126" i="43" s="1"/>
  <c r="I114" i="43"/>
  <c r="BW168" i="43"/>
  <c r="F225" i="43"/>
  <c r="AC225" i="43" s="1"/>
  <c r="I213" i="43"/>
  <c r="AA213" i="43"/>
  <c r="AB213" i="43"/>
  <c r="BW124" i="43"/>
  <c r="F181" i="43"/>
  <c r="AC181" i="43" s="1"/>
  <c r="I169" i="43"/>
  <c r="AB169" i="43"/>
  <c r="AA169" i="43"/>
  <c r="BW135" i="43"/>
  <c r="AA235" i="43"/>
  <c r="B235" i="43"/>
  <c r="H247" i="43"/>
  <c r="AC247" i="43" s="1"/>
  <c r="AB235" i="43"/>
  <c r="C235" i="43"/>
  <c r="J235" i="43" s="1"/>
  <c r="I235" i="43"/>
  <c r="BW113" i="43"/>
  <c r="F137" i="43"/>
  <c r="AC137" i="43" s="1"/>
  <c r="AA125" i="43"/>
  <c r="I125" i="43"/>
  <c r="AB125" i="43"/>
  <c r="H249" i="43"/>
  <c r="C237" i="43"/>
  <c r="J237" i="43" s="1"/>
  <c r="B237" i="43"/>
  <c r="B254" i="43"/>
  <c r="H266" i="43"/>
  <c r="C254" i="43"/>
  <c r="J254" i="43" s="1"/>
  <c r="B258" i="43"/>
  <c r="H270" i="43"/>
  <c r="C258" i="43"/>
  <c r="J258" i="43" s="1"/>
  <c r="BW102" i="43"/>
  <c r="BW224" i="43"/>
  <c r="BW136" i="42"/>
  <c r="F149" i="42"/>
  <c r="AC149" i="42" s="1"/>
  <c r="AB137" i="42"/>
  <c r="AA137" i="42"/>
  <c r="I137" i="42"/>
  <c r="BW114" i="42"/>
  <c r="B239" i="42"/>
  <c r="H251" i="42"/>
  <c r="C239" i="42"/>
  <c r="J239" i="42" s="1"/>
  <c r="BW180" i="42"/>
  <c r="F193" i="42"/>
  <c r="AC193" i="42" s="1"/>
  <c r="AB181" i="42"/>
  <c r="I181" i="42"/>
  <c r="AA181" i="42"/>
  <c r="BW125" i="42"/>
  <c r="B243" i="42"/>
  <c r="H255" i="42"/>
  <c r="C243" i="42"/>
  <c r="J243" i="42" s="1"/>
  <c r="B238" i="42"/>
  <c r="C238" i="42"/>
  <c r="J238" i="42" s="1"/>
  <c r="H250" i="42"/>
  <c r="AW27" i="42"/>
  <c r="H249" i="42"/>
  <c r="AC249" i="42" s="1"/>
  <c r="AB237" i="42"/>
  <c r="C237" i="42"/>
  <c r="J237" i="42" s="1"/>
  <c r="I237" i="42"/>
  <c r="BW237" i="42" s="1"/>
  <c r="B237" i="42"/>
  <c r="AA237" i="42"/>
  <c r="BW158" i="42"/>
  <c r="H257" i="42"/>
  <c r="C245" i="42"/>
  <c r="J245" i="42" s="1"/>
  <c r="B245" i="42"/>
  <c r="B240" i="42"/>
  <c r="H252" i="42"/>
  <c r="C240" i="42"/>
  <c r="J240" i="42" s="1"/>
  <c r="F160" i="42"/>
  <c r="AC160" i="42" s="1"/>
  <c r="AA148" i="42"/>
  <c r="I148" i="42"/>
  <c r="AB148" i="42"/>
  <c r="BW169" i="42"/>
  <c r="B246" i="42"/>
  <c r="H258" i="42"/>
  <c r="C246" i="42"/>
  <c r="J246" i="42" s="1"/>
  <c r="B242" i="42"/>
  <c r="H254" i="42"/>
  <c r="C242" i="42"/>
  <c r="J242" i="42" s="1"/>
  <c r="F226" i="42"/>
  <c r="AC226" i="42" s="1"/>
  <c r="AB214" i="42"/>
  <c r="I214" i="42"/>
  <c r="AA214" i="42"/>
  <c r="BW191" i="42"/>
  <c r="F215" i="42"/>
  <c r="AC215" i="42" s="1"/>
  <c r="AB203" i="42"/>
  <c r="I203" i="42"/>
  <c r="AA203" i="42"/>
  <c r="BW147" i="42"/>
  <c r="F171" i="42"/>
  <c r="AC171" i="42" s="1"/>
  <c r="AA159" i="42"/>
  <c r="AB159" i="42"/>
  <c r="I159" i="42"/>
  <c r="AA235" i="42"/>
  <c r="B235" i="42"/>
  <c r="H247" i="42"/>
  <c r="AC247" i="42" s="1"/>
  <c r="AB235" i="42"/>
  <c r="C235" i="42"/>
  <c r="J235" i="42" s="1"/>
  <c r="I235" i="42"/>
  <c r="BW235" i="42" s="1"/>
  <c r="H253" i="42"/>
  <c r="C241" i="42"/>
  <c r="J241" i="42" s="1"/>
  <c r="B241" i="42"/>
  <c r="AA236" i="42"/>
  <c r="B236" i="42"/>
  <c r="H248" i="42"/>
  <c r="AC248" i="42" s="1"/>
  <c r="AB236" i="42"/>
  <c r="C236" i="42"/>
  <c r="J236" i="42" s="1"/>
  <c r="I236" i="42"/>
  <c r="BW236" i="42" s="1"/>
  <c r="F204" i="42"/>
  <c r="AC204" i="42" s="1"/>
  <c r="AA192" i="42"/>
  <c r="I192" i="42"/>
  <c r="AB192" i="42"/>
  <c r="BW202" i="42"/>
  <c r="B256" i="42"/>
  <c r="Q256" i="42" s="1"/>
  <c r="H268" i="42"/>
  <c r="C256" i="42"/>
  <c r="J256" i="42" s="1"/>
  <c r="F182" i="42"/>
  <c r="AC182" i="42" s="1"/>
  <c r="I170" i="42"/>
  <c r="AA170" i="42"/>
  <c r="AB170" i="42"/>
  <c r="F138" i="42"/>
  <c r="AC138" i="42" s="1"/>
  <c r="I126" i="42"/>
  <c r="F56" i="2"/>
  <c r="H261" i="43" l="1"/>
  <c r="C249" i="43"/>
  <c r="J249" i="43" s="1"/>
  <c r="B249" i="43"/>
  <c r="F193" i="43"/>
  <c r="AC193" i="43" s="1"/>
  <c r="I181" i="43"/>
  <c r="AA181" i="43"/>
  <c r="AB181" i="43"/>
  <c r="BW213" i="43"/>
  <c r="BW114" i="43"/>
  <c r="F138" i="43"/>
  <c r="AC138" i="43" s="1"/>
  <c r="I126" i="43"/>
  <c r="B256" i="43"/>
  <c r="H268" i="43"/>
  <c r="C256" i="43"/>
  <c r="J256" i="43" s="1"/>
  <c r="B252" i="43"/>
  <c r="H264" i="43"/>
  <c r="C252" i="43"/>
  <c r="J252" i="43" s="1"/>
  <c r="BW136" i="43"/>
  <c r="F204" i="43"/>
  <c r="AC204" i="43" s="1"/>
  <c r="AA192" i="43"/>
  <c r="I192" i="43"/>
  <c r="AB192" i="43"/>
  <c r="B250" i="43"/>
  <c r="H262" i="43"/>
  <c r="C250" i="43"/>
  <c r="J250" i="43" s="1"/>
  <c r="BW158" i="43"/>
  <c r="AJ236" i="42"/>
  <c r="BX236" i="42" s="1"/>
  <c r="BY236" i="42" s="1"/>
  <c r="AJ16" i="43"/>
  <c r="AJ12" i="43"/>
  <c r="AJ8" i="43"/>
  <c r="AJ15" i="43"/>
  <c r="AJ11" i="43"/>
  <c r="AJ18" i="43"/>
  <c r="AJ14" i="43"/>
  <c r="AJ10" i="43"/>
  <c r="AJ7" i="43"/>
  <c r="AJ17" i="43"/>
  <c r="AJ13" i="43"/>
  <c r="AJ9" i="43"/>
  <c r="AJ22" i="43"/>
  <c r="AJ25" i="43"/>
  <c r="AJ30" i="43"/>
  <c r="AJ29" i="43"/>
  <c r="AJ38" i="43"/>
  <c r="AJ42" i="43"/>
  <c r="AJ21" i="43"/>
  <c r="AJ24" i="43"/>
  <c r="AJ28" i="43"/>
  <c r="AJ20" i="43"/>
  <c r="AJ23" i="43"/>
  <c r="AJ27" i="43"/>
  <c r="AJ19" i="43"/>
  <c r="AJ26" i="43"/>
  <c r="AJ41" i="43"/>
  <c r="AJ34" i="43"/>
  <c r="AJ54" i="43"/>
  <c r="AJ50" i="43"/>
  <c r="AJ39" i="43"/>
  <c r="AJ36" i="43"/>
  <c r="AJ32" i="43"/>
  <c r="AJ37" i="43"/>
  <c r="AJ33" i="43"/>
  <c r="AJ40" i="43"/>
  <c r="AJ35" i="43"/>
  <c r="AJ31" i="43"/>
  <c r="AJ66" i="43"/>
  <c r="AJ52" i="43"/>
  <c r="AJ44" i="43"/>
  <c r="AJ48" i="43"/>
  <c r="AJ62" i="43"/>
  <c r="AJ53" i="43"/>
  <c r="AJ49" i="43"/>
  <c r="AJ45" i="43"/>
  <c r="AJ43" i="43"/>
  <c r="AJ47" i="43"/>
  <c r="AJ51" i="43"/>
  <c r="AJ46" i="43"/>
  <c r="AJ78" i="43"/>
  <c r="AJ61" i="43"/>
  <c r="AJ65" i="43"/>
  <c r="AJ59" i="43"/>
  <c r="AJ55" i="43"/>
  <c r="AJ63" i="43"/>
  <c r="AJ57" i="43"/>
  <c r="AJ58" i="43"/>
  <c r="AJ60" i="43"/>
  <c r="AJ56" i="43"/>
  <c r="AJ64" i="43"/>
  <c r="AJ74" i="43"/>
  <c r="AJ90" i="43"/>
  <c r="AJ69" i="43"/>
  <c r="AJ77" i="43"/>
  <c r="AJ73" i="43"/>
  <c r="AJ76" i="43"/>
  <c r="AJ86" i="43"/>
  <c r="AJ68" i="43"/>
  <c r="AJ72" i="43"/>
  <c r="AJ75" i="43"/>
  <c r="AJ67" i="43"/>
  <c r="AJ71" i="43"/>
  <c r="AJ70" i="43"/>
  <c r="AJ82" i="43"/>
  <c r="AJ83" i="43"/>
  <c r="AJ79" i="43"/>
  <c r="AJ87" i="43"/>
  <c r="AJ98" i="43"/>
  <c r="AJ85" i="43"/>
  <c r="AJ89" i="43"/>
  <c r="AJ84" i="43"/>
  <c r="AJ80" i="43"/>
  <c r="AJ88" i="43"/>
  <c r="AJ81" i="43"/>
  <c r="AJ102" i="43"/>
  <c r="AJ99" i="43"/>
  <c r="AJ101" i="43"/>
  <c r="AJ97" i="43"/>
  <c r="AJ110" i="43"/>
  <c r="AJ91" i="43"/>
  <c r="AJ95" i="43"/>
  <c r="AJ94" i="43"/>
  <c r="AJ100" i="43"/>
  <c r="AJ114" i="43"/>
  <c r="AJ93" i="43"/>
  <c r="AJ92" i="43"/>
  <c r="AJ96" i="43"/>
  <c r="AJ108" i="43"/>
  <c r="AJ104" i="43"/>
  <c r="AJ106" i="43"/>
  <c r="AJ105" i="43"/>
  <c r="AJ126" i="43"/>
  <c r="AJ111" i="43"/>
  <c r="AJ122" i="43"/>
  <c r="AJ109" i="43"/>
  <c r="AJ113" i="43"/>
  <c r="AJ107" i="43"/>
  <c r="AJ103" i="43"/>
  <c r="AJ112" i="43"/>
  <c r="AJ115" i="43"/>
  <c r="AJ119" i="43"/>
  <c r="AJ125" i="43"/>
  <c r="AJ121" i="43"/>
  <c r="AJ118" i="43"/>
  <c r="AJ117" i="43"/>
  <c r="AJ116" i="43"/>
  <c r="AJ123" i="43"/>
  <c r="AJ120" i="43"/>
  <c r="AJ124" i="43"/>
  <c r="AJ134" i="43"/>
  <c r="AJ138" i="43"/>
  <c r="AJ135" i="43"/>
  <c r="AJ131" i="43"/>
  <c r="AJ127" i="43"/>
  <c r="AJ129" i="43"/>
  <c r="AJ133" i="43"/>
  <c r="AJ137" i="43"/>
  <c r="AJ146" i="43"/>
  <c r="AJ136" i="43"/>
  <c r="AJ132" i="43"/>
  <c r="AJ128" i="43"/>
  <c r="AJ130" i="43"/>
  <c r="AJ147" i="43"/>
  <c r="AJ158" i="43"/>
  <c r="AJ142" i="43"/>
  <c r="AJ145" i="43"/>
  <c r="AJ140" i="43"/>
  <c r="AJ144" i="43"/>
  <c r="AJ148" i="43"/>
  <c r="AJ141" i="43"/>
  <c r="AJ139" i="43"/>
  <c r="AJ143" i="43"/>
  <c r="AJ170" i="43"/>
  <c r="AJ157" i="43"/>
  <c r="AJ155" i="43"/>
  <c r="AJ151" i="43"/>
  <c r="AJ153" i="43"/>
  <c r="AJ156" i="43"/>
  <c r="AJ152" i="43"/>
  <c r="AJ154" i="43"/>
  <c r="AJ159" i="43"/>
  <c r="AJ166" i="43"/>
  <c r="AJ168" i="43"/>
  <c r="AJ164" i="43"/>
  <c r="AJ165" i="43"/>
  <c r="AJ163" i="43"/>
  <c r="AJ167" i="43"/>
  <c r="AJ169" i="43"/>
  <c r="AJ181" i="43"/>
  <c r="AJ178" i="43"/>
  <c r="AJ179" i="43"/>
  <c r="AJ177" i="43"/>
  <c r="AJ175" i="43"/>
  <c r="AJ180" i="43"/>
  <c r="AJ176" i="43"/>
  <c r="AJ188" i="43"/>
  <c r="AJ190" i="43"/>
  <c r="AJ191" i="43"/>
  <c r="AJ193" i="43"/>
  <c r="AJ187" i="43"/>
  <c r="AJ192" i="43"/>
  <c r="AJ189" i="43"/>
  <c r="AJ204" i="43"/>
  <c r="AJ203" i="43"/>
  <c r="AJ199" i="43"/>
  <c r="AJ202" i="43"/>
  <c r="AJ200" i="43"/>
  <c r="AJ201" i="43"/>
  <c r="AJ213" i="43"/>
  <c r="AJ212" i="43"/>
  <c r="AJ211" i="43"/>
  <c r="AJ214" i="43"/>
  <c r="AJ225" i="43"/>
  <c r="AJ223" i="43"/>
  <c r="AJ224" i="43"/>
  <c r="H282" i="43"/>
  <c r="B270" i="43"/>
  <c r="Q270" i="43" s="1"/>
  <c r="C270" i="43"/>
  <c r="J270" i="43" s="1"/>
  <c r="B266" i="43"/>
  <c r="Q266" i="43" s="1"/>
  <c r="H278" i="43"/>
  <c r="C266" i="43"/>
  <c r="J266" i="43" s="1"/>
  <c r="BW125" i="43"/>
  <c r="BW169" i="43"/>
  <c r="BW202" i="43"/>
  <c r="F160" i="43"/>
  <c r="AB148" i="43"/>
  <c r="I148" i="43"/>
  <c r="AA148" i="43"/>
  <c r="AA248" i="43"/>
  <c r="B248" i="43"/>
  <c r="H260" i="43"/>
  <c r="AC260" i="43" s="1"/>
  <c r="AB248" i="43"/>
  <c r="C248" i="43"/>
  <c r="J248" i="43" s="1"/>
  <c r="I248" i="43"/>
  <c r="BW248" i="43" s="1"/>
  <c r="AW28" i="43"/>
  <c r="BW191" i="43"/>
  <c r="F215" i="43"/>
  <c r="AA203" i="43"/>
  <c r="I203" i="43"/>
  <c r="AB203" i="43"/>
  <c r="AJ235" i="43"/>
  <c r="AA247" i="43"/>
  <c r="H259" i="43"/>
  <c r="AC259" i="43" s="1"/>
  <c r="AB247" i="43"/>
  <c r="B247" i="43"/>
  <c r="C247" i="43"/>
  <c r="J247" i="43" s="1"/>
  <c r="I247" i="43"/>
  <c r="F171" i="43"/>
  <c r="AC171" i="43" s="1"/>
  <c r="I159" i="43"/>
  <c r="AA159" i="43"/>
  <c r="AB159" i="43"/>
  <c r="BW180" i="43"/>
  <c r="B255" i="43"/>
  <c r="H267" i="43"/>
  <c r="C255" i="43"/>
  <c r="J255" i="43" s="1"/>
  <c r="H265" i="43"/>
  <c r="C253" i="43"/>
  <c r="J253" i="43" s="1"/>
  <c r="B253" i="43"/>
  <c r="H269" i="43"/>
  <c r="C257" i="43"/>
  <c r="J257" i="43" s="1"/>
  <c r="B257" i="43"/>
  <c r="F182" i="43"/>
  <c r="AC182" i="43" s="1"/>
  <c r="AA170" i="43"/>
  <c r="I170" i="43"/>
  <c r="AB170" i="43"/>
  <c r="BW236" i="43"/>
  <c r="F149" i="43"/>
  <c r="AB137" i="43"/>
  <c r="AA137" i="43"/>
  <c r="I137" i="43"/>
  <c r="F237" i="43"/>
  <c r="I225" i="43"/>
  <c r="AA225" i="43"/>
  <c r="AB225" i="43"/>
  <c r="F226" i="43"/>
  <c r="AC226" i="43" s="1"/>
  <c r="I214" i="43"/>
  <c r="AA214" i="43"/>
  <c r="AB214" i="43"/>
  <c r="B251" i="43"/>
  <c r="H263" i="43"/>
  <c r="C251" i="43"/>
  <c r="J251" i="43" s="1"/>
  <c r="BW147" i="43"/>
  <c r="BW235" i="43"/>
  <c r="AJ236" i="43"/>
  <c r="F238" i="42"/>
  <c r="AC238" i="42" s="1"/>
  <c r="I226" i="42"/>
  <c r="AA226" i="42"/>
  <c r="AB226" i="42"/>
  <c r="F194" i="42"/>
  <c r="AC194" i="42" s="1"/>
  <c r="AB182" i="42"/>
  <c r="I182" i="42"/>
  <c r="AA182" i="42"/>
  <c r="AA248" i="42"/>
  <c r="B248" i="42"/>
  <c r="Q248" i="42" s="1"/>
  <c r="H260" i="42"/>
  <c r="AC260" i="42" s="1"/>
  <c r="AB248" i="42"/>
  <c r="C248" i="42"/>
  <c r="J248" i="42" s="1"/>
  <c r="I248" i="42"/>
  <c r="BW248" i="42" s="1"/>
  <c r="BW159" i="42"/>
  <c r="F183" i="42"/>
  <c r="AC183" i="42" s="1"/>
  <c r="AB171" i="42"/>
  <c r="I171" i="42"/>
  <c r="AA171" i="42"/>
  <c r="B254" i="42"/>
  <c r="Q254" i="42" s="1"/>
  <c r="C254" i="42"/>
  <c r="J254" i="42" s="1"/>
  <c r="H266" i="42"/>
  <c r="H270" i="42"/>
  <c r="B258" i="42"/>
  <c r="Q258" i="42" s="1"/>
  <c r="C258" i="42"/>
  <c r="J258" i="42" s="1"/>
  <c r="BW148" i="42"/>
  <c r="F205" i="42"/>
  <c r="AC205" i="42" s="1"/>
  <c r="AB193" i="42"/>
  <c r="AA193" i="42"/>
  <c r="I193" i="42"/>
  <c r="AJ235" i="42"/>
  <c r="BW192" i="42"/>
  <c r="BW181" i="42"/>
  <c r="F150" i="42"/>
  <c r="AC150" i="42" s="1"/>
  <c r="I138" i="42"/>
  <c r="AA138" i="42"/>
  <c r="AB138" i="42"/>
  <c r="F216" i="42"/>
  <c r="AC216" i="42" s="1"/>
  <c r="AA204" i="42"/>
  <c r="I204" i="42"/>
  <c r="AB204" i="42"/>
  <c r="H265" i="42"/>
  <c r="C253" i="42"/>
  <c r="J253" i="42" s="1"/>
  <c r="B253" i="42"/>
  <c r="Q253" i="42" s="1"/>
  <c r="BW203" i="42"/>
  <c r="B252" i="42"/>
  <c r="Q252" i="42" s="1"/>
  <c r="H264" i="42"/>
  <c r="C252" i="42"/>
  <c r="J252" i="42" s="1"/>
  <c r="AW28" i="42"/>
  <c r="B251" i="42"/>
  <c r="Q251" i="42" s="1"/>
  <c r="H263" i="42"/>
  <c r="C251" i="42"/>
  <c r="J251" i="42" s="1"/>
  <c r="BW137" i="42"/>
  <c r="F161" i="42"/>
  <c r="AC161" i="42" s="1"/>
  <c r="AA149" i="42"/>
  <c r="AB149" i="42"/>
  <c r="I149" i="42"/>
  <c r="AJ237" i="42"/>
  <c r="H280" i="42"/>
  <c r="B268" i="42"/>
  <c r="Q268" i="42" s="1"/>
  <c r="C268" i="42"/>
  <c r="J268" i="42" s="1"/>
  <c r="B250" i="42"/>
  <c r="Q250" i="42" s="1"/>
  <c r="C250" i="42"/>
  <c r="J250" i="42" s="1"/>
  <c r="H262" i="42"/>
  <c r="AJ18" i="42"/>
  <c r="AJ14" i="42"/>
  <c r="AJ10" i="42"/>
  <c r="AJ7" i="42"/>
  <c r="AJ11" i="42"/>
  <c r="AJ17" i="42"/>
  <c r="AJ13" i="42"/>
  <c r="AJ9" i="42"/>
  <c r="AJ16" i="42"/>
  <c r="AJ12" i="42"/>
  <c r="AJ8" i="42"/>
  <c r="AJ15" i="42"/>
  <c r="AJ26" i="42"/>
  <c r="AJ25" i="42"/>
  <c r="AJ28" i="42"/>
  <c r="AJ27" i="42"/>
  <c r="AJ22" i="42"/>
  <c r="AJ21" i="42"/>
  <c r="AJ23" i="42"/>
  <c r="AJ19" i="42"/>
  <c r="AJ20" i="42"/>
  <c r="AJ30" i="42"/>
  <c r="AJ40" i="42"/>
  <c r="AJ24" i="42"/>
  <c r="AJ29" i="42"/>
  <c r="AJ36" i="42"/>
  <c r="AJ39" i="42"/>
  <c r="AJ41" i="42"/>
  <c r="AJ31" i="42"/>
  <c r="AJ34" i="42"/>
  <c r="AJ33" i="42"/>
  <c r="AJ52" i="42"/>
  <c r="AJ32" i="42"/>
  <c r="AJ35" i="42"/>
  <c r="AJ42" i="42"/>
  <c r="AJ37" i="42"/>
  <c r="AJ38" i="42"/>
  <c r="AJ48" i="42"/>
  <c r="AJ45" i="42"/>
  <c r="AJ46" i="42"/>
  <c r="AJ53" i="42"/>
  <c r="AJ64" i="42"/>
  <c r="AJ51" i="42"/>
  <c r="AJ44" i="42"/>
  <c r="AJ47" i="42"/>
  <c r="AJ54" i="42"/>
  <c r="AJ43" i="42"/>
  <c r="AJ50" i="42"/>
  <c r="AJ49" i="42"/>
  <c r="AJ57" i="42"/>
  <c r="AJ63" i="42"/>
  <c r="AJ60" i="42"/>
  <c r="AJ55" i="42"/>
  <c r="AJ61" i="42"/>
  <c r="AJ59" i="42"/>
  <c r="AJ58" i="42"/>
  <c r="AJ76" i="42"/>
  <c r="AJ65" i="42"/>
  <c r="AJ56" i="42"/>
  <c r="AJ66" i="42"/>
  <c r="AJ62" i="42"/>
  <c r="AJ75" i="42"/>
  <c r="AJ71" i="42"/>
  <c r="AJ69" i="42"/>
  <c r="AJ78" i="42"/>
  <c r="AJ68" i="42"/>
  <c r="AJ67" i="42"/>
  <c r="AJ77" i="42"/>
  <c r="AJ88" i="42"/>
  <c r="AJ72" i="42"/>
  <c r="AJ73" i="42"/>
  <c r="AJ74" i="42"/>
  <c r="AJ70" i="42"/>
  <c r="AJ87" i="42"/>
  <c r="AJ82" i="42"/>
  <c r="AJ81" i="42"/>
  <c r="AJ84" i="42"/>
  <c r="AJ89" i="42"/>
  <c r="AJ100" i="42"/>
  <c r="AJ80" i="42"/>
  <c r="AJ85" i="42"/>
  <c r="AJ79" i="42"/>
  <c r="AJ83" i="42"/>
  <c r="AJ86" i="42"/>
  <c r="AJ90" i="42"/>
  <c r="AJ95" i="42"/>
  <c r="AJ99" i="42"/>
  <c r="AJ102" i="42"/>
  <c r="AJ97" i="42"/>
  <c r="AJ94" i="42"/>
  <c r="AJ96" i="42"/>
  <c r="AJ93" i="42"/>
  <c r="AJ101" i="42"/>
  <c r="AJ112" i="42"/>
  <c r="AJ91" i="42"/>
  <c r="AJ98" i="42"/>
  <c r="AJ92" i="42"/>
  <c r="AJ124" i="42"/>
  <c r="AJ114" i="42"/>
  <c r="AJ113" i="42"/>
  <c r="AJ110" i="42"/>
  <c r="AJ108" i="42"/>
  <c r="AJ104" i="42"/>
  <c r="AJ103" i="42"/>
  <c r="AJ109" i="42"/>
  <c r="AJ107" i="42"/>
  <c r="AJ111" i="42"/>
  <c r="AJ106" i="42"/>
  <c r="AJ105" i="42"/>
  <c r="AJ123" i="42"/>
  <c r="AJ117" i="42"/>
  <c r="AJ115" i="42"/>
  <c r="AJ125" i="42"/>
  <c r="AJ136" i="42"/>
  <c r="AJ126" i="42"/>
  <c r="AJ119" i="42"/>
  <c r="AJ116" i="42"/>
  <c r="AJ120" i="42"/>
  <c r="AJ121" i="42"/>
  <c r="AJ122" i="42"/>
  <c r="AJ118" i="42"/>
  <c r="AJ129" i="42"/>
  <c r="AJ133" i="42"/>
  <c r="AJ132" i="42"/>
  <c r="AJ138" i="42"/>
  <c r="AJ128" i="42"/>
  <c r="AJ134" i="42"/>
  <c r="AJ130" i="42"/>
  <c r="AJ127" i="42"/>
  <c r="AJ131" i="42"/>
  <c r="AJ137" i="42"/>
  <c r="AJ148" i="42"/>
  <c r="AJ135" i="42"/>
  <c r="AJ147" i="42"/>
  <c r="AJ160" i="42"/>
  <c r="AJ150" i="42"/>
  <c r="AJ149" i="42"/>
  <c r="AJ142" i="42"/>
  <c r="AJ139" i="42"/>
  <c r="AJ146" i="42"/>
  <c r="AJ144" i="42"/>
  <c r="AJ140" i="42"/>
  <c r="AJ141" i="42"/>
  <c r="AJ145" i="42"/>
  <c r="AJ143" i="42"/>
  <c r="AJ152" i="42"/>
  <c r="AJ151" i="42"/>
  <c r="AJ161" i="42"/>
  <c r="AJ153" i="42"/>
  <c r="AJ158" i="42"/>
  <c r="AJ154" i="42"/>
  <c r="AJ156" i="42"/>
  <c r="AJ159" i="42"/>
  <c r="AJ155" i="42"/>
  <c r="AJ157" i="42"/>
  <c r="AJ170" i="42"/>
  <c r="AJ166" i="42"/>
  <c r="AJ171" i="42"/>
  <c r="AJ167" i="42"/>
  <c r="AJ165" i="42"/>
  <c r="AJ169" i="42"/>
  <c r="AJ168" i="42"/>
  <c r="AJ163" i="42"/>
  <c r="AJ164" i="42"/>
  <c r="AJ180" i="42"/>
  <c r="AJ182" i="42"/>
  <c r="AJ181" i="42"/>
  <c r="AJ177" i="42"/>
  <c r="AJ179" i="42"/>
  <c r="AJ175" i="42"/>
  <c r="AJ176" i="42"/>
  <c r="AJ178" i="42"/>
  <c r="AJ191" i="42"/>
  <c r="AJ187" i="42"/>
  <c r="AJ188" i="42"/>
  <c r="AJ190" i="42"/>
  <c r="AJ194" i="42"/>
  <c r="AJ189" i="42"/>
  <c r="AJ193" i="42"/>
  <c r="AJ192" i="42"/>
  <c r="AJ204" i="42"/>
  <c r="AJ203" i="42"/>
  <c r="AJ199" i="42"/>
  <c r="AJ200" i="42"/>
  <c r="AJ205" i="42"/>
  <c r="AJ201" i="42"/>
  <c r="AJ202" i="42"/>
  <c r="AJ214" i="42"/>
  <c r="AJ215" i="42"/>
  <c r="AJ216" i="42"/>
  <c r="AJ213" i="42"/>
  <c r="AJ212" i="42"/>
  <c r="AJ211" i="42"/>
  <c r="AJ225" i="42"/>
  <c r="AJ226" i="42"/>
  <c r="AJ223" i="42"/>
  <c r="AJ224" i="42"/>
  <c r="BW126" i="42"/>
  <c r="BW170" i="42"/>
  <c r="AA247" i="42"/>
  <c r="B247" i="42"/>
  <c r="Q247" i="42" s="1"/>
  <c r="H259" i="42"/>
  <c r="AC259" i="42" s="1"/>
  <c r="AB247" i="42"/>
  <c r="C247" i="42"/>
  <c r="J247" i="42" s="1"/>
  <c r="I247" i="42"/>
  <c r="BW247" i="42" s="1"/>
  <c r="F227" i="42"/>
  <c r="AA215" i="42"/>
  <c r="I215" i="42"/>
  <c r="AB215" i="42"/>
  <c r="BW214" i="42"/>
  <c r="F172" i="42"/>
  <c r="AC172" i="42" s="1"/>
  <c r="AA160" i="42"/>
  <c r="I160" i="42"/>
  <c r="AB160" i="42"/>
  <c r="H269" i="42"/>
  <c r="C257" i="42"/>
  <c r="J257" i="42" s="1"/>
  <c r="B257" i="42"/>
  <c r="Q257" i="42" s="1"/>
  <c r="H261" i="42"/>
  <c r="AC261" i="42" s="1"/>
  <c r="AB249" i="42"/>
  <c r="C249" i="42"/>
  <c r="J249" i="42" s="1"/>
  <c r="I249" i="42"/>
  <c r="BW249" i="42" s="1"/>
  <c r="AA249" i="42"/>
  <c r="B249" i="42"/>
  <c r="Q249" i="42" s="1"/>
  <c r="B255" i="42"/>
  <c r="Q255" i="42" s="1"/>
  <c r="H267" i="42"/>
  <c r="C255" i="42"/>
  <c r="J255" i="42" s="1"/>
  <c r="F57" i="2"/>
  <c r="AJ237" i="43" l="1"/>
  <c r="AC237" i="43"/>
  <c r="AJ149" i="43"/>
  <c r="AC149" i="43"/>
  <c r="AJ227" i="42"/>
  <c r="AC227" i="42"/>
  <c r="AJ215" i="43"/>
  <c r="AK215" i="43" s="1"/>
  <c r="AC215" i="43"/>
  <c r="AJ160" i="43"/>
  <c r="AC160" i="43"/>
  <c r="AJ248" i="42"/>
  <c r="BX248" i="42" s="1"/>
  <c r="BY248" i="42" s="1"/>
  <c r="AJ247" i="42"/>
  <c r="BX247" i="42" s="1"/>
  <c r="BY247" i="42" s="1"/>
  <c r="AJ249" i="42"/>
  <c r="AK249" i="42" s="1"/>
  <c r="AJ248" i="43"/>
  <c r="AK248" i="43" s="1"/>
  <c r="AK236" i="42"/>
  <c r="BX237" i="43"/>
  <c r="AK237" i="43"/>
  <c r="AK149" i="43"/>
  <c r="BX149" i="43"/>
  <c r="BX215" i="43"/>
  <c r="AK160" i="43"/>
  <c r="BX160" i="43"/>
  <c r="F238" i="43"/>
  <c r="AC238" i="43" s="1"/>
  <c r="I226" i="43"/>
  <c r="AA226" i="43"/>
  <c r="AB226" i="43"/>
  <c r="BW170" i="43"/>
  <c r="AA259" i="43"/>
  <c r="B259" i="43"/>
  <c r="H271" i="43"/>
  <c r="AC271" i="43" s="1"/>
  <c r="AB259" i="43"/>
  <c r="C259" i="43"/>
  <c r="J259" i="43" s="1"/>
  <c r="I259" i="43"/>
  <c r="AK235" i="43"/>
  <c r="BX235" i="43"/>
  <c r="BY235" i="43" s="1"/>
  <c r="BW148" i="43"/>
  <c r="BX225" i="43"/>
  <c r="AK225" i="43"/>
  <c r="AK211" i="43"/>
  <c r="BX211" i="43"/>
  <c r="BY211" i="43" s="1"/>
  <c r="BX213" i="43"/>
  <c r="BY213" i="43" s="1"/>
  <c r="AK213" i="43"/>
  <c r="AK199" i="43"/>
  <c r="BX199" i="43"/>
  <c r="BY199" i="43" s="1"/>
  <c r="BX189" i="43"/>
  <c r="BY189" i="43" s="1"/>
  <c r="AK189" i="43"/>
  <c r="BX192" i="43"/>
  <c r="AK192" i="43"/>
  <c r="AK191" i="43"/>
  <c r="BX191" i="43"/>
  <c r="BY191" i="43" s="1"/>
  <c r="AK176" i="43"/>
  <c r="BX176" i="43"/>
  <c r="BY176" i="43" s="1"/>
  <c r="AK179" i="43"/>
  <c r="BX179" i="43"/>
  <c r="BY179" i="43" s="1"/>
  <c r="AK169" i="43"/>
  <c r="BX169" i="43"/>
  <c r="BY169" i="43" s="1"/>
  <c r="BX163" i="43"/>
  <c r="BY163" i="43" s="1"/>
  <c r="AK163" i="43"/>
  <c r="AK168" i="43"/>
  <c r="BX168" i="43"/>
  <c r="BY168" i="43" s="1"/>
  <c r="BX159" i="43"/>
  <c r="AK159" i="43"/>
  <c r="BX143" i="43"/>
  <c r="BY143" i="43" s="1"/>
  <c r="AK143" i="43"/>
  <c r="AK144" i="43"/>
  <c r="BX144" i="43"/>
  <c r="BY144" i="43" s="1"/>
  <c r="BX142" i="43"/>
  <c r="BY142" i="43" s="1"/>
  <c r="AK142" i="43"/>
  <c r="BX130" i="43"/>
  <c r="BY130" i="43" s="1"/>
  <c r="AK130" i="43"/>
  <c r="BX146" i="43"/>
  <c r="BY146" i="43" s="1"/>
  <c r="AK146" i="43"/>
  <c r="AK129" i="43"/>
  <c r="BX129" i="43"/>
  <c r="BY129" i="43" s="1"/>
  <c r="BX138" i="43"/>
  <c r="AK138" i="43"/>
  <c r="BX123" i="43"/>
  <c r="BY123" i="43" s="1"/>
  <c r="AK123" i="43"/>
  <c r="AK121" i="43"/>
  <c r="BX121" i="43"/>
  <c r="BY121" i="43" s="1"/>
  <c r="AK112" i="43"/>
  <c r="BX112" i="43"/>
  <c r="BY112" i="43" s="1"/>
  <c r="AK109" i="43"/>
  <c r="BX109" i="43"/>
  <c r="BY109" i="43" s="1"/>
  <c r="BX105" i="43"/>
  <c r="BY105" i="43" s="1"/>
  <c r="AK105" i="43"/>
  <c r="AK96" i="43"/>
  <c r="BX96" i="43"/>
  <c r="BY96" i="43" s="1"/>
  <c r="AK100" i="43"/>
  <c r="BX100" i="43"/>
  <c r="BY100" i="43" s="1"/>
  <c r="BX110" i="43"/>
  <c r="BY110" i="43" s="1"/>
  <c r="AK110" i="43"/>
  <c r="BX102" i="43"/>
  <c r="BY102" i="43" s="1"/>
  <c r="AK102" i="43"/>
  <c r="AK84" i="43"/>
  <c r="BX84" i="43"/>
  <c r="BY84" i="43" s="1"/>
  <c r="AK87" i="43"/>
  <c r="BX87" i="43"/>
  <c r="BY87" i="43" s="1"/>
  <c r="BX70" i="43"/>
  <c r="BY70" i="43" s="1"/>
  <c r="AK70" i="43"/>
  <c r="AK72" i="43"/>
  <c r="BX72" i="43"/>
  <c r="BY72" i="43" s="1"/>
  <c r="BX73" i="43"/>
  <c r="BY73" i="43" s="1"/>
  <c r="AK73" i="43"/>
  <c r="BX74" i="43"/>
  <c r="BY74" i="43" s="1"/>
  <c r="AK74" i="43"/>
  <c r="BX58" i="43"/>
  <c r="BY58" i="43" s="1"/>
  <c r="AK58" i="43"/>
  <c r="AK59" i="43"/>
  <c r="BX59" i="43"/>
  <c r="BY59" i="43" s="1"/>
  <c r="BX46" i="43"/>
  <c r="BY46" i="43" s="1"/>
  <c r="AK46" i="43"/>
  <c r="BX45" i="43"/>
  <c r="BY45" i="43" s="1"/>
  <c r="AK45" i="43"/>
  <c r="AK48" i="43"/>
  <c r="BX48" i="43"/>
  <c r="BY48" i="43" s="1"/>
  <c r="BX31" i="43"/>
  <c r="BY31" i="43" s="1"/>
  <c r="AK31" i="43"/>
  <c r="BX37" i="43"/>
  <c r="BY37" i="43" s="1"/>
  <c r="AK37" i="43"/>
  <c r="BX50" i="43"/>
  <c r="BY50" i="43" s="1"/>
  <c r="AK50" i="43"/>
  <c r="BX26" i="43"/>
  <c r="BY26" i="43" s="1"/>
  <c r="AK26" i="43"/>
  <c r="BX20" i="43"/>
  <c r="BY20" i="43" s="1"/>
  <c r="AK20" i="43"/>
  <c r="BX42" i="43"/>
  <c r="BY42" i="43" s="1"/>
  <c r="AK42" i="43"/>
  <c r="BX25" i="43"/>
  <c r="BY25" i="43" s="1"/>
  <c r="AK25" i="43"/>
  <c r="AK17" i="43"/>
  <c r="BX17" i="43"/>
  <c r="BY17" i="43" s="1"/>
  <c r="BX18" i="43"/>
  <c r="BY18" i="43" s="1"/>
  <c r="AK18" i="43"/>
  <c r="BX12" i="43"/>
  <c r="BY12" i="43" s="1"/>
  <c r="AK12" i="43"/>
  <c r="AJ226" i="43"/>
  <c r="BX236" i="43"/>
  <c r="BY236" i="43" s="1"/>
  <c r="AK236" i="43"/>
  <c r="BW214" i="43"/>
  <c r="BW225" i="43"/>
  <c r="F194" i="43"/>
  <c r="AC194" i="43" s="1"/>
  <c r="I182" i="43"/>
  <c r="AA182" i="43"/>
  <c r="AB182" i="43"/>
  <c r="H281" i="43"/>
  <c r="C269" i="43"/>
  <c r="J269" i="43" s="1"/>
  <c r="B269" i="43"/>
  <c r="Q269" i="43" s="1"/>
  <c r="H277" i="43"/>
  <c r="C265" i="43"/>
  <c r="J265" i="43" s="1"/>
  <c r="B265" i="43"/>
  <c r="Q265" i="43" s="1"/>
  <c r="BW203" i="43"/>
  <c r="AA260" i="43"/>
  <c r="B260" i="43"/>
  <c r="H272" i="43"/>
  <c r="AC272" i="43" s="1"/>
  <c r="AB260" i="43"/>
  <c r="C260" i="43"/>
  <c r="J260" i="43" s="1"/>
  <c r="I260" i="43"/>
  <c r="BW260" i="43" s="1"/>
  <c r="F172" i="43"/>
  <c r="AC172" i="43" s="1"/>
  <c r="AB160" i="43"/>
  <c r="I160" i="43"/>
  <c r="AA160" i="43"/>
  <c r="AN266" i="43"/>
  <c r="H294" i="43"/>
  <c r="B282" i="43"/>
  <c r="Q282" i="43" s="1"/>
  <c r="C282" i="43"/>
  <c r="J282" i="43" s="1"/>
  <c r="BX224" i="43"/>
  <c r="BY224" i="43" s="1"/>
  <c r="AK224" i="43"/>
  <c r="AK223" i="43"/>
  <c r="BX223" i="43"/>
  <c r="BY223" i="43" s="1"/>
  <c r="BX188" i="43"/>
  <c r="BY188" i="43" s="1"/>
  <c r="AK188" i="43"/>
  <c r="AK177" i="43"/>
  <c r="BX177" i="43"/>
  <c r="BY177" i="43" s="1"/>
  <c r="BX181" i="43"/>
  <c r="AK181" i="43"/>
  <c r="BX167" i="43"/>
  <c r="BY167" i="43" s="1"/>
  <c r="AK167" i="43"/>
  <c r="AK156" i="43"/>
  <c r="BX156" i="43"/>
  <c r="BY156" i="43" s="1"/>
  <c r="BX155" i="43"/>
  <c r="BY155" i="43" s="1"/>
  <c r="AK155" i="43"/>
  <c r="AK148" i="43"/>
  <c r="BX148" i="43"/>
  <c r="BX147" i="43"/>
  <c r="BY147" i="43" s="1"/>
  <c r="AK147" i="43"/>
  <c r="AK136" i="43"/>
  <c r="BX136" i="43"/>
  <c r="BY136" i="43" s="1"/>
  <c r="AK133" i="43"/>
  <c r="BX133" i="43"/>
  <c r="BY133" i="43" s="1"/>
  <c r="BX135" i="43"/>
  <c r="BY135" i="43" s="1"/>
  <c r="AK135" i="43"/>
  <c r="AK120" i="43"/>
  <c r="BX120" i="43"/>
  <c r="BY120" i="43" s="1"/>
  <c r="BX118" i="43"/>
  <c r="BY118" i="43" s="1"/>
  <c r="AK118" i="43"/>
  <c r="BX115" i="43"/>
  <c r="BY115" i="43" s="1"/>
  <c r="AK115" i="43"/>
  <c r="AK113" i="43"/>
  <c r="BX113" i="43"/>
  <c r="BY113" i="43" s="1"/>
  <c r="BX126" i="43"/>
  <c r="AK126" i="43"/>
  <c r="BX108" i="43"/>
  <c r="BY108" i="43" s="1"/>
  <c r="AK108" i="43"/>
  <c r="BX114" i="43"/>
  <c r="BY114" i="43" s="1"/>
  <c r="AK114" i="43"/>
  <c r="AK91" i="43"/>
  <c r="BX91" i="43"/>
  <c r="BY91" i="43" s="1"/>
  <c r="AK99" i="43"/>
  <c r="BX99" i="43"/>
  <c r="BY99" i="43" s="1"/>
  <c r="AK80" i="43"/>
  <c r="BX80" i="43"/>
  <c r="BY80" i="43" s="1"/>
  <c r="BX98" i="43"/>
  <c r="BY98" i="43" s="1"/>
  <c r="AK98" i="43"/>
  <c r="BX82" i="43"/>
  <c r="BY82" i="43" s="1"/>
  <c r="AK82" i="43"/>
  <c r="AK75" i="43"/>
  <c r="BX75" i="43"/>
  <c r="BY75" i="43" s="1"/>
  <c r="AK76" i="43"/>
  <c r="BX76" i="43"/>
  <c r="BY76" i="43" s="1"/>
  <c r="BX90" i="43"/>
  <c r="BY90" i="43" s="1"/>
  <c r="AK90" i="43"/>
  <c r="AK60" i="43"/>
  <c r="BX60" i="43"/>
  <c r="BY60" i="43" s="1"/>
  <c r="AK55" i="43"/>
  <c r="BX55" i="43"/>
  <c r="BY55" i="43" s="1"/>
  <c r="BX78" i="43"/>
  <c r="BY78" i="43" s="1"/>
  <c r="AK78" i="43"/>
  <c r="AK43" i="43"/>
  <c r="BX43" i="43"/>
  <c r="BY43" i="43" s="1"/>
  <c r="BX62" i="43"/>
  <c r="BY62" i="43" s="1"/>
  <c r="AK62" i="43"/>
  <c r="BX66" i="43"/>
  <c r="BY66" i="43" s="1"/>
  <c r="AK66" i="43"/>
  <c r="BX33" i="43"/>
  <c r="BY33" i="43" s="1"/>
  <c r="AK33" i="43"/>
  <c r="AK39" i="43"/>
  <c r="BX39" i="43"/>
  <c r="BY39" i="43" s="1"/>
  <c r="BX41" i="43"/>
  <c r="BY41" i="43" s="1"/>
  <c r="AK41" i="43"/>
  <c r="BX23" i="43"/>
  <c r="BY23" i="43" s="1"/>
  <c r="AK23" i="43"/>
  <c r="BX21" i="43"/>
  <c r="BY21" i="43" s="1"/>
  <c r="AK21" i="43"/>
  <c r="BX30" i="43"/>
  <c r="BY30" i="43" s="1"/>
  <c r="AK30" i="43"/>
  <c r="AK13" i="43"/>
  <c r="BX13" i="43"/>
  <c r="BY13" i="43" s="1"/>
  <c r="BX14" i="43"/>
  <c r="BY14" i="43" s="1"/>
  <c r="AK14" i="43"/>
  <c r="BX8" i="43"/>
  <c r="BY8" i="43" s="1"/>
  <c r="AK8" i="43"/>
  <c r="B262" i="43"/>
  <c r="Q262" i="43" s="1"/>
  <c r="H274" i="43"/>
  <c r="C262" i="43"/>
  <c r="J262" i="43" s="1"/>
  <c r="BW192" i="43"/>
  <c r="BW126" i="43"/>
  <c r="F205" i="43"/>
  <c r="AC205" i="43" s="1"/>
  <c r="AB193" i="43"/>
  <c r="I193" i="43"/>
  <c r="AA193" i="43"/>
  <c r="AJ182" i="43"/>
  <c r="B263" i="43"/>
  <c r="Q263" i="43" s="1"/>
  <c r="H275" i="43"/>
  <c r="C263" i="43"/>
  <c r="J263" i="43" s="1"/>
  <c r="BW137" i="43"/>
  <c r="F161" i="43"/>
  <c r="AC161" i="43" s="1"/>
  <c r="AA149" i="43"/>
  <c r="I149" i="43"/>
  <c r="AB149" i="43"/>
  <c r="B267" i="43"/>
  <c r="Q267" i="43" s="1"/>
  <c r="H279" i="43"/>
  <c r="C267" i="43"/>
  <c r="J267" i="43" s="1"/>
  <c r="F183" i="43"/>
  <c r="AC183" i="43" s="1"/>
  <c r="AB171" i="43"/>
  <c r="I171" i="43"/>
  <c r="AA171" i="43"/>
  <c r="AW29" i="43"/>
  <c r="H290" i="43"/>
  <c r="B278" i="43"/>
  <c r="Q278" i="43" s="1"/>
  <c r="C278" i="43"/>
  <c r="J278" i="43" s="1"/>
  <c r="AN270" i="43"/>
  <c r="AK214" i="43"/>
  <c r="BX214" i="43"/>
  <c r="BX200" i="43"/>
  <c r="BY200" i="43" s="1"/>
  <c r="AK200" i="43"/>
  <c r="BX204" i="43"/>
  <c r="AK204" i="43"/>
  <c r="BX193" i="43"/>
  <c r="AK193" i="43"/>
  <c r="AK190" i="43"/>
  <c r="BX190" i="43"/>
  <c r="BY190" i="43" s="1"/>
  <c r="AK164" i="43"/>
  <c r="BX164" i="43"/>
  <c r="BY164" i="43" s="1"/>
  <c r="AK152" i="43"/>
  <c r="BX152" i="43"/>
  <c r="BY152" i="43" s="1"/>
  <c r="BX151" i="43"/>
  <c r="BY151" i="43" s="1"/>
  <c r="AK151" i="43"/>
  <c r="BX170" i="43"/>
  <c r="AK170" i="43"/>
  <c r="AK141" i="43"/>
  <c r="BX141" i="43"/>
  <c r="BY141" i="43" s="1"/>
  <c r="AK145" i="43"/>
  <c r="BX145" i="43"/>
  <c r="BY145" i="43" s="1"/>
  <c r="BX158" i="43"/>
  <c r="BY158" i="43" s="1"/>
  <c r="AK158" i="43"/>
  <c r="AK132" i="43"/>
  <c r="BX132" i="43"/>
  <c r="BY132" i="43" s="1"/>
  <c r="AK137" i="43"/>
  <c r="BX137" i="43"/>
  <c r="BX131" i="43"/>
  <c r="BY131" i="43" s="1"/>
  <c r="AK131" i="43"/>
  <c r="AK124" i="43"/>
  <c r="BX124" i="43"/>
  <c r="BY124" i="43" s="1"/>
  <c r="AK117" i="43"/>
  <c r="BX117" i="43"/>
  <c r="BY117" i="43" s="1"/>
  <c r="BX119" i="43"/>
  <c r="BY119" i="43" s="1"/>
  <c r="AK119" i="43"/>
  <c r="AK107" i="43"/>
  <c r="BX107" i="43"/>
  <c r="BY107" i="43" s="1"/>
  <c r="BX111" i="43"/>
  <c r="BY111" i="43" s="1"/>
  <c r="AK111" i="43"/>
  <c r="AK104" i="43"/>
  <c r="BX104" i="43"/>
  <c r="BY104" i="43" s="1"/>
  <c r="BX93" i="43"/>
  <c r="BY93" i="43" s="1"/>
  <c r="AK93" i="43"/>
  <c r="AK95" i="43"/>
  <c r="BX95" i="43"/>
  <c r="BY95" i="43" s="1"/>
  <c r="BX101" i="43"/>
  <c r="BY101" i="43" s="1"/>
  <c r="AK101" i="43"/>
  <c r="AK88" i="43"/>
  <c r="BX88" i="43"/>
  <c r="BY88" i="43" s="1"/>
  <c r="BX85" i="43"/>
  <c r="BY85" i="43" s="1"/>
  <c r="AK85" i="43"/>
  <c r="AK83" i="43"/>
  <c r="BX83" i="43"/>
  <c r="BY83" i="43" s="1"/>
  <c r="AK67" i="43"/>
  <c r="BX67" i="43"/>
  <c r="BY67" i="43" s="1"/>
  <c r="BX86" i="43"/>
  <c r="BY86" i="43" s="1"/>
  <c r="AK86" i="43"/>
  <c r="BX69" i="43"/>
  <c r="BY69" i="43" s="1"/>
  <c r="AK69" i="43"/>
  <c r="AK56" i="43"/>
  <c r="BX56" i="43"/>
  <c r="BY56" i="43" s="1"/>
  <c r="AK63" i="43"/>
  <c r="BX63" i="43"/>
  <c r="BY63" i="43" s="1"/>
  <c r="BX61" i="43"/>
  <c r="BY61" i="43" s="1"/>
  <c r="AK61" i="43"/>
  <c r="AK47" i="43"/>
  <c r="BX47" i="43"/>
  <c r="BY47" i="43" s="1"/>
  <c r="BX53" i="43"/>
  <c r="BY53" i="43" s="1"/>
  <c r="AK53" i="43"/>
  <c r="AK52" i="43"/>
  <c r="BX52" i="43"/>
  <c r="BY52" i="43" s="1"/>
  <c r="AK40" i="43"/>
  <c r="BX40" i="43"/>
  <c r="BY40" i="43" s="1"/>
  <c r="BX36" i="43"/>
  <c r="BY36" i="43" s="1"/>
  <c r="AK36" i="43"/>
  <c r="BX34" i="43"/>
  <c r="BY34" i="43" s="1"/>
  <c r="AK34" i="43"/>
  <c r="BX27" i="43"/>
  <c r="BY27" i="43" s="1"/>
  <c r="AK27" i="43"/>
  <c r="BX24" i="43"/>
  <c r="BY24" i="43" s="1"/>
  <c r="AK24" i="43"/>
  <c r="BX29" i="43"/>
  <c r="BY29" i="43" s="1"/>
  <c r="AK29" i="43"/>
  <c r="AK9" i="43"/>
  <c r="BX9" i="43"/>
  <c r="BY9" i="43" s="1"/>
  <c r="BX10" i="43"/>
  <c r="BY10" i="43" s="1"/>
  <c r="AK10" i="43"/>
  <c r="BX15" i="43"/>
  <c r="BY15" i="43" s="1"/>
  <c r="AK15" i="43"/>
  <c r="B264" i="43"/>
  <c r="Q264" i="43" s="1"/>
  <c r="H276" i="43"/>
  <c r="C264" i="43"/>
  <c r="J264" i="43" s="1"/>
  <c r="B268" i="43"/>
  <c r="Q268" i="43" s="1"/>
  <c r="H280" i="43"/>
  <c r="C268" i="43"/>
  <c r="J268" i="43" s="1"/>
  <c r="F150" i="43"/>
  <c r="AC150" i="43" s="1"/>
  <c r="AA138" i="43"/>
  <c r="I138" i="43"/>
  <c r="AB138" i="43"/>
  <c r="BW181" i="43"/>
  <c r="AJ247" i="43"/>
  <c r="BW247" i="43"/>
  <c r="AJ171" i="43"/>
  <c r="F249" i="43"/>
  <c r="AC249" i="43" s="1"/>
  <c r="I237" i="43"/>
  <c r="AA237" i="43"/>
  <c r="AB237" i="43"/>
  <c r="BW159" i="43"/>
  <c r="F227" i="43"/>
  <c r="AC227" i="43" s="1"/>
  <c r="AA215" i="43"/>
  <c r="I215" i="43"/>
  <c r="AB215" i="43"/>
  <c r="BX212" i="43"/>
  <c r="BY212" i="43" s="1"/>
  <c r="AK212" i="43"/>
  <c r="BX201" i="43"/>
  <c r="BY201" i="43" s="1"/>
  <c r="AK201" i="43"/>
  <c r="AK202" i="43"/>
  <c r="BX202" i="43"/>
  <c r="BY202" i="43" s="1"/>
  <c r="AK203" i="43"/>
  <c r="BX203" i="43"/>
  <c r="AK187" i="43"/>
  <c r="BX187" i="43"/>
  <c r="BY187" i="43" s="1"/>
  <c r="BX180" i="43"/>
  <c r="BY180" i="43" s="1"/>
  <c r="AK180" i="43"/>
  <c r="BX175" i="43"/>
  <c r="BY175" i="43" s="1"/>
  <c r="AK175" i="43"/>
  <c r="AK178" i="43"/>
  <c r="BX178" i="43"/>
  <c r="BY178" i="43" s="1"/>
  <c r="AK165" i="43"/>
  <c r="BX165" i="43"/>
  <c r="BY165" i="43" s="1"/>
  <c r="BX166" i="43"/>
  <c r="BY166" i="43" s="1"/>
  <c r="AK166" i="43"/>
  <c r="BX154" i="43"/>
  <c r="BY154" i="43" s="1"/>
  <c r="AK154" i="43"/>
  <c r="AK153" i="43"/>
  <c r="BX153" i="43"/>
  <c r="BY153" i="43" s="1"/>
  <c r="AK157" i="43"/>
  <c r="BX157" i="43"/>
  <c r="BY157" i="43" s="1"/>
  <c r="BX139" i="43"/>
  <c r="BY139" i="43" s="1"/>
  <c r="AK139" i="43"/>
  <c r="AK140" i="43"/>
  <c r="BX140" i="43"/>
  <c r="BY140" i="43" s="1"/>
  <c r="AK128" i="43"/>
  <c r="BX128" i="43"/>
  <c r="BY128" i="43" s="1"/>
  <c r="BX127" i="43"/>
  <c r="BY127" i="43" s="1"/>
  <c r="AK127" i="43"/>
  <c r="BX134" i="43"/>
  <c r="BY134" i="43" s="1"/>
  <c r="AK134" i="43"/>
  <c r="AK116" i="43"/>
  <c r="BX116" i="43"/>
  <c r="BY116" i="43" s="1"/>
  <c r="AK125" i="43"/>
  <c r="BX125" i="43"/>
  <c r="BY125" i="43" s="1"/>
  <c r="AK103" i="43"/>
  <c r="BX103" i="43"/>
  <c r="BY103" i="43" s="1"/>
  <c r="BX122" i="43"/>
  <c r="BY122" i="43" s="1"/>
  <c r="AK122" i="43"/>
  <c r="BX106" i="43"/>
  <c r="BY106" i="43" s="1"/>
  <c r="AK106" i="43"/>
  <c r="AK92" i="43"/>
  <c r="BX92" i="43"/>
  <c r="BY92" i="43" s="1"/>
  <c r="BX94" i="43"/>
  <c r="BY94" i="43" s="1"/>
  <c r="AK94" i="43"/>
  <c r="BX97" i="43"/>
  <c r="BY97" i="43" s="1"/>
  <c r="AK97" i="43"/>
  <c r="BX81" i="43"/>
  <c r="BY81" i="43" s="1"/>
  <c r="AK81" i="43"/>
  <c r="BX89" i="43"/>
  <c r="BY89" i="43" s="1"/>
  <c r="AK89" i="43"/>
  <c r="AK79" i="43"/>
  <c r="BX79" i="43"/>
  <c r="BY79" i="43" s="1"/>
  <c r="AK71" i="43"/>
  <c r="BX71" i="43"/>
  <c r="BY71" i="43" s="1"/>
  <c r="AK68" i="43"/>
  <c r="BX68" i="43"/>
  <c r="BY68" i="43" s="1"/>
  <c r="BX77" i="43"/>
  <c r="BY77" i="43" s="1"/>
  <c r="AK77" i="43"/>
  <c r="AK64" i="43"/>
  <c r="BX64" i="43"/>
  <c r="BY64" i="43" s="1"/>
  <c r="BX57" i="43"/>
  <c r="BY57" i="43" s="1"/>
  <c r="AK57" i="43"/>
  <c r="BX65" i="43"/>
  <c r="BY65" i="43" s="1"/>
  <c r="AK65" i="43"/>
  <c r="AK51" i="43"/>
  <c r="BX51" i="43"/>
  <c r="BY51" i="43" s="1"/>
  <c r="BX49" i="43"/>
  <c r="BY49" i="43" s="1"/>
  <c r="AK49" i="43"/>
  <c r="AK44" i="43"/>
  <c r="BX44" i="43"/>
  <c r="BY44" i="43" s="1"/>
  <c r="BX35" i="43"/>
  <c r="BY35" i="43" s="1"/>
  <c r="AK35" i="43"/>
  <c r="BX32" i="43"/>
  <c r="BY32" i="43" s="1"/>
  <c r="AK32" i="43"/>
  <c r="BX54" i="43"/>
  <c r="BY54" i="43" s="1"/>
  <c r="AK54" i="43"/>
  <c r="BX19" i="43"/>
  <c r="BY19" i="43" s="1"/>
  <c r="AK19" i="43"/>
  <c r="BX28" i="43"/>
  <c r="BY28" i="43" s="1"/>
  <c r="AK28" i="43"/>
  <c r="BX38" i="43"/>
  <c r="BY38" i="43" s="1"/>
  <c r="AK38" i="43"/>
  <c r="BX22" i="43"/>
  <c r="BY22" i="43" s="1"/>
  <c r="AK22" i="43"/>
  <c r="BX7" i="43"/>
  <c r="BY7" i="43" s="1"/>
  <c r="AK7" i="43"/>
  <c r="BX11" i="43"/>
  <c r="BY11" i="43" s="1"/>
  <c r="AK11" i="43"/>
  <c r="BX16" i="43"/>
  <c r="BY16" i="43" s="1"/>
  <c r="AK16" i="43"/>
  <c r="F216" i="43"/>
  <c r="AC216" i="43" s="1"/>
  <c r="AA204" i="43"/>
  <c r="I204" i="43"/>
  <c r="AB204" i="43"/>
  <c r="H273" i="43"/>
  <c r="C261" i="43"/>
  <c r="J261" i="43" s="1"/>
  <c r="B261" i="43"/>
  <c r="Q261" i="43" s="1"/>
  <c r="AK227" i="42"/>
  <c r="BX227" i="42"/>
  <c r="H273" i="42"/>
  <c r="AC273" i="42" s="1"/>
  <c r="AB261" i="42"/>
  <c r="C261" i="42"/>
  <c r="J261" i="42" s="1"/>
  <c r="I261" i="42"/>
  <c r="BW261" i="42" s="1"/>
  <c r="AA261" i="42"/>
  <c r="B261" i="42"/>
  <c r="Q261" i="42" s="1"/>
  <c r="H281" i="42"/>
  <c r="C269" i="42"/>
  <c r="J269" i="42" s="1"/>
  <c r="B269" i="42"/>
  <c r="Q269" i="42" s="1"/>
  <c r="AK223" i="42"/>
  <c r="BX223" i="42"/>
  <c r="BY223" i="42" s="1"/>
  <c r="BX212" i="42"/>
  <c r="BY212" i="42" s="1"/>
  <c r="AK212" i="42"/>
  <c r="AK190" i="42"/>
  <c r="BX190" i="42"/>
  <c r="BY190" i="42" s="1"/>
  <c r="AK163" i="42"/>
  <c r="BX163" i="42"/>
  <c r="BY163" i="42" s="1"/>
  <c r="AK155" i="42"/>
  <c r="BX155" i="42"/>
  <c r="BY155" i="42" s="1"/>
  <c r="BX145" i="42"/>
  <c r="BY145" i="42" s="1"/>
  <c r="AK145" i="42"/>
  <c r="BX148" i="42"/>
  <c r="BY148" i="42" s="1"/>
  <c r="AK148" i="42"/>
  <c r="AK122" i="42"/>
  <c r="BX122" i="42"/>
  <c r="BY122" i="42" s="1"/>
  <c r="AK106" i="42"/>
  <c r="BX106" i="42"/>
  <c r="BY106" i="42" s="1"/>
  <c r="AK98" i="42"/>
  <c r="BX98" i="42"/>
  <c r="BY98" i="42" s="1"/>
  <c r="AK86" i="42"/>
  <c r="BX86" i="42"/>
  <c r="BY86" i="42" s="1"/>
  <c r="AK74" i="42"/>
  <c r="BX74" i="42"/>
  <c r="BY74" i="42" s="1"/>
  <c r="AK66" i="42"/>
  <c r="BX66" i="42"/>
  <c r="BY66" i="42" s="1"/>
  <c r="AK50" i="42"/>
  <c r="BX50" i="42"/>
  <c r="BY50" i="42" s="1"/>
  <c r="AK37" i="42"/>
  <c r="BX37" i="42"/>
  <c r="BY37" i="42" s="1"/>
  <c r="BX19" i="42"/>
  <c r="BY19" i="42" s="1"/>
  <c r="AK19" i="42"/>
  <c r="F195" i="42"/>
  <c r="AC195" i="42" s="1"/>
  <c r="AA183" i="42"/>
  <c r="I183" i="42"/>
  <c r="AB183" i="42"/>
  <c r="B267" i="42"/>
  <c r="Q267" i="42" s="1"/>
  <c r="C267" i="42"/>
  <c r="J267" i="42" s="1"/>
  <c r="H279" i="42"/>
  <c r="BW160" i="42"/>
  <c r="BW215" i="42"/>
  <c r="AK211" i="42"/>
  <c r="BX211" i="42"/>
  <c r="BY211" i="42" s="1"/>
  <c r="BX200" i="42"/>
  <c r="BY200" i="42" s="1"/>
  <c r="AK200" i="42"/>
  <c r="AK203" i="42"/>
  <c r="BX203" i="42"/>
  <c r="BY203" i="42" s="1"/>
  <c r="BX192" i="42"/>
  <c r="BY192" i="42" s="1"/>
  <c r="AK192" i="42"/>
  <c r="BX188" i="42"/>
  <c r="BY188" i="42" s="1"/>
  <c r="AK188" i="42"/>
  <c r="AK178" i="42"/>
  <c r="BX178" i="42"/>
  <c r="BY178" i="42" s="1"/>
  <c r="AK179" i="42"/>
  <c r="BX179" i="42"/>
  <c r="BY179" i="42" s="1"/>
  <c r="AK182" i="42"/>
  <c r="BX182" i="42"/>
  <c r="BX164" i="42"/>
  <c r="BY164" i="42" s="1"/>
  <c r="AK164" i="42"/>
  <c r="BX169" i="42"/>
  <c r="BY169" i="42" s="1"/>
  <c r="AK169" i="42"/>
  <c r="AK171" i="42"/>
  <c r="BX171" i="42"/>
  <c r="BX157" i="42"/>
  <c r="BY157" i="42" s="1"/>
  <c r="AK157" i="42"/>
  <c r="AK159" i="42"/>
  <c r="BX159" i="42"/>
  <c r="BY159" i="42" s="1"/>
  <c r="BX153" i="42"/>
  <c r="BY153" i="42" s="1"/>
  <c r="AK153" i="42"/>
  <c r="AK143" i="42"/>
  <c r="BX143" i="42"/>
  <c r="BY143" i="42" s="1"/>
  <c r="BX144" i="42"/>
  <c r="BY144" i="42" s="1"/>
  <c r="AK144" i="42"/>
  <c r="BX149" i="42"/>
  <c r="AK149" i="42"/>
  <c r="AK135" i="42"/>
  <c r="BX135" i="42"/>
  <c r="BY135" i="42" s="1"/>
  <c r="AK127" i="42"/>
  <c r="BX127" i="42"/>
  <c r="BY127" i="42" s="1"/>
  <c r="AK138" i="42"/>
  <c r="BX138" i="42"/>
  <c r="AK118" i="42"/>
  <c r="BX118" i="42"/>
  <c r="BY118" i="42" s="1"/>
  <c r="BX116" i="42"/>
  <c r="BY116" i="42" s="1"/>
  <c r="AK116" i="42"/>
  <c r="BX125" i="42"/>
  <c r="BY125" i="42" s="1"/>
  <c r="AK125" i="42"/>
  <c r="BX105" i="42"/>
  <c r="BY105" i="42" s="1"/>
  <c r="AK105" i="42"/>
  <c r="BX109" i="42"/>
  <c r="BY109" i="42" s="1"/>
  <c r="AK109" i="42"/>
  <c r="AK110" i="42"/>
  <c r="BX110" i="42"/>
  <c r="BY110" i="42" s="1"/>
  <c r="BX92" i="42"/>
  <c r="BY92" i="42" s="1"/>
  <c r="AK92" i="42"/>
  <c r="BX101" i="42"/>
  <c r="BY101" i="42" s="1"/>
  <c r="AK101" i="42"/>
  <c r="BX97" i="42"/>
  <c r="BY97" i="42" s="1"/>
  <c r="AK97" i="42"/>
  <c r="AK90" i="42"/>
  <c r="BX90" i="42"/>
  <c r="BY90" i="42" s="1"/>
  <c r="BX85" i="42"/>
  <c r="BY85" i="42" s="1"/>
  <c r="AK85" i="42"/>
  <c r="BX84" i="42"/>
  <c r="BY84" i="42" s="1"/>
  <c r="AK84" i="42"/>
  <c r="AK70" i="42"/>
  <c r="BX70" i="42"/>
  <c r="BY70" i="42" s="1"/>
  <c r="BX88" i="42"/>
  <c r="BY88" i="42" s="1"/>
  <c r="AK88" i="42"/>
  <c r="AK78" i="42"/>
  <c r="BX78" i="42"/>
  <c r="BY78" i="42" s="1"/>
  <c r="AK62" i="42"/>
  <c r="BX62" i="42"/>
  <c r="BY62" i="42" s="1"/>
  <c r="BX76" i="42"/>
  <c r="BY76" i="42" s="1"/>
  <c r="AK76" i="42"/>
  <c r="BX55" i="42"/>
  <c r="BY55" i="42" s="1"/>
  <c r="AK55" i="42"/>
  <c r="AK49" i="42"/>
  <c r="BX49" i="42"/>
  <c r="BY49" i="42" s="1"/>
  <c r="BX47" i="42"/>
  <c r="BY47" i="42" s="1"/>
  <c r="AK47" i="42"/>
  <c r="AK53" i="42"/>
  <c r="BX53" i="42"/>
  <c r="BY53" i="42" s="1"/>
  <c r="AK38" i="42"/>
  <c r="BX38" i="42"/>
  <c r="BY38" i="42" s="1"/>
  <c r="BX32" i="42"/>
  <c r="BY32" i="42" s="1"/>
  <c r="AK32" i="42"/>
  <c r="BX31" i="42"/>
  <c r="BY31" i="42" s="1"/>
  <c r="AK31" i="42"/>
  <c r="BX29" i="42"/>
  <c r="BY29" i="42" s="1"/>
  <c r="AK29" i="42"/>
  <c r="BX20" i="42"/>
  <c r="BY20" i="42" s="1"/>
  <c r="AK20" i="42"/>
  <c r="BX22" i="42"/>
  <c r="BY22" i="42" s="1"/>
  <c r="AK22" i="42"/>
  <c r="BX26" i="42"/>
  <c r="BY26" i="42" s="1"/>
  <c r="AK26" i="42"/>
  <c r="AK16" i="42"/>
  <c r="BX16" i="42"/>
  <c r="BY16" i="42" s="1"/>
  <c r="AK11" i="42"/>
  <c r="BX11" i="42"/>
  <c r="BY11" i="42" s="1"/>
  <c r="BX18" i="42"/>
  <c r="BY18" i="42" s="1"/>
  <c r="AK18" i="42"/>
  <c r="BX237" i="42"/>
  <c r="BY237" i="42" s="1"/>
  <c r="AK237" i="42"/>
  <c r="AW29" i="42"/>
  <c r="BW204" i="42"/>
  <c r="F162" i="42"/>
  <c r="AC162" i="42" s="1"/>
  <c r="AB150" i="42"/>
  <c r="I150" i="42"/>
  <c r="AA150" i="42"/>
  <c r="BX225" i="42"/>
  <c r="BY225" i="42" s="1"/>
  <c r="AK225" i="42"/>
  <c r="AK202" i="42"/>
  <c r="BX202" i="42"/>
  <c r="BY202" i="42" s="1"/>
  <c r="AK187" i="42"/>
  <c r="BX187" i="42"/>
  <c r="BY187" i="42" s="1"/>
  <c r="BX165" i="42"/>
  <c r="BY165" i="42" s="1"/>
  <c r="AK165" i="42"/>
  <c r="BX156" i="42"/>
  <c r="BY156" i="42" s="1"/>
  <c r="AK156" i="42"/>
  <c r="AK146" i="42"/>
  <c r="BX146" i="42"/>
  <c r="BY146" i="42" s="1"/>
  <c r="AK130" i="42"/>
  <c r="BX130" i="42"/>
  <c r="BY130" i="42" s="1"/>
  <c r="AK119" i="42"/>
  <c r="BX119" i="42"/>
  <c r="BY119" i="42" s="1"/>
  <c r="AK103" i="42"/>
  <c r="BX103" i="42"/>
  <c r="BY103" i="42" s="1"/>
  <c r="AK93" i="42"/>
  <c r="BX93" i="42"/>
  <c r="BY93" i="42" s="1"/>
  <c r="BX80" i="42"/>
  <c r="BY80" i="42" s="1"/>
  <c r="AK80" i="42"/>
  <c r="AK77" i="42"/>
  <c r="BX77" i="42"/>
  <c r="BY77" i="42" s="1"/>
  <c r="AK58" i="42"/>
  <c r="BX58" i="42"/>
  <c r="BY58" i="42" s="1"/>
  <c r="BX44" i="42"/>
  <c r="BY44" i="42" s="1"/>
  <c r="AK44" i="42"/>
  <c r="BX52" i="42"/>
  <c r="BY52" i="42" s="1"/>
  <c r="AK52" i="42"/>
  <c r="BX24" i="42"/>
  <c r="BY24" i="42" s="1"/>
  <c r="AK24" i="42"/>
  <c r="BX27" i="42"/>
  <c r="BY27" i="42" s="1"/>
  <c r="AK27" i="42"/>
  <c r="BX9" i="42"/>
  <c r="BY9" i="42" s="1"/>
  <c r="AK9" i="42"/>
  <c r="AK7" i="42"/>
  <c r="BX7" i="42"/>
  <c r="BY7" i="42" s="1"/>
  <c r="H274" i="42"/>
  <c r="B262" i="42"/>
  <c r="Q262" i="42" s="1"/>
  <c r="C262" i="42"/>
  <c r="J262" i="42" s="1"/>
  <c r="AN268" i="42"/>
  <c r="H276" i="42"/>
  <c r="B264" i="42"/>
  <c r="Q264" i="42" s="1"/>
  <c r="C264" i="42"/>
  <c r="J264" i="42" s="1"/>
  <c r="F239" i="42"/>
  <c r="AC239" i="42" s="1"/>
  <c r="AA227" i="42"/>
  <c r="I227" i="42"/>
  <c r="AB227" i="42"/>
  <c r="BX224" i="42"/>
  <c r="BY224" i="42" s="1"/>
  <c r="AK224" i="42"/>
  <c r="AK226" i="42"/>
  <c r="BX226" i="42"/>
  <c r="BX213" i="42"/>
  <c r="BY213" i="42" s="1"/>
  <c r="AK213" i="42"/>
  <c r="AK214" i="42"/>
  <c r="BX214" i="42"/>
  <c r="BY214" i="42" s="1"/>
  <c r="BX205" i="42"/>
  <c r="AK205" i="42"/>
  <c r="AK194" i="42"/>
  <c r="BX194" i="42"/>
  <c r="AK191" i="42"/>
  <c r="BX191" i="42"/>
  <c r="BY191" i="42" s="1"/>
  <c r="BX181" i="42"/>
  <c r="BY181" i="42" s="1"/>
  <c r="AK181" i="42"/>
  <c r="BX180" i="42"/>
  <c r="BY180" i="42" s="1"/>
  <c r="AK180" i="42"/>
  <c r="BX168" i="42"/>
  <c r="BY168" i="42" s="1"/>
  <c r="AK168" i="42"/>
  <c r="AK167" i="42"/>
  <c r="BX167" i="42"/>
  <c r="BY167" i="42" s="1"/>
  <c r="AK170" i="42"/>
  <c r="BX170" i="42"/>
  <c r="BY170" i="42" s="1"/>
  <c r="AK158" i="42"/>
  <c r="BX158" i="42"/>
  <c r="BY158" i="42" s="1"/>
  <c r="BX152" i="42"/>
  <c r="BY152" i="42" s="1"/>
  <c r="AK152" i="42"/>
  <c r="BX140" i="42"/>
  <c r="BY140" i="42" s="1"/>
  <c r="AK140" i="42"/>
  <c r="AK142" i="42"/>
  <c r="BX142" i="42"/>
  <c r="BY142" i="42" s="1"/>
  <c r="AK147" i="42"/>
  <c r="BX147" i="42"/>
  <c r="BY147" i="42" s="1"/>
  <c r="AK131" i="42"/>
  <c r="BX131" i="42"/>
  <c r="BY131" i="42" s="1"/>
  <c r="BX128" i="42"/>
  <c r="BY128" i="42" s="1"/>
  <c r="AK128" i="42"/>
  <c r="BX129" i="42"/>
  <c r="BY129" i="42" s="1"/>
  <c r="AK129" i="42"/>
  <c r="BX120" i="42"/>
  <c r="BY120" i="42" s="1"/>
  <c r="AK120" i="42"/>
  <c r="BX136" i="42"/>
  <c r="BY136" i="42" s="1"/>
  <c r="AK136" i="42"/>
  <c r="AK123" i="42"/>
  <c r="BX123" i="42"/>
  <c r="BY123" i="42" s="1"/>
  <c r="AK107" i="42"/>
  <c r="BX107" i="42"/>
  <c r="BY107" i="42" s="1"/>
  <c r="BX108" i="42"/>
  <c r="BY108" i="42" s="1"/>
  <c r="AK108" i="42"/>
  <c r="BX124" i="42"/>
  <c r="BY124" i="42" s="1"/>
  <c r="AK124" i="42"/>
  <c r="BX112" i="42"/>
  <c r="BY112" i="42" s="1"/>
  <c r="AK112" i="42"/>
  <c r="AK94" i="42"/>
  <c r="BX94" i="42"/>
  <c r="BY94" i="42" s="1"/>
  <c r="AK95" i="42"/>
  <c r="BX95" i="42"/>
  <c r="BY95" i="42" s="1"/>
  <c r="BX79" i="42"/>
  <c r="BY79" i="42" s="1"/>
  <c r="AK79" i="42"/>
  <c r="AK89" i="42"/>
  <c r="BX89" i="42"/>
  <c r="BY89" i="42" s="1"/>
  <c r="BX87" i="42"/>
  <c r="BY87" i="42" s="1"/>
  <c r="AK87" i="42"/>
  <c r="BX72" i="42"/>
  <c r="BY72" i="42" s="1"/>
  <c r="AK72" i="42"/>
  <c r="BX68" i="42"/>
  <c r="BY68" i="42" s="1"/>
  <c r="AK68" i="42"/>
  <c r="BX75" i="42"/>
  <c r="BY75" i="42" s="1"/>
  <c r="AK75" i="42"/>
  <c r="BX65" i="42"/>
  <c r="BY65" i="42" s="1"/>
  <c r="AK65" i="42"/>
  <c r="AK61" i="42"/>
  <c r="BX61" i="42"/>
  <c r="BY61" i="42" s="1"/>
  <c r="BX57" i="42"/>
  <c r="BY57" i="42" s="1"/>
  <c r="AK57" i="42"/>
  <c r="AK54" i="42"/>
  <c r="BX54" i="42"/>
  <c r="BY54" i="42" s="1"/>
  <c r="BX64" i="42"/>
  <c r="BY64" i="42" s="1"/>
  <c r="AK64" i="42"/>
  <c r="BX48" i="42"/>
  <c r="BY48" i="42" s="1"/>
  <c r="AK48" i="42"/>
  <c r="BX35" i="42"/>
  <c r="BY35" i="42" s="1"/>
  <c r="AK35" i="42"/>
  <c r="BX34" i="42"/>
  <c r="BY34" i="42" s="1"/>
  <c r="AK34" i="42"/>
  <c r="BX36" i="42"/>
  <c r="BY36" i="42" s="1"/>
  <c r="AK36" i="42"/>
  <c r="BX30" i="42"/>
  <c r="BY30" i="42" s="1"/>
  <c r="AK30" i="42"/>
  <c r="BX21" i="42"/>
  <c r="BY21" i="42" s="1"/>
  <c r="AK21" i="42"/>
  <c r="BX25" i="42"/>
  <c r="BY25" i="42" s="1"/>
  <c r="AK25" i="42"/>
  <c r="AK12" i="42"/>
  <c r="BX12" i="42"/>
  <c r="BY12" i="42" s="1"/>
  <c r="BX17" i="42"/>
  <c r="BY17" i="42" s="1"/>
  <c r="AK17" i="42"/>
  <c r="BX14" i="42"/>
  <c r="BY14" i="42" s="1"/>
  <c r="AK14" i="42"/>
  <c r="B280" i="42"/>
  <c r="Q280" i="42" s="1"/>
  <c r="H292" i="42"/>
  <c r="C280" i="42"/>
  <c r="J280" i="42" s="1"/>
  <c r="BW149" i="42"/>
  <c r="F173" i="42"/>
  <c r="AC173" i="42" s="1"/>
  <c r="I161" i="42"/>
  <c r="AA161" i="42"/>
  <c r="AB161" i="42"/>
  <c r="F228" i="42"/>
  <c r="AC228" i="42" s="1"/>
  <c r="I216" i="42"/>
  <c r="AA216" i="42"/>
  <c r="AB216" i="42"/>
  <c r="BW138" i="42"/>
  <c r="BW171" i="42"/>
  <c r="BW182" i="42"/>
  <c r="F250" i="42"/>
  <c r="AC250" i="42" s="1"/>
  <c r="I238" i="42"/>
  <c r="AA238" i="42"/>
  <c r="AB238" i="42"/>
  <c r="BX216" i="42"/>
  <c r="AK216" i="42"/>
  <c r="BX193" i="42"/>
  <c r="AK193" i="42"/>
  <c r="BX176" i="42"/>
  <c r="BY176" i="42" s="1"/>
  <c r="AK176" i="42"/>
  <c r="AK166" i="42"/>
  <c r="BX166" i="42"/>
  <c r="BY166" i="42" s="1"/>
  <c r="BX161" i="42"/>
  <c r="AK161" i="42"/>
  <c r="AK150" i="42"/>
  <c r="BX150" i="42"/>
  <c r="BX132" i="42"/>
  <c r="BY132" i="42" s="1"/>
  <c r="AK132" i="42"/>
  <c r="AK115" i="42"/>
  <c r="BX115" i="42"/>
  <c r="BY115" i="42" s="1"/>
  <c r="BX113" i="42"/>
  <c r="BY113" i="42" s="1"/>
  <c r="AK113" i="42"/>
  <c r="AK102" i="42"/>
  <c r="BX102" i="42"/>
  <c r="BY102" i="42" s="1"/>
  <c r="BX81" i="42"/>
  <c r="BY81" i="42" s="1"/>
  <c r="AK81" i="42"/>
  <c r="BX69" i="42"/>
  <c r="BY69" i="42" s="1"/>
  <c r="AK69" i="42"/>
  <c r="BX60" i="42"/>
  <c r="BY60" i="42" s="1"/>
  <c r="AK60" i="42"/>
  <c r="AK46" i="42"/>
  <c r="BX46" i="42"/>
  <c r="BY46" i="42" s="1"/>
  <c r="BX41" i="42"/>
  <c r="BY41" i="42" s="1"/>
  <c r="AK41" i="42"/>
  <c r="AK15" i="42"/>
  <c r="BX15" i="42"/>
  <c r="BY15" i="42" s="1"/>
  <c r="BX249" i="42"/>
  <c r="BY249" i="42" s="1"/>
  <c r="F184" i="42"/>
  <c r="AC184" i="42" s="1"/>
  <c r="AB172" i="42"/>
  <c r="AA172" i="42"/>
  <c r="I172" i="42"/>
  <c r="AA259" i="42"/>
  <c r="B259" i="42"/>
  <c r="Q259" i="42" s="1"/>
  <c r="AB259" i="42"/>
  <c r="C259" i="42"/>
  <c r="J259" i="42" s="1"/>
  <c r="H271" i="42"/>
  <c r="AC271" i="42" s="1"/>
  <c r="I259" i="42"/>
  <c r="BW259" i="42" s="1"/>
  <c r="AK215" i="42"/>
  <c r="BX215" i="42"/>
  <c r="BX201" i="42"/>
  <c r="BY201" i="42" s="1"/>
  <c r="AK201" i="42"/>
  <c r="AK199" i="42"/>
  <c r="BX199" i="42"/>
  <c r="BY199" i="42" s="1"/>
  <c r="BX204" i="42"/>
  <c r="AK204" i="42"/>
  <c r="BX189" i="42"/>
  <c r="BY189" i="42" s="1"/>
  <c r="AK189" i="42"/>
  <c r="AK175" i="42"/>
  <c r="BX175" i="42"/>
  <c r="BY175" i="42" s="1"/>
  <c r="BX177" i="42"/>
  <c r="BY177" i="42" s="1"/>
  <c r="AK177" i="42"/>
  <c r="AK154" i="42"/>
  <c r="BX154" i="42"/>
  <c r="BY154" i="42" s="1"/>
  <c r="AK151" i="42"/>
  <c r="BX151" i="42"/>
  <c r="BY151" i="42" s="1"/>
  <c r="BX141" i="42"/>
  <c r="BY141" i="42" s="1"/>
  <c r="AK141" i="42"/>
  <c r="AK139" i="42"/>
  <c r="BX139" i="42"/>
  <c r="BY139" i="42" s="1"/>
  <c r="BX160" i="42"/>
  <c r="AK160" i="42"/>
  <c r="BX137" i="42"/>
  <c r="BY137" i="42" s="1"/>
  <c r="AK137" i="42"/>
  <c r="AK134" i="42"/>
  <c r="BX134" i="42"/>
  <c r="BY134" i="42" s="1"/>
  <c r="BX133" i="42"/>
  <c r="BY133" i="42" s="1"/>
  <c r="AK133" i="42"/>
  <c r="BX121" i="42"/>
  <c r="BY121" i="42" s="1"/>
  <c r="AK121" i="42"/>
  <c r="AK126" i="42"/>
  <c r="BX126" i="42"/>
  <c r="BY126" i="42" s="1"/>
  <c r="BX117" i="42"/>
  <c r="BY117" i="42" s="1"/>
  <c r="AK117" i="42"/>
  <c r="AK111" i="42"/>
  <c r="BX111" i="42"/>
  <c r="BY111" i="42" s="1"/>
  <c r="BX104" i="42"/>
  <c r="BY104" i="42" s="1"/>
  <c r="AK104" i="42"/>
  <c r="AK114" i="42"/>
  <c r="BX114" i="42"/>
  <c r="BY114" i="42" s="1"/>
  <c r="BX91" i="42"/>
  <c r="BY91" i="42" s="1"/>
  <c r="AK91" i="42"/>
  <c r="BX96" i="42"/>
  <c r="BY96" i="42" s="1"/>
  <c r="AK96" i="42"/>
  <c r="AK99" i="42"/>
  <c r="BX99" i="42"/>
  <c r="BY99" i="42" s="1"/>
  <c r="BX83" i="42"/>
  <c r="BY83" i="42" s="1"/>
  <c r="AK83" i="42"/>
  <c r="BX100" i="42"/>
  <c r="BY100" i="42" s="1"/>
  <c r="AK100" i="42"/>
  <c r="AK82" i="42"/>
  <c r="BX82" i="42"/>
  <c r="BY82" i="42" s="1"/>
  <c r="AK73" i="42"/>
  <c r="BX73" i="42"/>
  <c r="BY73" i="42" s="1"/>
  <c r="AK67" i="42"/>
  <c r="BX67" i="42"/>
  <c r="BY67" i="42" s="1"/>
  <c r="BX71" i="42"/>
  <c r="BY71" i="42" s="1"/>
  <c r="AK71" i="42"/>
  <c r="BX56" i="42"/>
  <c r="BY56" i="42" s="1"/>
  <c r="AK56" i="42"/>
  <c r="BX59" i="42"/>
  <c r="BY59" i="42" s="1"/>
  <c r="AK59" i="42"/>
  <c r="BX63" i="42"/>
  <c r="BY63" i="42" s="1"/>
  <c r="AK63" i="42"/>
  <c r="BX43" i="42"/>
  <c r="BY43" i="42" s="1"/>
  <c r="AK43" i="42"/>
  <c r="AK51" i="42"/>
  <c r="BX51" i="42"/>
  <c r="BY51" i="42" s="1"/>
  <c r="BX45" i="42"/>
  <c r="BY45" i="42" s="1"/>
  <c r="AK45" i="42"/>
  <c r="AK42" i="42"/>
  <c r="BX42" i="42"/>
  <c r="BY42" i="42" s="1"/>
  <c r="BX33" i="42"/>
  <c r="BY33" i="42" s="1"/>
  <c r="AK33" i="42"/>
  <c r="AK39" i="42"/>
  <c r="BX39" i="42"/>
  <c r="BY39" i="42" s="1"/>
  <c r="BX40" i="42"/>
  <c r="BY40" i="42" s="1"/>
  <c r="AK40" i="42"/>
  <c r="BX23" i="42"/>
  <c r="BY23" i="42" s="1"/>
  <c r="AK23" i="42"/>
  <c r="BX28" i="42"/>
  <c r="BY28" i="42" s="1"/>
  <c r="AK28" i="42"/>
  <c r="BX8" i="42"/>
  <c r="BY8" i="42" s="1"/>
  <c r="AK8" i="42"/>
  <c r="BX13" i="42"/>
  <c r="BY13" i="42" s="1"/>
  <c r="AK13" i="42"/>
  <c r="BX10" i="42"/>
  <c r="BY10" i="42" s="1"/>
  <c r="AK10" i="42"/>
  <c r="H275" i="42"/>
  <c r="B263" i="42"/>
  <c r="Q263" i="42" s="1"/>
  <c r="C263" i="42"/>
  <c r="J263" i="42" s="1"/>
  <c r="H277" i="42"/>
  <c r="C265" i="42"/>
  <c r="J265" i="42" s="1"/>
  <c r="B265" i="42"/>
  <c r="Q265" i="42" s="1"/>
  <c r="AK235" i="42"/>
  <c r="BX235" i="42"/>
  <c r="BY235" i="42" s="1"/>
  <c r="BW193" i="42"/>
  <c r="F217" i="42"/>
  <c r="AC217" i="42" s="1"/>
  <c r="I205" i="42"/>
  <c r="AA205" i="42"/>
  <c r="AB205" i="42"/>
  <c r="H282" i="42"/>
  <c r="C270" i="42"/>
  <c r="J270" i="42" s="1"/>
  <c r="B270" i="42"/>
  <c r="Q270" i="42" s="1"/>
  <c r="H278" i="42"/>
  <c r="B266" i="42"/>
  <c r="Q266" i="42" s="1"/>
  <c r="C266" i="42"/>
  <c r="J266" i="42" s="1"/>
  <c r="H272" i="42"/>
  <c r="AC272" i="42" s="1"/>
  <c r="AA260" i="42"/>
  <c r="B260" i="42"/>
  <c r="Q260" i="42" s="1"/>
  <c r="AB260" i="42"/>
  <c r="C260" i="42"/>
  <c r="J260" i="42" s="1"/>
  <c r="I260" i="42"/>
  <c r="F206" i="42"/>
  <c r="AC206" i="42" s="1"/>
  <c r="AB194" i="42"/>
  <c r="I194" i="42"/>
  <c r="AA194" i="42"/>
  <c r="BW226" i="42"/>
  <c r="AJ183" i="42"/>
  <c r="AJ172" i="42"/>
  <c r="AJ238" i="42"/>
  <c r="D61" i="2"/>
  <c r="D60" i="2"/>
  <c r="D59" i="2"/>
  <c r="D58" i="2"/>
  <c r="D57" i="2"/>
  <c r="D56" i="2"/>
  <c r="AK247" i="42" l="1"/>
  <c r="AK248" i="42"/>
  <c r="AJ259" i="43"/>
  <c r="BX259" i="43" s="1"/>
  <c r="Q259" i="43"/>
  <c r="BX248" i="43"/>
  <c r="BY248" i="43" s="1"/>
  <c r="AJ260" i="43"/>
  <c r="AK260" i="43" s="1"/>
  <c r="Q260" i="43"/>
  <c r="BY159" i="43"/>
  <c r="BY192" i="43"/>
  <c r="BY226" i="42"/>
  <c r="BY181" i="43"/>
  <c r="BY225" i="43"/>
  <c r="BY171" i="42"/>
  <c r="BY193" i="42"/>
  <c r="BW204" i="43"/>
  <c r="BY204" i="43" s="1"/>
  <c r="F261" i="43"/>
  <c r="AC261" i="43" s="1"/>
  <c r="AJ249" i="43"/>
  <c r="I249" i="43"/>
  <c r="AA249" i="43"/>
  <c r="AB249" i="43"/>
  <c r="H292" i="43"/>
  <c r="B280" i="43"/>
  <c r="Q280" i="43" s="1"/>
  <c r="C280" i="43"/>
  <c r="J280" i="43" s="1"/>
  <c r="H288" i="43"/>
  <c r="B276" i="43"/>
  <c r="Q276" i="43" s="1"/>
  <c r="C276" i="43"/>
  <c r="J276" i="43" s="1"/>
  <c r="F195" i="43"/>
  <c r="AC195" i="43" s="1"/>
  <c r="AA183" i="43"/>
  <c r="I183" i="43"/>
  <c r="AB183" i="43"/>
  <c r="AJ183" i="43"/>
  <c r="AN267" i="43"/>
  <c r="H287" i="43"/>
  <c r="B275" i="43"/>
  <c r="Q275" i="43" s="1"/>
  <c r="C275" i="43"/>
  <c r="J275" i="43" s="1"/>
  <c r="F217" i="43"/>
  <c r="AC217" i="43" s="1"/>
  <c r="I205" i="43"/>
  <c r="AA205" i="43"/>
  <c r="AB205" i="43"/>
  <c r="AJ205" i="43"/>
  <c r="AN262" i="43"/>
  <c r="AN282" i="43"/>
  <c r="AN260" i="43"/>
  <c r="H289" i="43"/>
  <c r="C277" i="43"/>
  <c r="J277" i="43" s="1"/>
  <c r="B277" i="43"/>
  <c r="Q277" i="43" s="1"/>
  <c r="H293" i="43"/>
  <c r="C281" i="43"/>
  <c r="J281" i="43" s="1"/>
  <c r="B281" i="43"/>
  <c r="Q281" i="43" s="1"/>
  <c r="BW182" i="43"/>
  <c r="F250" i="43"/>
  <c r="AC250" i="43" s="1"/>
  <c r="AB238" i="43"/>
  <c r="I238" i="43"/>
  <c r="AA238" i="43"/>
  <c r="AJ238" i="43"/>
  <c r="BY203" i="43"/>
  <c r="BY148" i="43"/>
  <c r="F239" i="43"/>
  <c r="AC239" i="43" s="1"/>
  <c r="AB227" i="43"/>
  <c r="AA227" i="43"/>
  <c r="I227" i="43"/>
  <c r="AJ227" i="43"/>
  <c r="BW237" i="43"/>
  <c r="BY237" i="43" s="1"/>
  <c r="BX171" i="43"/>
  <c r="AK171" i="43"/>
  <c r="AK247" i="43"/>
  <c r="BX247" i="43"/>
  <c r="BY247" i="43" s="1"/>
  <c r="F162" i="43"/>
  <c r="AC162" i="43" s="1"/>
  <c r="AB150" i="43"/>
  <c r="AA150" i="43"/>
  <c r="I150" i="43"/>
  <c r="AJ150" i="43"/>
  <c r="AW30" i="43"/>
  <c r="H291" i="43"/>
  <c r="B279" i="43"/>
  <c r="Q279" i="43" s="1"/>
  <c r="C279" i="43"/>
  <c r="J279" i="43" s="1"/>
  <c r="H286" i="43"/>
  <c r="B274" i="43"/>
  <c r="Q274" i="43" s="1"/>
  <c r="C274" i="43"/>
  <c r="J274" i="43" s="1"/>
  <c r="BW160" i="43"/>
  <c r="BY160" i="43" s="1"/>
  <c r="H284" i="43"/>
  <c r="AC284" i="43" s="1"/>
  <c r="AA272" i="43"/>
  <c r="B272" i="43"/>
  <c r="AB272" i="43"/>
  <c r="C272" i="43"/>
  <c r="J272" i="43" s="1"/>
  <c r="I272" i="43"/>
  <c r="AK226" i="43"/>
  <c r="BX226" i="43"/>
  <c r="AN259" i="43"/>
  <c r="BW226" i="43"/>
  <c r="BY137" i="43"/>
  <c r="BY214" i="43"/>
  <c r="AN261" i="43"/>
  <c r="F228" i="43"/>
  <c r="AC228" i="43" s="1"/>
  <c r="AA216" i="43"/>
  <c r="I216" i="43"/>
  <c r="AB216" i="43"/>
  <c r="AJ216" i="43"/>
  <c r="H302" i="43"/>
  <c r="C290" i="43"/>
  <c r="J290" i="43" s="1"/>
  <c r="B290" i="43"/>
  <c r="Q290" i="43" s="1"/>
  <c r="BW149" i="43"/>
  <c r="BY149" i="43" s="1"/>
  <c r="AK182" i="43"/>
  <c r="BX182" i="43"/>
  <c r="F184" i="43"/>
  <c r="AC184" i="43" s="1"/>
  <c r="I172" i="43"/>
  <c r="AA172" i="43"/>
  <c r="AB172" i="43"/>
  <c r="AJ172" i="43"/>
  <c r="H283" i="43"/>
  <c r="AC283" i="43" s="1"/>
  <c r="AA271" i="43"/>
  <c r="B271" i="43"/>
  <c r="AB271" i="43"/>
  <c r="C271" i="43"/>
  <c r="J271" i="43" s="1"/>
  <c r="I271" i="43"/>
  <c r="BY126" i="43"/>
  <c r="H285" i="43"/>
  <c r="C273" i="43"/>
  <c r="J273" i="43" s="1"/>
  <c r="B273" i="43"/>
  <c r="Q273" i="43" s="1"/>
  <c r="BW215" i="43"/>
  <c r="BY215" i="43" s="1"/>
  <c r="BW138" i="43"/>
  <c r="BY138" i="43" s="1"/>
  <c r="AN268" i="43"/>
  <c r="AN264" i="43"/>
  <c r="AN278" i="43"/>
  <c r="BW171" i="43"/>
  <c r="F173" i="43"/>
  <c r="AC173" i="43" s="1"/>
  <c r="AA161" i="43"/>
  <c r="I161" i="43"/>
  <c r="AB161" i="43"/>
  <c r="AJ161" i="43"/>
  <c r="AN263" i="43"/>
  <c r="BW193" i="43"/>
  <c r="BY193" i="43" s="1"/>
  <c r="H306" i="43"/>
  <c r="C294" i="43"/>
  <c r="J294" i="43" s="1"/>
  <c r="B294" i="43"/>
  <c r="Q294" i="43" s="1"/>
  <c r="AN265" i="43"/>
  <c r="AN269" i="43"/>
  <c r="F206" i="43"/>
  <c r="AC206" i="43" s="1"/>
  <c r="I194" i="43"/>
  <c r="AA194" i="43"/>
  <c r="AB194" i="43"/>
  <c r="AJ194" i="43"/>
  <c r="BY204" i="42"/>
  <c r="BW259" i="43"/>
  <c r="BY170" i="43"/>
  <c r="BY182" i="42"/>
  <c r="BY138" i="42"/>
  <c r="BW194" i="42"/>
  <c r="BY194" i="42" s="1"/>
  <c r="AA271" i="42"/>
  <c r="B271" i="42"/>
  <c r="Q271" i="42" s="1"/>
  <c r="I271" i="42"/>
  <c r="BW271" i="42" s="1"/>
  <c r="H283" i="42"/>
  <c r="AC283" i="42" s="1"/>
  <c r="AB271" i="42"/>
  <c r="C271" i="42"/>
  <c r="J271" i="42" s="1"/>
  <c r="AN261" i="42"/>
  <c r="AK183" i="42"/>
  <c r="BX183" i="42"/>
  <c r="F218" i="42"/>
  <c r="AC218" i="42" s="1"/>
  <c r="I206" i="42"/>
  <c r="AB206" i="42"/>
  <c r="AA206" i="42"/>
  <c r="AJ206" i="42"/>
  <c r="AA272" i="42"/>
  <c r="B272" i="42"/>
  <c r="Q272" i="42" s="1"/>
  <c r="H284" i="42"/>
  <c r="AC284" i="42" s="1"/>
  <c r="AB272" i="42"/>
  <c r="C272" i="42"/>
  <c r="J272" i="42" s="1"/>
  <c r="I272" i="42"/>
  <c r="BW205" i="42"/>
  <c r="BY205" i="42" s="1"/>
  <c r="AN263" i="42"/>
  <c r="BW238" i="42"/>
  <c r="F185" i="42"/>
  <c r="AC185" i="42" s="1"/>
  <c r="AB173" i="42"/>
  <c r="AA173" i="42"/>
  <c r="I173" i="42"/>
  <c r="AJ173" i="42"/>
  <c r="AN262" i="42"/>
  <c r="BW150" i="42"/>
  <c r="BY150" i="42" s="1"/>
  <c r="AW30" i="42"/>
  <c r="AN267" i="42"/>
  <c r="H293" i="42"/>
  <c r="C281" i="42"/>
  <c r="J281" i="42" s="1"/>
  <c r="B281" i="42"/>
  <c r="Q281" i="42" s="1"/>
  <c r="H285" i="42"/>
  <c r="AC285" i="42" s="1"/>
  <c r="AB273" i="42"/>
  <c r="C273" i="42"/>
  <c r="J273" i="42" s="1"/>
  <c r="I273" i="42"/>
  <c r="BW273" i="42" s="1"/>
  <c r="AA273" i="42"/>
  <c r="B273" i="42"/>
  <c r="Q273" i="42" s="1"/>
  <c r="AJ261" i="42"/>
  <c r="AK238" i="42"/>
  <c r="BX238" i="42"/>
  <c r="AN260" i="42"/>
  <c r="AN270" i="42"/>
  <c r="F229" i="42"/>
  <c r="AC229" i="42" s="1"/>
  <c r="AB217" i="42"/>
  <c r="AA217" i="42"/>
  <c r="I217" i="42"/>
  <c r="AJ217" i="42"/>
  <c r="H304" i="42"/>
  <c r="B292" i="42"/>
  <c r="Q292" i="42" s="1"/>
  <c r="C292" i="42"/>
  <c r="J292" i="42" s="1"/>
  <c r="B276" i="42"/>
  <c r="Q276" i="42" s="1"/>
  <c r="H288" i="42"/>
  <c r="C276" i="42"/>
  <c r="J276" i="42" s="1"/>
  <c r="BX172" i="42"/>
  <c r="AK172" i="42"/>
  <c r="AN266" i="42"/>
  <c r="AN265" i="42"/>
  <c r="B275" i="42"/>
  <c r="Q275" i="42" s="1"/>
  <c r="H287" i="42"/>
  <c r="C275" i="42"/>
  <c r="J275" i="42" s="1"/>
  <c r="AN259" i="42"/>
  <c r="F240" i="42"/>
  <c r="AC240" i="42" s="1"/>
  <c r="AB228" i="42"/>
  <c r="I228" i="42"/>
  <c r="AA228" i="42"/>
  <c r="AJ228" i="42"/>
  <c r="BW161" i="42"/>
  <c r="BY161" i="42" s="1"/>
  <c r="BW227" i="42"/>
  <c r="BY227" i="42" s="1"/>
  <c r="F174" i="42"/>
  <c r="AC174" i="42" s="1"/>
  <c r="I162" i="42"/>
  <c r="AA162" i="42"/>
  <c r="AB162" i="42"/>
  <c r="AJ162" i="42"/>
  <c r="BW260" i="42"/>
  <c r="H289" i="42"/>
  <c r="C277" i="42"/>
  <c r="J277" i="42" s="1"/>
  <c r="B277" i="42"/>
  <c r="Q277" i="42" s="1"/>
  <c r="F251" i="42"/>
  <c r="AC251" i="42" s="1"/>
  <c r="AB239" i="42"/>
  <c r="AA239" i="42"/>
  <c r="AJ239" i="42"/>
  <c r="I239" i="42"/>
  <c r="B274" i="42"/>
  <c r="Q274" i="42" s="1"/>
  <c r="H286" i="42"/>
  <c r="C274" i="42"/>
  <c r="J274" i="42" s="1"/>
  <c r="B279" i="42"/>
  <c r="Q279" i="42" s="1"/>
  <c r="H291" i="42"/>
  <c r="C279" i="42"/>
  <c r="J279" i="42" s="1"/>
  <c r="F207" i="42"/>
  <c r="AC207" i="42" s="1"/>
  <c r="AA195" i="42"/>
  <c r="I195" i="42"/>
  <c r="AB195" i="42"/>
  <c r="AJ195" i="42"/>
  <c r="H290" i="42"/>
  <c r="C278" i="42"/>
  <c r="J278" i="42" s="1"/>
  <c r="B278" i="42"/>
  <c r="Q278" i="42" s="1"/>
  <c r="B282" i="42"/>
  <c r="Q282" i="42" s="1"/>
  <c r="H294" i="42"/>
  <c r="C282" i="42"/>
  <c r="J282" i="42" s="1"/>
  <c r="BW172" i="42"/>
  <c r="F196" i="42"/>
  <c r="AC196" i="42" s="1"/>
  <c r="AA184" i="42"/>
  <c r="I184" i="42"/>
  <c r="AB184" i="42"/>
  <c r="AJ184" i="42"/>
  <c r="F262" i="42"/>
  <c r="AC262" i="42" s="1"/>
  <c r="AB250" i="42"/>
  <c r="I250" i="42"/>
  <c r="AA250" i="42"/>
  <c r="AJ250" i="42"/>
  <c r="BW216" i="42"/>
  <c r="BY216" i="42" s="1"/>
  <c r="AN280" i="42"/>
  <c r="AN264" i="42"/>
  <c r="BW183" i="42"/>
  <c r="AN269" i="42"/>
  <c r="AJ260" i="42"/>
  <c r="AJ259" i="42"/>
  <c r="BY149" i="42"/>
  <c r="BY215" i="42"/>
  <c r="BY160" i="42"/>
  <c r="AJ271" i="42" l="1"/>
  <c r="AK271" i="42" s="1"/>
  <c r="AJ273" i="42"/>
  <c r="AK273" i="42" s="1"/>
  <c r="AJ272" i="42"/>
  <c r="BX272" i="42" s="1"/>
  <c r="BX260" i="43"/>
  <c r="BY260" i="43" s="1"/>
  <c r="AK259" i="43"/>
  <c r="AJ272" i="43"/>
  <c r="BX272" i="43" s="1"/>
  <c r="Q272" i="43"/>
  <c r="AJ271" i="43"/>
  <c r="AK271" i="43" s="1"/>
  <c r="Q271" i="43"/>
  <c r="BY172" i="42"/>
  <c r="BY171" i="43"/>
  <c r="BY259" i="43"/>
  <c r="H318" i="43"/>
  <c r="C306" i="43"/>
  <c r="J306" i="43" s="1"/>
  <c r="B306" i="43"/>
  <c r="Q306" i="43" s="1"/>
  <c r="AA283" i="43"/>
  <c r="B283" i="43"/>
  <c r="H295" i="43"/>
  <c r="AC295" i="43" s="1"/>
  <c r="AB283" i="43"/>
  <c r="C283" i="43"/>
  <c r="J283" i="43" s="1"/>
  <c r="I283" i="43"/>
  <c r="BW283" i="43" s="1"/>
  <c r="F240" i="43"/>
  <c r="AC240" i="43" s="1"/>
  <c r="AB228" i="43"/>
  <c r="AA228" i="43"/>
  <c r="I228" i="43"/>
  <c r="AJ228" i="43"/>
  <c r="AA284" i="43"/>
  <c r="B284" i="43"/>
  <c r="H296" i="43"/>
  <c r="AC296" i="43" s="1"/>
  <c r="AB284" i="43"/>
  <c r="C284" i="43"/>
  <c r="J284" i="43" s="1"/>
  <c r="I284" i="43"/>
  <c r="BW284" i="43" s="1"/>
  <c r="H298" i="43"/>
  <c r="C286" i="43"/>
  <c r="J286" i="43" s="1"/>
  <c r="B286" i="43"/>
  <c r="Q286" i="43" s="1"/>
  <c r="B291" i="43"/>
  <c r="Q291" i="43" s="1"/>
  <c r="H303" i="43"/>
  <c r="C291" i="43"/>
  <c r="J291" i="43" s="1"/>
  <c r="AK227" i="43"/>
  <c r="BX227" i="43"/>
  <c r="B293" i="43"/>
  <c r="Q293" i="43" s="1"/>
  <c r="H305" i="43"/>
  <c r="C293" i="43"/>
  <c r="J293" i="43" s="1"/>
  <c r="B289" i="43"/>
  <c r="Q289" i="43" s="1"/>
  <c r="H301" i="43"/>
  <c r="C289" i="43"/>
  <c r="J289" i="43" s="1"/>
  <c r="BW205" i="43"/>
  <c r="F207" i="43"/>
  <c r="AC207" i="43" s="1"/>
  <c r="AA195" i="43"/>
  <c r="I195" i="43"/>
  <c r="AB195" i="43"/>
  <c r="AJ195" i="43"/>
  <c r="F273" i="43"/>
  <c r="AC273" i="43" s="1"/>
  <c r="AJ261" i="43"/>
  <c r="I261" i="43"/>
  <c r="AA261" i="43"/>
  <c r="AB261" i="43"/>
  <c r="BY183" i="42"/>
  <c r="BW161" i="43"/>
  <c r="AN273" i="43"/>
  <c r="AN271" i="43"/>
  <c r="AN290" i="43"/>
  <c r="BX216" i="43"/>
  <c r="AK216" i="43"/>
  <c r="AN274" i="43"/>
  <c r="AN279" i="43"/>
  <c r="BW150" i="43"/>
  <c r="F174" i="43"/>
  <c r="AC174" i="43" s="1"/>
  <c r="AA162" i="43"/>
  <c r="I162" i="43"/>
  <c r="AB162" i="43"/>
  <c r="AJ162" i="43"/>
  <c r="BW238" i="43"/>
  <c r="AK183" i="43"/>
  <c r="BX183" i="43"/>
  <c r="AN276" i="43"/>
  <c r="AN280" i="43"/>
  <c r="BW272" i="43"/>
  <c r="F218" i="43"/>
  <c r="AC218" i="43" s="1"/>
  <c r="I206" i="43"/>
  <c r="AA206" i="43"/>
  <c r="AB206" i="43"/>
  <c r="AJ206" i="43"/>
  <c r="F185" i="43"/>
  <c r="AC185" i="43" s="1"/>
  <c r="I173" i="43"/>
  <c r="AB173" i="43"/>
  <c r="AA173" i="43"/>
  <c r="AJ173" i="43"/>
  <c r="B285" i="43"/>
  <c r="Q285" i="43" s="1"/>
  <c r="H297" i="43"/>
  <c r="C285" i="43"/>
  <c r="J285" i="43" s="1"/>
  <c r="F196" i="43"/>
  <c r="AC196" i="43" s="1"/>
  <c r="AA184" i="43"/>
  <c r="I184" i="43"/>
  <c r="AB184" i="43"/>
  <c r="AJ184" i="43"/>
  <c r="H314" i="43"/>
  <c r="C302" i="43"/>
  <c r="J302" i="43" s="1"/>
  <c r="B302" i="43"/>
  <c r="Q302" i="43" s="1"/>
  <c r="BW216" i="43"/>
  <c r="BX150" i="43"/>
  <c r="AK150" i="43"/>
  <c r="F262" i="43"/>
  <c r="AC262" i="43" s="1"/>
  <c r="I250" i="43"/>
  <c r="AA250" i="43"/>
  <c r="AB250" i="43"/>
  <c r="AJ250" i="43"/>
  <c r="F229" i="43"/>
  <c r="AC229" i="43" s="1"/>
  <c r="I217" i="43"/>
  <c r="AA217" i="43"/>
  <c r="AB217" i="43"/>
  <c r="AJ217" i="43"/>
  <c r="B287" i="43"/>
  <c r="Q287" i="43" s="1"/>
  <c r="H299" i="43"/>
  <c r="C287" i="43"/>
  <c r="J287" i="43" s="1"/>
  <c r="B288" i="43"/>
  <c r="Q288" i="43" s="1"/>
  <c r="H300" i="43"/>
  <c r="C288" i="43"/>
  <c r="J288" i="43" s="1"/>
  <c r="B292" i="43"/>
  <c r="Q292" i="43" s="1"/>
  <c r="H304" i="43"/>
  <c r="C292" i="43"/>
  <c r="J292" i="43" s="1"/>
  <c r="BX249" i="43"/>
  <c r="AK249" i="43"/>
  <c r="BY238" i="42"/>
  <c r="BY226" i="43"/>
  <c r="BY182" i="43"/>
  <c r="AK194" i="43"/>
  <c r="BX194" i="43"/>
  <c r="BW194" i="43"/>
  <c r="AN294" i="43"/>
  <c r="AK161" i="43"/>
  <c r="BX161" i="43"/>
  <c r="AK172" i="43"/>
  <c r="BX172" i="43"/>
  <c r="BW172" i="43"/>
  <c r="AN272" i="43"/>
  <c r="AW31" i="43"/>
  <c r="BW227" i="43"/>
  <c r="F251" i="43"/>
  <c r="AC251" i="43" s="1"/>
  <c r="AA239" i="43"/>
  <c r="I239" i="43"/>
  <c r="AB239" i="43"/>
  <c r="AJ239" i="43"/>
  <c r="AK238" i="43"/>
  <c r="BX238" i="43"/>
  <c r="AN281" i="43"/>
  <c r="AN277" i="43"/>
  <c r="BX205" i="43"/>
  <c r="AK205" i="43"/>
  <c r="AN275" i="43"/>
  <c r="BW183" i="43"/>
  <c r="BW249" i="43"/>
  <c r="BW271" i="43"/>
  <c r="F252" i="42"/>
  <c r="AC252" i="42" s="1"/>
  <c r="AB240" i="42"/>
  <c r="AA240" i="42"/>
  <c r="I240" i="42"/>
  <c r="AJ240" i="42"/>
  <c r="F241" i="42"/>
  <c r="AC241" i="42" s="1"/>
  <c r="I229" i="42"/>
  <c r="AA229" i="42"/>
  <c r="AB229" i="42"/>
  <c r="AJ229" i="42"/>
  <c r="AK259" i="42"/>
  <c r="BX259" i="42"/>
  <c r="BY259" i="42" s="1"/>
  <c r="BW250" i="42"/>
  <c r="BX184" i="42"/>
  <c r="AK184" i="42"/>
  <c r="H303" i="42"/>
  <c r="B291" i="42"/>
  <c r="Q291" i="42" s="1"/>
  <c r="C291" i="42"/>
  <c r="J291" i="42" s="1"/>
  <c r="AN274" i="42"/>
  <c r="BW239" i="42"/>
  <c r="BX228" i="42"/>
  <c r="AK228" i="42"/>
  <c r="B287" i="42"/>
  <c r="Q287" i="42" s="1"/>
  <c r="H299" i="42"/>
  <c r="C287" i="42"/>
  <c r="J287" i="42" s="1"/>
  <c r="H300" i="42"/>
  <c r="B288" i="42"/>
  <c r="Q288" i="42" s="1"/>
  <c r="C288" i="42"/>
  <c r="J288" i="42" s="1"/>
  <c r="AN292" i="42"/>
  <c r="BX217" i="42"/>
  <c r="AK217" i="42"/>
  <c r="AN273" i="42"/>
  <c r="H297" i="42"/>
  <c r="AC297" i="42" s="1"/>
  <c r="AB285" i="42"/>
  <c r="C285" i="42"/>
  <c r="J285" i="42" s="1"/>
  <c r="I285" i="42"/>
  <c r="AA285" i="42"/>
  <c r="B285" i="42"/>
  <c r="Q285" i="42" s="1"/>
  <c r="AN281" i="42"/>
  <c r="H305" i="42"/>
  <c r="C293" i="42"/>
  <c r="J293" i="42" s="1"/>
  <c r="B293" i="42"/>
  <c r="Q293" i="42" s="1"/>
  <c r="AA283" i="42"/>
  <c r="B283" i="42"/>
  <c r="Q283" i="42" s="1"/>
  <c r="H295" i="42"/>
  <c r="AC295" i="42" s="1"/>
  <c r="I283" i="42"/>
  <c r="BW283" i="42" s="1"/>
  <c r="AB283" i="42"/>
  <c r="C283" i="42"/>
  <c r="J283" i="42" s="1"/>
  <c r="BX260" i="42"/>
  <c r="BY260" i="42" s="1"/>
  <c r="AK260" i="42"/>
  <c r="F208" i="42"/>
  <c r="AC208" i="42" s="1"/>
  <c r="AB196" i="42"/>
  <c r="AA196" i="42"/>
  <c r="I196" i="42"/>
  <c r="AJ196" i="42"/>
  <c r="BW195" i="42"/>
  <c r="AK239" i="42"/>
  <c r="BX239" i="42"/>
  <c r="F263" i="42"/>
  <c r="AC263" i="42" s="1"/>
  <c r="I251" i="42"/>
  <c r="AB251" i="42"/>
  <c r="AA251" i="42"/>
  <c r="AJ251" i="42"/>
  <c r="H301" i="42"/>
  <c r="C289" i="42"/>
  <c r="J289" i="42" s="1"/>
  <c r="B289" i="42"/>
  <c r="Q289" i="42" s="1"/>
  <c r="F274" i="42"/>
  <c r="AC274" i="42" s="1"/>
  <c r="AB262" i="42"/>
  <c r="I262" i="42"/>
  <c r="AJ262" i="42"/>
  <c r="AA262" i="42"/>
  <c r="BW184" i="42"/>
  <c r="H302" i="42"/>
  <c r="B290" i="42"/>
  <c r="Q290" i="42" s="1"/>
  <c r="C290" i="42"/>
  <c r="J290" i="42" s="1"/>
  <c r="F219" i="42"/>
  <c r="AC219" i="42" s="1"/>
  <c r="AB207" i="42"/>
  <c r="AA207" i="42"/>
  <c r="I207" i="42"/>
  <c r="AJ207" i="42"/>
  <c r="AN279" i="42"/>
  <c r="H298" i="42"/>
  <c r="C286" i="42"/>
  <c r="J286" i="42" s="1"/>
  <c r="B286" i="42"/>
  <c r="Q286" i="42" s="1"/>
  <c r="AN277" i="42"/>
  <c r="F186" i="42"/>
  <c r="I174" i="42"/>
  <c r="AJ174" i="42"/>
  <c r="BW228" i="42"/>
  <c r="B304" i="42"/>
  <c r="Q304" i="42" s="1"/>
  <c r="H316" i="42"/>
  <c r="C304" i="42"/>
  <c r="J304" i="42" s="1"/>
  <c r="BX261" i="42"/>
  <c r="BY261" i="42" s="1"/>
  <c r="AK261" i="42"/>
  <c r="BW173" i="42"/>
  <c r="F197" i="42"/>
  <c r="AC197" i="42" s="1"/>
  <c r="I185" i="42"/>
  <c r="AB185" i="42"/>
  <c r="AA185" i="42"/>
  <c r="AJ185" i="42"/>
  <c r="AN272" i="42"/>
  <c r="F230" i="42"/>
  <c r="AC230" i="42" s="1"/>
  <c r="I218" i="42"/>
  <c r="AA218" i="42"/>
  <c r="AB218" i="42"/>
  <c r="AJ218" i="42"/>
  <c r="AN271" i="42"/>
  <c r="BW272" i="42"/>
  <c r="H306" i="42"/>
  <c r="C294" i="42"/>
  <c r="J294" i="42" s="1"/>
  <c r="B294" i="42"/>
  <c r="Q294" i="42" s="1"/>
  <c r="AN275" i="42"/>
  <c r="AN276" i="42"/>
  <c r="BW217" i="42"/>
  <c r="AW31" i="42"/>
  <c r="AK250" i="42"/>
  <c r="BX250" i="42"/>
  <c r="AN282" i="42"/>
  <c r="AN278" i="42"/>
  <c r="AK195" i="42"/>
  <c r="BX195" i="42"/>
  <c r="AK162" i="42"/>
  <c r="BX162" i="42"/>
  <c r="BW162" i="42"/>
  <c r="BX173" i="42"/>
  <c r="AK173" i="42"/>
  <c r="H296" i="42"/>
  <c r="AC296" i="42" s="1"/>
  <c r="AA284" i="42"/>
  <c r="B284" i="42"/>
  <c r="Q284" i="42" s="1"/>
  <c r="AB284" i="42"/>
  <c r="C284" i="42"/>
  <c r="J284" i="42" s="1"/>
  <c r="I284" i="42"/>
  <c r="BW284" i="42" s="1"/>
  <c r="AK206" i="42"/>
  <c r="BX206" i="42"/>
  <c r="BW206" i="42"/>
  <c r="R67" i="35"/>
  <c r="B33" i="35"/>
  <c r="C36" i="2"/>
  <c r="C35" i="2"/>
  <c r="C34" i="2"/>
  <c r="F7" i="35" s="1"/>
  <c r="A61" i="2"/>
  <c r="A57" i="2"/>
  <c r="A60" i="2"/>
  <c r="E86" i="2"/>
  <c r="AA67" i="35" l="1"/>
  <c r="Z67" i="35"/>
  <c r="AK272" i="42"/>
  <c r="BX273" i="42"/>
  <c r="BY273" i="42" s="1"/>
  <c r="BX271" i="42"/>
  <c r="BY271" i="42" s="1"/>
  <c r="AJ284" i="42"/>
  <c r="AK284" i="42" s="1"/>
  <c r="AJ283" i="42"/>
  <c r="BX283" i="42" s="1"/>
  <c r="BY283" i="42" s="1"/>
  <c r="BX271" i="43"/>
  <c r="BY271" i="43" s="1"/>
  <c r="AJ284" i="43"/>
  <c r="BX284" i="43" s="1"/>
  <c r="BY284" i="43" s="1"/>
  <c r="Q284" i="43"/>
  <c r="AK272" i="43"/>
  <c r="AJ283" i="43"/>
  <c r="BX283" i="43" s="1"/>
  <c r="BY283" i="43" s="1"/>
  <c r="Q283" i="43"/>
  <c r="BY184" i="42"/>
  <c r="BY183" i="43"/>
  <c r="BY249" i="43"/>
  <c r="BY272" i="43"/>
  <c r="BY206" i="42"/>
  <c r="BY227" i="43"/>
  <c r="BY216" i="43"/>
  <c r="F263" i="43"/>
  <c r="AC263" i="43" s="1"/>
  <c r="AB251" i="43"/>
  <c r="AJ251" i="43"/>
  <c r="AA251" i="43"/>
  <c r="I251" i="43"/>
  <c r="F241" i="43"/>
  <c r="AC241" i="43" s="1"/>
  <c r="I229" i="43"/>
  <c r="AA229" i="43"/>
  <c r="AB229" i="43"/>
  <c r="AJ229" i="43"/>
  <c r="F208" i="43"/>
  <c r="AC208" i="43" s="1"/>
  <c r="AA196" i="43"/>
  <c r="I196" i="43"/>
  <c r="AB196" i="43"/>
  <c r="AJ196" i="43"/>
  <c r="F230" i="43"/>
  <c r="AC230" i="43" s="1"/>
  <c r="AB218" i="43"/>
  <c r="I218" i="43"/>
  <c r="AA218" i="43"/>
  <c r="AJ218" i="43"/>
  <c r="BW261" i="43"/>
  <c r="AK195" i="43"/>
  <c r="BX195" i="43"/>
  <c r="AN291" i="43"/>
  <c r="H310" i="43"/>
  <c r="C298" i="43"/>
  <c r="J298" i="43" s="1"/>
  <c r="B298" i="43"/>
  <c r="Q298" i="43" s="1"/>
  <c r="AN284" i="43"/>
  <c r="AK239" i="43"/>
  <c r="BX239" i="43"/>
  <c r="BX217" i="43"/>
  <c r="AK217" i="43"/>
  <c r="BW217" i="43"/>
  <c r="AN302" i="43"/>
  <c r="BX184" i="43"/>
  <c r="AK184" i="43"/>
  <c r="AK206" i="43"/>
  <c r="BX206" i="43"/>
  <c r="BW206" i="43"/>
  <c r="F186" i="43"/>
  <c r="I174" i="43"/>
  <c r="AJ174" i="43"/>
  <c r="F285" i="43"/>
  <c r="AC285" i="43" s="1"/>
  <c r="AB273" i="43"/>
  <c r="AJ273" i="43"/>
  <c r="I273" i="43"/>
  <c r="AA273" i="43"/>
  <c r="AN289" i="43"/>
  <c r="AN293" i="43"/>
  <c r="B303" i="43"/>
  <c r="Q303" i="43" s="1"/>
  <c r="H315" i="43"/>
  <c r="C303" i="43"/>
  <c r="J303" i="43" s="1"/>
  <c r="AA296" i="43"/>
  <c r="B296" i="43"/>
  <c r="H308" i="43"/>
  <c r="AC308" i="43" s="1"/>
  <c r="AB296" i="43"/>
  <c r="C296" i="43"/>
  <c r="J296" i="43" s="1"/>
  <c r="I296" i="43"/>
  <c r="BW296" i="43" s="1"/>
  <c r="AN306" i="43"/>
  <c r="BY272" i="42"/>
  <c r="BY194" i="43"/>
  <c r="BY238" i="43"/>
  <c r="BY161" i="43"/>
  <c r="BY205" i="43"/>
  <c r="BW239" i="43"/>
  <c r="AN292" i="43"/>
  <c r="AN288" i="43"/>
  <c r="AN287" i="43"/>
  <c r="F274" i="43"/>
  <c r="AC274" i="43" s="1"/>
  <c r="I262" i="43"/>
  <c r="AA262" i="43"/>
  <c r="AB262" i="43"/>
  <c r="AJ262" i="43"/>
  <c r="H326" i="43"/>
  <c r="C314" i="43"/>
  <c r="J314" i="43" s="1"/>
  <c r="B314" i="43"/>
  <c r="Q314" i="43" s="1"/>
  <c r="BW184" i="43"/>
  <c r="AN285" i="43"/>
  <c r="F197" i="43"/>
  <c r="AC197" i="43" s="1"/>
  <c r="I185" i="43"/>
  <c r="AA185" i="43"/>
  <c r="AB185" i="43"/>
  <c r="AJ185" i="43"/>
  <c r="BX162" i="43"/>
  <c r="AK162" i="43"/>
  <c r="BW195" i="43"/>
  <c r="B301" i="43"/>
  <c r="Q301" i="43" s="1"/>
  <c r="H313" i="43"/>
  <c r="C301" i="43"/>
  <c r="J301" i="43" s="1"/>
  <c r="H317" i="43"/>
  <c r="B305" i="43"/>
  <c r="Q305" i="43" s="1"/>
  <c r="C305" i="43"/>
  <c r="J305" i="43" s="1"/>
  <c r="BW228" i="43"/>
  <c r="F252" i="43"/>
  <c r="AC252" i="43" s="1"/>
  <c r="AA240" i="43"/>
  <c r="I240" i="43"/>
  <c r="AB240" i="43"/>
  <c r="AJ240" i="43"/>
  <c r="AN283" i="43"/>
  <c r="B318" i="43"/>
  <c r="Q318" i="43" s="1"/>
  <c r="H330" i="43"/>
  <c r="C318" i="43"/>
  <c r="J318" i="43" s="1"/>
  <c r="AW32" i="43"/>
  <c r="H316" i="43"/>
  <c r="B304" i="43"/>
  <c r="Q304" i="43" s="1"/>
  <c r="C304" i="43"/>
  <c r="J304" i="43" s="1"/>
  <c r="B300" i="43"/>
  <c r="Q300" i="43" s="1"/>
  <c r="H312" i="43"/>
  <c r="C300" i="43"/>
  <c r="J300" i="43" s="1"/>
  <c r="B299" i="43"/>
  <c r="Q299" i="43" s="1"/>
  <c r="H311" i="43"/>
  <c r="C299" i="43"/>
  <c r="J299" i="43" s="1"/>
  <c r="AK250" i="43"/>
  <c r="BX250" i="43"/>
  <c r="BW250" i="43"/>
  <c r="B297" i="43"/>
  <c r="Q297" i="43" s="1"/>
  <c r="H309" i="43"/>
  <c r="C297" i="43"/>
  <c r="J297" i="43" s="1"/>
  <c r="AK173" i="43"/>
  <c r="BX173" i="43"/>
  <c r="BW173" i="43"/>
  <c r="BW162" i="43"/>
  <c r="BX261" i="43"/>
  <c r="AK261" i="43"/>
  <c r="F219" i="43"/>
  <c r="AC219" i="43" s="1"/>
  <c r="AA207" i="43"/>
  <c r="I207" i="43"/>
  <c r="AB207" i="43"/>
  <c r="AJ207" i="43"/>
  <c r="AN286" i="43"/>
  <c r="BX228" i="43"/>
  <c r="AK228" i="43"/>
  <c r="I295" i="43"/>
  <c r="BW295" i="43" s="1"/>
  <c r="AA295" i="43"/>
  <c r="B295" i="43"/>
  <c r="Q295" i="43" s="1"/>
  <c r="H307" i="43"/>
  <c r="AC307" i="43" s="1"/>
  <c r="AB295" i="43"/>
  <c r="C295" i="43"/>
  <c r="J295" i="43" s="1"/>
  <c r="BY162" i="42"/>
  <c r="BY172" i="43"/>
  <c r="BY150" i="43"/>
  <c r="BY228" i="42"/>
  <c r="AA296" i="42"/>
  <c r="B296" i="42"/>
  <c r="Q296" i="42" s="1"/>
  <c r="H308" i="42"/>
  <c r="AC308" i="42" s="1"/>
  <c r="AB296" i="42"/>
  <c r="C296" i="42"/>
  <c r="J296" i="42" s="1"/>
  <c r="I296" i="42"/>
  <c r="AN294" i="42"/>
  <c r="AK218" i="42"/>
  <c r="BX218" i="42"/>
  <c r="AK207" i="42"/>
  <c r="BX207" i="42"/>
  <c r="B305" i="42"/>
  <c r="Q305" i="42" s="1"/>
  <c r="H317" i="42"/>
  <c r="C305" i="42"/>
  <c r="J305" i="42" s="1"/>
  <c r="B300" i="42"/>
  <c r="Q300" i="42" s="1"/>
  <c r="H312" i="42"/>
  <c r="C300" i="42"/>
  <c r="J300" i="42" s="1"/>
  <c r="AN287" i="42"/>
  <c r="BX229" i="42"/>
  <c r="AK229" i="42"/>
  <c r="BW229" i="42"/>
  <c r="AW32" i="42"/>
  <c r="H318" i="42"/>
  <c r="C306" i="42"/>
  <c r="J306" i="42" s="1"/>
  <c r="B306" i="42"/>
  <c r="Q306" i="42" s="1"/>
  <c r="BW218" i="42"/>
  <c r="F209" i="42"/>
  <c r="AC209" i="42" s="1"/>
  <c r="I197" i="42"/>
  <c r="AA197" i="42"/>
  <c r="AB197" i="42"/>
  <c r="AJ197" i="42"/>
  <c r="AN304" i="42"/>
  <c r="F198" i="42"/>
  <c r="AC198" i="42" s="1"/>
  <c r="I186" i="42"/>
  <c r="AJ186" i="42"/>
  <c r="H310" i="42"/>
  <c r="C298" i="42"/>
  <c r="J298" i="42" s="1"/>
  <c r="B298" i="42"/>
  <c r="Q298" i="42" s="1"/>
  <c r="AK262" i="42"/>
  <c r="BX262" i="42"/>
  <c r="F286" i="42"/>
  <c r="AC286" i="42" s="1"/>
  <c r="AB274" i="42"/>
  <c r="AJ274" i="42"/>
  <c r="AA274" i="42"/>
  <c r="I274" i="42"/>
  <c r="AN289" i="42"/>
  <c r="B301" i="42"/>
  <c r="Q301" i="42" s="1"/>
  <c r="H313" i="42"/>
  <c r="C301" i="42"/>
  <c r="J301" i="42" s="1"/>
  <c r="BW251" i="42"/>
  <c r="BW196" i="42"/>
  <c r="F220" i="42"/>
  <c r="AC220" i="42" s="1"/>
  <c r="I208" i="42"/>
  <c r="AB208" i="42"/>
  <c r="AA208" i="42"/>
  <c r="AJ208" i="42"/>
  <c r="I295" i="42"/>
  <c r="BW295" i="42" s="1"/>
  <c r="AA295" i="42"/>
  <c r="B295" i="42"/>
  <c r="Q295" i="42" s="1"/>
  <c r="H307" i="42"/>
  <c r="AC307" i="42" s="1"/>
  <c r="AB295" i="42"/>
  <c r="C295" i="42"/>
  <c r="J295" i="42" s="1"/>
  <c r="BW240" i="42"/>
  <c r="F264" i="42"/>
  <c r="AC264" i="42" s="1"/>
  <c r="AJ252" i="42"/>
  <c r="AA252" i="42"/>
  <c r="I252" i="42"/>
  <c r="AB252" i="42"/>
  <c r="BY195" i="42"/>
  <c r="BW262" i="42"/>
  <c r="AK251" i="42"/>
  <c r="BX251" i="42"/>
  <c r="AN283" i="42"/>
  <c r="BX185" i="42"/>
  <c r="AK185" i="42"/>
  <c r="BW185" i="42"/>
  <c r="H328" i="42"/>
  <c r="B316" i="42"/>
  <c r="Q316" i="42" s="1"/>
  <c r="C316" i="42"/>
  <c r="J316" i="42" s="1"/>
  <c r="AK174" i="42"/>
  <c r="BX174" i="42"/>
  <c r="BW174" i="42"/>
  <c r="BX196" i="42"/>
  <c r="AK196" i="42"/>
  <c r="AN293" i="42"/>
  <c r="AN285" i="42"/>
  <c r="AN291" i="42"/>
  <c r="BX240" i="42"/>
  <c r="AK240" i="42"/>
  <c r="AA297" i="42"/>
  <c r="B297" i="42"/>
  <c r="Q297" i="42" s="1"/>
  <c r="H309" i="42"/>
  <c r="AC309" i="42" s="1"/>
  <c r="AB297" i="42"/>
  <c r="C297" i="42"/>
  <c r="J297" i="42" s="1"/>
  <c r="I297" i="42"/>
  <c r="BW297" i="42" s="1"/>
  <c r="AN284" i="42"/>
  <c r="F242" i="42"/>
  <c r="AC242" i="42" s="1"/>
  <c r="AB230" i="42"/>
  <c r="I230" i="42"/>
  <c r="AA230" i="42"/>
  <c r="AJ230" i="42"/>
  <c r="AN286" i="42"/>
  <c r="BW207" i="42"/>
  <c r="F231" i="42"/>
  <c r="AC231" i="42" s="1"/>
  <c r="AB219" i="42"/>
  <c r="AA219" i="42"/>
  <c r="I219" i="42"/>
  <c r="AJ219" i="42"/>
  <c r="AN290" i="42"/>
  <c r="H314" i="42"/>
  <c r="C302" i="42"/>
  <c r="J302" i="42" s="1"/>
  <c r="B302" i="42"/>
  <c r="Q302" i="42" s="1"/>
  <c r="F275" i="42"/>
  <c r="AC275" i="42" s="1"/>
  <c r="AJ263" i="42"/>
  <c r="AB263" i="42"/>
  <c r="AA263" i="42"/>
  <c r="I263" i="42"/>
  <c r="AN288" i="42"/>
  <c r="B299" i="42"/>
  <c r="Q299" i="42" s="1"/>
  <c r="C299" i="42"/>
  <c r="J299" i="42" s="1"/>
  <c r="H311" i="42"/>
  <c r="B303" i="42"/>
  <c r="Q303" i="42" s="1"/>
  <c r="C303" i="42"/>
  <c r="J303" i="42" s="1"/>
  <c r="H315" i="42"/>
  <c r="F253" i="42"/>
  <c r="AC253" i="42" s="1"/>
  <c r="AB241" i="42"/>
  <c r="AA241" i="42"/>
  <c r="I241" i="42"/>
  <c r="AJ241" i="42"/>
  <c r="BY217" i="42"/>
  <c r="BY173" i="42"/>
  <c r="BW285" i="42"/>
  <c r="AJ285" i="42"/>
  <c r="BY239" i="42"/>
  <c r="BY250" i="42"/>
  <c r="R32" i="35"/>
  <c r="R68" i="35"/>
  <c r="B34" i="35"/>
  <c r="B35" i="35" s="1"/>
  <c r="AA68" i="35" l="1"/>
  <c r="Z68" i="35"/>
  <c r="AJ296" i="42"/>
  <c r="AK296" i="42" s="1"/>
  <c r="BX284" i="42"/>
  <c r="BY284" i="42" s="1"/>
  <c r="AJ297" i="42"/>
  <c r="AK297" i="42" s="1"/>
  <c r="AK283" i="42"/>
  <c r="AK283" i="43"/>
  <c r="AJ296" i="43"/>
  <c r="AK296" i="43" s="1"/>
  <c r="Q296" i="43"/>
  <c r="AK284" i="43"/>
  <c r="BY218" i="42"/>
  <c r="BY162" i="43"/>
  <c r="BY239" i="43"/>
  <c r="BY195" i="43"/>
  <c r="BY207" i="42"/>
  <c r="BY206" i="43"/>
  <c r="BY184" i="43"/>
  <c r="BY250" i="43"/>
  <c r="BY173" i="43"/>
  <c r="BW207" i="43"/>
  <c r="AN297" i="43"/>
  <c r="H342" i="43"/>
  <c r="B330" i="43"/>
  <c r="Q330" i="43" s="1"/>
  <c r="C330" i="43"/>
  <c r="J330" i="43" s="1"/>
  <c r="BX240" i="43"/>
  <c r="AK240" i="43"/>
  <c r="BX185" i="43"/>
  <c r="AK185" i="43"/>
  <c r="BW185" i="43"/>
  <c r="H320" i="43"/>
  <c r="AC320" i="43" s="1"/>
  <c r="AA308" i="43"/>
  <c r="B308" i="43"/>
  <c r="AB308" i="43"/>
  <c r="C308" i="43"/>
  <c r="J308" i="43" s="1"/>
  <c r="I308" i="43"/>
  <c r="H327" i="43"/>
  <c r="B315" i="43"/>
  <c r="Q315" i="43" s="1"/>
  <c r="C315" i="43"/>
  <c r="J315" i="43" s="1"/>
  <c r="F198" i="43"/>
  <c r="AC198" i="43" s="1"/>
  <c r="I186" i="43"/>
  <c r="AJ186" i="43"/>
  <c r="BW218" i="43"/>
  <c r="BX196" i="43"/>
  <c r="AK196" i="43"/>
  <c r="BW251" i="43"/>
  <c r="H321" i="43"/>
  <c r="B309" i="43"/>
  <c r="Q309" i="43" s="1"/>
  <c r="C309" i="43"/>
  <c r="J309" i="43" s="1"/>
  <c r="AW33" i="43"/>
  <c r="AN301" i="43"/>
  <c r="F286" i="43"/>
  <c r="AC286" i="43" s="1"/>
  <c r="AB274" i="43"/>
  <c r="AJ274" i="43"/>
  <c r="I274" i="43"/>
  <c r="AA274" i="43"/>
  <c r="BX273" i="43"/>
  <c r="AK273" i="43"/>
  <c r="BX174" i="43"/>
  <c r="AK174" i="43"/>
  <c r="F242" i="43"/>
  <c r="AC242" i="43" s="1"/>
  <c r="I230" i="43"/>
  <c r="AA230" i="43"/>
  <c r="AB230" i="43"/>
  <c r="AJ230" i="43"/>
  <c r="BW196" i="43"/>
  <c r="F253" i="43"/>
  <c r="AC253" i="43" s="1"/>
  <c r="AB241" i="43"/>
  <c r="I241" i="43"/>
  <c r="AA241" i="43"/>
  <c r="AJ241" i="43"/>
  <c r="BY228" i="43"/>
  <c r="BY261" i="43"/>
  <c r="AN295" i="43"/>
  <c r="F231" i="43"/>
  <c r="AC231" i="43" s="1"/>
  <c r="AA219" i="43"/>
  <c r="I219" i="43"/>
  <c r="AB219" i="43"/>
  <c r="AJ219" i="43"/>
  <c r="AN299" i="43"/>
  <c r="AN300" i="43"/>
  <c r="H328" i="43"/>
  <c r="B316" i="43"/>
  <c r="Q316" i="43" s="1"/>
  <c r="C316" i="43"/>
  <c r="J316" i="43" s="1"/>
  <c r="BW240" i="43"/>
  <c r="AN305" i="43"/>
  <c r="H325" i="43"/>
  <c r="B313" i="43"/>
  <c r="Q313" i="43" s="1"/>
  <c r="C313" i="43"/>
  <c r="J313" i="43" s="1"/>
  <c r="AN314" i="43"/>
  <c r="AK262" i="43"/>
  <c r="BX262" i="43"/>
  <c r="BW262" i="43"/>
  <c r="BW273" i="43"/>
  <c r="F297" i="43"/>
  <c r="AC297" i="43" s="1"/>
  <c r="AJ285" i="43"/>
  <c r="AA285" i="43"/>
  <c r="I285" i="43"/>
  <c r="AB285" i="43"/>
  <c r="AN298" i="43"/>
  <c r="AK218" i="43"/>
  <c r="BX218" i="43"/>
  <c r="BX229" i="43"/>
  <c r="AK229" i="43"/>
  <c r="BW229" i="43"/>
  <c r="AK251" i="43"/>
  <c r="BX251" i="43"/>
  <c r="AJ295" i="43"/>
  <c r="BY217" i="43"/>
  <c r="H319" i="43"/>
  <c r="AC319" i="43" s="1"/>
  <c r="I307" i="43"/>
  <c r="BW307" i="43" s="1"/>
  <c r="AA307" i="43"/>
  <c r="B307" i="43"/>
  <c r="Q307" i="43" s="1"/>
  <c r="AB307" i="43"/>
  <c r="C307" i="43"/>
  <c r="J307" i="43" s="1"/>
  <c r="AK207" i="43"/>
  <c r="BX207" i="43"/>
  <c r="H323" i="43"/>
  <c r="B311" i="43"/>
  <c r="Q311" i="43" s="1"/>
  <c r="C311" i="43"/>
  <c r="J311" i="43" s="1"/>
  <c r="H324" i="43"/>
  <c r="B312" i="43"/>
  <c r="Q312" i="43" s="1"/>
  <c r="C312" i="43"/>
  <c r="J312" i="43" s="1"/>
  <c r="AN304" i="43"/>
  <c r="AN318" i="43"/>
  <c r="F264" i="43"/>
  <c r="AC264" i="43" s="1"/>
  <c r="AB252" i="43"/>
  <c r="AJ252" i="43"/>
  <c r="AA252" i="43"/>
  <c r="I252" i="43"/>
  <c r="H329" i="43"/>
  <c r="C317" i="43"/>
  <c r="J317" i="43" s="1"/>
  <c r="B317" i="43"/>
  <c r="Q317" i="43" s="1"/>
  <c r="F209" i="43"/>
  <c r="AC209" i="43" s="1"/>
  <c r="AB197" i="43"/>
  <c r="I197" i="43"/>
  <c r="AA197" i="43"/>
  <c r="AJ197" i="43"/>
  <c r="H338" i="43"/>
  <c r="B326" i="43"/>
  <c r="Q326" i="43" s="1"/>
  <c r="C326" i="43"/>
  <c r="J326" i="43" s="1"/>
  <c r="AN296" i="43"/>
  <c r="AN303" i="43"/>
  <c r="BW174" i="43"/>
  <c r="H322" i="43"/>
  <c r="C310" i="43"/>
  <c r="J310" i="43" s="1"/>
  <c r="B310" i="43"/>
  <c r="Q310" i="43" s="1"/>
  <c r="F220" i="43"/>
  <c r="AC220" i="43" s="1"/>
  <c r="AA208" i="43"/>
  <c r="I208" i="43"/>
  <c r="AB208" i="43"/>
  <c r="AJ208" i="43"/>
  <c r="F275" i="43"/>
  <c r="AC275" i="43" s="1"/>
  <c r="AJ263" i="43"/>
  <c r="AA263" i="43"/>
  <c r="I263" i="43"/>
  <c r="AB263" i="43"/>
  <c r="BY262" i="42"/>
  <c r="BY240" i="42"/>
  <c r="AN295" i="42"/>
  <c r="F232" i="42"/>
  <c r="AC232" i="42" s="1"/>
  <c r="AA220" i="42"/>
  <c r="I220" i="42"/>
  <c r="AB220" i="42"/>
  <c r="AJ220" i="42"/>
  <c r="F210" i="42"/>
  <c r="AC210" i="42" s="1"/>
  <c r="I198" i="42"/>
  <c r="AJ198" i="42"/>
  <c r="BW197" i="42"/>
  <c r="B317" i="42"/>
  <c r="Q317" i="42" s="1"/>
  <c r="C317" i="42"/>
  <c r="J317" i="42" s="1"/>
  <c r="H329" i="42"/>
  <c r="AJ295" i="42"/>
  <c r="F287" i="42"/>
  <c r="AC287" i="42" s="1"/>
  <c r="AA275" i="42"/>
  <c r="AJ275" i="42"/>
  <c r="I275" i="42"/>
  <c r="AB275" i="42"/>
  <c r="H326" i="42"/>
  <c r="C314" i="42"/>
  <c r="J314" i="42" s="1"/>
  <c r="B314" i="42"/>
  <c r="Q314" i="42" s="1"/>
  <c r="H327" i="42"/>
  <c r="B315" i="42"/>
  <c r="Q315" i="42" s="1"/>
  <c r="C315" i="42"/>
  <c r="J315" i="42" s="1"/>
  <c r="B311" i="42"/>
  <c r="Q311" i="42" s="1"/>
  <c r="H323" i="42"/>
  <c r="C311" i="42"/>
  <c r="J311" i="42" s="1"/>
  <c r="BW263" i="42"/>
  <c r="AK263" i="42"/>
  <c r="BX263" i="42"/>
  <c r="AN302" i="42"/>
  <c r="AK230" i="42"/>
  <c r="BX230" i="42"/>
  <c r="AA309" i="42"/>
  <c r="B309" i="42"/>
  <c r="Q309" i="42" s="1"/>
  <c r="H321" i="42"/>
  <c r="AC321" i="42" s="1"/>
  <c r="AB309" i="42"/>
  <c r="C309" i="42"/>
  <c r="J309" i="42" s="1"/>
  <c r="I309" i="42"/>
  <c r="C328" i="42"/>
  <c r="J328" i="42" s="1"/>
  <c r="H340" i="42"/>
  <c r="B328" i="42"/>
  <c r="Q328" i="42" s="1"/>
  <c r="BW252" i="42"/>
  <c r="I307" i="42"/>
  <c r="AA307" i="42"/>
  <c r="B307" i="42"/>
  <c r="Q307" i="42" s="1"/>
  <c r="H319" i="42"/>
  <c r="AC319" i="42" s="1"/>
  <c r="AB307" i="42"/>
  <c r="C307" i="42"/>
  <c r="J307" i="42" s="1"/>
  <c r="BX208" i="42"/>
  <c r="AK208" i="42"/>
  <c r="BW208" i="42"/>
  <c r="AK274" i="42"/>
  <c r="BX274" i="42"/>
  <c r="AN298" i="42"/>
  <c r="AK186" i="42"/>
  <c r="BX186" i="42"/>
  <c r="AW33" i="42"/>
  <c r="AN300" i="42"/>
  <c r="AN296" i="42"/>
  <c r="BW241" i="42"/>
  <c r="F265" i="42"/>
  <c r="AC265" i="42" s="1"/>
  <c r="AJ253" i="42"/>
  <c r="AA253" i="42"/>
  <c r="AB253" i="42"/>
  <c r="I253" i="42"/>
  <c r="AN303" i="42"/>
  <c r="AN299" i="42"/>
  <c r="BW219" i="42"/>
  <c r="F243" i="42"/>
  <c r="AC243" i="42" s="1"/>
  <c r="AA231" i="42"/>
  <c r="AB231" i="42"/>
  <c r="I231" i="42"/>
  <c r="AJ231" i="42"/>
  <c r="BW230" i="42"/>
  <c r="AN316" i="42"/>
  <c r="F276" i="42"/>
  <c r="AC276" i="42" s="1"/>
  <c r="AA264" i="42"/>
  <c r="AJ264" i="42"/>
  <c r="I264" i="42"/>
  <c r="AB264" i="42"/>
  <c r="AN301" i="42"/>
  <c r="F298" i="42"/>
  <c r="AC298" i="42" s="1"/>
  <c r="AJ286" i="42"/>
  <c r="AB286" i="42"/>
  <c r="AA286" i="42"/>
  <c r="I286" i="42"/>
  <c r="H322" i="42"/>
  <c r="C310" i="42"/>
  <c r="J310" i="42" s="1"/>
  <c r="B310" i="42"/>
  <c r="Q310" i="42" s="1"/>
  <c r="BW186" i="42"/>
  <c r="F221" i="42"/>
  <c r="AC221" i="42" s="1"/>
  <c r="AA209" i="42"/>
  <c r="I209" i="42"/>
  <c r="AB209" i="42"/>
  <c r="AJ209" i="42"/>
  <c r="H330" i="42"/>
  <c r="C318" i="42"/>
  <c r="J318" i="42" s="1"/>
  <c r="B318" i="42"/>
  <c r="Q318" i="42" s="1"/>
  <c r="B312" i="42"/>
  <c r="Q312" i="42" s="1"/>
  <c r="H324" i="42"/>
  <c r="C312" i="42"/>
  <c r="J312" i="42" s="1"/>
  <c r="AA308" i="42"/>
  <c r="B308" i="42"/>
  <c r="Q308" i="42" s="1"/>
  <c r="H320" i="42"/>
  <c r="AC320" i="42" s="1"/>
  <c r="AB308" i="42"/>
  <c r="C308" i="42"/>
  <c r="J308" i="42" s="1"/>
  <c r="I308" i="42"/>
  <c r="BW308" i="42" s="1"/>
  <c r="BY196" i="42"/>
  <c r="BY251" i="42"/>
  <c r="F254" i="42"/>
  <c r="AC254" i="42" s="1"/>
  <c r="I242" i="42"/>
  <c r="AA242" i="42"/>
  <c r="AB242" i="42"/>
  <c r="AJ242" i="42"/>
  <c r="AN297" i="42"/>
  <c r="BX285" i="42"/>
  <c r="BY285" i="42" s="1"/>
  <c r="AK285" i="42"/>
  <c r="BX241" i="42"/>
  <c r="AK241" i="42"/>
  <c r="AK219" i="42"/>
  <c r="BX219" i="42"/>
  <c r="BX252" i="42"/>
  <c r="AK252" i="42"/>
  <c r="B313" i="42"/>
  <c r="Q313" i="42" s="1"/>
  <c r="C313" i="42"/>
  <c r="J313" i="42" s="1"/>
  <c r="H325" i="42"/>
  <c r="BW274" i="42"/>
  <c r="BX197" i="42"/>
  <c r="AK197" i="42"/>
  <c r="AN306" i="42"/>
  <c r="AN305" i="42"/>
  <c r="BY174" i="42"/>
  <c r="BY185" i="42"/>
  <c r="BY229" i="42"/>
  <c r="BW296" i="42"/>
  <c r="R69" i="35"/>
  <c r="B36" i="35"/>
  <c r="R70" i="35"/>
  <c r="Z70" i="35" s="1"/>
  <c r="R33" i="35"/>
  <c r="D77" i="2"/>
  <c r="D76" i="2"/>
  <c r="AA69" i="35" l="1"/>
  <c r="Z69" i="35"/>
  <c r="F82" i="2"/>
  <c r="E82" i="2"/>
  <c r="BX297" i="42"/>
  <c r="BY297" i="42" s="1"/>
  <c r="BX296" i="42"/>
  <c r="BY296" i="42" s="1"/>
  <c r="AJ309" i="42"/>
  <c r="AK309" i="42" s="1"/>
  <c r="E81" i="2"/>
  <c r="F81" i="2"/>
  <c r="BX296" i="43"/>
  <c r="BY296" i="43" s="1"/>
  <c r="AJ308" i="43"/>
  <c r="BX308" i="43" s="1"/>
  <c r="Q308" i="43"/>
  <c r="BY262" i="43"/>
  <c r="BY240" i="43"/>
  <c r="BY196" i="43"/>
  <c r="BY273" i="43"/>
  <c r="BY229" i="43"/>
  <c r="BY174" i="43"/>
  <c r="F232" i="43"/>
  <c r="AC232" i="43" s="1"/>
  <c r="AA220" i="43"/>
  <c r="I220" i="43"/>
  <c r="AB220" i="43"/>
  <c r="AJ220" i="43"/>
  <c r="H334" i="43"/>
  <c r="B322" i="43"/>
  <c r="Q322" i="43" s="1"/>
  <c r="C322" i="43"/>
  <c r="J322" i="43" s="1"/>
  <c r="B338" i="43"/>
  <c r="Q338" i="43" s="1"/>
  <c r="H350" i="43"/>
  <c r="C338" i="43"/>
  <c r="J338" i="43" s="1"/>
  <c r="F276" i="43"/>
  <c r="AC276" i="43" s="1"/>
  <c r="AJ264" i="43"/>
  <c r="AA264" i="43"/>
  <c r="I264" i="43"/>
  <c r="AB264" i="43"/>
  <c r="H336" i="43"/>
  <c r="B324" i="43"/>
  <c r="Q324" i="43" s="1"/>
  <c r="C324" i="43"/>
  <c r="J324" i="43" s="1"/>
  <c r="H335" i="43"/>
  <c r="B323" i="43"/>
  <c r="Q323" i="43" s="1"/>
  <c r="C323" i="43"/>
  <c r="J323" i="43" s="1"/>
  <c r="BW285" i="43"/>
  <c r="F309" i="43"/>
  <c r="AC309" i="43" s="1"/>
  <c r="AA297" i="43"/>
  <c r="I297" i="43"/>
  <c r="AB297" i="43"/>
  <c r="AJ297" i="43"/>
  <c r="AN316" i="43"/>
  <c r="H340" i="43"/>
  <c r="B328" i="43"/>
  <c r="Q328" i="43" s="1"/>
  <c r="C328" i="43"/>
  <c r="J328" i="43" s="1"/>
  <c r="F243" i="43"/>
  <c r="AC243" i="43" s="1"/>
  <c r="AA231" i="43"/>
  <c r="I231" i="43"/>
  <c r="AB231" i="43"/>
  <c r="AJ231" i="43"/>
  <c r="BX241" i="43"/>
  <c r="AK241" i="43"/>
  <c r="AW34" i="43"/>
  <c r="H333" i="43"/>
  <c r="C321" i="43"/>
  <c r="J321" i="43" s="1"/>
  <c r="B321" i="43"/>
  <c r="Q321" i="43" s="1"/>
  <c r="F210" i="43"/>
  <c r="AC210" i="43" s="1"/>
  <c r="I198" i="43"/>
  <c r="AJ198" i="43"/>
  <c r="H339" i="43"/>
  <c r="B327" i="43"/>
  <c r="Q327" i="43" s="1"/>
  <c r="C327" i="43"/>
  <c r="J327" i="43" s="1"/>
  <c r="AA320" i="43"/>
  <c r="B320" i="43"/>
  <c r="H332" i="43"/>
  <c r="AC332" i="43" s="1"/>
  <c r="AB320" i="43"/>
  <c r="C320" i="43"/>
  <c r="J320" i="43" s="1"/>
  <c r="I320" i="43"/>
  <c r="BW320" i="43" s="1"/>
  <c r="H354" i="43"/>
  <c r="B342" i="43"/>
  <c r="Q342" i="43" s="1"/>
  <c r="C342" i="43"/>
  <c r="J342" i="43" s="1"/>
  <c r="BY251" i="43"/>
  <c r="BY218" i="43"/>
  <c r="BW263" i="43"/>
  <c r="BX208" i="43"/>
  <c r="AK208" i="43"/>
  <c r="AN326" i="43"/>
  <c r="BW197" i="43"/>
  <c r="AN317" i="43"/>
  <c r="BW252" i="43"/>
  <c r="AN312" i="43"/>
  <c r="AN311" i="43"/>
  <c r="AA319" i="43"/>
  <c r="B319" i="43"/>
  <c r="H331" i="43"/>
  <c r="AC331" i="43" s="1"/>
  <c r="AB319" i="43"/>
  <c r="C319" i="43"/>
  <c r="J319" i="43" s="1"/>
  <c r="I319" i="43"/>
  <c r="BW319" i="43" s="1"/>
  <c r="AN313" i="43"/>
  <c r="AK219" i="43"/>
  <c r="BX219" i="43"/>
  <c r="F254" i="43"/>
  <c r="AC254" i="43" s="1"/>
  <c r="I242" i="43"/>
  <c r="AA242" i="43"/>
  <c r="AB242" i="43"/>
  <c r="AJ242" i="43"/>
  <c r="AK186" i="43"/>
  <c r="BX186" i="43"/>
  <c r="BW186" i="43"/>
  <c r="AN315" i="43"/>
  <c r="AN308" i="43"/>
  <c r="AN330" i="43"/>
  <c r="F287" i="43"/>
  <c r="AC287" i="43" s="1"/>
  <c r="AA275" i="43"/>
  <c r="AJ275" i="43"/>
  <c r="I275" i="43"/>
  <c r="AB275" i="43"/>
  <c r="BW208" i="43"/>
  <c r="F221" i="43"/>
  <c r="AC221" i="43" s="1"/>
  <c r="I209" i="43"/>
  <c r="AA209" i="43"/>
  <c r="AB209" i="43"/>
  <c r="AJ209" i="43"/>
  <c r="H341" i="43"/>
  <c r="C329" i="43"/>
  <c r="J329" i="43" s="1"/>
  <c r="B329" i="43"/>
  <c r="Q329" i="43" s="1"/>
  <c r="AN307" i="43"/>
  <c r="BX285" i="43"/>
  <c r="AK285" i="43"/>
  <c r="H337" i="43"/>
  <c r="C325" i="43"/>
  <c r="J325" i="43" s="1"/>
  <c r="B325" i="43"/>
  <c r="Q325" i="43" s="1"/>
  <c r="BW219" i="43"/>
  <c r="BW241" i="43"/>
  <c r="AK230" i="43"/>
  <c r="BX230" i="43"/>
  <c r="BW230" i="43"/>
  <c r="AK274" i="43"/>
  <c r="BX274" i="43"/>
  <c r="AJ307" i="43"/>
  <c r="BY185" i="43"/>
  <c r="BY207" i="43"/>
  <c r="AK263" i="43"/>
  <c r="BX263" i="43"/>
  <c r="AN310" i="43"/>
  <c r="BX197" i="43"/>
  <c r="AK197" i="43"/>
  <c r="BX252" i="43"/>
  <c r="AK252" i="43"/>
  <c r="AK295" i="43"/>
  <c r="BX295" i="43"/>
  <c r="BY295" i="43" s="1"/>
  <c r="F265" i="43"/>
  <c r="AC265" i="43" s="1"/>
  <c r="I253" i="43"/>
  <c r="AA253" i="43"/>
  <c r="AB253" i="43"/>
  <c r="AJ253" i="43"/>
  <c r="BW274" i="43"/>
  <c r="F298" i="43"/>
  <c r="AC298" i="43" s="1"/>
  <c r="AJ286" i="43"/>
  <c r="I286" i="43"/>
  <c r="AA286" i="43"/>
  <c r="AB286" i="43"/>
  <c r="AN309" i="43"/>
  <c r="BW308" i="43"/>
  <c r="BY241" i="42"/>
  <c r="BY274" i="42"/>
  <c r="BY186" i="42"/>
  <c r="BY230" i="42"/>
  <c r="BY208" i="42"/>
  <c r="BY263" i="42"/>
  <c r="F266" i="42"/>
  <c r="AC266" i="42" s="1"/>
  <c r="AA254" i="42"/>
  <c r="AJ254" i="42"/>
  <c r="I254" i="42"/>
  <c r="AB254" i="42"/>
  <c r="AN308" i="42"/>
  <c r="AN312" i="42"/>
  <c r="H342" i="42"/>
  <c r="B330" i="42"/>
  <c r="Q330" i="42" s="1"/>
  <c r="C330" i="42"/>
  <c r="J330" i="42" s="1"/>
  <c r="F310" i="42"/>
  <c r="AC310" i="42" s="1"/>
  <c r="AB298" i="42"/>
  <c r="AA298" i="42"/>
  <c r="AJ298" i="42"/>
  <c r="I298" i="42"/>
  <c r="BW231" i="42"/>
  <c r="F255" i="42"/>
  <c r="AC255" i="42" s="1"/>
  <c r="AB243" i="42"/>
  <c r="AJ243" i="42"/>
  <c r="AA243" i="42"/>
  <c r="I243" i="42"/>
  <c r="BX253" i="42"/>
  <c r="AK253" i="42"/>
  <c r="AW34" i="42"/>
  <c r="H335" i="42"/>
  <c r="B323" i="42"/>
  <c r="Q323" i="42" s="1"/>
  <c r="C323" i="42"/>
  <c r="J323" i="42" s="1"/>
  <c r="AN315" i="42"/>
  <c r="BW275" i="42"/>
  <c r="AN317" i="42"/>
  <c r="F222" i="42"/>
  <c r="AC222" i="42" s="1"/>
  <c r="I210" i="42"/>
  <c r="AJ210" i="42"/>
  <c r="BW220" i="42"/>
  <c r="BY197" i="42"/>
  <c r="BW242" i="42"/>
  <c r="H332" i="42"/>
  <c r="AC332" i="42" s="1"/>
  <c r="AA320" i="42"/>
  <c r="B320" i="42"/>
  <c r="Q320" i="42" s="1"/>
  <c r="AB320" i="42"/>
  <c r="C320" i="42"/>
  <c r="J320" i="42" s="1"/>
  <c r="I320" i="42"/>
  <c r="BW320" i="42" s="1"/>
  <c r="H336" i="42"/>
  <c r="B324" i="42"/>
  <c r="Q324" i="42" s="1"/>
  <c r="C324" i="42"/>
  <c r="J324" i="42" s="1"/>
  <c r="AN318" i="42"/>
  <c r="BW209" i="42"/>
  <c r="AN310" i="42"/>
  <c r="BW286" i="42"/>
  <c r="BX264" i="42"/>
  <c r="AK264" i="42"/>
  <c r="AK231" i="42"/>
  <c r="BX231" i="42"/>
  <c r="AN307" i="42"/>
  <c r="AN328" i="42"/>
  <c r="H352" i="42"/>
  <c r="B340" i="42"/>
  <c r="Q340" i="42" s="1"/>
  <c r="C340" i="42"/>
  <c r="J340" i="42" s="1"/>
  <c r="AN309" i="42"/>
  <c r="F299" i="42"/>
  <c r="AC299" i="42" s="1"/>
  <c r="AA287" i="42"/>
  <c r="I287" i="42"/>
  <c r="AB287" i="42"/>
  <c r="AJ287" i="42"/>
  <c r="AK198" i="42"/>
  <c r="BX198" i="42"/>
  <c r="AJ307" i="42"/>
  <c r="AK242" i="42"/>
  <c r="BX242" i="42"/>
  <c r="B325" i="42"/>
  <c r="Q325" i="42" s="1"/>
  <c r="H337" i="42"/>
  <c r="C325" i="42"/>
  <c r="J325" i="42" s="1"/>
  <c r="F233" i="42"/>
  <c r="AC233" i="42" s="1"/>
  <c r="AA221" i="42"/>
  <c r="I221" i="42"/>
  <c r="AB221" i="42"/>
  <c r="AJ221" i="42"/>
  <c r="H334" i="42"/>
  <c r="C322" i="42"/>
  <c r="J322" i="42" s="1"/>
  <c r="B322" i="42"/>
  <c r="Q322" i="42" s="1"/>
  <c r="AK286" i="42"/>
  <c r="BX286" i="42"/>
  <c r="BW264" i="42"/>
  <c r="F288" i="42"/>
  <c r="AC288" i="42" s="1"/>
  <c r="AA276" i="42"/>
  <c r="AB276" i="42"/>
  <c r="I276" i="42"/>
  <c r="AJ276" i="42"/>
  <c r="F277" i="42"/>
  <c r="AC277" i="42" s="1"/>
  <c r="AJ265" i="42"/>
  <c r="I265" i="42"/>
  <c r="AB265" i="42"/>
  <c r="AA265" i="42"/>
  <c r="H331" i="42"/>
  <c r="AC331" i="42" s="1"/>
  <c r="I319" i="42"/>
  <c r="BW319" i="42" s="1"/>
  <c r="AA319" i="42"/>
  <c r="B319" i="42"/>
  <c r="Q319" i="42" s="1"/>
  <c r="C319" i="42"/>
  <c r="J319" i="42" s="1"/>
  <c r="AB319" i="42"/>
  <c r="AA321" i="42"/>
  <c r="B321" i="42"/>
  <c r="Q321" i="42" s="1"/>
  <c r="H333" i="42"/>
  <c r="AC333" i="42" s="1"/>
  <c r="AB321" i="42"/>
  <c r="C321" i="42"/>
  <c r="J321" i="42" s="1"/>
  <c r="I321" i="42"/>
  <c r="BW321" i="42" s="1"/>
  <c r="AN314" i="42"/>
  <c r="BW198" i="42"/>
  <c r="F244" i="42"/>
  <c r="AC244" i="42" s="1"/>
  <c r="AB232" i="42"/>
  <c r="AA232" i="42"/>
  <c r="I232" i="42"/>
  <c r="AJ232" i="42"/>
  <c r="AJ308" i="42"/>
  <c r="BY219" i="42"/>
  <c r="AN313" i="42"/>
  <c r="BX209" i="42"/>
  <c r="AK209" i="42"/>
  <c r="BW253" i="42"/>
  <c r="AN311" i="42"/>
  <c r="H339" i="42"/>
  <c r="B327" i="42"/>
  <c r="Q327" i="42" s="1"/>
  <c r="C327" i="42"/>
  <c r="J327" i="42" s="1"/>
  <c r="H338" i="42"/>
  <c r="C326" i="42"/>
  <c r="J326" i="42" s="1"/>
  <c r="B326" i="42"/>
  <c r="Q326" i="42" s="1"/>
  <c r="AK275" i="42"/>
  <c r="BX275" i="42"/>
  <c r="AK295" i="42"/>
  <c r="BX295" i="42"/>
  <c r="BY295" i="42" s="1"/>
  <c r="H341" i="42"/>
  <c r="B329" i="42"/>
  <c r="Q329" i="42" s="1"/>
  <c r="C329" i="42"/>
  <c r="J329" i="42" s="1"/>
  <c r="BX220" i="42"/>
  <c r="AK220" i="42"/>
  <c r="BW307" i="42"/>
  <c r="BY252" i="42"/>
  <c r="BW309" i="42"/>
  <c r="A58" i="2"/>
  <c r="A59" i="2"/>
  <c r="A56" i="2"/>
  <c r="S67" i="35"/>
  <c r="T67" i="35" s="1"/>
  <c r="S68" i="35"/>
  <c r="R35" i="35"/>
  <c r="S70" i="35"/>
  <c r="T70" i="35" s="1"/>
  <c r="R34" i="35"/>
  <c r="S69" i="35"/>
  <c r="T69" i="35" s="1"/>
  <c r="B37" i="35"/>
  <c r="R71" i="35"/>
  <c r="D55" i="2"/>
  <c r="A55" i="2" s="1"/>
  <c r="AA71" i="35" l="1"/>
  <c r="Z71" i="35"/>
  <c r="BX309" i="42"/>
  <c r="BY309" i="42" s="1"/>
  <c r="AJ321" i="42"/>
  <c r="AK321" i="42" s="1"/>
  <c r="AJ320" i="43"/>
  <c r="BX320" i="43" s="1"/>
  <c r="BY320" i="43" s="1"/>
  <c r="Q320" i="43"/>
  <c r="AJ319" i="43"/>
  <c r="BX319" i="43" s="1"/>
  <c r="BY319" i="43" s="1"/>
  <c r="Q319" i="43"/>
  <c r="AK308" i="43"/>
  <c r="BY198" i="42"/>
  <c r="BY241" i="43"/>
  <c r="BY186" i="43"/>
  <c r="BY219" i="43"/>
  <c r="BY274" i="43"/>
  <c r="BY208" i="43"/>
  <c r="BY197" i="43"/>
  <c r="BY308" i="43"/>
  <c r="H353" i="43"/>
  <c r="B341" i="43"/>
  <c r="Q341" i="43" s="1"/>
  <c r="C341" i="43"/>
  <c r="J341" i="43" s="1"/>
  <c r="BX286" i="43"/>
  <c r="AK286" i="43"/>
  <c r="H343" i="43"/>
  <c r="AC343" i="43" s="1"/>
  <c r="AA331" i="43"/>
  <c r="B331" i="43"/>
  <c r="AB331" i="43"/>
  <c r="C331" i="43"/>
  <c r="J331" i="43" s="1"/>
  <c r="I331" i="43"/>
  <c r="H344" i="43"/>
  <c r="AC344" i="43" s="1"/>
  <c r="AA332" i="43"/>
  <c r="B332" i="43"/>
  <c r="Q332" i="43" s="1"/>
  <c r="AB332" i="43"/>
  <c r="C332" i="43"/>
  <c r="J332" i="43" s="1"/>
  <c r="I332" i="43"/>
  <c r="AK198" i="43"/>
  <c r="BX198" i="43"/>
  <c r="BW198" i="43"/>
  <c r="F255" i="43"/>
  <c r="AC255" i="43" s="1"/>
  <c r="AA243" i="43"/>
  <c r="I243" i="43"/>
  <c r="AB243" i="43"/>
  <c r="AJ243" i="43"/>
  <c r="H352" i="43"/>
  <c r="C340" i="43"/>
  <c r="J340" i="43" s="1"/>
  <c r="B340" i="43"/>
  <c r="Q340" i="43" s="1"/>
  <c r="BW297" i="43"/>
  <c r="F288" i="43"/>
  <c r="AC288" i="43" s="1"/>
  <c r="I276" i="43"/>
  <c r="AB276" i="43"/>
  <c r="AA276" i="43"/>
  <c r="AJ276" i="43"/>
  <c r="AN338" i="43"/>
  <c r="B334" i="43"/>
  <c r="Q334" i="43" s="1"/>
  <c r="H346" i="43"/>
  <c r="C334" i="43"/>
  <c r="J334" i="43" s="1"/>
  <c r="BW220" i="43"/>
  <c r="BY252" i="43"/>
  <c r="BY285" i="43"/>
  <c r="F310" i="43"/>
  <c r="AC310" i="43" s="1"/>
  <c r="AJ298" i="43"/>
  <c r="I298" i="43"/>
  <c r="AA298" i="43"/>
  <c r="AB298" i="43"/>
  <c r="BX253" i="43"/>
  <c r="AK253" i="43"/>
  <c r="BW253" i="43"/>
  <c r="B337" i="43"/>
  <c r="Q337" i="43" s="1"/>
  <c r="H349" i="43"/>
  <c r="C337" i="43"/>
  <c r="J337" i="43" s="1"/>
  <c r="BW209" i="43"/>
  <c r="BW286" i="43"/>
  <c r="F233" i="43"/>
  <c r="AC233" i="43" s="1"/>
  <c r="I221" i="43"/>
  <c r="AA221" i="43"/>
  <c r="AB221" i="43"/>
  <c r="AJ221" i="43"/>
  <c r="F266" i="43"/>
  <c r="AC266" i="43" s="1"/>
  <c r="I254" i="43"/>
  <c r="AA254" i="43"/>
  <c r="AB254" i="43"/>
  <c r="AJ254" i="43"/>
  <c r="H366" i="43"/>
  <c r="C354" i="43"/>
  <c r="J354" i="43" s="1"/>
  <c r="B354" i="43"/>
  <c r="Q354" i="43" s="1"/>
  <c r="H351" i="43"/>
  <c r="B339" i="43"/>
  <c r="Q339" i="43" s="1"/>
  <c r="C339" i="43"/>
  <c r="J339" i="43" s="1"/>
  <c r="AK231" i="43"/>
  <c r="BX231" i="43"/>
  <c r="AN324" i="43"/>
  <c r="BX264" i="43"/>
  <c r="AK264" i="43"/>
  <c r="H362" i="43"/>
  <c r="B350" i="43"/>
  <c r="Q350" i="43" s="1"/>
  <c r="C350" i="43"/>
  <c r="J350" i="43" s="1"/>
  <c r="AN322" i="43"/>
  <c r="BY264" i="42"/>
  <c r="BY230" i="43"/>
  <c r="BW275" i="43"/>
  <c r="F299" i="43"/>
  <c r="AC299" i="43" s="1"/>
  <c r="AJ287" i="43"/>
  <c r="I287" i="43"/>
  <c r="AA287" i="43"/>
  <c r="AB287" i="43"/>
  <c r="AN319" i="43"/>
  <c r="F277" i="43"/>
  <c r="AC277" i="43" s="1"/>
  <c r="AJ265" i="43"/>
  <c r="I265" i="43"/>
  <c r="AA265" i="43"/>
  <c r="AB265" i="43"/>
  <c r="AK307" i="43"/>
  <c r="BX307" i="43"/>
  <c r="BY307" i="43" s="1"/>
  <c r="AN325" i="43"/>
  <c r="AN329" i="43"/>
  <c r="BX209" i="43"/>
  <c r="AK209" i="43"/>
  <c r="AK275" i="43"/>
  <c r="BX275" i="43"/>
  <c r="AK242" i="43"/>
  <c r="BX242" i="43"/>
  <c r="BW242" i="43"/>
  <c r="AN342" i="43"/>
  <c r="AN327" i="43"/>
  <c r="AN321" i="43"/>
  <c r="AW35" i="43"/>
  <c r="BW231" i="43"/>
  <c r="F321" i="43"/>
  <c r="AC321" i="43" s="1"/>
  <c r="AA309" i="43"/>
  <c r="AJ309" i="43"/>
  <c r="I309" i="43"/>
  <c r="AB309" i="43"/>
  <c r="B335" i="43"/>
  <c r="Q335" i="43" s="1"/>
  <c r="H347" i="43"/>
  <c r="C335" i="43"/>
  <c r="J335" i="43" s="1"/>
  <c r="H348" i="43"/>
  <c r="C336" i="43"/>
  <c r="J336" i="43" s="1"/>
  <c r="B336" i="43"/>
  <c r="Q336" i="43" s="1"/>
  <c r="F244" i="43"/>
  <c r="AC244" i="43" s="1"/>
  <c r="AB232" i="43"/>
  <c r="AA232" i="43"/>
  <c r="I232" i="43"/>
  <c r="AJ232" i="43"/>
  <c r="AN320" i="43"/>
  <c r="F222" i="43"/>
  <c r="AC222" i="43" s="1"/>
  <c r="I210" i="43"/>
  <c r="AJ210" i="43"/>
  <c r="H345" i="43"/>
  <c r="C333" i="43"/>
  <c r="J333" i="43" s="1"/>
  <c r="B333" i="43"/>
  <c r="Q333" i="43" s="1"/>
  <c r="AN328" i="43"/>
  <c r="BX297" i="43"/>
  <c r="AK297" i="43"/>
  <c r="AN323" i="43"/>
  <c r="BW264" i="43"/>
  <c r="BX220" i="43"/>
  <c r="AK220" i="43"/>
  <c r="BY263" i="43"/>
  <c r="BY253" i="42"/>
  <c r="AN321" i="42"/>
  <c r="BX265" i="42"/>
  <c r="AK265" i="42"/>
  <c r="BX221" i="42"/>
  <c r="AK221" i="42"/>
  <c r="AK287" i="42"/>
  <c r="BX287" i="42"/>
  <c r="AN340" i="42"/>
  <c r="AN324" i="42"/>
  <c r="AN320" i="42"/>
  <c r="AW35" i="42"/>
  <c r="AK243" i="42"/>
  <c r="BX243" i="42"/>
  <c r="BX298" i="42"/>
  <c r="AK298" i="42"/>
  <c r="F322" i="42"/>
  <c r="AC322" i="42" s="1"/>
  <c r="AB310" i="42"/>
  <c r="AJ310" i="42"/>
  <c r="I310" i="42"/>
  <c r="AA310" i="42"/>
  <c r="H354" i="42"/>
  <c r="B342" i="42"/>
  <c r="Q342" i="42" s="1"/>
  <c r="C342" i="42"/>
  <c r="J342" i="42" s="1"/>
  <c r="BY231" i="42"/>
  <c r="AN327" i="42"/>
  <c r="H345" i="42"/>
  <c r="AC345" i="42" s="1"/>
  <c r="I333" i="42"/>
  <c r="BW333" i="42" s="1"/>
  <c r="AA333" i="42"/>
  <c r="B333" i="42"/>
  <c r="Q333" i="42" s="1"/>
  <c r="C333" i="42"/>
  <c r="J333" i="42" s="1"/>
  <c r="AB333" i="42"/>
  <c r="H343" i="42"/>
  <c r="AC343" i="42" s="1"/>
  <c r="AA331" i="42"/>
  <c r="B331" i="42"/>
  <c r="Q331" i="42" s="1"/>
  <c r="AB331" i="42"/>
  <c r="C331" i="42"/>
  <c r="J331" i="42" s="1"/>
  <c r="I331" i="42"/>
  <c r="BW265" i="42"/>
  <c r="BW276" i="42"/>
  <c r="F300" i="42"/>
  <c r="AC300" i="42" s="1"/>
  <c r="AJ288" i="42"/>
  <c r="AA288" i="42"/>
  <c r="I288" i="42"/>
  <c r="AB288" i="42"/>
  <c r="H346" i="42"/>
  <c r="B334" i="42"/>
  <c r="Q334" i="42" s="1"/>
  <c r="C334" i="42"/>
  <c r="J334" i="42" s="1"/>
  <c r="BW221" i="42"/>
  <c r="AK307" i="42"/>
  <c r="BX307" i="42"/>
  <c r="BY307" i="42" s="1"/>
  <c r="BW287" i="42"/>
  <c r="BW210" i="42"/>
  <c r="F234" i="42"/>
  <c r="AC234" i="42" s="1"/>
  <c r="I222" i="42"/>
  <c r="AJ222" i="42"/>
  <c r="H347" i="42"/>
  <c r="B335" i="42"/>
  <c r="Q335" i="42" s="1"/>
  <c r="C335" i="42"/>
  <c r="J335" i="42" s="1"/>
  <c r="BW298" i="42"/>
  <c r="AN330" i="42"/>
  <c r="AK254" i="42"/>
  <c r="BX254" i="42"/>
  <c r="BY286" i="42"/>
  <c r="BY209" i="42"/>
  <c r="BY242" i="42"/>
  <c r="BY220" i="42"/>
  <c r="H353" i="42"/>
  <c r="B341" i="42"/>
  <c r="Q341" i="42" s="1"/>
  <c r="C341" i="42"/>
  <c r="J341" i="42" s="1"/>
  <c r="B338" i="42"/>
  <c r="Q338" i="42" s="1"/>
  <c r="H350" i="42"/>
  <c r="C338" i="42"/>
  <c r="J338" i="42" s="1"/>
  <c r="H351" i="42"/>
  <c r="C339" i="42"/>
  <c r="J339" i="42" s="1"/>
  <c r="B339" i="42"/>
  <c r="Q339" i="42" s="1"/>
  <c r="BW232" i="42"/>
  <c r="F256" i="42"/>
  <c r="AC256" i="42" s="1"/>
  <c r="AB244" i="42"/>
  <c r="AA244" i="42"/>
  <c r="I244" i="42"/>
  <c r="AJ244" i="42"/>
  <c r="AN319" i="42"/>
  <c r="BX276" i="42"/>
  <c r="AK276" i="42"/>
  <c r="AN322" i="42"/>
  <c r="AN325" i="42"/>
  <c r="AK210" i="42"/>
  <c r="BX210" i="42"/>
  <c r="AN323" i="42"/>
  <c r="F267" i="42"/>
  <c r="AC267" i="42" s="1"/>
  <c r="AA255" i="42"/>
  <c r="AJ255" i="42"/>
  <c r="AB255" i="42"/>
  <c r="I255" i="42"/>
  <c r="BW254" i="42"/>
  <c r="F278" i="42"/>
  <c r="AC278" i="42" s="1"/>
  <c r="I266" i="42"/>
  <c r="AJ266" i="42"/>
  <c r="AA266" i="42"/>
  <c r="AB266" i="42"/>
  <c r="AJ319" i="42"/>
  <c r="AJ320" i="42"/>
  <c r="AN329" i="42"/>
  <c r="AN326" i="42"/>
  <c r="AK308" i="42"/>
  <c r="BX308" i="42"/>
  <c r="BY308" i="42" s="1"/>
  <c r="BX232" i="42"/>
  <c r="AK232" i="42"/>
  <c r="F289" i="42"/>
  <c r="AC289" i="42" s="1"/>
  <c r="AJ277" i="42"/>
  <c r="I277" i="42"/>
  <c r="AB277" i="42"/>
  <c r="AA277" i="42"/>
  <c r="F245" i="42"/>
  <c r="AC245" i="42" s="1"/>
  <c r="I233" i="42"/>
  <c r="AB233" i="42"/>
  <c r="AA233" i="42"/>
  <c r="AJ233" i="42"/>
  <c r="H349" i="42"/>
  <c r="B337" i="42"/>
  <c r="Q337" i="42" s="1"/>
  <c r="C337" i="42"/>
  <c r="J337" i="42" s="1"/>
  <c r="F311" i="42"/>
  <c r="AC311" i="42" s="1"/>
  <c r="AJ299" i="42"/>
  <c r="AB299" i="42"/>
  <c r="I299" i="42"/>
  <c r="AA299" i="42"/>
  <c r="B352" i="42"/>
  <c r="Q352" i="42" s="1"/>
  <c r="H364" i="42"/>
  <c r="C352" i="42"/>
  <c r="J352" i="42" s="1"/>
  <c r="C336" i="42"/>
  <c r="J336" i="42" s="1"/>
  <c r="H348" i="42"/>
  <c r="B336" i="42"/>
  <c r="Q336" i="42" s="1"/>
  <c r="H344" i="42"/>
  <c r="AC344" i="42" s="1"/>
  <c r="AB332" i="42"/>
  <c r="C332" i="42"/>
  <c r="J332" i="42" s="1"/>
  <c r="I332" i="42"/>
  <c r="BW332" i="42" s="1"/>
  <c r="B332" i="42"/>
  <c r="Q332" i="42" s="1"/>
  <c r="AA332" i="42"/>
  <c r="BW243" i="42"/>
  <c r="BY275" i="42"/>
  <c r="S33" i="35"/>
  <c r="T68" i="35"/>
  <c r="S32" i="35"/>
  <c r="B38" i="35"/>
  <c r="R72" i="35"/>
  <c r="R36" i="35"/>
  <c r="S71" i="35"/>
  <c r="T71" i="35" s="1"/>
  <c r="S35" i="35"/>
  <c r="S34" i="35"/>
  <c r="AA72" i="35" l="1"/>
  <c r="Z72" i="35"/>
  <c r="BX321" i="42"/>
  <c r="BY321" i="42" s="1"/>
  <c r="AJ332" i="42"/>
  <c r="AK332" i="42" s="1"/>
  <c r="AJ331" i="42"/>
  <c r="BX331" i="42" s="1"/>
  <c r="AK319" i="43"/>
  <c r="AK320" i="43"/>
  <c r="AJ331" i="43"/>
  <c r="AK331" i="43" s="1"/>
  <c r="Q331" i="43"/>
  <c r="BY265" i="42"/>
  <c r="BY231" i="43"/>
  <c r="BY298" i="42"/>
  <c r="BY264" i="43"/>
  <c r="BY243" i="42"/>
  <c r="H357" i="43"/>
  <c r="B345" i="43"/>
  <c r="Q345" i="43" s="1"/>
  <c r="C345" i="43"/>
  <c r="J345" i="43" s="1"/>
  <c r="AN335" i="43"/>
  <c r="BW309" i="43"/>
  <c r="F333" i="43"/>
  <c r="AC333" i="43" s="1"/>
  <c r="AJ321" i="43"/>
  <c r="I321" i="43"/>
  <c r="AA321" i="43"/>
  <c r="AB321" i="43"/>
  <c r="AN339" i="43"/>
  <c r="AN354" i="43"/>
  <c r="AK254" i="43"/>
  <c r="BX254" i="43"/>
  <c r="BW254" i="43"/>
  <c r="AN334" i="43"/>
  <c r="F267" i="43"/>
  <c r="AC267" i="43" s="1"/>
  <c r="AB255" i="43"/>
  <c r="AJ255" i="43"/>
  <c r="AA255" i="43"/>
  <c r="I255" i="43"/>
  <c r="AN332" i="43"/>
  <c r="B353" i="43"/>
  <c r="Q353" i="43" s="1"/>
  <c r="H365" i="43"/>
  <c r="C353" i="43"/>
  <c r="J353" i="43" s="1"/>
  <c r="BY297" i="43"/>
  <c r="BW331" i="43"/>
  <c r="AN336" i="43"/>
  <c r="H359" i="43"/>
  <c r="B347" i="43"/>
  <c r="Q347" i="43" s="1"/>
  <c r="C347" i="43"/>
  <c r="J347" i="43" s="1"/>
  <c r="F289" i="43"/>
  <c r="AC289" i="43" s="1"/>
  <c r="AJ277" i="43"/>
  <c r="I277" i="43"/>
  <c r="AA277" i="43"/>
  <c r="AB277" i="43"/>
  <c r="AK287" i="43"/>
  <c r="BX287" i="43"/>
  <c r="C362" i="43"/>
  <c r="J362" i="43" s="1"/>
  <c r="B362" i="43"/>
  <c r="Q362" i="43" s="1"/>
  <c r="B351" i="43"/>
  <c r="Q351" i="43" s="1"/>
  <c r="H363" i="43"/>
  <c r="C351" i="43"/>
  <c r="J351" i="43" s="1"/>
  <c r="C366" i="43"/>
  <c r="J366" i="43" s="1"/>
  <c r="B366" i="43"/>
  <c r="Q366" i="43" s="1"/>
  <c r="F245" i="43"/>
  <c r="AC245" i="43" s="1"/>
  <c r="I233" i="43"/>
  <c r="AA233" i="43"/>
  <c r="AB233" i="43"/>
  <c r="AJ233" i="43"/>
  <c r="AN337" i="43"/>
  <c r="BX298" i="43"/>
  <c r="AK298" i="43"/>
  <c r="H358" i="43"/>
  <c r="B346" i="43"/>
  <c r="Q346" i="43" s="1"/>
  <c r="C346" i="43"/>
  <c r="J346" i="43" s="1"/>
  <c r="AN340" i="43"/>
  <c r="AK243" i="43"/>
  <c r="BX243" i="43"/>
  <c r="H356" i="43"/>
  <c r="AC356" i="43" s="1"/>
  <c r="AB344" i="43"/>
  <c r="C344" i="43"/>
  <c r="J344" i="43" s="1"/>
  <c r="I344" i="43"/>
  <c r="BW344" i="43" s="1"/>
  <c r="AA344" i="43"/>
  <c r="B344" i="43"/>
  <c r="Q344" i="43" s="1"/>
  <c r="H355" i="43"/>
  <c r="AC355" i="43" s="1"/>
  <c r="AA343" i="43"/>
  <c r="B343" i="43"/>
  <c r="AB343" i="43"/>
  <c r="C343" i="43"/>
  <c r="J343" i="43" s="1"/>
  <c r="I343" i="43"/>
  <c r="AN341" i="43"/>
  <c r="BY242" i="43"/>
  <c r="BY275" i="43"/>
  <c r="F234" i="43"/>
  <c r="AC234" i="43" s="1"/>
  <c r="I222" i="43"/>
  <c r="AJ222" i="43"/>
  <c r="BW232" i="43"/>
  <c r="F256" i="43"/>
  <c r="AC256" i="43" s="1"/>
  <c r="AA244" i="43"/>
  <c r="I244" i="43"/>
  <c r="AB244" i="43"/>
  <c r="AJ244" i="43"/>
  <c r="H360" i="43"/>
  <c r="C348" i="43"/>
  <c r="J348" i="43" s="1"/>
  <c r="B348" i="43"/>
  <c r="Q348" i="43" s="1"/>
  <c r="BX265" i="43"/>
  <c r="AK265" i="43"/>
  <c r="BW287" i="43"/>
  <c r="AN350" i="43"/>
  <c r="BX221" i="43"/>
  <c r="AK221" i="43"/>
  <c r="BW221" i="43"/>
  <c r="H361" i="43"/>
  <c r="B349" i="43"/>
  <c r="Q349" i="43" s="1"/>
  <c r="C349" i="43"/>
  <c r="J349" i="43" s="1"/>
  <c r="BW298" i="43"/>
  <c r="F300" i="43"/>
  <c r="AC300" i="43" s="1"/>
  <c r="AJ288" i="43"/>
  <c r="AA288" i="43"/>
  <c r="I288" i="43"/>
  <c r="AB288" i="43"/>
  <c r="B352" i="43"/>
  <c r="Q352" i="43" s="1"/>
  <c r="H364" i="43"/>
  <c r="C352" i="43"/>
  <c r="J352" i="43" s="1"/>
  <c r="AN331" i="43"/>
  <c r="BY220" i="43"/>
  <c r="BY198" i="43"/>
  <c r="BW332" i="43"/>
  <c r="AN333" i="43"/>
  <c r="AK210" i="43"/>
  <c r="BX210" i="43"/>
  <c r="BW210" i="43"/>
  <c r="BX232" i="43"/>
  <c r="AK232" i="43"/>
  <c r="BX309" i="43"/>
  <c r="AK309" i="43"/>
  <c r="AW36" i="43"/>
  <c r="BW265" i="43"/>
  <c r="F311" i="43"/>
  <c r="AC311" i="43" s="1"/>
  <c r="AJ299" i="43"/>
  <c r="I299" i="43"/>
  <c r="AA299" i="43"/>
  <c r="AB299" i="43"/>
  <c r="F278" i="43"/>
  <c r="AC278" i="43" s="1"/>
  <c r="AB266" i="43"/>
  <c r="AJ266" i="43"/>
  <c r="I266" i="43"/>
  <c r="AA266" i="43"/>
  <c r="F322" i="43"/>
  <c r="AC322" i="43" s="1"/>
  <c r="AJ310" i="43"/>
  <c r="I310" i="43"/>
  <c r="AA310" i="43"/>
  <c r="AB310" i="43"/>
  <c r="BX276" i="43"/>
  <c r="AK276" i="43"/>
  <c r="BW276" i="43"/>
  <c r="BW243" i="43"/>
  <c r="BY254" i="42"/>
  <c r="BY286" i="43"/>
  <c r="BY209" i="43"/>
  <c r="BY253" i="43"/>
  <c r="AJ332" i="43"/>
  <c r="BY287" i="42"/>
  <c r="BY221" i="42"/>
  <c r="H360" i="42"/>
  <c r="B348" i="42"/>
  <c r="Q348" i="42" s="1"/>
  <c r="C348" i="42"/>
  <c r="J348" i="42" s="1"/>
  <c r="AK299" i="42"/>
  <c r="BX299" i="42"/>
  <c r="F257" i="42"/>
  <c r="AC257" i="42" s="1"/>
  <c r="I245" i="42"/>
  <c r="AA245" i="42"/>
  <c r="AB245" i="42"/>
  <c r="AJ245" i="42"/>
  <c r="BW277" i="42"/>
  <c r="AK320" i="42"/>
  <c r="BX320" i="42"/>
  <c r="BY320" i="42" s="1"/>
  <c r="BX244" i="42"/>
  <c r="AK244" i="42"/>
  <c r="AN339" i="42"/>
  <c r="AN341" i="42"/>
  <c r="AN335" i="42"/>
  <c r="AK222" i="42"/>
  <c r="BX222" i="42"/>
  <c r="AN334" i="42"/>
  <c r="H355" i="42"/>
  <c r="AC355" i="42" s="1"/>
  <c r="AB343" i="42"/>
  <c r="C343" i="42"/>
  <c r="J343" i="42" s="1"/>
  <c r="I343" i="42"/>
  <c r="BW343" i="42" s="1"/>
  <c r="B343" i="42"/>
  <c r="Q343" i="42" s="1"/>
  <c r="AA343" i="42"/>
  <c r="BX310" i="42"/>
  <c r="AK310" i="42"/>
  <c r="AW36" i="42"/>
  <c r="AN336" i="42"/>
  <c r="BX233" i="42"/>
  <c r="AK233" i="42"/>
  <c r="BW266" i="42"/>
  <c r="BW255" i="42"/>
  <c r="F279" i="42"/>
  <c r="AC279" i="42" s="1"/>
  <c r="AB267" i="42"/>
  <c r="AA267" i="42"/>
  <c r="AJ267" i="42"/>
  <c r="I267" i="42"/>
  <c r="AN338" i="42"/>
  <c r="H359" i="42"/>
  <c r="C347" i="42"/>
  <c r="J347" i="42" s="1"/>
  <c r="B347" i="42"/>
  <c r="Q347" i="42" s="1"/>
  <c r="BW222" i="42"/>
  <c r="BW288" i="42"/>
  <c r="F312" i="42"/>
  <c r="AC312" i="42" s="1"/>
  <c r="AB300" i="42"/>
  <c r="AJ300" i="42"/>
  <c r="I300" i="42"/>
  <c r="AA300" i="42"/>
  <c r="BW310" i="42"/>
  <c r="F334" i="42"/>
  <c r="AC334" i="42" s="1"/>
  <c r="I322" i="42"/>
  <c r="AB322" i="42"/>
  <c r="AJ322" i="42"/>
  <c r="AA322" i="42"/>
  <c r="BY232" i="42"/>
  <c r="BY210" i="42"/>
  <c r="BW331" i="42"/>
  <c r="H356" i="42"/>
  <c r="AC356" i="42" s="1"/>
  <c r="I344" i="42"/>
  <c r="BW344" i="42" s="1"/>
  <c r="AA344" i="42"/>
  <c r="B344" i="42"/>
  <c r="Q344" i="42" s="1"/>
  <c r="AB344" i="42"/>
  <c r="C344" i="42"/>
  <c r="J344" i="42" s="1"/>
  <c r="AN352" i="42"/>
  <c r="BW299" i="42"/>
  <c r="F323" i="42"/>
  <c r="AC323" i="42" s="1"/>
  <c r="AJ311" i="42"/>
  <c r="I311" i="42"/>
  <c r="AA311" i="42"/>
  <c r="AB311" i="42"/>
  <c r="BW233" i="42"/>
  <c r="F301" i="42"/>
  <c r="AC301" i="42" s="1"/>
  <c r="I289" i="42"/>
  <c r="AB289" i="42"/>
  <c r="AJ289" i="42"/>
  <c r="AA289" i="42"/>
  <c r="AK319" i="42"/>
  <c r="BX319" i="42"/>
  <c r="BY319" i="42" s="1"/>
  <c r="AK266" i="42"/>
  <c r="BX266" i="42"/>
  <c r="B350" i="42"/>
  <c r="Q350" i="42" s="1"/>
  <c r="C350" i="42"/>
  <c r="J350" i="42" s="1"/>
  <c r="H362" i="42"/>
  <c r="BX288" i="42"/>
  <c r="AK288" i="42"/>
  <c r="H357" i="42"/>
  <c r="AC357" i="42" s="1"/>
  <c r="AA345" i="42"/>
  <c r="B345" i="42"/>
  <c r="Q345" i="42" s="1"/>
  <c r="AB345" i="42"/>
  <c r="C345" i="42"/>
  <c r="J345" i="42" s="1"/>
  <c r="I345" i="42"/>
  <c r="AN342" i="42"/>
  <c r="AN332" i="42"/>
  <c r="B364" i="42"/>
  <c r="Q364" i="42" s="1"/>
  <c r="C364" i="42"/>
  <c r="J364" i="42" s="1"/>
  <c r="AN337" i="42"/>
  <c r="H361" i="42"/>
  <c r="B349" i="42"/>
  <c r="Q349" i="42" s="1"/>
  <c r="C349" i="42"/>
  <c r="J349" i="42" s="1"/>
  <c r="BX277" i="42"/>
  <c r="AK277" i="42"/>
  <c r="F290" i="42"/>
  <c r="AC290" i="42" s="1"/>
  <c r="I278" i="42"/>
  <c r="AB278" i="42"/>
  <c r="AJ278" i="42"/>
  <c r="AA278" i="42"/>
  <c r="AK255" i="42"/>
  <c r="BX255" i="42"/>
  <c r="BW244" i="42"/>
  <c r="F268" i="42"/>
  <c r="AC268" i="42" s="1"/>
  <c r="AA256" i="42"/>
  <c r="I256" i="42"/>
  <c r="AB256" i="42"/>
  <c r="AJ256" i="42"/>
  <c r="B351" i="42"/>
  <c r="Q351" i="42" s="1"/>
  <c r="H363" i="42"/>
  <c r="C351" i="42"/>
  <c r="J351" i="42" s="1"/>
  <c r="H365" i="42"/>
  <c r="C353" i="42"/>
  <c r="J353" i="42" s="1"/>
  <c r="B353" i="42"/>
  <c r="Q353" i="42" s="1"/>
  <c r="F246" i="42"/>
  <c r="AC246" i="42" s="1"/>
  <c r="I234" i="42"/>
  <c r="AJ234" i="42"/>
  <c r="B346" i="42"/>
  <c r="Q346" i="42" s="1"/>
  <c r="C346" i="42"/>
  <c r="J346" i="42" s="1"/>
  <c r="H358" i="42"/>
  <c r="AN331" i="42"/>
  <c r="AN333" i="42"/>
  <c r="B354" i="42"/>
  <c r="Q354" i="42" s="1"/>
  <c r="H366" i="42"/>
  <c r="C354" i="42"/>
  <c r="J354" i="42" s="1"/>
  <c r="BY276" i="42"/>
  <c r="AJ333" i="42"/>
  <c r="C34" i="35"/>
  <c r="P34" i="35" s="1"/>
  <c r="C33" i="35"/>
  <c r="P33" i="35" s="1"/>
  <c r="C35" i="35"/>
  <c r="P35" i="35" s="1"/>
  <c r="C32" i="35"/>
  <c r="P32" i="35" s="1"/>
  <c r="B39" i="35"/>
  <c r="R73" i="35"/>
  <c r="S36" i="35"/>
  <c r="R37" i="35"/>
  <c r="S72" i="35"/>
  <c r="T72" i="35" s="1"/>
  <c r="AA73" i="35" l="1"/>
  <c r="Z73" i="35"/>
  <c r="AK331" i="42"/>
  <c r="BX332" i="42"/>
  <c r="BY332" i="42" s="1"/>
  <c r="AJ343" i="42"/>
  <c r="AK343" i="42" s="1"/>
  <c r="BY222" i="42"/>
  <c r="BX331" i="43"/>
  <c r="BY331" i="43" s="1"/>
  <c r="AJ343" i="43"/>
  <c r="AK343" i="43" s="1"/>
  <c r="Q343" i="43"/>
  <c r="BY331" i="42"/>
  <c r="BY244" i="42"/>
  <c r="BY265" i="43"/>
  <c r="BY233" i="42"/>
  <c r="BY298" i="43"/>
  <c r="BY243" i="43"/>
  <c r="BY287" i="43"/>
  <c r="BY210" i="43"/>
  <c r="BY221" i="43"/>
  <c r="BW310" i="43"/>
  <c r="BW266" i="43"/>
  <c r="F290" i="43"/>
  <c r="AC290" i="43" s="1"/>
  <c r="AJ278" i="43"/>
  <c r="I278" i="43"/>
  <c r="AA278" i="43"/>
  <c r="AB278" i="43"/>
  <c r="AK299" i="43"/>
  <c r="BX299" i="43"/>
  <c r="BW288" i="43"/>
  <c r="F312" i="43"/>
  <c r="AC312" i="43" s="1"/>
  <c r="AJ300" i="43"/>
  <c r="AA300" i="43"/>
  <c r="I300" i="43"/>
  <c r="AB300" i="43"/>
  <c r="B361" i="43"/>
  <c r="Q361" i="43" s="1"/>
  <c r="C361" i="43"/>
  <c r="J361" i="43" s="1"/>
  <c r="B360" i="43"/>
  <c r="Q360" i="43" s="1"/>
  <c r="C360" i="43"/>
  <c r="J360" i="43" s="1"/>
  <c r="F246" i="43"/>
  <c r="AC246" i="43" s="1"/>
  <c r="I234" i="43"/>
  <c r="AJ234" i="43"/>
  <c r="F257" i="43"/>
  <c r="AC257" i="43" s="1"/>
  <c r="AB245" i="43"/>
  <c r="I245" i="43"/>
  <c r="AA245" i="43"/>
  <c r="AJ245" i="43"/>
  <c r="AN362" i="43"/>
  <c r="F301" i="43"/>
  <c r="AC301" i="43" s="1"/>
  <c r="AB289" i="43"/>
  <c r="AJ289" i="43"/>
  <c r="AA289" i="43"/>
  <c r="I289" i="43"/>
  <c r="B359" i="43"/>
  <c r="Q359" i="43" s="1"/>
  <c r="C359" i="43"/>
  <c r="J359" i="43" s="1"/>
  <c r="F279" i="43"/>
  <c r="AC279" i="43" s="1"/>
  <c r="AA267" i="43"/>
  <c r="I267" i="43"/>
  <c r="AB267" i="43"/>
  <c r="AJ267" i="43"/>
  <c r="F345" i="43"/>
  <c r="AC345" i="43" s="1"/>
  <c r="AA333" i="43"/>
  <c r="AB333" i="43"/>
  <c r="AJ333" i="43"/>
  <c r="I333" i="43"/>
  <c r="B357" i="43"/>
  <c r="Q357" i="43" s="1"/>
  <c r="C357" i="43"/>
  <c r="J357" i="43" s="1"/>
  <c r="BY232" i="43"/>
  <c r="BX332" i="43"/>
  <c r="BY332" i="43" s="1"/>
  <c r="AK332" i="43"/>
  <c r="BW299" i="43"/>
  <c r="AN349" i="43"/>
  <c r="BW244" i="43"/>
  <c r="AK222" i="43"/>
  <c r="BX222" i="43"/>
  <c r="AN343" i="43"/>
  <c r="AN344" i="43"/>
  <c r="BX233" i="43"/>
  <c r="AK233" i="43"/>
  <c r="BW233" i="43"/>
  <c r="AN351" i="43"/>
  <c r="BX277" i="43"/>
  <c r="AK277" i="43"/>
  <c r="BW255" i="43"/>
  <c r="AN345" i="43"/>
  <c r="AJ344" i="43"/>
  <c r="F334" i="43"/>
  <c r="AC334" i="43" s="1"/>
  <c r="AB322" i="43"/>
  <c r="AJ322" i="43"/>
  <c r="I322" i="43"/>
  <c r="AA322" i="43"/>
  <c r="F323" i="43"/>
  <c r="AC323" i="43" s="1"/>
  <c r="AB311" i="43"/>
  <c r="AJ311" i="43"/>
  <c r="I311" i="43"/>
  <c r="AA311" i="43"/>
  <c r="AN352" i="43"/>
  <c r="AK288" i="43"/>
  <c r="BX288" i="43"/>
  <c r="F268" i="43"/>
  <c r="AC268" i="43" s="1"/>
  <c r="AB256" i="43"/>
  <c r="AJ256" i="43"/>
  <c r="AA256" i="43"/>
  <c r="I256" i="43"/>
  <c r="I355" i="43"/>
  <c r="BW355" i="43" s="1"/>
  <c r="AA355" i="43"/>
  <c r="B355" i="43"/>
  <c r="Q355" i="43" s="1"/>
  <c r="H367" i="43"/>
  <c r="AC367" i="43" s="1"/>
  <c r="AB355" i="43"/>
  <c r="C355" i="43"/>
  <c r="J355" i="43" s="1"/>
  <c r="AA356" i="43"/>
  <c r="B356" i="43"/>
  <c r="AB356" i="43"/>
  <c r="C356" i="43"/>
  <c r="J356" i="43" s="1"/>
  <c r="I356" i="43"/>
  <c r="C358" i="43"/>
  <c r="J358" i="43" s="1"/>
  <c r="B358" i="43"/>
  <c r="Q358" i="43" s="1"/>
  <c r="B363" i="43"/>
  <c r="Q363" i="43" s="1"/>
  <c r="C363" i="43"/>
  <c r="J363" i="43" s="1"/>
  <c r="BW277" i="43"/>
  <c r="AN353" i="43"/>
  <c r="BX321" i="43"/>
  <c r="AK321" i="43"/>
  <c r="BY276" i="43"/>
  <c r="AY32" i="43"/>
  <c r="BY254" i="43"/>
  <c r="BY309" i="43"/>
  <c r="BX310" i="43"/>
  <c r="AK310" i="43"/>
  <c r="AK266" i="43"/>
  <c r="BX266" i="43"/>
  <c r="AY34" i="43"/>
  <c r="B364" i="43"/>
  <c r="Q364" i="43" s="1"/>
  <c r="C364" i="43"/>
  <c r="J364" i="43" s="1"/>
  <c r="AN348" i="43"/>
  <c r="BX244" i="43"/>
  <c r="AK244" i="43"/>
  <c r="BW222" i="43"/>
  <c r="AN346" i="43"/>
  <c r="AN366" i="43"/>
  <c r="AN347" i="43"/>
  <c r="B365" i="43"/>
  <c r="Q365" i="43" s="1"/>
  <c r="C365" i="43"/>
  <c r="J365" i="43" s="1"/>
  <c r="AK255" i="43"/>
  <c r="BX255" i="43"/>
  <c r="BW321" i="43"/>
  <c r="BW343" i="43"/>
  <c r="AY33" i="43"/>
  <c r="BY299" i="42"/>
  <c r="BY310" i="42"/>
  <c r="AK333" i="42"/>
  <c r="BX333" i="42"/>
  <c r="BY333" i="42" s="1"/>
  <c r="AN346" i="42"/>
  <c r="F258" i="42"/>
  <c r="AC258" i="42" s="1"/>
  <c r="I246" i="42"/>
  <c r="AJ246" i="42"/>
  <c r="C365" i="42"/>
  <c r="J365" i="42" s="1"/>
  <c r="B365" i="42"/>
  <c r="Q365" i="42" s="1"/>
  <c r="AN351" i="42"/>
  <c r="BW256" i="42"/>
  <c r="F302" i="42"/>
  <c r="AC302" i="42" s="1"/>
  <c r="I290" i="42"/>
  <c r="AA290" i="42"/>
  <c r="AJ290" i="42"/>
  <c r="AB290" i="42"/>
  <c r="C361" i="42"/>
  <c r="J361" i="42" s="1"/>
  <c r="B361" i="42"/>
  <c r="Q361" i="42" s="1"/>
  <c r="AN345" i="42"/>
  <c r="AK311" i="42"/>
  <c r="BX311" i="42"/>
  <c r="AN344" i="42"/>
  <c r="BX322" i="42"/>
  <c r="AK322" i="42"/>
  <c r="F346" i="42"/>
  <c r="AC346" i="42" s="1"/>
  <c r="AA334" i="42"/>
  <c r="I334" i="42"/>
  <c r="AJ334" i="42"/>
  <c r="AB334" i="42"/>
  <c r="F324" i="42"/>
  <c r="AC324" i="42" s="1"/>
  <c r="AA312" i="42"/>
  <c r="AB312" i="42"/>
  <c r="I312" i="42"/>
  <c r="AJ312" i="42"/>
  <c r="B359" i="42"/>
  <c r="Q359" i="42" s="1"/>
  <c r="C359" i="42"/>
  <c r="J359" i="42" s="1"/>
  <c r="AJ344" i="42"/>
  <c r="BY255" i="42"/>
  <c r="BY266" i="42"/>
  <c r="AK234" i="42"/>
  <c r="BX234" i="42"/>
  <c r="BW234" i="42"/>
  <c r="AN353" i="42"/>
  <c r="B363" i="42"/>
  <c r="Q363" i="42" s="1"/>
  <c r="C363" i="42"/>
  <c r="J363" i="42" s="1"/>
  <c r="BW278" i="42"/>
  <c r="AN349" i="42"/>
  <c r="BX289" i="42"/>
  <c r="AK289" i="42"/>
  <c r="F313" i="42"/>
  <c r="AC313" i="42" s="1"/>
  <c r="AJ301" i="42"/>
  <c r="AA301" i="42"/>
  <c r="I301" i="42"/>
  <c r="AB301" i="42"/>
  <c r="BW311" i="42"/>
  <c r="BW322" i="42"/>
  <c r="F269" i="42"/>
  <c r="AC269" i="42" s="1"/>
  <c r="AJ257" i="42"/>
  <c r="AA257" i="42"/>
  <c r="I257" i="42"/>
  <c r="AB257" i="42"/>
  <c r="B360" i="42"/>
  <c r="Q360" i="42" s="1"/>
  <c r="C360" i="42"/>
  <c r="J360" i="42" s="1"/>
  <c r="AJ345" i="42"/>
  <c r="BY277" i="42"/>
  <c r="AN354" i="42"/>
  <c r="F280" i="42"/>
  <c r="AC280" i="42" s="1"/>
  <c r="AA268" i="42"/>
  <c r="AJ268" i="42"/>
  <c r="I268" i="42"/>
  <c r="AB268" i="42"/>
  <c r="B362" i="42"/>
  <c r="Q362" i="42" s="1"/>
  <c r="C362" i="42"/>
  <c r="J362" i="42" s="1"/>
  <c r="BW289" i="42"/>
  <c r="AK300" i="42"/>
  <c r="BX300" i="42"/>
  <c r="AK267" i="42"/>
  <c r="BX267" i="42"/>
  <c r="F291" i="42"/>
  <c r="AC291" i="42" s="1"/>
  <c r="AJ279" i="42"/>
  <c r="AB279" i="42"/>
  <c r="I279" i="42"/>
  <c r="AA279" i="42"/>
  <c r="AA355" i="42"/>
  <c r="B355" i="42"/>
  <c r="Q355" i="42" s="1"/>
  <c r="H367" i="42"/>
  <c r="AC367" i="42" s="1"/>
  <c r="AB355" i="42"/>
  <c r="C355" i="42"/>
  <c r="J355" i="42" s="1"/>
  <c r="I355" i="42"/>
  <c r="BW355" i="42" s="1"/>
  <c r="BX245" i="42"/>
  <c r="AK245" i="42"/>
  <c r="AN348" i="42"/>
  <c r="BW345" i="42"/>
  <c r="BY288" i="42"/>
  <c r="B366" i="42"/>
  <c r="Q366" i="42" s="1"/>
  <c r="C366" i="42"/>
  <c r="J366" i="42" s="1"/>
  <c r="B358" i="42"/>
  <c r="Q358" i="42" s="1"/>
  <c r="C358" i="42"/>
  <c r="J358" i="42" s="1"/>
  <c r="BX256" i="42"/>
  <c r="AK256" i="42"/>
  <c r="AK278" i="42"/>
  <c r="BX278" i="42"/>
  <c r="AN364" i="42"/>
  <c r="AB357" i="42"/>
  <c r="C357" i="42"/>
  <c r="J357" i="42" s="1"/>
  <c r="I357" i="42"/>
  <c r="BW357" i="42" s="1"/>
  <c r="AA357" i="42"/>
  <c r="B357" i="42"/>
  <c r="Q357" i="42" s="1"/>
  <c r="AN350" i="42"/>
  <c r="F335" i="42"/>
  <c r="AC335" i="42" s="1"/>
  <c r="AB323" i="42"/>
  <c r="AJ323" i="42"/>
  <c r="I323" i="42"/>
  <c r="AA323" i="42"/>
  <c r="AA356" i="42"/>
  <c r="B356" i="42"/>
  <c r="Q356" i="42" s="1"/>
  <c r="AB356" i="42"/>
  <c r="C356" i="42"/>
  <c r="J356" i="42" s="1"/>
  <c r="I356" i="42"/>
  <c r="BW300" i="42"/>
  <c r="AN347" i="42"/>
  <c r="BW267" i="42"/>
  <c r="AN343" i="42"/>
  <c r="BW245" i="42"/>
  <c r="C36" i="35"/>
  <c r="P36" i="35" s="1"/>
  <c r="B40" i="35"/>
  <c r="R74" i="35"/>
  <c r="R38" i="35"/>
  <c r="S73" i="35"/>
  <c r="T73" i="35" s="1"/>
  <c r="S37" i="35"/>
  <c r="AA74" i="35" l="1"/>
  <c r="Z74" i="35"/>
  <c r="BX343" i="42"/>
  <c r="BY343" i="42" s="1"/>
  <c r="AJ355" i="42"/>
  <c r="BX355" i="42" s="1"/>
  <c r="BY355" i="42" s="1"/>
  <c r="AJ356" i="42"/>
  <c r="BX356" i="42" s="1"/>
  <c r="AJ356" i="43"/>
  <c r="AK356" i="43" s="1"/>
  <c r="Q356" i="43"/>
  <c r="BX343" i="43"/>
  <c r="BY343" i="43" s="1"/>
  <c r="BY289" i="42"/>
  <c r="BY222" i="43"/>
  <c r="BY299" i="43"/>
  <c r="BY300" i="42"/>
  <c r="BY277" i="43"/>
  <c r="BY267" i="42"/>
  <c r="BY245" i="42"/>
  <c r="AN365" i="43"/>
  <c r="AN363" i="43"/>
  <c r="F280" i="43"/>
  <c r="AC280" i="43" s="1"/>
  <c r="AJ268" i="43"/>
  <c r="AA268" i="43"/>
  <c r="I268" i="43"/>
  <c r="AB268" i="43"/>
  <c r="AK311" i="43"/>
  <c r="BX311" i="43"/>
  <c r="BX344" i="43"/>
  <c r="BY344" i="43" s="1"/>
  <c r="AK344" i="43"/>
  <c r="AY35" i="43"/>
  <c r="AK267" i="43"/>
  <c r="BX267" i="43"/>
  <c r="AN359" i="43"/>
  <c r="F269" i="43"/>
  <c r="AC269" i="43" s="1"/>
  <c r="I257" i="43"/>
  <c r="AA257" i="43"/>
  <c r="AB257" i="43"/>
  <c r="AJ257" i="43"/>
  <c r="F258" i="43"/>
  <c r="AC258" i="43" s="1"/>
  <c r="I246" i="43"/>
  <c r="AJ246" i="43"/>
  <c r="AN361" i="43"/>
  <c r="BW300" i="43"/>
  <c r="F324" i="43"/>
  <c r="AC324" i="43" s="1"/>
  <c r="I312" i="43"/>
  <c r="AB312" i="43"/>
  <c r="AA312" i="43"/>
  <c r="AJ312" i="43"/>
  <c r="BY321" i="43"/>
  <c r="BW356" i="43"/>
  <c r="BY233" i="43"/>
  <c r="BW256" i="43"/>
  <c r="BW311" i="43"/>
  <c r="F335" i="43"/>
  <c r="AC335" i="43" s="1"/>
  <c r="AA323" i="43"/>
  <c r="AJ323" i="43"/>
  <c r="I323" i="43"/>
  <c r="AB323" i="43"/>
  <c r="AN357" i="43"/>
  <c r="AK333" i="43"/>
  <c r="BX333" i="43"/>
  <c r="F357" i="43"/>
  <c r="AC357" i="43" s="1"/>
  <c r="AB345" i="43"/>
  <c r="AJ345" i="43"/>
  <c r="I345" i="43"/>
  <c r="AA345" i="43"/>
  <c r="BW267" i="43"/>
  <c r="BX289" i="43"/>
  <c r="AK289" i="43"/>
  <c r="BX245" i="43"/>
  <c r="AK245" i="43"/>
  <c r="AK234" i="43"/>
  <c r="BX234" i="43"/>
  <c r="BW234" i="43"/>
  <c r="AN360" i="43"/>
  <c r="F302" i="43"/>
  <c r="AC302" i="43" s="1"/>
  <c r="AB290" i="43"/>
  <c r="AJ290" i="43"/>
  <c r="I290" i="43"/>
  <c r="AA290" i="43"/>
  <c r="BY255" i="43"/>
  <c r="BY244" i="43"/>
  <c r="AN364" i="43"/>
  <c r="AN356" i="43"/>
  <c r="AN355" i="43"/>
  <c r="AK322" i="43"/>
  <c r="BX322" i="43"/>
  <c r="BW333" i="43"/>
  <c r="F313" i="43"/>
  <c r="AC313" i="43" s="1"/>
  <c r="AB301" i="43"/>
  <c r="AJ301" i="43"/>
  <c r="AA301" i="43"/>
  <c r="I301" i="43"/>
  <c r="AK300" i="43"/>
  <c r="BX300" i="43"/>
  <c r="AK278" i="43"/>
  <c r="BX278" i="43"/>
  <c r="AJ355" i="43"/>
  <c r="BY288" i="43"/>
  <c r="AN358" i="43"/>
  <c r="I367" i="43"/>
  <c r="BW367" i="43" s="1"/>
  <c r="BY367" i="43" s="1"/>
  <c r="AA367" i="43"/>
  <c r="B367" i="43"/>
  <c r="Q367" i="43" s="1"/>
  <c r="AB367" i="43"/>
  <c r="C367" i="43"/>
  <c r="J367" i="43" s="1"/>
  <c r="BE17" i="43"/>
  <c r="BE14" i="43"/>
  <c r="BE7" i="43"/>
  <c r="BE11" i="43"/>
  <c r="BE19" i="43"/>
  <c r="BE9" i="43"/>
  <c r="BE12" i="43"/>
  <c r="AY29" i="43"/>
  <c r="BE15" i="43"/>
  <c r="BE10" i="43"/>
  <c r="BE13" i="43"/>
  <c r="BE8" i="43"/>
  <c r="BE16" i="43"/>
  <c r="AY28" i="43"/>
  <c r="AY31" i="43"/>
  <c r="AY30" i="43"/>
  <c r="BX256" i="43"/>
  <c r="AK256" i="43"/>
  <c r="BW322" i="43"/>
  <c r="F346" i="43"/>
  <c r="AC346" i="43" s="1"/>
  <c r="AA334" i="43"/>
  <c r="I334" i="43"/>
  <c r="AB334" i="43"/>
  <c r="AJ334" i="43"/>
  <c r="F291" i="43"/>
  <c r="AC291" i="43" s="1"/>
  <c r="I279" i="43"/>
  <c r="AB279" i="43"/>
  <c r="AA279" i="43"/>
  <c r="AJ279" i="43"/>
  <c r="BW289" i="43"/>
  <c r="BW245" i="43"/>
  <c r="BW278" i="43"/>
  <c r="BY266" i="43"/>
  <c r="BY310" i="43"/>
  <c r="BY234" i="42"/>
  <c r="BY322" i="42"/>
  <c r="BY311" i="42"/>
  <c r="BW323" i="42"/>
  <c r="F347" i="42"/>
  <c r="AC347" i="42" s="1"/>
  <c r="AA335" i="42"/>
  <c r="AJ335" i="42"/>
  <c r="I335" i="42"/>
  <c r="AB335" i="42"/>
  <c r="BW279" i="42"/>
  <c r="F303" i="42"/>
  <c r="AC303" i="42" s="1"/>
  <c r="AB291" i="42"/>
  <c r="I291" i="42"/>
  <c r="AA291" i="42"/>
  <c r="AJ291" i="42"/>
  <c r="BX268" i="42"/>
  <c r="AK268" i="42"/>
  <c r="BX301" i="42"/>
  <c r="AK301" i="42"/>
  <c r="AN359" i="42"/>
  <c r="F358" i="42"/>
  <c r="AC358" i="42" s="1"/>
  <c r="AA346" i="42"/>
  <c r="AJ346" i="42"/>
  <c r="I346" i="42"/>
  <c r="AB346" i="42"/>
  <c r="BW356" i="42"/>
  <c r="BY256" i="42"/>
  <c r="AK356" i="42"/>
  <c r="AK279" i="42"/>
  <c r="BX279" i="42"/>
  <c r="BW268" i="42"/>
  <c r="BW257" i="42"/>
  <c r="BW312" i="42"/>
  <c r="AN361" i="42"/>
  <c r="F270" i="42"/>
  <c r="AC270" i="42" s="1"/>
  <c r="I258" i="42"/>
  <c r="AJ258" i="42"/>
  <c r="AN356" i="42"/>
  <c r="AN358" i="42"/>
  <c r="AN355" i="42"/>
  <c r="AN362" i="42"/>
  <c r="F292" i="42"/>
  <c r="AC292" i="42" s="1"/>
  <c r="AA280" i="42"/>
  <c r="AJ280" i="42"/>
  <c r="AB280" i="42"/>
  <c r="I280" i="42"/>
  <c r="AN360" i="42"/>
  <c r="F281" i="42"/>
  <c r="AC281" i="42" s="1"/>
  <c r="I269" i="42"/>
  <c r="AB269" i="42"/>
  <c r="AA269" i="42"/>
  <c r="AJ269" i="42"/>
  <c r="BW301" i="42"/>
  <c r="F325" i="42"/>
  <c r="AC325" i="42" s="1"/>
  <c r="AJ313" i="42"/>
  <c r="AA313" i="42"/>
  <c r="I313" i="42"/>
  <c r="AB313" i="42"/>
  <c r="AN363" i="42"/>
  <c r="F336" i="42"/>
  <c r="AC336" i="42" s="1"/>
  <c r="AA324" i="42"/>
  <c r="I324" i="42"/>
  <c r="AB324" i="42"/>
  <c r="AJ324" i="42"/>
  <c r="BW334" i="42"/>
  <c r="AK290" i="42"/>
  <c r="BX290" i="42"/>
  <c r="F314" i="42"/>
  <c r="AC314" i="42" s="1"/>
  <c r="AJ302" i="42"/>
  <c r="AA302" i="42"/>
  <c r="I302" i="42"/>
  <c r="AB302" i="42"/>
  <c r="AK246" i="42"/>
  <c r="BX246" i="42"/>
  <c r="BW246" i="42"/>
  <c r="AK323" i="42"/>
  <c r="BX323" i="42"/>
  <c r="AN357" i="42"/>
  <c r="AN366" i="42"/>
  <c r="AA367" i="42"/>
  <c r="B367" i="42"/>
  <c r="Q367" i="42" s="1"/>
  <c r="AB367" i="42"/>
  <c r="C367" i="42"/>
  <c r="J367" i="42" s="1"/>
  <c r="I367" i="42"/>
  <c r="BW367" i="42" s="1"/>
  <c r="BY367" i="42" s="1"/>
  <c r="BE14" i="42"/>
  <c r="BE18" i="42"/>
  <c r="BE9" i="42"/>
  <c r="BE11" i="42"/>
  <c r="BE13" i="42"/>
  <c r="BE8" i="42"/>
  <c r="BE10" i="42"/>
  <c r="BE17" i="42"/>
  <c r="BE16" i="42"/>
  <c r="BE12" i="42"/>
  <c r="BE15" i="42"/>
  <c r="BE7" i="42"/>
  <c r="AK345" i="42"/>
  <c r="BX345" i="42"/>
  <c r="BY345" i="42" s="1"/>
  <c r="BX257" i="42"/>
  <c r="AK257" i="42"/>
  <c r="AK344" i="42"/>
  <c r="BX344" i="42"/>
  <c r="BY344" i="42" s="1"/>
  <c r="AK312" i="42"/>
  <c r="BX312" i="42"/>
  <c r="AK334" i="42"/>
  <c r="BX334" i="42"/>
  <c r="BW290" i="42"/>
  <c r="AN365" i="42"/>
  <c r="AJ357" i="42"/>
  <c r="BY278" i="42"/>
  <c r="C37" i="35"/>
  <c r="P37" i="35" s="1"/>
  <c r="B41" i="35"/>
  <c r="R75" i="35"/>
  <c r="Z75" i="35" s="1"/>
  <c r="R39" i="35"/>
  <c r="S74" i="35"/>
  <c r="T74" i="35" s="1"/>
  <c r="S38" i="35"/>
  <c r="AK355" i="42" l="1"/>
  <c r="AJ367" i="42"/>
  <c r="BX367" i="42" s="1"/>
  <c r="BX356" i="43"/>
  <c r="BY356" i="43" s="1"/>
  <c r="BY267" i="43"/>
  <c r="BY245" i="43"/>
  <c r="BY322" i="43"/>
  <c r="BY333" i="43"/>
  <c r="BY301" i="42"/>
  <c r="BY289" i="43"/>
  <c r="BY311" i="43"/>
  <c r="BY290" i="42"/>
  <c r="BY278" i="43"/>
  <c r="BY234" i="43"/>
  <c r="BE25" i="43" s="1"/>
  <c r="BE18" i="43"/>
  <c r="BE20" i="43"/>
  <c r="BE22" i="43"/>
  <c r="BE21" i="43"/>
  <c r="BE24" i="43"/>
  <c r="BE23" i="43"/>
  <c r="F303" i="43"/>
  <c r="AC303" i="43" s="1"/>
  <c r="I291" i="43"/>
  <c r="AA291" i="43"/>
  <c r="AB291" i="43"/>
  <c r="AJ291" i="43"/>
  <c r="BW334" i="43"/>
  <c r="F325" i="43"/>
  <c r="AC325" i="43" s="1"/>
  <c r="I313" i="43"/>
  <c r="AB313" i="43"/>
  <c r="AA313" i="43"/>
  <c r="AJ313" i="43"/>
  <c r="BX290" i="43"/>
  <c r="AK290" i="43"/>
  <c r="AK312" i="43"/>
  <c r="BX312" i="43"/>
  <c r="BW312" i="43"/>
  <c r="BX257" i="43"/>
  <c r="AK257" i="43"/>
  <c r="BW257" i="43"/>
  <c r="BW268" i="43"/>
  <c r="BY268" i="42"/>
  <c r="BY256" i="43"/>
  <c r="AK279" i="43"/>
  <c r="BX279" i="43"/>
  <c r="BW279" i="43"/>
  <c r="BW301" i="43"/>
  <c r="BW290" i="43"/>
  <c r="F314" i="43"/>
  <c r="AC314" i="43" s="1"/>
  <c r="AB302" i="43"/>
  <c r="AJ302" i="43"/>
  <c r="I302" i="43"/>
  <c r="AA302" i="43"/>
  <c r="AK345" i="43"/>
  <c r="BX345" i="43"/>
  <c r="AK323" i="43"/>
  <c r="BX323" i="43"/>
  <c r="F270" i="43"/>
  <c r="AC270" i="43" s="1"/>
  <c r="I258" i="43"/>
  <c r="AJ258" i="43"/>
  <c r="F292" i="43"/>
  <c r="AC292" i="43" s="1"/>
  <c r="I280" i="43"/>
  <c r="AB280" i="43"/>
  <c r="AA280" i="43"/>
  <c r="AJ280" i="43"/>
  <c r="BY300" i="43"/>
  <c r="F358" i="43"/>
  <c r="AC358" i="43" s="1"/>
  <c r="AA346" i="43"/>
  <c r="AJ346" i="43"/>
  <c r="I346" i="43"/>
  <c r="AB346" i="43"/>
  <c r="BW345" i="43"/>
  <c r="I357" i="43"/>
  <c r="AB357" i="43"/>
  <c r="AA357" i="43"/>
  <c r="AJ357" i="43"/>
  <c r="BW323" i="43"/>
  <c r="F347" i="43"/>
  <c r="AC347" i="43" s="1"/>
  <c r="AA335" i="43"/>
  <c r="I335" i="43"/>
  <c r="AB335" i="43"/>
  <c r="AJ335" i="43"/>
  <c r="AK246" i="43"/>
  <c r="BX246" i="43"/>
  <c r="BW246" i="43"/>
  <c r="BX268" i="43"/>
  <c r="AK268" i="43"/>
  <c r="AK334" i="43"/>
  <c r="BX334" i="43"/>
  <c r="AN367" i="43"/>
  <c r="AK355" i="43"/>
  <c r="BX355" i="43"/>
  <c r="BY355" i="43" s="1"/>
  <c r="BX301" i="43"/>
  <c r="AK301" i="43"/>
  <c r="AY36" i="43"/>
  <c r="F336" i="43"/>
  <c r="AC336" i="43" s="1"/>
  <c r="I324" i="43"/>
  <c r="AB324" i="43"/>
  <c r="AA324" i="43"/>
  <c r="AJ324" i="43"/>
  <c r="F281" i="43"/>
  <c r="AC281" i="43" s="1"/>
  <c r="AJ269" i="43"/>
  <c r="I269" i="43"/>
  <c r="AA269" i="43"/>
  <c r="AB269" i="43"/>
  <c r="BY246" i="42"/>
  <c r="BE26" i="42" s="1"/>
  <c r="AJ367" i="43"/>
  <c r="BE21" i="42"/>
  <c r="BE25" i="42"/>
  <c r="BE24" i="42"/>
  <c r="BE19" i="42"/>
  <c r="BE23" i="42"/>
  <c r="BE20" i="42"/>
  <c r="BE22" i="42"/>
  <c r="BX357" i="42"/>
  <c r="BY357" i="42" s="1"/>
  <c r="AK357" i="42"/>
  <c r="F337" i="42"/>
  <c r="AC337" i="42" s="1"/>
  <c r="I325" i="42"/>
  <c r="AA325" i="42"/>
  <c r="AJ325" i="42"/>
  <c r="AB325" i="42"/>
  <c r="F304" i="42"/>
  <c r="AC304" i="42" s="1"/>
  <c r="AB292" i="42"/>
  <c r="I292" i="42"/>
  <c r="AA292" i="42"/>
  <c r="AJ292" i="42"/>
  <c r="BW258" i="42"/>
  <c r="BW291" i="42"/>
  <c r="BW335" i="42"/>
  <c r="BW324" i="42"/>
  <c r="BX313" i="42"/>
  <c r="AK313" i="42"/>
  <c r="BW280" i="42"/>
  <c r="AK258" i="42"/>
  <c r="BX258" i="42"/>
  <c r="F282" i="42"/>
  <c r="AC282" i="42" s="1"/>
  <c r="AA270" i="42"/>
  <c r="AB270" i="42"/>
  <c r="AJ270" i="42"/>
  <c r="I270" i="42"/>
  <c r="BX346" i="42"/>
  <c r="AK346" i="42"/>
  <c r="F315" i="42"/>
  <c r="AC315" i="42" s="1"/>
  <c r="AJ303" i="42"/>
  <c r="AB303" i="42"/>
  <c r="I303" i="42"/>
  <c r="AA303" i="42"/>
  <c r="F359" i="42"/>
  <c r="AC359" i="42" s="1"/>
  <c r="AJ347" i="42"/>
  <c r="I347" i="42"/>
  <c r="AA347" i="42"/>
  <c r="AB347" i="42"/>
  <c r="BW302" i="42"/>
  <c r="F326" i="42"/>
  <c r="AC326" i="42" s="1"/>
  <c r="AJ314" i="42"/>
  <c r="I314" i="42"/>
  <c r="AB314" i="42"/>
  <c r="AA314" i="42"/>
  <c r="F348" i="42"/>
  <c r="AC348" i="42" s="1"/>
  <c r="AA336" i="42"/>
  <c r="AJ336" i="42"/>
  <c r="I336" i="42"/>
  <c r="AB336" i="42"/>
  <c r="F293" i="42"/>
  <c r="AC293" i="42" s="1"/>
  <c r="I281" i="42"/>
  <c r="AJ281" i="42"/>
  <c r="AA281" i="42"/>
  <c r="AB281" i="42"/>
  <c r="BW346" i="42"/>
  <c r="AK291" i="42"/>
  <c r="BX291" i="42"/>
  <c r="BY334" i="42"/>
  <c r="BY356" i="42"/>
  <c r="AN367" i="42"/>
  <c r="BX302" i="42"/>
  <c r="AK302" i="42"/>
  <c r="BX324" i="42"/>
  <c r="AK324" i="42"/>
  <c r="BW313" i="42"/>
  <c r="BX269" i="42"/>
  <c r="AK269" i="42"/>
  <c r="BW269" i="42"/>
  <c r="BX280" i="42"/>
  <c r="AK280" i="42"/>
  <c r="AB358" i="42"/>
  <c r="AJ358" i="42"/>
  <c r="I358" i="42"/>
  <c r="AA358" i="42"/>
  <c r="BX335" i="42"/>
  <c r="AK335" i="42"/>
  <c r="BY312" i="42"/>
  <c r="BY257" i="42"/>
  <c r="BY279" i="42"/>
  <c r="BY323" i="42"/>
  <c r="C38" i="35"/>
  <c r="P38" i="35" s="1"/>
  <c r="B42" i="35"/>
  <c r="R76" i="35"/>
  <c r="Z76" i="35" s="1"/>
  <c r="S39" i="35"/>
  <c r="R40" i="35"/>
  <c r="S75" i="35"/>
  <c r="T75" i="35" s="1"/>
  <c r="BY313" i="42" l="1"/>
  <c r="AK367" i="42"/>
  <c r="BY246" i="43"/>
  <c r="BE26" i="43" s="1"/>
  <c r="BY346" i="42"/>
  <c r="BY323" i="43"/>
  <c r="BY290" i="43"/>
  <c r="BY257" i="43"/>
  <c r="AK367" i="43"/>
  <c r="BX367" i="43"/>
  <c r="BX269" i="43"/>
  <c r="AK269" i="43"/>
  <c r="F359" i="43"/>
  <c r="AC359" i="43" s="1"/>
  <c r="AA347" i="43"/>
  <c r="AJ347" i="43"/>
  <c r="I347" i="43"/>
  <c r="AB347" i="43"/>
  <c r="BX280" i="43"/>
  <c r="AK280" i="43"/>
  <c r="BW280" i="43"/>
  <c r="AK291" i="43"/>
  <c r="BX291" i="43"/>
  <c r="BW291" i="43"/>
  <c r="BW269" i="43"/>
  <c r="F348" i="43"/>
  <c r="AC348" i="43" s="1"/>
  <c r="AB336" i="43"/>
  <c r="AJ336" i="43"/>
  <c r="I336" i="43"/>
  <c r="AA336" i="43"/>
  <c r="BX335" i="43"/>
  <c r="AK335" i="43"/>
  <c r="F282" i="43"/>
  <c r="AC282" i="43" s="1"/>
  <c r="AB270" i="43"/>
  <c r="AJ270" i="43"/>
  <c r="AA270" i="43"/>
  <c r="I270" i="43"/>
  <c r="F337" i="43"/>
  <c r="AC337" i="43" s="1"/>
  <c r="AJ325" i="43"/>
  <c r="I325" i="43"/>
  <c r="AA325" i="43"/>
  <c r="AB325" i="43"/>
  <c r="BY345" i="43"/>
  <c r="BY301" i="43"/>
  <c r="BY279" i="43"/>
  <c r="BY312" i="43"/>
  <c r="BX324" i="43"/>
  <c r="AK324" i="43"/>
  <c r="BW324" i="43"/>
  <c r="BW335" i="43"/>
  <c r="AK346" i="43"/>
  <c r="BX346" i="43"/>
  <c r="AK258" i="43"/>
  <c r="BX258" i="43"/>
  <c r="BW258" i="43"/>
  <c r="BX302" i="43"/>
  <c r="AK302" i="43"/>
  <c r="BX313" i="43"/>
  <c r="AK313" i="43"/>
  <c r="BW313" i="43"/>
  <c r="F293" i="43"/>
  <c r="AC293" i="43" s="1"/>
  <c r="AA281" i="43"/>
  <c r="AB281" i="43"/>
  <c r="AJ281" i="43"/>
  <c r="I281" i="43"/>
  <c r="BX357" i="43"/>
  <c r="AK357" i="43"/>
  <c r="BW357" i="43"/>
  <c r="BW346" i="43"/>
  <c r="AJ358" i="43"/>
  <c r="I358" i="43"/>
  <c r="AA358" i="43"/>
  <c r="AB358" i="43"/>
  <c r="F304" i="43"/>
  <c r="AC304" i="43" s="1"/>
  <c r="AJ292" i="43"/>
  <c r="AA292" i="43"/>
  <c r="I292" i="43"/>
  <c r="AB292" i="43"/>
  <c r="BW302" i="43"/>
  <c r="F326" i="43"/>
  <c r="AC326" i="43" s="1"/>
  <c r="AJ314" i="43"/>
  <c r="I314" i="43"/>
  <c r="AA314" i="43"/>
  <c r="AB314" i="43"/>
  <c r="F315" i="43"/>
  <c r="AC315" i="43" s="1"/>
  <c r="AJ303" i="43"/>
  <c r="I303" i="43"/>
  <c r="AA303" i="43"/>
  <c r="AB303" i="43"/>
  <c r="BY268" i="43"/>
  <c r="BY334" i="43"/>
  <c r="BY269" i="42"/>
  <c r="F305" i="42"/>
  <c r="AC305" i="42" s="1"/>
  <c r="AJ293" i="42"/>
  <c r="I293" i="42"/>
  <c r="AB293" i="42"/>
  <c r="AA293" i="42"/>
  <c r="F338" i="42"/>
  <c r="AC338" i="42" s="1"/>
  <c r="AB326" i="42"/>
  <c r="AA326" i="42"/>
  <c r="I326" i="42"/>
  <c r="AJ326" i="42"/>
  <c r="BW270" i="42"/>
  <c r="BX292" i="42"/>
  <c r="AK292" i="42"/>
  <c r="BY324" i="42"/>
  <c r="BW281" i="42"/>
  <c r="BX336" i="42"/>
  <c r="AK336" i="42"/>
  <c r="AA359" i="42"/>
  <c r="AJ359" i="42"/>
  <c r="AB359" i="42"/>
  <c r="I359" i="42"/>
  <c r="AK303" i="42"/>
  <c r="BX303" i="42"/>
  <c r="BX325" i="42"/>
  <c r="AK325" i="42"/>
  <c r="F349" i="42"/>
  <c r="AC349" i="42" s="1"/>
  <c r="I337" i="42"/>
  <c r="AA337" i="42"/>
  <c r="AJ337" i="42"/>
  <c r="AB337" i="42"/>
  <c r="AK358" i="42"/>
  <c r="BX358" i="42"/>
  <c r="BX281" i="42"/>
  <c r="AK281" i="42"/>
  <c r="BW336" i="42"/>
  <c r="F360" i="42"/>
  <c r="AC360" i="42" s="1"/>
  <c r="AB348" i="42"/>
  <c r="AJ348" i="42"/>
  <c r="I348" i="42"/>
  <c r="AA348" i="42"/>
  <c r="BX314" i="42"/>
  <c r="AK314" i="42"/>
  <c r="BX347" i="42"/>
  <c r="AK347" i="42"/>
  <c r="BW292" i="42"/>
  <c r="BW325" i="42"/>
  <c r="BY302" i="42"/>
  <c r="BY280" i="42"/>
  <c r="BW358" i="42"/>
  <c r="BW314" i="42"/>
  <c r="BW347" i="42"/>
  <c r="BW303" i="42"/>
  <c r="F327" i="42"/>
  <c r="AC327" i="42" s="1"/>
  <c r="I315" i="42"/>
  <c r="AA315" i="42"/>
  <c r="AB315" i="42"/>
  <c r="AJ315" i="42"/>
  <c r="AK270" i="42"/>
  <c r="BX270" i="42"/>
  <c r="F294" i="42"/>
  <c r="AC294" i="42" s="1"/>
  <c r="I282" i="42"/>
  <c r="AA282" i="42"/>
  <c r="AJ282" i="42"/>
  <c r="AB282" i="42"/>
  <c r="F316" i="42"/>
  <c r="AC316" i="42" s="1"/>
  <c r="AB304" i="42"/>
  <c r="I304" i="42"/>
  <c r="AA304" i="42"/>
  <c r="AJ304" i="42"/>
  <c r="BY335" i="42"/>
  <c r="BY291" i="42"/>
  <c r="BY258" i="42"/>
  <c r="BE27" i="42" s="1"/>
  <c r="C39" i="35"/>
  <c r="P39" i="35" s="1"/>
  <c r="B43" i="35"/>
  <c r="R77" i="35"/>
  <c r="S40" i="35"/>
  <c r="R41" i="35"/>
  <c r="S76" i="35"/>
  <c r="T76" i="35" s="1"/>
  <c r="AA77" i="35" l="1"/>
  <c r="Z77" i="35"/>
  <c r="BY347" i="42"/>
  <c r="BY357" i="43"/>
  <c r="BY303" i="42"/>
  <c r="BY335" i="43"/>
  <c r="BY302" i="43"/>
  <c r="BY346" i="43"/>
  <c r="BY258" i="43"/>
  <c r="BE27" i="43" s="1"/>
  <c r="BY292" i="42"/>
  <c r="BY269" i="43"/>
  <c r="BY313" i="43"/>
  <c r="BY324" i="43"/>
  <c r="BX314" i="43"/>
  <c r="AK314" i="43"/>
  <c r="BW358" i="43"/>
  <c r="AK303" i="43"/>
  <c r="BX303" i="43"/>
  <c r="BW314" i="43"/>
  <c r="BW281" i="43"/>
  <c r="BX325" i="43"/>
  <c r="AK325" i="43"/>
  <c r="AK270" i="43"/>
  <c r="BX270" i="43"/>
  <c r="BX336" i="43"/>
  <c r="AK336" i="43"/>
  <c r="BX347" i="43"/>
  <c r="AK347" i="43"/>
  <c r="F327" i="43"/>
  <c r="AC327" i="43" s="1"/>
  <c r="AB315" i="43"/>
  <c r="AJ315" i="43"/>
  <c r="I315" i="43"/>
  <c r="AA315" i="43"/>
  <c r="BW292" i="43"/>
  <c r="F316" i="43"/>
  <c r="AC316" i="43" s="1"/>
  <c r="AA304" i="43"/>
  <c r="AJ304" i="43"/>
  <c r="I304" i="43"/>
  <c r="AB304" i="43"/>
  <c r="F305" i="43"/>
  <c r="AC305" i="43" s="1"/>
  <c r="AB293" i="43"/>
  <c r="AJ293" i="43"/>
  <c r="AA293" i="43"/>
  <c r="I293" i="43"/>
  <c r="BW303" i="43"/>
  <c r="F338" i="43"/>
  <c r="AC338" i="43" s="1"/>
  <c r="AB326" i="43"/>
  <c r="AJ326" i="43"/>
  <c r="I326" i="43"/>
  <c r="AA326" i="43"/>
  <c r="AK292" i="43"/>
  <c r="BX292" i="43"/>
  <c r="F294" i="43"/>
  <c r="AC294" i="43" s="1"/>
  <c r="I282" i="43"/>
  <c r="AA282" i="43"/>
  <c r="AB282" i="43"/>
  <c r="AJ282" i="43"/>
  <c r="BW336" i="43"/>
  <c r="F360" i="43"/>
  <c r="AC360" i="43" s="1"/>
  <c r="AJ348" i="43"/>
  <c r="I348" i="43"/>
  <c r="AA348" i="43"/>
  <c r="AB348" i="43"/>
  <c r="BW347" i="43"/>
  <c r="I359" i="43"/>
  <c r="AA359" i="43"/>
  <c r="AB359" i="43"/>
  <c r="AJ359" i="43"/>
  <c r="BY291" i="43"/>
  <c r="BX358" i="43"/>
  <c r="AK358" i="43"/>
  <c r="BW325" i="43"/>
  <c r="BW270" i="43"/>
  <c r="BY314" i="42"/>
  <c r="BY325" i="42"/>
  <c r="BY336" i="42"/>
  <c r="BX281" i="43"/>
  <c r="AK281" i="43"/>
  <c r="F349" i="43"/>
  <c r="AC349" i="43" s="1"/>
  <c r="AB337" i="43"/>
  <c r="AJ337" i="43"/>
  <c r="I337" i="43"/>
  <c r="AA337" i="43"/>
  <c r="BY280" i="43"/>
  <c r="BY358" i="42"/>
  <c r="F306" i="42"/>
  <c r="AC306" i="42" s="1"/>
  <c r="AJ294" i="42"/>
  <c r="AA294" i="42"/>
  <c r="I294" i="42"/>
  <c r="AB294" i="42"/>
  <c r="F339" i="42"/>
  <c r="AC339" i="42" s="1"/>
  <c r="I327" i="42"/>
  <c r="AB327" i="42"/>
  <c r="AA327" i="42"/>
  <c r="AJ327" i="42"/>
  <c r="BW348" i="42"/>
  <c r="AB360" i="42"/>
  <c r="AA360" i="42"/>
  <c r="AJ360" i="42"/>
  <c r="I360" i="42"/>
  <c r="BW359" i="42"/>
  <c r="BW326" i="42"/>
  <c r="BX293" i="42"/>
  <c r="AK293" i="42"/>
  <c r="BY281" i="42"/>
  <c r="BW304" i="42"/>
  <c r="BW282" i="42"/>
  <c r="AK315" i="42"/>
  <c r="BX315" i="42"/>
  <c r="BW315" i="42"/>
  <c r="BX337" i="42"/>
  <c r="AK337" i="42"/>
  <c r="F361" i="42"/>
  <c r="AC361" i="42" s="1"/>
  <c r="AB349" i="42"/>
  <c r="I349" i="42"/>
  <c r="AA349" i="42"/>
  <c r="AJ349" i="42"/>
  <c r="AK359" i="42"/>
  <c r="BX359" i="42"/>
  <c r="AK326" i="42"/>
  <c r="BX326" i="42"/>
  <c r="F350" i="42"/>
  <c r="AC350" i="42" s="1"/>
  <c r="AB338" i="42"/>
  <c r="AJ338" i="42"/>
  <c r="AA338" i="42"/>
  <c r="I338" i="42"/>
  <c r="BW293" i="42"/>
  <c r="BY270" i="42"/>
  <c r="BE28" i="42" s="1"/>
  <c r="F328" i="42"/>
  <c r="AC328" i="42" s="1"/>
  <c r="AB316" i="42"/>
  <c r="AJ316" i="42"/>
  <c r="AA316" i="42"/>
  <c r="I316" i="42"/>
  <c r="BW337" i="42"/>
  <c r="AK304" i="42"/>
  <c r="BX304" i="42"/>
  <c r="AK282" i="42"/>
  <c r="BX282" i="42"/>
  <c r="AK348" i="42"/>
  <c r="BX348" i="42"/>
  <c r="F317" i="42"/>
  <c r="AC317" i="42" s="1"/>
  <c r="AJ305" i="42"/>
  <c r="AA305" i="42"/>
  <c r="I305" i="42"/>
  <c r="AB305" i="42"/>
  <c r="C40" i="35"/>
  <c r="P40" i="35" s="1"/>
  <c r="B44" i="35"/>
  <c r="R78" i="35"/>
  <c r="R42" i="35"/>
  <c r="S77" i="35"/>
  <c r="T77" i="35" s="1"/>
  <c r="S41" i="35"/>
  <c r="Z78" i="35" l="1"/>
  <c r="AA78" i="35"/>
  <c r="BY303" i="43"/>
  <c r="BY347" i="43"/>
  <c r="BY336" i="43"/>
  <c r="BY358" i="43"/>
  <c r="BY270" i="43"/>
  <c r="BE28" i="43" s="1"/>
  <c r="BW282" i="43"/>
  <c r="BW326" i="43"/>
  <c r="AK337" i="43"/>
  <c r="BX337" i="43"/>
  <c r="I360" i="43"/>
  <c r="AB360" i="43"/>
  <c r="AA360" i="43"/>
  <c r="AJ360" i="43"/>
  <c r="BX293" i="43"/>
  <c r="AK293" i="43"/>
  <c r="AK315" i="43"/>
  <c r="BX315" i="43"/>
  <c r="BY337" i="42"/>
  <c r="BY293" i="42"/>
  <c r="BW304" i="43"/>
  <c r="F328" i="43"/>
  <c r="AC328" i="43" s="1"/>
  <c r="AA316" i="43"/>
  <c r="I316" i="43"/>
  <c r="AJ316" i="43"/>
  <c r="AB316" i="43"/>
  <c r="BW337" i="43"/>
  <c r="F361" i="43"/>
  <c r="AC361" i="43" s="1"/>
  <c r="AB349" i="43"/>
  <c r="AJ349" i="43"/>
  <c r="I349" i="43"/>
  <c r="AA349" i="43"/>
  <c r="BX348" i="43"/>
  <c r="AK348" i="43"/>
  <c r="F317" i="43"/>
  <c r="AC317" i="43" s="1"/>
  <c r="AB305" i="43"/>
  <c r="AA305" i="43"/>
  <c r="AJ305" i="43"/>
  <c r="I305" i="43"/>
  <c r="BW315" i="43"/>
  <c r="F339" i="43"/>
  <c r="AC339" i="43" s="1"/>
  <c r="AB327" i="43"/>
  <c r="AA327" i="43"/>
  <c r="AJ327" i="43"/>
  <c r="I327" i="43"/>
  <c r="BY315" i="42"/>
  <c r="BY292" i="43"/>
  <c r="BY281" i="43"/>
  <c r="BY314" i="43"/>
  <c r="AK282" i="43"/>
  <c r="BX282" i="43"/>
  <c r="F350" i="43"/>
  <c r="AC350" i="43" s="1"/>
  <c r="AA338" i="43"/>
  <c r="I338" i="43"/>
  <c r="AB338" i="43"/>
  <c r="AJ338" i="43"/>
  <c r="AK359" i="43"/>
  <c r="BX359" i="43"/>
  <c r="BW359" i="43"/>
  <c r="BW348" i="43"/>
  <c r="F306" i="43"/>
  <c r="AC306" i="43" s="1"/>
  <c r="AJ294" i="43"/>
  <c r="I294" i="43"/>
  <c r="AA294" i="43"/>
  <c r="AB294" i="43"/>
  <c r="AK326" i="43"/>
  <c r="BX326" i="43"/>
  <c r="BW293" i="43"/>
  <c r="AK304" i="43"/>
  <c r="BX304" i="43"/>
  <c r="BY325" i="43"/>
  <c r="BY359" i="42"/>
  <c r="BW305" i="42"/>
  <c r="BW316" i="42"/>
  <c r="BX338" i="42"/>
  <c r="AK338" i="42"/>
  <c r="AK349" i="42"/>
  <c r="BX349" i="42"/>
  <c r="BW360" i="42"/>
  <c r="F318" i="42"/>
  <c r="AC318" i="42" s="1"/>
  <c r="AB306" i="42"/>
  <c r="AJ306" i="42"/>
  <c r="AA306" i="42"/>
  <c r="I306" i="42"/>
  <c r="F329" i="42"/>
  <c r="AC329" i="42" s="1"/>
  <c r="AA317" i="42"/>
  <c r="I317" i="42"/>
  <c r="AB317" i="42"/>
  <c r="AJ317" i="42"/>
  <c r="AK316" i="42"/>
  <c r="BX316" i="42"/>
  <c r="F362" i="42"/>
  <c r="AC362" i="42" s="1"/>
  <c r="AJ350" i="42"/>
  <c r="AA350" i="42"/>
  <c r="I350" i="42"/>
  <c r="AB350" i="42"/>
  <c r="BX294" i="42"/>
  <c r="AK294" i="42"/>
  <c r="BY282" i="42"/>
  <c r="BY304" i="42"/>
  <c r="BX305" i="42"/>
  <c r="AK305" i="42"/>
  <c r="BW338" i="42"/>
  <c r="BW349" i="42"/>
  <c r="F351" i="42"/>
  <c r="AC351" i="42" s="1"/>
  <c r="AJ339" i="42"/>
  <c r="AA339" i="42"/>
  <c r="I339" i="42"/>
  <c r="AB339" i="42"/>
  <c r="BY348" i="42"/>
  <c r="F340" i="42"/>
  <c r="AC340" i="42" s="1"/>
  <c r="AB328" i="42"/>
  <c r="AJ328" i="42"/>
  <c r="I328" i="42"/>
  <c r="AA328" i="42"/>
  <c r="AJ361" i="42"/>
  <c r="I361" i="42"/>
  <c r="AB361" i="42"/>
  <c r="AA361" i="42"/>
  <c r="BX360" i="42"/>
  <c r="AK360" i="42"/>
  <c r="BX327" i="42"/>
  <c r="AK327" i="42"/>
  <c r="BW327" i="42"/>
  <c r="BW294" i="42"/>
  <c r="BY326" i="42"/>
  <c r="C41" i="35"/>
  <c r="P41" i="35" s="1"/>
  <c r="R43" i="35"/>
  <c r="S78" i="35"/>
  <c r="T78" i="35" s="1"/>
  <c r="B45" i="35"/>
  <c r="R79" i="35"/>
  <c r="S42" i="35"/>
  <c r="Z79" i="35" l="1"/>
  <c r="AA79" i="35"/>
  <c r="BY294" i="42"/>
  <c r="BE30" i="42" s="1"/>
  <c r="BY327" i="42"/>
  <c r="BY293" i="43"/>
  <c r="BY359" i="43"/>
  <c r="BY348" i="43"/>
  <c r="BY349" i="42"/>
  <c r="BY315" i="43"/>
  <c r="BY337" i="43"/>
  <c r="AK327" i="43"/>
  <c r="BX327" i="43"/>
  <c r="F351" i="43"/>
  <c r="AC351" i="43" s="1"/>
  <c r="AA339" i="43"/>
  <c r="AJ339" i="43"/>
  <c r="I339" i="43"/>
  <c r="AB339" i="43"/>
  <c r="BX316" i="43"/>
  <c r="AK316" i="43"/>
  <c r="F340" i="43"/>
  <c r="AC340" i="43" s="1"/>
  <c r="AA328" i="43"/>
  <c r="AJ328" i="43"/>
  <c r="I328" i="43"/>
  <c r="AB328" i="43"/>
  <c r="AK360" i="43"/>
  <c r="BX360" i="43"/>
  <c r="BW360" i="43"/>
  <c r="BY326" i="43"/>
  <c r="BY282" i="43"/>
  <c r="F318" i="43"/>
  <c r="AC318" i="43" s="1"/>
  <c r="AB306" i="43"/>
  <c r="AJ306" i="43"/>
  <c r="I306" i="43"/>
  <c r="AA306" i="43"/>
  <c r="F362" i="43"/>
  <c r="AC362" i="43" s="1"/>
  <c r="AB350" i="43"/>
  <c r="AA350" i="43"/>
  <c r="AJ350" i="43"/>
  <c r="I350" i="43"/>
  <c r="BW327" i="43"/>
  <c r="AK349" i="43"/>
  <c r="BX349" i="43"/>
  <c r="BX294" i="43"/>
  <c r="AK294" i="43"/>
  <c r="AK338" i="43"/>
  <c r="BX338" i="43"/>
  <c r="BX305" i="43"/>
  <c r="AK305" i="43"/>
  <c r="F329" i="43"/>
  <c r="AC329" i="43" s="1"/>
  <c r="AB317" i="43"/>
  <c r="AJ317" i="43"/>
  <c r="I317" i="43"/>
  <c r="AA317" i="43"/>
  <c r="BW349" i="43"/>
  <c r="AA361" i="43"/>
  <c r="AJ361" i="43"/>
  <c r="I361" i="43"/>
  <c r="AB361" i="43"/>
  <c r="BY304" i="43"/>
  <c r="BW294" i="43"/>
  <c r="BW338" i="43"/>
  <c r="BW305" i="43"/>
  <c r="BW316" i="43"/>
  <c r="BY338" i="42"/>
  <c r="BW339" i="42"/>
  <c r="F363" i="42"/>
  <c r="AC363" i="42" s="1"/>
  <c r="AA351" i="42"/>
  <c r="AJ351" i="42"/>
  <c r="AB351" i="42"/>
  <c r="I351" i="42"/>
  <c r="BW350" i="42"/>
  <c r="F330" i="42"/>
  <c r="AC330" i="42" s="1"/>
  <c r="AJ318" i="42"/>
  <c r="I318" i="42"/>
  <c r="AA318" i="42"/>
  <c r="AB318" i="42"/>
  <c r="BX361" i="42"/>
  <c r="AK361" i="42"/>
  <c r="BX328" i="42"/>
  <c r="AK328" i="42"/>
  <c r="AJ362" i="42"/>
  <c r="I362" i="42"/>
  <c r="AA362" i="42"/>
  <c r="AB362" i="42"/>
  <c r="F341" i="42"/>
  <c r="AC341" i="42" s="1"/>
  <c r="AJ329" i="42"/>
  <c r="I329" i="42"/>
  <c r="AA329" i="42"/>
  <c r="AB329" i="42"/>
  <c r="BW306" i="42"/>
  <c r="BW361" i="42"/>
  <c r="BW328" i="42"/>
  <c r="F352" i="42"/>
  <c r="AC352" i="42" s="1"/>
  <c r="I340" i="42"/>
  <c r="AA340" i="42"/>
  <c r="AB340" i="42"/>
  <c r="AJ340" i="42"/>
  <c r="BX339" i="42"/>
  <c r="AK339" i="42"/>
  <c r="BX350" i="42"/>
  <c r="AK350" i="42"/>
  <c r="BX317" i="42"/>
  <c r="AK317" i="42"/>
  <c r="BY360" i="42"/>
  <c r="BY316" i="42"/>
  <c r="BY305" i="42"/>
  <c r="BW317" i="42"/>
  <c r="BX306" i="42"/>
  <c r="AK306" i="42"/>
  <c r="C42" i="35"/>
  <c r="P42" i="35" s="1"/>
  <c r="R44" i="35"/>
  <c r="S79" i="35"/>
  <c r="T79" i="35" s="1"/>
  <c r="S43" i="35"/>
  <c r="B46" i="35"/>
  <c r="R80" i="35"/>
  <c r="Z80" i="35" s="1"/>
  <c r="BY327" i="43" l="1"/>
  <c r="BY316" i="43"/>
  <c r="BY328" i="42"/>
  <c r="BY361" i="42"/>
  <c r="BY349" i="43"/>
  <c r="BY294" i="43"/>
  <c r="BY360" i="43"/>
  <c r="BX361" i="43"/>
  <c r="AK361" i="43"/>
  <c r="BX317" i="43"/>
  <c r="AK317" i="43"/>
  <c r="BX350" i="43"/>
  <c r="AK350" i="43"/>
  <c r="I362" i="43"/>
  <c r="AA362" i="43"/>
  <c r="AB362" i="43"/>
  <c r="AJ362" i="43"/>
  <c r="BX339" i="43"/>
  <c r="AK339" i="43"/>
  <c r="BW361" i="43"/>
  <c r="BW317" i="43"/>
  <c r="F341" i="43"/>
  <c r="AC341" i="43" s="1"/>
  <c r="AJ329" i="43"/>
  <c r="I329" i="43"/>
  <c r="AA329" i="43"/>
  <c r="AB329" i="43"/>
  <c r="BW350" i="43"/>
  <c r="BX306" i="43"/>
  <c r="AK306" i="43"/>
  <c r="BX328" i="43"/>
  <c r="AK328" i="43"/>
  <c r="BW339" i="43"/>
  <c r="BY317" i="42"/>
  <c r="BW306" i="43"/>
  <c r="F330" i="43"/>
  <c r="AC330" i="43" s="1"/>
  <c r="AJ318" i="43"/>
  <c r="I318" i="43"/>
  <c r="AA318" i="43"/>
  <c r="AB318" i="43"/>
  <c r="BW328" i="43"/>
  <c r="F352" i="43"/>
  <c r="AC352" i="43" s="1"/>
  <c r="AB340" i="43"/>
  <c r="AJ340" i="43"/>
  <c r="I340" i="43"/>
  <c r="AA340" i="43"/>
  <c r="F363" i="43"/>
  <c r="AC363" i="43" s="1"/>
  <c r="AB351" i="43"/>
  <c r="AJ351" i="43"/>
  <c r="I351" i="43"/>
  <c r="AA351" i="43"/>
  <c r="BY305" i="43"/>
  <c r="BY338" i="43"/>
  <c r="AK340" i="42"/>
  <c r="BX340" i="42"/>
  <c r="BW340" i="42"/>
  <c r="BW329" i="42"/>
  <c r="BW351" i="42"/>
  <c r="F342" i="42"/>
  <c r="AC342" i="42" s="1"/>
  <c r="AJ330" i="42"/>
  <c r="AB330" i="42"/>
  <c r="AA330" i="42"/>
  <c r="I330" i="42"/>
  <c r="AK351" i="42"/>
  <c r="BX351" i="42"/>
  <c r="BY339" i="42"/>
  <c r="F353" i="42"/>
  <c r="AC353" i="42" s="1"/>
  <c r="AA341" i="42"/>
  <c r="I341" i="42"/>
  <c r="AJ341" i="42"/>
  <c r="AB341" i="42"/>
  <c r="AK362" i="42"/>
  <c r="BX362" i="42"/>
  <c r="BX318" i="42"/>
  <c r="AK318" i="42"/>
  <c r="BY306" i="42"/>
  <c r="F364" i="42"/>
  <c r="AC364" i="42" s="1"/>
  <c r="AJ352" i="42"/>
  <c r="AA352" i="42"/>
  <c r="I352" i="42"/>
  <c r="AB352" i="42"/>
  <c r="AK329" i="42"/>
  <c r="BX329" i="42"/>
  <c r="BW362" i="42"/>
  <c r="BW318" i="42"/>
  <c r="AB363" i="42"/>
  <c r="AA363" i="42"/>
  <c r="I363" i="42"/>
  <c r="AJ363" i="42"/>
  <c r="BY350" i="42"/>
  <c r="C43" i="35"/>
  <c r="P43" i="35" s="1"/>
  <c r="R45" i="35"/>
  <c r="S80" i="35"/>
  <c r="T80" i="35" s="1"/>
  <c r="B47" i="35"/>
  <c r="R81" i="35"/>
  <c r="Z81" i="35" s="1"/>
  <c r="S44" i="35"/>
  <c r="BY317" i="43" l="1"/>
  <c r="BY350" i="43"/>
  <c r="BY339" i="43"/>
  <c r="BY361" i="43"/>
  <c r="BY362" i="42"/>
  <c r="BY328" i="43"/>
  <c r="BY340" i="42"/>
  <c r="BY306" i="43"/>
  <c r="BW351" i="43"/>
  <c r="I363" i="43"/>
  <c r="AA363" i="43"/>
  <c r="AB363" i="43"/>
  <c r="AJ363" i="43"/>
  <c r="F342" i="43"/>
  <c r="AC342" i="43" s="1"/>
  <c r="AB330" i="43"/>
  <c r="AJ330" i="43"/>
  <c r="I330" i="43"/>
  <c r="AA330" i="43"/>
  <c r="F353" i="43"/>
  <c r="AC353" i="43" s="1"/>
  <c r="AB341" i="43"/>
  <c r="AJ341" i="43"/>
  <c r="I341" i="43"/>
  <c r="AA341" i="43"/>
  <c r="BX340" i="43"/>
  <c r="AK340" i="43"/>
  <c r="AK318" i="43"/>
  <c r="BX318" i="43"/>
  <c r="BX329" i="43"/>
  <c r="AK329" i="43"/>
  <c r="BY318" i="42"/>
  <c r="BW340" i="43"/>
  <c r="F364" i="43"/>
  <c r="AC364" i="43" s="1"/>
  <c r="AJ352" i="43"/>
  <c r="AA352" i="43"/>
  <c r="I352" i="43"/>
  <c r="AB352" i="43"/>
  <c r="BW318" i="43"/>
  <c r="BW329" i="43"/>
  <c r="AK351" i="43"/>
  <c r="BX351" i="43"/>
  <c r="BX362" i="43"/>
  <c r="AK362" i="43"/>
  <c r="BW362" i="43"/>
  <c r="F365" i="42"/>
  <c r="AC365" i="42" s="1"/>
  <c r="AJ353" i="42"/>
  <c r="AA353" i="42"/>
  <c r="I353" i="42"/>
  <c r="AB353" i="42"/>
  <c r="BW330" i="42"/>
  <c r="AK330" i="42"/>
  <c r="BX330" i="42"/>
  <c r="BW363" i="42"/>
  <c r="BX352" i="42"/>
  <c r="AK352" i="42"/>
  <c r="AK363" i="42"/>
  <c r="BX363" i="42"/>
  <c r="BW341" i="42"/>
  <c r="BY351" i="42"/>
  <c r="BY329" i="42"/>
  <c r="BW352" i="42"/>
  <c r="AA364" i="42"/>
  <c r="AJ364" i="42"/>
  <c r="I364" i="42"/>
  <c r="AB364" i="42"/>
  <c r="AK341" i="42"/>
  <c r="BX341" i="42"/>
  <c r="F354" i="42"/>
  <c r="AC354" i="42" s="1"/>
  <c r="AB342" i="42"/>
  <c r="AA342" i="42"/>
  <c r="AJ342" i="42"/>
  <c r="I342" i="42"/>
  <c r="C44" i="35"/>
  <c r="P44" i="35" s="1"/>
  <c r="B48" i="35"/>
  <c r="R82" i="35"/>
  <c r="Z82" i="35" s="1"/>
  <c r="R46" i="35"/>
  <c r="S81" i="35"/>
  <c r="T81" i="35" s="1"/>
  <c r="S45" i="35"/>
  <c r="BY352" i="42" l="1"/>
  <c r="BY318" i="43"/>
  <c r="BY362" i="43"/>
  <c r="BY329" i="43"/>
  <c r="BY340" i="43"/>
  <c r="BW341" i="43"/>
  <c r="F365" i="43"/>
  <c r="AC365" i="43" s="1"/>
  <c r="AJ353" i="43"/>
  <c r="AA353" i="43"/>
  <c r="I353" i="43"/>
  <c r="AB353" i="43"/>
  <c r="AK352" i="43"/>
  <c r="BX352" i="43"/>
  <c r="AK330" i="43"/>
  <c r="BX330" i="43"/>
  <c r="AK363" i="43"/>
  <c r="BX363" i="43"/>
  <c r="BW363" i="43"/>
  <c r="BW330" i="43"/>
  <c r="F354" i="43"/>
  <c r="AC354" i="43" s="1"/>
  <c r="AB342" i="43"/>
  <c r="AA342" i="43"/>
  <c r="AJ342" i="43"/>
  <c r="I342" i="43"/>
  <c r="BW352" i="43"/>
  <c r="AB364" i="43"/>
  <c r="AA364" i="43"/>
  <c r="AJ364" i="43"/>
  <c r="I364" i="43"/>
  <c r="AK341" i="43"/>
  <c r="BX341" i="43"/>
  <c r="BY351" i="43"/>
  <c r="BX364" i="42"/>
  <c r="AK364" i="42"/>
  <c r="AB365" i="42"/>
  <c r="AJ365" i="42"/>
  <c r="AA365" i="42"/>
  <c r="I365" i="42"/>
  <c r="BY330" i="42"/>
  <c r="BX342" i="42"/>
  <c r="AK342" i="42"/>
  <c r="F366" i="42"/>
  <c r="AC366" i="42" s="1"/>
  <c r="AJ354" i="42"/>
  <c r="I354" i="42"/>
  <c r="AA354" i="42"/>
  <c r="AB354" i="42"/>
  <c r="BW364" i="42"/>
  <c r="BX353" i="42"/>
  <c r="AK353" i="42"/>
  <c r="BW342" i="42"/>
  <c r="BY363" i="42"/>
  <c r="BW353" i="42"/>
  <c r="BY341" i="42"/>
  <c r="C45" i="35"/>
  <c r="P45" i="35" s="1"/>
  <c r="B49" i="35"/>
  <c r="R83" i="35"/>
  <c r="Z83" i="35" s="1"/>
  <c r="R47" i="35"/>
  <c r="S82" i="35"/>
  <c r="T82" i="35" s="1"/>
  <c r="S46" i="35"/>
  <c r="BY364" i="42" l="1"/>
  <c r="BY330" i="43"/>
  <c r="BY352" i="43"/>
  <c r="BY353" i="42"/>
  <c r="BY363" i="43"/>
  <c r="BW353" i="43"/>
  <c r="AA365" i="43"/>
  <c r="AJ365" i="43"/>
  <c r="I365" i="43"/>
  <c r="AB365" i="43"/>
  <c r="AK364" i="43"/>
  <c r="BX364" i="43"/>
  <c r="AK342" i="43"/>
  <c r="BX342" i="43"/>
  <c r="F366" i="43"/>
  <c r="AC366" i="43" s="1"/>
  <c r="I354" i="43"/>
  <c r="AA354" i="43"/>
  <c r="AB354" i="43"/>
  <c r="AJ354" i="43"/>
  <c r="BX353" i="43"/>
  <c r="AK353" i="43"/>
  <c r="BY341" i="43"/>
  <c r="BW364" i="43"/>
  <c r="BW342" i="43"/>
  <c r="BY342" i="42"/>
  <c r="AJ366" i="42"/>
  <c r="I366" i="42"/>
  <c r="AA366" i="42"/>
  <c r="AB366" i="42"/>
  <c r="BW365" i="42"/>
  <c r="AK354" i="42"/>
  <c r="BX354" i="42"/>
  <c r="BX365" i="42"/>
  <c r="AK365" i="42"/>
  <c r="BW354" i="42"/>
  <c r="C46" i="35"/>
  <c r="P46" i="35" s="1"/>
  <c r="S47" i="35"/>
  <c r="B50" i="35"/>
  <c r="R84" i="35"/>
  <c r="Z84" i="35" s="1"/>
  <c r="R48" i="35"/>
  <c r="S83" i="35"/>
  <c r="T83" i="35" s="1"/>
  <c r="BY364" i="43" l="1"/>
  <c r="BY342" i="43"/>
  <c r="BY354" i="42"/>
  <c r="BX365" i="43"/>
  <c r="AK365" i="43"/>
  <c r="AJ366" i="43"/>
  <c r="I366" i="43"/>
  <c r="AA366" i="43"/>
  <c r="AB366" i="43"/>
  <c r="BW365" i="43"/>
  <c r="BY353" i="43"/>
  <c r="BX354" i="43"/>
  <c r="AK354" i="43"/>
  <c r="BW354" i="43"/>
  <c r="BY365" i="42"/>
  <c r="AK366" i="42"/>
  <c r="BX366" i="42"/>
  <c r="BW366" i="42"/>
  <c r="C47" i="35"/>
  <c r="P47" i="35" s="1"/>
  <c r="S48" i="35"/>
  <c r="R49" i="35"/>
  <c r="S84" i="35"/>
  <c r="T84" i="35" s="1"/>
  <c r="B51" i="35"/>
  <c r="R85" i="35"/>
  <c r="Z85" i="35" s="1"/>
  <c r="BY365" i="43" l="1"/>
  <c r="BY354" i="43"/>
  <c r="BY366" i="42"/>
  <c r="BE36" i="42" s="1"/>
  <c r="BX366" i="43"/>
  <c r="AK366" i="43"/>
  <c r="BW366" i="43"/>
  <c r="BE35" i="42"/>
  <c r="BE33" i="42"/>
  <c r="BE34" i="42"/>
  <c r="BE32" i="42"/>
  <c r="BE29" i="42"/>
  <c r="BE31" i="42"/>
  <c r="C48" i="35"/>
  <c r="P48" i="35" s="1"/>
  <c r="R86" i="35"/>
  <c r="Z86" i="35" s="1"/>
  <c r="R50" i="35"/>
  <c r="S85" i="35"/>
  <c r="T85" i="35" s="1"/>
  <c r="S49" i="35"/>
  <c r="BY366" i="43" l="1"/>
  <c r="BE36" i="43" s="1"/>
  <c r="BE33" i="43"/>
  <c r="BE35" i="43"/>
  <c r="BE31" i="43"/>
  <c r="BE30" i="43"/>
  <c r="BE29" i="43"/>
  <c r="BE32" i="43"/>
  <c r="BE34" i="43"/>
  <c r="C49" i="35"/>
  <c r="P49" i="35" s="1"/>
  <c r="S50" i="35"/>
  <c r="R51" i="35"/>
  <c r="S86" i="35"/>
  <c r="T86" i="35" s="1"/>
  <c r="C50" i="35" l="1"/>
  <c r="P50" i="35" s="1"/>
  <c r="S51" i="35"/>
  <c r="C51" i="35" l="1"/>
  <c r="P51" i="35" s="1"/>
  <c r="F6" i="2" l="1"/>
  <c r="G28" i="2" l="1"/>
  <c r="BJ4" i="1" l="1"/>
  <c r="H20" i="31" l="1"/>
  <c r="H21" i="31"/>
  <c r="H22" i="31"/>
  <c r="H23" i="31"/>
  <c r="H24" i="31"/>
  <c r="H25" i="31"/>
  <c r="H26" i="31"/>
  <c r="H27" i="31"/>
  <c r="H28" i="31"/>
  <c r="H29" i="31"/>
  <c r="H30" i="31"/>
  <c r="H19" i="31"/>
  <c r="F29" i="2"/>
  <c r="V17" i="43" l="1"/>
  <c r="BK17" i="43" s="1"/>
  <c r="V13" i="43"/>
  <c r="BK13" i="43" s="1"/>
  <c r="V25" i="43"/>
  <c r="BK25" i="43" s="1"/>
  <c r="V24" i="43"/>
  <c r="BK24" i="43" s="1"/>
  <c r="V23" i="43"/>
  <c r="BK23" i="43" s="1"/>
  <c r="V22" i="43"/>
  <c r="BK22" i="43" s="1"/>
  <c r="V21" i="43"/>
  <c r="BK21" i="43" s="1"/>
  <c r="V20" i="43"/>
  <c r="BK20" i="43" s="1"/>
  <c r="V19" i="43"/>
  <c r="V18" i="43"/>
  <c r="BK18" i="43" s="1"/>
  <c r="V14" i="43"/>
  <c r="BK14" i="43" s="1"/>
  <c r="V9" i="43"/>
  <c r="BK9" i="43" s="1"/>
  <c r="V7" i="43"/>
  <c r="V26" i="43"/>
  <c r="BK26" i="43" s="1"/>
  <c r="V28" i="43"/>
  <c r="BK28" i="43" s="1"/>
  <c r="V30" i="43"/>
  <c r="BK30" i="43" s="1"/>
  <c r="V16" i="43"/>
  <c r="BK16" i="43" s="1"/>
  <c r="V11" i="43"/>
  <c r="BK11" i="43" s="1"/>
  <c r="V15" i="43"/>
  <c r="BK15" i="43" s="1"/>
  <c r="V12" i="43"/>
  <c r="BK12" i="43" s="1"/>
  <c r="V27" i="43"/>
  <c r="BK27" i="43" s="1"/>
  <c r="V29" i="43"/>
  <c r="BK29" i="43" s="1"/>
  <c r="V10" i="43"/>
  <c r="BK10" i="43" s="1"/>
  <c r="V8" i="43"/>
  <c r="BK8" i="43" s="1"/>
  <c r="V41" i="43"/>
  <c r="BK41" i="43" s="1"/>
  <c r="V34" i="43"/>
  <c r="BK34" i="43" s="1"/>
  <c r="V38" i="43"/>
  <c r="BK38" i="43" s="1"/>
  <c r="V37" i="43"/>
  <c r="BK37" i="43" s="1"/>
  <c r="V42" i="43"/>
  <c r="BK42" i="43" s="1"/>
  <c r="V31" i="43"/>
  <c r="V36" i="43"/>
  <c r="BK36" i="43" s="1"/>
  <c r="V47" i="43"/>
  <c r="BK47" i="43" s="1"/>
  <c r="V40" i="43"/>
  <c r="BK40" i="43" s="1"/>
  <c r="V32" i="43"/>
  <c r="BK32" i="43" s="1"/>
  <c r="V53" i="43"/>
  <c r="BK53" i="43" s="1"/>
  <c r="V49" i="43"/>
  <c r="BK49" i="43" s="1"/>
  <c r="V54" i="43"/>
  <c r="BK54" i="43" s="1"/>
  <c r="V43" i="43"/>
  <c r="V45" i="43"/>
  <c r="BK45" i="43" s="1"/>
  <c r="V33" i="43"/>
  <c r="BK33" i="43" s="1"/>
  <c r="V50" i="43"/>
  <c r="BK50" i="43" s="1"/>
  <c r="V39" i="43"/>
  <c r="BK39" i="43" s="1"/>
  <c r="V35" i="43"/>
  <c r="BK35" i="43" s="1"/>
  <c r="V61" i="43"/>
  <c r="BK61" i="43" s="1"/>
  <c r="V65" i="43"/>
  <c r="BK65" i="43" s="1"/>
  <c r="V57" i="43"/>
  <c r="BK57" i="43" s="1"/>
  <c r="V44" i="43"/>
  <c r="BK44" i="43" s="1"/>
  <c r="V66" i="43"/>
  <c r="BK66" i="43" s="1"/>
  <c r="V51" i="43"/>
  <c r="BK51" i="43" s="1"/>
  <c r="V48" i="43"/>
  <c r="BK48" i="43" s="1"/>
  <c r="V52" i="43"/>
  <c r="BK52" i="43" s="1"/>
  <c r="V46" i="43"/>
  <c r="BK46" i="43" s="1"/>
  <c r="V62" i="43"/>
  <c r="BK62" i="43" s="1"/>
  <c r="V60" i="43"/>
  <c r="BK60" i="43" s="1"/>
  <c r="V59" i="43"/>
  <c r="BK59" i="43" s="1"/>
  <c r="V69" i="43"/>
  <c r="BK69" i="43" s="1"/>
  <c r="V77" i="43"/>
  <c r="BK77" i="43" s="1"/>
  <c r="V73" i="43"/>
  <c r="BK73" i="43" s="1"/>
  <c r="V56" i="43"/>
  <c r="BK56" i="43" s="1"/>
  <c r="V55" i="43"/>
  <c r="V64" i="43"/>
  <c r="BK64" i="43" s="1"/>
  <c r="V63" i="43"/>
  <c r="BK63" i="43" s="1"/>
  <c r="V78" i="43"/>
  <c r="BK78" i="43" s="1"/>
  <c r="V74" i="43"/>
  <c r="BK74" i="43" s="1"/>
  <c r="V58" i="43"/>
  <c r="BK58" i="43" s="1"/>
  <c r="V75" i="43"/>
  <c r="BK75" i="43" s="1"/>
  <c r="V85" i="43"/>
  <c r="BK85" i="43" s="1"/>
  <c r="V89" i="43"/>
  <c r="BK89" i="43" s="1"/>
  <c r="V70" i="43"/>
  <c r="BK70" i="43" s="1"/>
  <c r="V67" i="43"/>
  <c r="V86" i="43"/>
  <c r="BK86" i="43" s="1"/>
  <c r="V71" i="43"/>
  <c r="BK71" i="43" s="1"/>
  <c r="V68" i="43"/>
  <c r="BK68" i="43" s="1"/>
  <c r="V90" i="43"/>
  <c r="BK90" i="43" s="1"/>
  <c r="V81" i="43"/>
  <c r="BK81" i="43" s="1"/>
  <c r="V72" i="43"/>
  <c r="BK72" i="43" s="1"/>
  <c r="V76" i="43"/>
  <c r="BK76" i="43" s="1"/>
  <c r="V102" i="43"/>
  <c r="BK102" i="43" s="1"/>
  <c r="V88" i="43"/>
  <c r="BK88" i="43" s="1"/>
  <c r="V87" i="43"/>
  <c r="BK87" i="43" s="1"/>
  <c r="V101" i="43"/>
  <c r="BK101" i="43" s="1"/>
  <c r="V97" i="43"/>
  <c r="BK97" i="43" s="1"/>
  <c r="V110" i="43"/>
  <c r="BK110" i="43" s="1"/>
  <c r="V98" i="43"/>
  <c r="BK98" i="43" s="1"/>
  <c r="V82" i="43"/>
  <c r="BK82" i="43" s="1"/>
  <c r="V114" i="43"/>
  <c r="BK114" i="43" s="1"/>
  <c r="V93" i="43"/>
  <c r="BK93" i="43" s="1"/>
  <c r="V84" i="43"/>
  <c r="BK84" i="43" s="1"/>
  <c r="V83" i="43"/>
  <c r="BK83" i="43" s="1"/>
  <c r="V80" i="43"/>
  <c r="BK80" i="43" s="1"/>
  <c r="V79" i="43"/>
  <c r="V91" i="43"/>
  <c r="V92" i="43"/>
  <c r="BK92" i="43" s="1"/>
  <c r="V105" i="43"/>
  <c r="BK105" i="43" s="1"/>
  <c r="V126" i="43"/>
  <c r="BK126" i="43" s="1"/>
  <c r="V95" i="43"/>
  <c r="BK95" i="43" s="1"/>
  <c r="V122" i="43"/>
  <c r="BK122" i="43" s="1"/>
  <c r="V99" i="43"/>
  <c r="BK99" i="43" s="1"/>
  <c r="V96" i="43"/>
  <c r="BK96" i="43" s="1"/>
  <c r="V94" i="43"/>
  <c r="BK94" i="43" s="1"/>
  <c r="V100" i="43"/>
  <c r="BK100" i="43" s="1"/>
  <c r="V104" i="43"/>
  <c r="BK104" i="43" s="1"/>
  <c r="K9" i="43"/>
  <c r="K10" i="43"/>
  <c r="V109" i="43"/>
  <c r="BK109" i="43" s="1"/>
  <c r="V111" i="43"/>
  <c r="BK111" i="43" s="1"/>
  <c r="K13" i="43"/>
  <c r="V118" i="43"/>
  <c r="BK118" i="43" s="1"/>
  <c r="K8" i="43"/>
  <c r="V107" i="43"/>
  <c r="BK107" i="43" s="1"/>
  <c r="V113" i="43"/>
  <c r="BK113" i="43" s="1"/>
  <c r="K12" i="43"/>
  <c r="V112" i="43"/>
  <c r="BK112" i="43" s="1"/>
  <c r="K14" i="43"/>
  <c r="V103" i="43"/>
  <c r="V108" i="43"/>
  <c r="BK108" i="43" s="1"/>
  <c r="K7" i="43"/>
  <c r="K16" i="43"/>
  <c r="V106" i="43"/>
  <c r="BK106" i="43" s="1"/>
  <c r="K104" i="43"/>
  <c r="K15" i="43"/>
  <c r="K11" i="43"/>
  <c r="V134" i="43"/>
  <c r="BK134" i="43" s="1"/>
  <c r="V138" i="43"/>
  <c r="BK138" i="43" s="1"/>
  <c r="K105" i="43"/>
  <c r="K57" i="43"/>
  <c r="K34" i="43"/>
  <c r="K82" i="43"/>
  <c r="K31" i="43"/>
  <c r="K80" i="43"/>
  <c r="K67" i="43"/>
  <c r="K22" i="43"/>
  <c r="K33" i="43"/>
  <c r="K116" i="43"/>
  <c r="K24" i="43"/>
  <c r="K46" i="43"/>
  <c r="K91" i="43"/>
  <c r="K115" i="43"/>
  <c r="V123" i="43"/>
  <c r="BK123" i="43" s="1"/>
  <c r="K59" i="43"/>
  <c r="K49" i="43"/>
  <c r="K39" i="43"/>
  <c r="K28" i="43"/>
  <c r="K103" i="43"/>
  <c r="K44" i="43"/>
  <c r="V117" i="43"/>
  <c r="BK117" i="43" s="1"/>
  <c r="K79" i="43"/>
  <c r="K56" i="43"/>
  <c r="K93" i="43"/>
  <c r="K81" i="43"/>
  <c r="K70" i="43"/>
  <c r="K20" i="43"/>
  <c r="V124" i="43"/>
  <c r="BK124" i="43" s="1"/>
  <c r="K92" i="43"/>
  <c r="K36" i="43"/>
  <c r="V150" i="43"/>
  <c r="BK150" i="43" s="1"/>
  <c r="V146" i="43"/>
  <c r="BK146" i="43" s="1"/>
  <c r="K23" i="43"/>
  <c r="K58" i="43"/>
  <c r="K43" i="43"/>
  <c r="V116" i="43"/>
  <c r="BK116" i="43" s="1"/>
  <c r="K55" i="43"/>
  <c r="K45" i="43"/>
  <c r="K38" i="43"/>
  <c r="K68" i="43"/>
  <c r="K25" i="43"/>
  <c r="V125" i="43"/>
  <c r="BK125" i="43" s="1"/>
  <c r="V115" i="43"/>
  <c r="K27" i="43"/>
  <c r="K50" i="43"/>
  <c r="V120" i="43"/>
  <c r="BK120" i="43" s="1"/>
  <c r="K35" i="43"/>
  <c r="K69" i="43"/>
  <c r="K19" i="43"/>
  <c r="K61" i="43"/>
  <c r="K32" i="43"/>
  <c r="K26" i="43"/>
  <c r="K60" i="43"/>
  <c r="K47" i="43"/>
  <c r="K94" i="43"/>
  <c r="K37" i="43"/>
  <c r="V130" i="43"/>
  <c r="BK130" i="43" s="1"/>
  <c r="K71" i="43"/>
  <c r="K21" i="43"/>
  <c r="V121" i="43"/>
  <c r="BK121" i="43" s="1"/>
  <c r="K48" i="43"/>
  <c r="V119" i="43"/>
  <c r="BK119" i="43" s="1"/>
  <c r="V136" i="43"/>
  <c r="BK136" i="43" s="1"/>
  <c r="V158" i="43"/>
  <c r="BK158" i="43" s="1"/>
  <c r="V162" i="43"/>
  <c r="BK162" i="43" s="1"/>
  <c r="K83" i="43"/>
  <c r="K127" i="43"/>
  <c r="V142" i="43"/>
  <c r="BK142" i="43" s="1"/>
  <c r="V132" i="43"/>
  <c r="BK132" i="43" s="1"/>
  <c r="K128" i="43"/>
  <c r="V131" i="43"/>
  <c r="BK131" i="43" s="1"/>
  <c r="V135" i="43"/>
  <c r="BK135" i="43" s="1"/>
  <c r="V128" i="43"/>
  <c r="BK128" i="43" s="1"/>
  <c r="V133" i="43"/>
  <c r="BK133" i="43" s="1"/>
  <c r="V129" i="43"/>
  <c r="BK129" i="43" s="1"/>
  <c r="V127" i="43"/>
  <c r="K17" i="43"/>
  <c r="V137" i="43"/>
  <c r="BK137" i="43" s="1"/>
  <c r="K72" i="43"/>
  <c r="K84" i="43"/>
  <c r="V144" i="43"/>
  <c r="BK144" i="43" s="1"/>
  <c r="K29" i="43"/>
  <c r="K51" i="43"/>
  <c r="V174" i="43"/>
  <c r="BK174" i="43" s="1"/>
  <c r="V170" i="43"/>
  <c r="BK170" i="43" s="1"/>
  <c r="V139" i="43"/>
  <c r="K18" i="43"/>
  <c r="V148" i="43"/>
  <c r="BK148" i="43" s="1"/>
  <c r="V149" i="43"/>
  <c r="BK149" i="43" s="1"/>
  <c r="K73" i="43"/>
  <c r="V147" i="43"/>
  <c r="BK147" i="43" s="1"/>
  <c r="K62" i="43"/>
  <c r="V143" i="43"/>
  <c r="BK143" i="43" s="1"/>
  <c r="V141" i="43"/>
  <c r="BK141" i="43" s="1"/>
  <c r="V145" i="43"/>
  <c r="BK145" i="43" s="1"/>
  <c r="K140" i="43"/>
  <c r="K40" i="43"/>
  <c r="V154" i="43"/>
  <c r="BK154" i="43" s="1"/>
  <c r="K139" i="43"/>
  <c r="V140" i="43"/>
  <c r="BK140" i="43" s="1"/>
  <c r="K106" i="43"/>
  <c r="K95" i="43"/>
  <c r="K117" i="43"/>
  <c r="V153" i="43"/>
  <c r="BK153" i="43" s="1"/>
  <c r="V157" i="43"/>
  <c r="BK157" i="43" s="1"/>
  <c r="K30" i="43"/>
  <c r="K41" i="43"/>
  <c r="V160" i="43"/>
  <c r="BK160" i="43" s="1"/>
  <c r="V155" i="43"/>
  <c r="BK155" i="43" s="1"/>
  <c r="K85" i="43"/>
  <c r="K107" i="43"/>
  <c r="K96" i="43"/>
  <c r="V161" i="43"/>
  <c r="BK161" i="43" s="1"/>
  <c r="K74" i="43"/>
  <c r="K118" i="43"/>
  <c r="K63" i="43"/>
  <c r="V156" i="43"/>
  <c r="BK156" i="43" s="1"/>
  <c r="V151" i="43"/>
  <c r="V159" i="43"/>
  <c r="BK159" i="43" s="1"/>
  <c r="V152" i="43"/>
  <c r="BK152" i="43" s="1"/>
  <c r="K129" i="43"/>
  <c r="K52" i="43"/>
  <c r="K152" i="43"/>
  <c r="K151" i="43"/>
  <c r="K130" i="43"/>
  <c r="K108" i="43"/>
  <c r="K97" i="43"/>
  <c r="V165" i="43"/>
  <c r="BK165" i="43" s="1"/>
  <c r="V182" i="43"/>
  <c r="BK182" i="43" s="1"/>
  <c r="K42" i="43"/>
  <c r="V173" i="43"/>
  <c r="BK173" i="43" s="1"/>
  <c r="V171" i="43"/>
  <c r="BK171" i="43" s="1"/>
  <c r="V163" i="43"/>
  <c r="K64" i="43"/>
  <c r="K53" i="43"/>
  <c r="K163" i="43"/>
  <c r="K164" i="43"/>
  <c r="V186" i="43"/>
  <c r="BK186" i="43" s="1"/>
  <c r="V169" i="43"/>
  <c r="BK169" i="43" s="1"/>
  <c r="V167" i="43"/>
  <c r="BK167" i="43" s="1"/>
  <c r="V168" i="43"/>
  <c r="BK168" i="43" s="1"/>
  <c r="K75" i="43"/>
  <c r="K119" i="43"/>
  <c r="K86" i="43"/>
  <c r="V184" i="43"/>
  <c r="BK184" i="43" s="1"/>
  <c r="V180" i="43"/>
  <c r="BK180" i="43" s="1"/>
  <c r="V164" i="43"/>
  <c r="BK164" i="43" s="1"/>
  <c r="K141" i="43"/>
  <c r="V172" i="43"/>
  <c r="BK172" i="43" s="1"/>
  <c r="V166" i="43"/>
  <c r="BK166" i="43" s="1"/>
  <c r="V177" i="43"/>
  <c r="BK177" i="43" s="1"/>
  <c r="V194" i="43"/>
  <c r="BK194" i="43" s="1"/>
  <c r="V188" i="43"/>
  <c r="BK188" i="43" s="1"/>
  <c r="V185" i="43"/>
  <c r="BK185" i="43" s="1"/>
  <c r="V176" i="43"/>
  <c r="BK176" i="43" s="1"/>
  <c r="K65" i="43"/>
  <c r="K87" i="43"/>
  <c r="K76" i="43"/>
  <c r="K176" i="43"/>
  <c r="V183" i="43"/>
  <c r="BK183" i="43" s="1"/>
  <c r="K131" i="43"/>
  <c r="K54" i="43"/>
  <c r="V175" i="43"/>
  <c r="K120" i="43"/>
  <c r="K109" i="43"/>
  <c r="V179" i="43"/>
  <c r="BK179" i="43" s="1"/>
  <c r="V178" i="43"/>
  <c r="BK178" i="43" s="1"/>
  <c r="K142" i="43"/>
  <c r="V198" i="43"/>
  <c r="BK198" i="43" s="1"/>
  <c r="K153" i="43"/>
  <c r="V192" i="43"/>
  <c r="BK192" i="43" s="1"/>
  <c r="V196" i="43"/>
  <c r="BK196" i="43" s="1"/>
  <c r="K98" i="43"/>
  <c r="K175" i="43"/>
  <c r="V181" i="43"/>
  <c r="BK181" i="43" s="1"/>
  <c r="K121" i="43"/>
  <c r="V206" i="43"/>
  <c r="BK206" i="43" s="1"/>
  <c r="V208" i="43"/>
  <c r="BK208" i="43" s="1"/>
  <c r="V204" i="43"/>
  <c r="BK204" i="43" s="1"/>
  <c r="V197" i="43"/>
  <c r="BK197" i="43" s="1"/>
  <c r="V195" i="43"/>
  <c r="BK195" i="43" s="1"/>
  <c r="K143" i="43"/>
  <c r="K165" i="43"/>
  <c r="V210" i="43"/>
  <c r="BK210" i="43" s="1"/>
  <c r="V193" i="43"/>
  <c r="BK193" i="43" s="1"/>
  <c r="K99" i="43"/>
  <c r="K66" i="43"/>
  <c r="K188" i="43"/>
  <c r="K88" i="43"/>
  <c r="V189" i="43"/>
  <c r="BK189" i="43" s="1"/>
  <c r="V187" i="43"/>
  <c r="K154" i="43"/>
  <c r="V190" i="43"/>
  <c r="BK190" i="43" s="1"/>
  <c r="V200" i="43"/>
  <c r="BK200" i="43" s="1"/>
  <c r="K77" i="43"/>
  <c r="K110" i="43"/>
  <c r="V191" i="43"/>
  <c r="BK191" i="43" s="1"/>
  <c r="K132" i="43"/>
  <c r="K187" i="43"/>
  <c r="K199" i="43"/>
  <c r="K78" i="43"/>
  <c r="K166" i="43"/>
  <c r="K122" i="43"/>
  <c r="V216" i="43"/>
  <c r="BK216" i="43" s="1"/>
  <c r="V220" i="43"/>
  <c r="BK220" i="43" s="1"/>
  <c r="K100" i="43"/>
  <c r="V209" i="43"/>
  <c r="BK209" i="43" s="1"/>
  <c r="K144" i="43"/>
  <c r="K155" i="43"/>
  <c r="V212" i="43"/>
  <c r="BK212" i="43" s="1"/>
  <c r="V222" i="43"/>
  <c r="BK222" i="43" s="1"/>
  <c r="V207" i="43"/>
  <c r="BK207" i="43" s="1"/>
  <c r="V201" i="43"/>
  <c r="BK201" i="43" s="1"/>
  <c r="K133" i="43"/>
  <c r="V218" i="43"/>
  <c r="BK218" i="43" s="1"/>
  <c r="K89" i="43"/>
  <c r="V202" i="43"/>
  <c r="BK202" i="43" s="1"/>
  <c r="V199" i="43"/>
  <c r="K111" i="43"/>
  <c r="K200" i="43"/>
  <c r="V205" i="43"/>
  <c r="BK205" i="43" s="1"/>
  <c r="K177" i="43"/>
  <c r="V203" i="43"/>
  <c r="BK203" i="43" s="1"/>
  <c r="V221" i="43"/>
  <c r="BK221" i="43" s="1"/>
  <c r="V215" i="43"/>
  <c r="BK215" i="43" s="1"/>
  <c r="K90" i="43"/>
  <c r="K123" i="43"/>
  <c r="K112" i="43"/>
  <c r="K189" i="43"/>
  <c r="K167" i="43"/>
  <c r="V217" i="43"/>
  <c r="BK217" i="43" s="1"/>
  <c r="K178" i="43"/>
  <c r="K212" i="43"/>
  <c r="V232" i="43"/>
  <c r="BK232" i="43" s="1"/>
  <c r="V228" i="43"/>
  <c r="BK228" i="43" s="1"/>
  <c r="V214" i="43"/>
  <c r="BK214" i="43" s="1"/>
  <c r="V211" i="43"/>
  <c r="K211" i="43"/>
  <c r="V224" i="43"/>
  <c r="BK224" i="43" s="1"/>
  <c r="K101" i="43"/>
  <c r="V230" i="43"/>
  <c r="BK230" i="43" s="1"/>
  <c r="V219" i="43"/>
  <c r="BK219" i="43" s="1"/>
  <c r="K145" i="43"/>
  <c r="K134" i="43"/>
  <c r="K156" i="43"/>
  <c r="V234" i="43"/>
  <c r="BK234" i="43" s="1"/>
  <c r="V213" i="43"/>
  <c r="BK213" i="43" s="1"/>
  <c r="V236" i="43"/>
  <c r="BK236" i="43" s="1"/>
  <c r="V223" i="43"/>
  <c r="K124" i="43"/>
  <c r="K102" i="43"/>
  <c r="V233" i="43"/>
  <c r="BK233" i="43" s="1"/>
  <c r="K223" i="43"/>
  <c r="K201" i="43"/>
  <c r="V225" i="43"/>
  <c r="BK225" i="43" s="1"/>
  <c r="K168" i="43"/>
  <c r="K113" i="43"/>
  <c r="V231" i="43"/>
  <c r="BK231" i="43" s="1"/>
  <c r="K146" i="43"/>
  <c r="K190" i="43"/>
  <c r="V226" i="43"/>
  <c r="BK226" i="43" s="1"/>
  <c r="V246" i="43"/>
  <c r="BK246" i="43" s="1"/>
  <c r="V227" i="43"/>
  <c r="BK227" i="43" s="1"/>
  <c r="K179" i="43"/>
  <c r="K157" i="43"/>
  <c r="K224" i="43"/>
  <c r="V242" i="43"/>
  <c r="BK242" i="43" s="1"/>
  <c r="K135" i="43"/>
  <c r="V229" i="43"/>
  <c r="BK229" i="43" s="1"/>
  <c r="V240" i="43"/>
  <c r="BK240" i="43" s="1"/>
  <c r="K158" i="43"/>
  <c r="V239" i="43"/>
  <c r="BK239" i="43" s="1"/>
  <c r="V245" i="43"/>
  <c r="BK245" i="43" s="1"/>
  <c r="V243" i="43"/>
  <c r="BK243" i="43" s="1"/>
  <c r="K136" i="43"/>
  <c r="V254" i="43"/>
  <c r="BK254" i="43" s="1"/>
  <c r="K236" i="43"/>
  <c r="K191" i="43"/>
  <c r="V238" i="43"/>
  <c r="BK238" i="43" s="1"/>
  <c r="K235" i="43"/>
  <c r="K213" i="43"/>
  <c r="K114" i="43"/>
  <c r="V256" i="43"/>
  <c r="BK256" i="43" s="1"/>
  <c r="V252" i="43"/>
  <c r="BK252" i="43" s="1"/>
  <c r="V235" i="43"/>
  <c r="V241" i="43"/>
  <c r="BK241" i="43" s="1"/>
  <c r="V237" i="43"/>
  <c r="BK237" i="43" s="1"/>
  <c r="V244" i="43"/>
  <c r="BK244" i="43" s="1"/>
  <c r="V258" i="43"/>
  <c r="BK258" i="43" s="1"/>
  <c r="K125" i="43"/>
  <c r="K169" i="43"/>
  <c r="K202" i="43"/>
  <c r="V248" i="43"/>
  <c r="BK248" i="43" s="1"/>
  <c r="V247" i="43"/>
  <c r="K180" i="43"/>
  <c r="K147" i="43"/>
  <c r="K248" i="43"/>
  <c r="K192" i="43"/>
  <c r="K126" i="43"/>
  <c r="V264" i="43"/>
  <c r="BK264" i="43" s="1"/>
  <c r="V268" i="43"/>
  <c r="BK268" i="43" s="1"/>
  <c r="V249" i="43"/>
  <c r="BK249" i="43" s="1"/>
  <c r="V253" i="43"/>
  <c r="BK253" i="43" s="1"/>
  <c r="V250" i="43"/>
  <c r="BK250" i="43" s="1"/>
  <c r="K214" i="43"/>
  <c r="K225" i="43"/>
  <c r="K137" i="43"/>
  <c r="K148" i="43"/>
  <c r="V257" i="43"/>
  <c r="BK257" i="43" s="1"/>
  <c r="K203" i="43"/>
  <c r="V251" i="43"/>
  <c r="BK251" i="43" s="1"/>
  <c r="K247" i="43"/>
  <c r="V266" i="43"/>
  <c r="BK266" i="43" s="1"/>
  <c r="K181" i="43"/>
  <c r="K170" i="43"/>
  <c r="V260" i="43"/>
  <c r="BK260" i="43" s="1"/>
  <c r="V255" i="43"/>
  <c r="BK255" i="43" s="1"/>
  <c r="V270" i="43"/>
  <c r="BK270" i="43" s="1"/>
  <c r="K159" i="43"/>
  <c r="K204" i="43"/>
  <c r="K182" i="43"/>
  <c r="V262" i="43"/>
  <c r="BK262" i="43" s="1"/>
  <c r="K160" i="43"/>
  <c r="K226" i="43"/>
  <c r="K193" i="43"/>
  <c r="V278" i="43"/>
  <c r="BK278" i="43" s="1"/>
  <c r="K259" i="43"/>
  <c r="V269" i="43"/>
  <c r="BK269" i="43" s="1"/>
  <c r="V267" i="43"/>
  <c r="BK267" i="43" s="1"/>
  <c r="K149" i="43"/>
  <c r="K215" i="43"/>
  <c r="K138" i="43"/>
  <c r="K171" i="43"/>
  <c r="V263" i="43"/>
  <c r="BK263" i="43" s="1"/>
  <c r="V265" i="43"/>
  <c r="BK265" i="43" s="1"/>
  <c r="V280" i="43"/>
  <c r="BK280" i="43" s="1"/>
  <c r="V276" i="43"/>
  <c r="BK276" i="43" s="1"/>
  <c r="V281" i="43"/>
  <c r="BK281" i="43" s="1"/>
  <c r="V282" i="43"/>
  <c r="BK282" i="43" s="1"/>
  <c r="K237" i="43"/>
  <c r="K260" i="43"/>
  <c r="V259" i="43"/>
  <c r="V261" i="43"/>
  <c r="BK261" i="43" s="1"/>
  <c r="K271" i="43"/>
  <c r="V273" i="43"/>
  <c r="BK273" i="43" s="1"/>
  <c r="V279" i="43"/>
  <c r="BK279" i="43" s="1"/>
  <c r="V272" i="43"/>
  <c r="BK272" i="43" s="1"/>
  <c r="K227" i="43"/>
  <c r="V277" i="43"/>
  <c r="BK277" i="43" s="1"/>
  <c r="K205" i="43"/>
  <c r="K161" i="43"/>
  <c r="K238" i="43"/>
  <c r="V274" i="43"/>
  <c r="BK274" i="43" s="1"/>
  <c r="V285" i="43"/>
  <c r="BK285" i="43" s="1"/>
  <c r="K194" i="43"/>
  <c r="V275" i="43"/>
  <c r="BK275" i="43" s="1"/>
  <c r="K272" i="43"/>
  <c r="V293" i="43"/>
  <c r="BK293" i="43" s="1"/>
  <c r="V289" i="43"/>
  <c r="BK289" i="43" s="1"/>
  <c r="V290" i="43"/>
  <c r="BK290" i="43" s="1"/>
  <c r="K216" i="43"/>
  <c r="K183" i="43"/>
  <c r="K249" i="43"/>
  <c r="K150" i="43"/>
  <c r="V271" i="43"/>
  <c r="K172" i="43"/>
  <c r="V294" i="43"/>
  <c r="BK294" i="43" s="1"/>
  <c r="BH260" i="43"/>
  <c r="BH277" i="43"/>
  <c r="BM194" i="43"/>
  <c r="AL194" i="43" s="1"/>
  <c r="BM249" i="43"/>
  <c r="AL249" i="43" s="1"/>
  <c r="BM183" i="43"/>
  <c r="AL183" i="43" s="1"/>
  <c r="BN262" i="43"/>
  <c r="V284" i="43"/>
  <c r="BK284" i="43" s="1"/>
  <c r="K217" i="43"/>
  <c r="K206" i="43"/>
  <c r="BH275" i="43"/>
  <c r="V302" i="43"/>
  <c r="BK302" i="43" s="1"/>
  <c r="BN276" i="43"/>
  <c r="BN271" i="43"/>
  <c r="V306" i="43"/>
  <c r="BK306" i="43" s="1"/>
  <c r="BH272" i="43"/>
  <c r="V288" i="43"/>
  <c r="BK288" i="43" s="1"/>
  <c r="BH268" i="43"/>
  <c r="BM216" i="43"/>
  <c r="AL216" i="43" s="1"/>
  <c r="V283" i="43"/>
  <c r="BM29" i="43"/>
  <c r="AL29" i="43" s="1"/>
  <c r="BM76" i="43"/>
  <c r="AL76" i="43" s="1"/>
  <c r="BM46" i="43"/>
  <c r="AL46" i="43" s="1"/>
  <c r="BM35" i="43"/>
  <c r="AL35" i="43" s="1"/>
  <c r="BM111" i="43"/>
  <c r="AL111" i="43" s="1"/>
  <c r="BM223" i="43"/>
  <c r="AL223" i="43" s="1"/>
  <c r="BM157" i="43"/>
  <c r="AL157" i="43" s="1"/>
  <c r="BM101" i="43"/>
  <c r="AL101" i="43" s="1"/>
  <c r="BM21" i="43"/>
  <c r="AL21" i="43" s="1"/>
  <c r="BM72" i="43"/>
  <c r="AL72" i="43" s="1"/>
  <c r="BM22" i="43"/>
  <c r="AL22" i="43" s="1"/>
  <c r="BM119" i="43"/>
  <c r="AL119" i="43" s="1"/>
  <c r="BM148" i="43"/>
  <c r="AL148" i="43" s="1"/>
  <c r="BM168" i="43"/>
  <c r="AL168" i="43" s="1"/>
  <c r="BM92" i="43"/>
  <c r="AL92" i="43" s="1"/>
  <c r="BM141" i="43"/>
  <c r="AL141" i="43" s="1"/>
  <c r="BM12" i="43"/>
  <c r="AL12" i="43" s="1"/>
  <c r="BM149" i="43"/>
  <c r="AL149" i="43" s="1"/>
  <c r="BM166" i="43"/>
  <c r="AL166" i="43" s="1"/>
  <c r="BM8" i="43"/>
  <c r="AL8" i="43" s="1"/>
  <c r="BM73" i="43"/>
  <c r="AL73" i="43" s="1"/>
  <c r="BM248" i="43"/>
  <c r="AL248" i="43" s="1"/>
  <c r="BM10" i="43"/>
  <c r="AL10" i="43" s="1"/>
  <c r="BM33" i="43"/>
  <c r="AL33" i="43" s="1"/>
  <c r="BM192" i="43"/>
  <c r="AL192" i="43" s="1"/>
  <c r="BM61" i="43"/>
  <c r="AL61" i="43" s="1"/>
  <c r="BM99" i="43"/>
  <c r="AL99" i="43" s="1"/>
  <c r="BM85" i="43"/>
  <c r="AL85" i="43" s="1"/>
  <c r="BH266" i="43"/>
  <c r="BM142" i="43"/>
  <c r="AL142" i="43" s="1"/>
  <c r="BM125" i="43"/>
  <c r="AL125" i="43" s="1"/>
  <c r="BM78" i="43"/>
  <c r="AL78" i="43" s="1"/>
  <c r="BM37" i="43"/>
  <c r="AL37" i="43" s="1"/>
  <c r="BM94" i="43"/>
  <c r="AL94" i="43" s="1"/>
  <c r="BM60" i="43"/>
  <c r="AL60" i="43" s="1"/>
  <c r="BM237" i="43"/>
  <c r="AL237" i="43" s="1"/>
  <c r="BM95" i="43"/>
  <c r="AL95" i="43" s="1"/>
  <c r="BM133" i="43"/>
  <c r="AL133" i="43" s="1"/>
  <c r="BM213" i="43"/>
  <c r="AL213" i="43" s="1"/>
  <c r="BM36" i="43"/>
  <c r="AL36" i="43" s="1"/>
  <c r="BM80" i="43"/>
  <c r="AL80" i="43" s="1"/>
  <c r="BM138" i="43"/>
  <c r="AL138" i="43" s="1"/>
  <c r="BM103" i="43"/>
  <c r="AL103" i="43" s="1"/>
  <c r="BM117" i="43"/>
  <c r="AL117" i="43" s="1"/>
  <c r="BM167" i="43"/>
  <c r="AL167" i="43" s="1"/>
  <c r="BM211" i="43"/>
  <c r="AL211" i="43" s="1"/>
  <c r="BM91" i="43"/>
  <c r="AL91" i="43" s="1"/>
  <c r="BM169" i="43"/>
  <c r="AL169" i="43" s="1"/>
  <c r="BM202" i="43"/>
  <c r="AL202" i="43" s="1"/>
  <c r="BM155" i="43"/>
  <c r="AL155" i="43" s="1"/>
  <c r="BM163" i="43"/>
  <c r="AL163" i="43" s="1"/>
  <c r="BM238" i="43"/>
  <c r="AL238" i="43" s="1"/>
  <c r="BN263" i="43"/>
  <c r="BH267" i="43"/>
  <c r="K283" i="43"/>
  <c r="K261" i="43"/>
  <c r="BM205" i="43"/>
  <c r="AL205" i="43" s="1"/>
  <c r="BN294" i="43"/>
  <c r="BN278" i="43"/>
  <c r="BM226" i="43"/>
  <c r="AL226" i="43" s="1"/>
  <c r="BN273" i="43"/>
  <c r="V291" i="43"/>
  <c r="BK291" i="43" s="1"/>
  <c r="BH263" i="43"/>
  <c r="BH259" i="43"/>
  <c r="BM150" i="43"/>
  <c r="AL150" i="43" s="1"/>
  <c r="BN280" i="43"/>
  <c r="BH290" i="43"/>
  <c r="BH265" i="43"/>
  <c r="K284" i="43"/>
  <c r="K184" i="43"/>
  <c r="K195" i="43"/>
  <c r="K228" i="43"/>
  <c r="BN269" i="43"/>
  <c r="V292" i="43"/>
  <c r="BK292" i="43" s="1"/>
  <c r="BN261" i="43"/>
  <c r="BH274" i="43"/>
  <c r="BM139" i="43"/>
  <c r="AL139" i="43" s="1"/>
  <c r="BM151" i="43"/>
  <c r="AL151" i="43" s="1"/>
  <c r="BM18" i="43"/>
  <c r="AL18" i="43" s="1"/>
  <c r="BM40" i="43"/>
  <c r="AL40" i="43" s="1"/>
  <c r="BM156" i="43"/>
  <c r="AL156" i="43" s="1"/>
  <c r="BM89" i="43"/>
  <c r="AL89" i="43" s="1"/>
  <c r="BM47" i="43"/>
  <c r="AL47" i="43" s="1"/>
  <c r="BM59" i="43"/>
  <c r="AL59" i="43" s="1"/>
  <c r="BM56" i="43"/>
  <c r="AL56" i="43" s="1"/>
  <c r="BM108" i="43"/>
  <c r="AL108" i="43" s="1"/>
  <c r="BM110" i="43"/>
  <c r="AL110" i="43" s="1"/>
  <c r="BM19" i="43"/>
  <c r="AL19" i="43" s="1"/>
  <c r="BM93" i="43"/>
  <c r="AL93" i="43" s="1"/>
  <c r="BM147" i="43"/>
  <c r="AL147" i="43" s="1"/>
  <c r="BM176" i="43"/>
  <c r="AL176" i="43" s="1"/>
  <c r="BM134" i="43"/>
  <c r="AL134" i="43" s="1"/>
  <c r="BM164" i="43"/>
  <c r="AL164" i="43" s="1"/>
  <c r="BM159" i="43"/>
  <c r="AL159" i="43" s="1"/>
  <c r="BM180" i="43"/>
  <c r="AL180" i="43" s="1"/>
  <c r="BM13" i="43"/>
  <c r="AL13" i="43" s="1"/>
  <c r="BM45" i="43"/>
  <c r="AL45" i="43" s="1"/>
  <c r="BM212" i="43"/>
  <c r="AL212" i="43" s="1"/>
  <c r="BM123" i="43"/>
  <c r="AL123" i="43" s="1"/>
  <c r="BM52" i="43"/>
  <c r="AL52" i="43" s="1"/>
  <c r="BM118" i="43"/>
  <c r="AL118" i="43" s="1"/>
  <c r="BM100" i="43"/>
  <c r="AL100" i="43" s="1"/>
  <c r="BM64" i="43"/>
  <c r="AL64" i="43" s="1"/>
  <c r="BM145" i="43"/>
  <c r="AL145" i="43" s="1"/>
  <c r="BM17" i="43"/>
  <c r="AL17" i="43" s="1"/>
  <c r="BM143" i="43"/>
  <c r="AL143" i="43" s="1"/>
  <c r="BM71" i="43"/>
  <c r="AL71" i="43" s="1"/>
  <c r="BM170" i="43"/>
  <c r="AL170" i="43" s="1"/>
  <c r="BM225" i="43"/>
  <c r="AL225" i="43" s="1"/>
  <c r="BM24" i="43"/>
  <c r="AL24" i="43" s="1"/>
  <c r="BM82" i="43"/>
  <c r="AL82" i="43" s="1"/>
  <c r="BM121" i="43"/>
  <c r="AL121" i="43" s="1"/>
  <c r="BM190" i="43"/>
  <c r="AL190" i="43" s="1"/>
  <c r="BM87" i="43"/>
  <c r="AL87" i="43" s="1"/>
  <c r="BM65" i="43"/>
  <c r="AL65" i="43" s="1"/>
  <c r="BM53" i="43"/>
  <c r="AL53" i="43" s="1"/>
  <c r="BM43" i="43"/>
  <c r="AL43" i="43" s="1"/>
  <c r="BM179" i="43"/>
  <c r="AL179" i="43" s="1"/>
  <c r="BN270" i="43"/>
  <c r="BM70" i="43"/>
  <c r="AL70" i="43" s="1"/>
  <c r="BM127" i="43"/>
  <c r="AL127" i="43" s="1"/>
  <c r="BM137" i="43"/>
  <c r="AL137" i="43" s="1"/>
  <c r="BM126" i="43"/>
  <c r="AL126" i="43" s="1"/>
  <c r="BM96" i="43"/>
  <c r="AL96" i="43" s="1"/>
  <c r="BN281" i="43"/>
  <c r="BN279" i="43"/>
  <c r="V286" i="43"/>
  <c r="BK286" i="43" s="1"/>
  <c r="BN267" i="43"/>
  <c r="BN275" i="43"/>
  <c r="BM161" i="43"/>
  <c r="AL161" i="43" s="1"/>
  <c r="BN259" i="43"/>
  <c r="BN290" i="43"/>
  <c r="BH269" i="43"/>
  <c r="BM182" i="43"/>
  <c r="AL182" i="43" s="1"/>
  <c r="BN272" i="43"/>
  <c r="BH264" i="43"/>
  <c r="BN274" i="43"/>
  <c r="BH271" i="43"/>
  <c r="V301" i="43"/>
  <c r="BK301" i="43" s="1"/>
  <c r="V305" i="43"/>
  <c r="BK305" i="43" s="1"/>
  <c r="BH278" i="43"/>
  <c r="BN260" i="43"/>
  <c r="BH262" i="43"/>
  <c r="BH276" i="43"/>
  <c r="BM271" i="43"/>
  <c r="AL271" i="43" s="1"/>
  <c r="BM106" i="43"/>
  <c r="AL106" i="43" s="1"/>
  <c r="BM124" i="43"/>
  <c r="AL124" i="43" s="1"/>
  <c r="BM188" i="43"/>
  <c r="AL188" i="43" s="1"/>
  <c r="BM191" i="43"/>
  <c r="AL191" i="43" s="1"/>
  <c r="BM178" i="43"/>
  <c r="AL178" i="43" s="1"/>
  <c r="BM14" i="43"/>
  <c r="AL14" i="43" s="1"/>
  <c r="BM32" i="43"/>
  <c r="AL32" i="43" s="1"/>
  <c r="BM27" i="43"/>
  <c r="AL27" i="43" s="1"/>
  <c r="BM152" i="43"/>
  <c r="AL152" i="43" s="1"/>
  <c r="BM236" i="43"/>
  <c r="AL236" i="43" s="1"/>
  <c r="BM199" i="43"/>
  <c r="AL199" i="43" s="1"/>
  <c r="BM55" i="43"/>
  <c r="AL55" i="43" s="1"/>
  <c r="BM63" i="43"/>
  <c r="AL63" i="43" s="1"/>
  <c r="BM114" i="43"/>
  <c r="AL114" i="43" s="1"/>
  <c r="BM105" i="43"/>
  <c r="AL105" i="43" s="1"/>
  <c r="BM79" i="43"/>
  <c r="AL79" i="43" s="1"/>
  <c r="BM104" i="43"/>
  <c r="AL104" i="43" s="1"/>
  <c r="BM135" i="43"/>
  <c r="AL135" i="43" s="1"/>
  <c r="BM130" i="43"/>
  <c r="AL130" i="43" s="1"/>
  <c r="BM54" i="43"/>
  <c r="AL54" i="43" s="1"/>
  <c r="BM187" i="43"/>
  <c r="AL187" i="43" s="1"/>
  <c r="BH270" i="43"/>
  <c r="BM102" i="43"/>
  <c r="AL102" i="43" s="1"/>
  <c r="BM116" i="43"/>
  <c r="AL116" i="43" s="1"/>
  <c r="BM41" i="43"/>
  <c r="AL41" i="43" s="1"/>
  <c r="BM20" i="43"/>
  <c r="AL20" i="43" s="1"/>
  <c r="BM38" i="43"/>
  <c r="AL38" i="43" s="1"/>
  <c r="BM88" i="43"/>
  <c r="AL88" i="43" s="1"/>
  <c r="BM181" i="43"/>
  <c r="AL181" i="43" s="1"/>
  <c r="BM129" i="43"/>
  <c r="AL129" i="43" s="1"/>
  <c r="BM44" i="43"/>
  <c r="AL44" i="43" s="1"/>
  <c r="BM15" i="43"/>
  <c r="AL15" i="43" s="1"/>
  <c r="BM25" i="43"/>
  <c r="AL25" i="43" s="1"/>
  <c r="BM201" i="43"/>
  <c r="AL201" i="43" s="1"/>
  <c r="BM62" i="43"/>
  <c r="AL62" i="43" s="1"/>
  <c r="BM84" i="43"/>
  <c r="AL84" i="43" s="1"/>
  <c r="BM122" i="43"/>
  <c r="AL122" i="43" s="1"/>
  <c r="BM131" i="43"/>
  <c r="AL131" i="43" s="1"/>
  <c r="BM42" i="43"/>
  <c r="AL42" i="43" s="1"/>
  <c r="BM160" i="43"/>
  <c r="AL160" i="43" s="1"/>
  <c r="BM175" i="43"/>
  <c r="AL175" i="43" s="1"/>
  <c r="BM23" i="43"/>
  <c r="AL23" i="43" s="1"/>
  <c r="BM144" i="43"/>
  <c r="AL144" i="43" s="1"/>
  <c r="BM86" i="43"/>
  <c r="AL86" i="43" s="1"/>
  <c r="BM58" i="43"/>
  <c r="AL58" i="43" s="1"/>
  <c r="BM49" i="43"/>
  <c r="AL49" i="43" s="1"/>
  <c r="BM83" i="43"/>
  <c r="AL83" i="43" s="1"/>
  <c r="BM75" i="43"/>
  <c r="AL75" i="43" s="1"/>
  <c r="BM26" i="43"/>
  <c r="AL26" i="43" s="1"/>
  <c r="K250" i="43"/>
  <c r="K173" i="43"/>
  <c r="K162" i="43"/>
  <c r="BN277" i="43"/>
  <c r="BN264" i="43"/>
  <c r="BH281" i="43"/>
  <c r="BM247" i="43"/>
  <c r="AL247" i="43" s="1"/>
  <c r="BH279" i="43"/>
  <c r="BN268" i="43"/>
  <c r="BM260" i="43"/>
  <c r="AL260" i="43" s="1"/>
  <c r="BH294" i="43"/>
  <c r="BH261" i="43"/>
  <c r="BH282" i="43"/>
  <c r="BH273" i="43"/>
  <c r="BM227" i="43"/>
  <c r="AL227" i="43" s="1"/>
  <c r="BM272" i="43"/>
  <c r="AL272" i="43" s="1"/>
  <c r="K239" i="43"/>
  <c r="BM171" i="43"/>
  <c r="AL171" i="43" s="1"/>
  <c r="BM172" i="43"/>
  <c r="AL172" i="43" s="1"/>
  <c r="V287" i="43"/>
  <c r="BK287" i="43" s="1"/>
  <c r="BH280" i="43"/>
  <c r="BM51" i="43"/>
  <c r="AL51" i="43" s="1"/>
  <c r="BM69" i="43"/>
  <c r="AL69" i="43" s="1"/>
  <c r="BM113" i="43"/>
  <c r="AL113" i="43" s="1"/>
  <c r="BM112" i="43"/>
  <c r="AL112" i="43" s="1"/>
  <c r="BM81" i="43"/>
  <c r="AL81" i="43" s="1"/>
  <c r="BM193" i="43"/>
  <c r="AL193" i="43" s="1"/>
  <c r="BM48" i="43"/>
  <c r="AL48" i="43" s="1"/>
  <c r="BM165" i="43"/>
  <c r="AL165" i="43" s="1"/>
  <c r="BM132" i="43"/>
  <c r="AL132" i="43" s="1"/>
  <c r="BM98" i="43"/>
  <c r="AL98" i="43" s="1"/>
  <c r="BM146" i="43"/>
  <c r="AL146" i="43" s="1"/>
  <c r="BM203" i="43"/>
  <c r="AL203" i="43" s="1"/>
  <c r="BN266" i="43"/>
  <c r="BM140" i="43"/>
  <c r="AL140" i="43" s="1"/>
  <c r="BM66" i="43"/>
  <c r="AL66" i="43" s="1"/>
  <c r="BM31" i="43"/>
  <c r="AL31" i="43" s="1"/>
  <c r="BM28" i="43"/>
  <c r="AL28" i="43" s="1"/>
  <c r="BM34" i="43"/>
  <c r="AL34" i="43" s="1"/>
  <c r="BM39" i="43"/>
  <c r="AL39" i="43" s="1"/>
  <c r="BM109" i="43"/>
  <c r="AL109" i="43" s="1"/>
  <c r="BM7" i="43"/>
  <c r="AL7" i="43" s="1"/>
  <c r="AM7" i="43" s="1"/>
  <c r="BM204" i="43"/>
  <c r="AL204" i="43" s="1"/>
  <c r="BM90" i="43"/>
  <c r="AL90" i="43" s="1"/>
  <c r="BM16" i="43"/>
  <c r="AL16" i="43" s="1"/>
  <c r="BM107" i="43"/>
  <c r="AL107" i="43" s="1"/>
  <c r="BM136" i="43"/>
  <c r="AL136" i="43" s="1"/>
  <c r="BM97" i="43"/>
  <c r="AL97" i="43" s="1"/>
  <c r="BM158" i="43"/>
  <c r="AL158" i="43" s="1"/>
  <c r="BM215" i="43"/>
  <c r="AL215" i="43" s="1"/>
  <c r="BM153" i="43"/>
  <c r="AL153" i="43" s="1"/>
  <c r="BM120" i="43"/>
  <c r="AL120" i="43" s="1"/>
  <c r="BM74" i="43"/>
  <c r="AL74" i="43" s="1"/>
  <c r="BM11" i="43"/>
  <c r="AL11" i="43" s="1"/>
  <c r="BM154" i="43"/>
  <c r="AL154" i="43" s="1"/>
  <c r="BM68" i="43"/>
  <c r="AL68" i="43" s="1"/>
  <c r="BM214" i="43"/>
  <c r="AL214" i="43" s="1"/>
  <c r="BM177" i="43"/>
  <c r="AL177" i="43" s="1"/>
  <c r="BM57" i="43"/>
  <c r="AL57" i="43" s="1"/>
  <c r="BM67" i="43"/>
  <c r="AL67" i="43" s="1"/>
  <c r="BM115" i="43"/>
  <c r="AL115" i="43" s="1"/>
  <c r="BM189" i="43"/>
  <c r="AL189" i="43" s="1"/>
  <c r="BM128" i="43"/>
  <c r="AL128" i="43" s="1"/>
  <c r="BM200" i="43"/>
  <c r="AL200" i="43" s="1"/>
  <c r="BM50" i="43"/>
  <c r="AL50" i="43" s="1"/>
  <c r="BM77" i="43"/>
  <c r="AL77" i="43" s="1"/>
  <c r="BM224" i="43"/>
  <c r="AL224" i="43" s="1"/>
  <c r="BM9" i="43"/>
  <c r="AL9" i="43" s="1"/>
  <c r="BM30" i="43"/>
  <c r="AL30" i="43" s="1"/>
  <c r="BM235" i="43"/>
  <c r="AL235" i="43" s="1"/>
  <c r="V297" i="43"/>
  <c r="BK297" i="43" s="1"/>
  <c r="BN265" i="43"/>
  <c r="BM259" i="43"/>
  <c r="AL259" i="43" s="1"/>
  <c r="BN282" i="43"/>
  <c r="K207" i="43"/>
  <c r="K185" i="43"/>
  <c r="BM261" i="43"/>
  <c r="AL261" i="43" s="1"/>
  <c r="BH288" i="43"/>
  <c r="K296" i="43"/>
  <c r="BM195" i="43"/>
  <c r="AL195" i="43" s="1"/>
  <c r="BN285" i="43"/>
  <c r="BN284" i="43"/>
  <c r="K273" i="43"/>
  <c r="V300" i="43"/>
  <c r="BK300" i="43" s="1"/>
  <c r="BH287" i="43"/>
  <c r="BH302" i="43"/>
  <c r="BH284" i="43"/>
  <c r="K174" i="43"/>
  <c r="V318" i="43"/>
  <c r="BK318" i="43" s="1"/>
  <c r="V296" i="43"/>
  <c r="BK296" i="43" s="1"/>
  <c r="BM184" i="43"/>
  <c r="AL184" i="43" s="1"/>
  <c r="BM162" i="43"/>
  <c r="AL162" i="43" s="1"/>
  <c r="BN306" i="43"/>
  <c r="BH291" i="43"/>
  <c r="V309" i="43"/>
  <c r="BK309" i="43" s="1"/>
  <c r="K196" i="43"/>
  <c r="BN286" i="43"/>
  <c r="BH306" i="43"/>
  <c r="BM239" i="43"/>
  <c r="AL239" i="43" s="1"/>
  <c r="V295" i="43"/>
  <c r="V299" i="43"/>
  <c r="BK299" i="43" s="1"/>
  <c r="V314" i="43"/>
  <c r="BK314" i="43" s="1"/>
  <c r="V304" i="43"/>
  <c r="BK304" i="43" s="1"/>
  <c r="BH289" i="43"/>
  <c r="K295" i="43"/>
  <c r="K218" i="43"/>
  <c r="K251" i="43"/>
  <c r="BM284" i="43"/>
  <c r="AL284" i="43" s="1"/>
  <c r="BM283" i="43"/>
  <c r="AL283" i="43" s="1"/>
  <c r="BH283" i="43"/>
  <c r="BM228" i="43"/>
  <c r="AL228" i="43" s="1"/>
  <c r="BN302" i="43"/>
  <c r="K240" i="43"/>
  <c r="K262" i="43"/>
  <c r="K229" i="43"/>
  <c r="BH286" i="43"/>
  <c r="BH285" i="43"/>
  <c r="BN289" i="43"/>
  <c r="BM217" i="43"/>
  <c r="AL217" i="43" s="1"/>
  <c r="BM250" i="43"/>
  <c r="AL250" i="43" s="1"/>
  <c r="BN292" i="43"/>
  <c r="BH293" i="43"/>
  <c r="BN291" i="43"/>
  <c r="BH292" i="43"/>
  <c r="BN287" i="43"/>
  <c r="BM206" i="43"/>
  <c r="AL206" i="43" s="1"/>
  <c r="V313" i="43"/>
  <c r="BK313" i="43" s="1"/>
  <c r="BN283" i="43"/>
  <c r="BN293" i="43"/>
  <c r="V298" i="43"/>
  <c r="BK298" i="43" s="1"/>
  <c r="BM173" i="43"/>
  <c r="AL173" i="43" s="1"/>
  <c r="BN288" i="43"/>
  <c r="V303" i="43"/>
  <c r="BK303" i="43" s="1"/>
  <c r="V320" i="43"/>
  <c r="BK320" i="43" s="1"/>
  <c r="BN305" i="43"/>
  <c r="BN318" i="43"/>
  <c r="BH314" i="43"/>
  <c r="BH303" i="43"/>
  <c r="BH318" i="43"/>
  <c r="V316" i="43"/>
  <c r="BK316" i="43" s="1"/>
  <c r="BM196" i="43"/>
  <c r="AL196" i="43" s="1"/>
  <c r="K219" i="43"/>
  <c r="K241" i="43"/>
  <c r="K230" i="43"/>
  <c r="BN304" i="43"/>
  <c r="BM185" i="43"/>
  <c r="AL185" i="43" s="1"/>
  <c r="K274" i="43"/>
  <c r="BM262" i="43"/>
  <c r="AL262" i="43" s="1"/>
  <c r="BH297" i="43"/>
  <c r="BN296" i="43"/>
  <c r="BM251" i="43"/>
  <c r="AL251" i="43" s="1"/>
  <c r="K285" i="43"/>
  <c r="BN303" i="43"/>
  <c r="BH298" i="43"/>
  <c r="BN295" i="43"/>
  <c r="K186" i="43"/>
  <c r="V317" i="43"/>
  <c r="BK317" i="43" s="1"/>
  <c r="BM207" i="43"/>
  <c r="AL207" i="43" s="1"/>
  <c r="BH305" i="43"/>
  <c r="BN301" i="43"/>
  <c r="V330" i="43"/>
  <c r="BK330" i="43" s="1"/>
  <c r="V307" i="43"/>
  <c r="BH304" i="43"/>
  <c r="BN298" i="43"/>
  <c r="BM174" i="43"/>
  <c r="AL174" i="43" s="1"/>
  <c r="BM240" i="43"/>
  <c r="AL240" i="43" s="1"/>
  <c r="V319" i="43"/>
  <c r="BM273" i="43"/>
  <c r="AL273" i="43" s="1"/>
  <c r="V310" i="43"/>
  <c r="BK310" i="43" s="1"/>
  <c r="BN314" i="43"/>
  <c r="K307" i="43"/>
  <c r="BM229" i="43"/>
  <c r="AL229" i="43" s="1"/>
  <c r="BN300" i="43"/>
  <c r="K263" i="43"/>
  <c r="K197" i="43"/>
  <c r="K252" i="43"/>
  <c r="V326" i="43"/>
  <c r="BK326" i="43" s="1"/>
  <c r="V311" i="43"/>
  <c r="BK311" i="43" s="1"/>
  <c r="V308" i="43"/>
  <c r="BK308" i="43" s="1"/>
  <c r="K208" i="43"/>
  <c r="BN299" i="43"/>
  <c r="BH301" i="43"/>
  <c r="K308" i="43"/>
  <c r="BN297" i="43"/>
  <c r="BH296" i="43"/>
  <c r="BM218" i="43"/>
  <c r="AL218" i="43" s="1"/>
  <c r="BH299" i="43"/>
  <c r="BH295" i="43"/>
  <c r="BM296" i="43"/>
  <c r="AL296" i="43" s="1"/>
  <c r="V312" i="43"/>
  <c r="BK312" i="43" s="1"/>
  <c r="BH300" i="43"/>
  <c r="V315" i="43"/>
  <c r="BK315" i="43" s="1"/>
  <c r="V324" i="43"/>
  <c r="BK324" i="43" s="1"/>
  <c r="BH307" i="43"/>
  <c r="K198" i="43"/>
  <c r="K220" i="43"/>
  <c r="BH315" i="43"/>
  <c r="BH310" i="43"/>
  <c r="BH312" i="43"/>
  <c r="K320" i="43"/>
  <c r="BN310" i="43"/>
  <c r="K231" i="43"/>
  <c r="V325" i="43"/>
  <c r="BK325" i="43" s="1"/>
  <c r="BN315" i="43"/>
  <c r="BN317" i="43"/>
  <c r="V327" i="43"/>
  <c r="BK327" i="43" s="1"/>
  <c r="K264" i="43"/>
  <c r="BH330" i="43"/>
  <c r="BM197" i="43"/>
  <c r="AL197" i="43" s="1"/>
  <c r="K319" i="43"/>
  <c r="V338" i="43"/>
  <c r="BK338" i="43" s="1"/>
  <c r="BM295" i="43"/>
  <c r="AL295" i="43" s="1"/>
  <c r="BN313" i="43"/>
  <c r="V322" i="43"/>
  <c r="BK322" i="43" s="1"/>
  <c r="K275" i="43"/>
  <c r="K242" i="43"/>
  <c r="BN330" i="43"/>
  <c r="BH311" i="43"/>
  <c r="BM308" i="43"/>
  <c r="AL308" i="43" s="1"/>
  <c r="V323" i="43"/>
  <c r="BK323" i="43" s="1"/>
  <c r="K297" i="43"/>
  <c r="BH309" i="43"/>
  <c r="BM230" i="43"/>
  <c r="AL230" i="43" s="1"/>
  <c r="BN308" i="43"/>
  <c r="BM219" i="43"/>
  <c r="AL219" i="43" s="1"/>
  <c r="BN309" i="43"/>
  <c r="BN312" i="43"/>
  <c r="BH308" i="43"/>
  <c r="BN326" i="43"/>
  <c r="BH317" i="43"/>
  <c r="V329" i="43"/>
  <c r="BK329" i="43" s="1"/>
  <c r="BH313" i="43"/>
  <c r="V342" i="43"/>
  <c r="BK342" i="43" s="1"/>
  <c r="BN316" i="43"/>
  <c r="BH316" i="43"/>
  <c r="V328" i="43"/>
  <c r="BK328" i="43" s="1"/>
  <c r="BM274" i="43"/>
  <c r="AL274" i="43" s="1"/>
  <c r="BM186" i="43"/>
  <c r="AL186" i="43" s="1"/>
  <c r="BM208" i="43"/>
  <c r="AL208" i="43" s="1"/>
  <c r="BM241" i="43"/>
  <c r="AL241" i="43" s="1"/>
  <c r="K253" i="43"/>
  <c r="K209" i="43"/>
  <c r="K286" i="43"/>
  <c r="BM263" i="43"/>
  <c r="AL263" i="43" s="1"/>
  <c r="BM252" i="43"/>
  <c r="AL252" i="43" s="1"/>
  <c r="BN311" i="43"/>
  <c r="V335" i="43"/>
  <c r="BK335" i="43" s="1"/>
  <c r="BN307" i="43"/>
  <c r="BM285" i="43"/>
  <c r="AL285" i="43" s="1"/>
  <c r="BH326" i="43"/>
  <c r="V321" i="43"/>
  <c r="BK321" i="43" s="1"/>
  <c r="K331" i="43"/>
  <c r="K309" i="43"/>
  <c r="K254" i="43"/>
  <c r="BH342" i="43"/>
  <c r="BN325" i="43"/>
  <c r="BM320" i="43"/>
  <c r="AL320" i="43" s="1"/>
  <c r="BH329" i="43"/>
  <c r="BN322" i="43"/>
  <c r="V341" i="43"/>
  <c r="BK341" i="43" s="1"/>
  <c r="K287" i="43"/>
  <c r="K221" i="43"/>
  <c r="K298" i="43"/>
  <c r="BH327" i="43"/>
  <c r="BM198" i="43"/>
  <c r="AL198" i="43" s="1"/>
  <c r="K276" i="43"/>
  <c r="K243" i="43"/>
  <c r="BM297" i="43"/>
  <c r="AL297" i="43" s="1"/>
  <c r="BH319" i="43"/>
  <c r="V353" i="43"/>
  <c r="BK353" i="43" s="1"/>
  <c r="BN321" i="43"/>
  <c r="BN329" i="43"/>
  <c r="BH324" i="43"/>
  <c r="V334" i="43"/>
  <c r="BK334" i="43" s="1"/>
  <c r="BH320" i="43"/>
  <c r="BN327" i="43"/>
  <c r="BM209" i="43"/>
  <c r="AL209" i="43" s="1"/>
  <c r="V337" i="43"/>
  <c r="BK337" i="43" s="1"/>
  <c r="BM319" i="43"/>
  <c r="AL319" i="43" s="1"/>
  <c r="BM286" i="43"/>
  <c r="AL286" i="43" s="1"/>
  <c r="BH323" i="43"/>
  <c r="BN319" i="43"/>
  <c r="BN324" i="43"/>
  <c r="BH338" i="43"/>
  <c r="BM275" i="43"/>
  <c r="AL275" i="43" s="1"/>
  <c r="BM264" i="43"/>
  <c r="AL264" i="43" s="1"/>
  <c r="BH321" i="43"/>
  <c r="K232" i="43"/>
  <c r="BN328" i="43"/>
  <c r="BM231" i="43"/>
  <c r="AL231" i="43" s="1"/>
  <c r="BN338" i="43"/>
  <c r="V331" i="43"/>
  <c r="K265" i="43"/>
  <c r="BM220" i="43"/>
  <c r="AL220" i="43" s="1"/>
  <c r="BN342" i="43"/>
  <c r="V350" i="43"/>
  <c r="BK350" i="43" s="1"/>
  <c r="V333" i="43"/>
  <c r="BK333" i="43" s="1"/>
  <c r="BN320" i="43"/>
  <c r="BM242" i="43"/>
  <c r="AL242" i="43" s="1"/>
  <c r="BM307" i="43"/>
  <c r="AL307" i="43" s="1"/>
  <c r="V354" i="43"/>
  <c r="BK354" i="43" s="1"/>
  <c r="K332" i="43"/>
  <c r="V336" i="43"/>
  <c r="BK336" i="43" s="1"/>
  <c r="BH325" i="43"/>
  <c r="V340" i="43"/>
  <c r="BK340" i="43" s="1"/>
  <c r="BN323" i="43"/>
  <c r="BH322" i="43"/>
  <c r="K210" i="43"/>
  <c r="BH328" i="43"/>
  <c r="V339" i="43"/>
  <c r="BK339" i="43" s="1"/>
  <c r="BM253" i="43"/>
  <c r="AL253" i="43" s="1"/>
  <c r="V332" i="43"/>
  <c r="BK332" i="43" s="1"/>
  <c r="K288" i="43"/>
  <c r="V361" i="43"/>
  <c r="BK361" i="43" s="1"/>
  <c r="BM232" i="43"/>
  <c r="AL232" i="43" s="1"/>
  <c r="V362" i="43"/>
  <c r="BK362" i="43" s="1"/>
  <c r="V344" i="43"/>
  <c r="BK344" i="43" s="1"/>
  <c r="BN354" i="43"/>
  <c r="BM221" i="43"/>
  <c r="AL221" i="43" s="1"/>
  <c r="K344" i="43"/>
  <c r="BH354" i="43"/>
  <c r="V365" i="43"/>
  <c r="BK365" i="43" s="1"/>
  <c r="V348" i="43"/>
  <c r="BK348" i="43" s="1"/>
  <c r="BN340" i="43"/>
  <c r="BM287" i="43"/>
  <c r="AL287" i="43" s="1"/>
  <c r="BH334" i="43"/>
  <c r="V347" i="43"/>
  <c r="BK347" i="43" s="1"/>
  <c r="BM309" i="43"/>
  <c r="AL309" i="43" s="1"/>
  <c r="BM298" i="43"/>
  <c r="AL298" i="43" s="1"/>
  <c r="K299" i="43"/>
  <c r="K244" i="43"/>
  <c r="K255" i="43"/>
  <c r="BN341" i="43"/>
  <c r="BN336" i="43"/>
  <c r="BM254" i="43"/>
  <c r="AL254" i="43" s="1"/>
  <c r="BM331" i="43"/>
  <c r="AL331" i="43" s="1"/>
  <c r="K277" i="43"/>
  <c r="V352" i="43"/>
  <c r="BK352" i="43" s="1"/>
  <c r="BH341" i="43"/>
  <c r="BH336" i="43"/>
  <c r="BN335" i="43"/>
  <c r="BM276" i="43"/>
  <c r="AL276" i="43" s="1"/>
  <c r="BH350" i="43"/>
  <c r="BM243" i="43"/>
  <c r="AL243" i="43" s="1"/>
  <c r="V366" i="43"/>
  <c r="BK366" i="43" s="1"/>
  <c r="BH335" i="43"/>
  <c r="K343" i="43"/>
  <c r="BN333" i="43"/>
  <c r="BH340" i="43"/>
  <c r="K233" i="43"/>
  <c r="V349" i="43"/>
  <c r="BK349" i="43" s="1"/>
  <c r="V351" i="43"/>
  <c r="BK351" i="43" s="1"/>
  <c r="BH332" i="43"/>
  <c r="BM265" i="43"/>
  <c r="AL265" i="43" s="1"/>
  <c r="K321" i="43"/>
  <c r="BH337" i="43"/>
  <c r="K310" i="43"/>
  <c r="K266" i="43"/>
  <c r="V343" i="43"/>
  <c r="BN332" i="43"/>
  <c r="BM210" i="43"/>
  <c r="AL210" i="43" s="1"/>
  <c r="V345" i="43"/>
  <c r="BK345" i="43" s="1"/>
  <c r="BN331" i="43"/>
  <c r="BN350" i="43"/>
  <c r="BN337" i="43"/>
  <c r="BN334" i="43"/>
  <c r="BN339" i="43"/>
  <c r="BH331" i="43"/>
  <c r="K222" i="43"/>
  <c r="BH333" i="43"/>
  <c r="V346" i="43"/>
  <c r="BK346" i="43" s="1"/>
  <c r="BH339" i="43"/>
  <c r="BH343" i="43"/>
  <c r="BM244" i="43"/>
  <c r="AL244" i="43" s="1"/>
  <c r="BM288" i="43"/>
  <c r="AL288" i="43" s="1"/>
  <c r="BM222" i="43"/>
  <c r="AL222" i="43" s="1"/>
  <c r="K267" i="43"/>
  <c r="BH347" i="43"/>
  <c r="BM321" i="43"/>
  <c r="AL321" i="43" s="1"/>
  <c r="V360" i="43"/>
  <c r="BK360" i="43" s="1"/>
  <c r="K333" i="43"/>
  <c r="BN348" i="43"/>
  <c r="BH348" i="43"/>
  <c r="K355" i="43"/>
  <c r="BH344" i="43"/>
  <c r="K300" i="43"/>
  <c r="BN346" i="43"/>
  <c r="BH362" i="43"/>
  <c r="BN352" i="43"/>
  <c r="BM255" i="43"/>
  <c r="AL255" i="43" s="1"/>
  <c r="BM310" i="43"/>
  <c r="AL310" i="43" s="1"/>
  <c r="V355" i="43"/>
  <c r="BN344" i="43"/>
  <c r="BM343" i="43"/>
  <c r="AL343" i="43" s="1"/>
  <c r="BN366" i="43"/>
  <c r="K356" i="43"/>
  <c r="BM233" i="43"/>
  <c r="AL233" i="43" s="1"/>
  <c r="BN362" i="43"/>
  <c r="V357" i="43"/>
  <c r="BK357" i="43" s="1"/>
  <c r="BH366" i="43"/>
  <c r="BM277" i="43"/>
  <c r="AL277" i="43" s="1"/>
  <c r="V359" i="43"/>
  <c r="BK359" i="43" s="1"/>
  <c r="K256" i="43"/>
  <c r="K311" i="43"/>
  <c r="BM266" i="43"/>
  <c r="AL266" i="43" s="1"/>
  <c r="BM332" i="43"/>
  <c r="AL332" i="43" s="1"/>
  <c r="V356" i="43"/>
  <c r="BK356" i="43" s="1"/>
  <c r="BN351" i="43"/>
  <c r="K322" i="43"/>
  <c r="K289" i="43"/>
  <c r="K245" i="43"/>
  <c r="K278" i="43"/>
  <c r="V358" i="43"/>
  <c r="BK358" i="43" s="1"/>
  <c r="BH351" i="43"/>
  <c r="BN349" i="43"/>
  <c r="BN347" i="43"/>
  <c r="V363" i="43"/>
  <c r="BK363" i="43" s="1"/>
  <c r="BH345" i="43"/>
  <c r="BH349" i="43"/>
  <c r="BM299" i="43"/>
  <c r="AL299" i="43" s="1"/>
  <c r="K234" i="43"/>
  <c r="BH346" i="43"/>
  <c r="BN353" i="43"/>
  <c r="V364" i="43"/>
  <c r="BK364" i="43" s="1"/>
  <c r="BH353" i="43"/>
  <c r="BH352" i="43"/>
  <c r="BN345" i="43"/>
  <c r="BN343" i="43"/>
  <c r="BN358" i="43"/>
  <c r="BM245" i="43"/>
  <c r="AL245" i="43" s="1"/>
  <c r="BM311" i="43"/>
  <c r="AL311" i="43" s="1"/>
  <c r="BH356" i="43"/>
  <c r="BN361" i="43"/>
  <c r="K323" i="43"/>
  <c r="BN355" i="43"/>
  <c r="V367" i="43"/>
  <c r="BK367" i="43" s="1"/>
  <c r="BN360" i="43"/>
  <c r="BM356" i="43"/>
  <c r="AL356" i="43" s="1"/>
  <c r="BN363" i="43"/>
  <c r="K312" i="43"/>
  <c r="K367" i="43"/>
  <c r="BH360" i="43"/>
  <c r="K279" i="43"/>
  <c r="K301" i="43"/>
  <c r="K290" i="43"/>
  <c r="BM278" i="43"/>
  <c r="AL278" i="43" s="1"/>
  <c r="BN365" i="43"/>
  <c r="K345" i="43"/>
  <c r="BM267" i="43"/>
  <c r="AL267" i="43" s="1"/>
  <c r="BM256" i="43"/>
  <c r="AL256" i="43" s="1"/>
  <c r="BM322" i="43"/>
  <c r="AL322" i="43" s="1"/>
  <c r="BN364" i="43"/>
  <c r="BH359" i="43"/>
  <c r="BH358" i="43"/>
  <c r="BM234" i="43"/>
  <c r="AL234" i="43" s="1"/>
  <c r="BM300" i="43"/>
  <c r="AL300" i="43" s="1"/>
  <c r="BH357" i="43"/>
  <c r="BM344" i="43"/>
  <c r="AL344" i="43" s="1"/>
  <c r="K334" i="43"/>
  <c r="K257" i="43"/>
  <c r="K268" i="43"/>
  <c r="BN356" i="43"/>
  <c r="BH363" i="43"/>
  <c r="BH364" i="43"/>
  <c r="BM333" i="43"/>
  <c r="AL333" i="43" s="1"/>
  <c r="K246" i="43"/>
  <c r="BN357" i="43"/>
  <c r="BH361" i="43"/>
  <c r="BH365" i="43"/>
  <c r="BH355" i="43"/>
  <c r="BM289" i="43"/>
  <c r="AL289" i="43" s="1"/>
  <c r="BN359" i="43"/>
  <c r="BM323" i="43"/>
  <c r="AL323" i="43" s="1"/>
  <c r="BM355" i="43"/>
  <c r="AL355" i="43" s="1"/>
  <c r="BM279" i="43"/>
  <c r="AL279" i="43" s="1"/>
  <c r="K291" i="43"/>
  <c r="K324" i="43"/>
  <c r="K335" i="43"/>
  <c r="BM312" i="43"/>
  <c r="AL312" i="43" s="1"/>
  <c r="BM334" i="43"/>
  <c r="AL334" i="43" s="1"/>
  <c r="BM268" i="43"/>
  <c r="AL268" i="43" s="1"/>
  <c r="BM301" i="43"/>
  <c r="AL301" i="43" s="1"/>
  <c r="BM257" i="43"/>
  <c r="AL257" i="43" s="1"/>
  <c r="BM345" i="43"/>
  <c r="AL345" i="43" s="1"/>
  <c r="K357" i="43"/>
  <c r="K346" i="43"/>
  <c r="BM246" i="43"/>
  <c r="AL246" i="43" s="1"/>
  <c r="K280" i="43"/>
  <c r="BN367" i="43"/>
  <c r="K269" i="43"/>
  <c r="BH367" i="43"/>
  <c r="BM290" i="43"/>
  <c r="AL290" i="43" s="1"/>
  <c r="K258" i="43"/>
  <c r="K313" i="43"/>
  <c r="K302" i="43"/>
  <c r="K314" i="43"/>
  <c r="K281" i="43"/>
  <c r="BM346" i="43"/>
  <c r="AL346" i="43" s="1"/>
  <c r="K292" i="43"/>
  <c r="K303" i="43"/>
  <c r="BM313" i="43"/>
  <c r="AL313" i="43" s="1"/>
  <c r="BM258" i="43"/>
  <c r="AL258" i="43" s="1"/>
  <c r="BM335" i="43"/>
  <c r="AL335" i="43" s="1"/>
  <c r="BM291" i="43"/>
  <c r="AL291" i="43" s="1"/>
  <c r="BM367" i="43"/>
  <c r="AL367" i="43" s="1"/>
  <c r="K347" i="43"/>
  <c r="K336" i="43"/>
  <c r="BM357" i="43"/>
  <c r="AL357" i="43" s="1"/>
  <c r="K325" i="43"/>
  <c r="K270" i="43"/>
  <c r="K358" i="43"/>
  <c r="BM269" i="43"/>
  <c r="AL269" i="43" s="1"/>
  <c r="BM302" i="43"/>
  <c r="AL302" i="43" s="1"/>
  <c r="BM324" i="43"/>
  <c r="AL324" i="43" s="1"/>
  <c r="BM280" i="43"/>
  <c r="AL280" i="43" s="1"/>
  <c r="BM336" i="43"/>
  <c r="AL336" i="43" s="1"/>
  <c r="K304" i="43"/>
  <c r="K315" i="43"/>
  <c r="BM303" i="43"/>
  <c r="AL303" i="43" s="1"/>
  <c r="BM347" i="43"/>
  <c r="AL347" i="43" s="1"/>
  <c r="BM358" i="43"/>
  <c r="AL358" i="43" s="1"/>
  <c r="BM281" i="43"/>
  <c r="AL281" i="43" s="1"/>
  <c r="BM292" i="43"/>
  <c r="AL292" i="43" s="1"/>
  <c r="K282" i="43"/>
  <c r="K326" i="43"/>
  <c r="K337" i="43"/>
  <c r="BM325" i="43"/>
  <c r="AL325" i="43" s="1"/>
  <c r="BM314" i="43"/>
  <c r="AL314" i="43" s="1"/>
  <c r="K359" i="43"/>
  <c r="K348" i="43"/>
  <c r="K293" i="43"/>
  <c r="BM270" i="43"/>
  <c r="AL270" i="43" s="1"/>
  <c r="BM326" i="43"/>
  <c r="AL326" i="43" s="1"/>
  <c r="BM315" i="43"/>
  <c r="AL315" i="43" s="1"/>
  <c r="K349" i="43"/>
  <c r="K360" i="43"/>
  <c r="K327" i="43"/>
  <c r="BM282" i="43"/>
  <c r="AL282" i="43" s="1"/>
  <c r="BM304" i="43"/>
  <c r="AL304" i="43" s="1"/>
  <c r="BM359" i="43"/>
  <c r="AL359" i="43" s="1"/>
  <c r="BM293" i="43"/>
  <c r="AL293" i="43" s="1"/>
  <c r="BM348" i="43"/>
  <c r="AL348" i="43" s="1"/>
  <c r="K294" i="43"/>
  <c r="K338" i="43"/>
  <c r="K305" i="43"/>
  <c r="K316" i="43"/>
  <c r="BM337" i="43"/>
  <c r="AL337" i="43" s="1"/>
  <c r="BM349" i="43"/>
  <c r="AL349" i="43" s="1"/>
  <c r="K361" i="43"/>
  <c r="K317" i="43"/>
  <c r="BM327" i="43"/>
  <c r="AL327" i="43" s="1"/>
  <c r="K306" i="43"/>
  <c r="K339" i="43"/>
  <c r="BM294" i="43"/>
  <c r="AL294" i="43" s="1"/>
  <c r="BM316" i="43"/>
  <c r="AL316" i="43" s="1"/>
  <c r="K350" i="43"/>
  <c r="K328" i="43"/>
  <c r="BM305" i="43"/>
  <c r="AL305" i="43" s="1"/>
  <c r="BM338" i="43"/>
  <c r="AL338" i="43" s="1"/>
  <c r="BM360" i="43"/>
  <c r="AL360" i="43" s="1"/>
  <c r="BM328" i="43"/>
  <c r="AL328" i="43" s="1"/>
  <c r="K362" i="43"/>
  <c r="K340" i="43"/>
  <c r="BM350" i="43"/>
  <c r="AL350" i="43" s="1"/>
  <c r="BM361" i="43"/>
  <c r="AL361" i="43" s="1"/>
  <c r="BM339" i="43"/>
  <c r="AL339" i="43" s="1"/>
  <c r="K351" i="43"/>
  <c r="BM306" i="43"/>
  <c r="AL306" i="43" s="1"/>
  <c r="K318" i="43"/>
  <c r="K329" i="43"/>
  <c r="BM317" i="43"/>
  <c r="AL317" i="43" s="1"/>
  <c r="K341" i="43"/>
  <c r="K363" i="43"/>
  <c r="BM362" i="43"/>
  <c r="AL362" i="43" s="1"/>
  <c r="BM318" i="43"/>
  <c r="AL318" i="43" s="1"/>
  <c r="K352" i="43"/>
  <c r="BM340" i="43"/>
  <c r="AL340" i="43" s="1"/>
  <c r="K330" i="43"/>
  <c r="BM329" i="43"/>
  <c r="AL329" i="43" s="1"/>
  <c r="BM351" i="43"/>
  <c r="AL351" i="43" s="1"/>
  <c r="K353" i="43"/>
  <c r="BM341" i="43"/>
  <c r="AL341" i="43" s="1"/>
  <c r="BM330" i="43"/>
  <c r="AL330" i="43" s="1"/>
  <c r="BM352" i="43"/>
  <c r="AL352" i="43" s="1"/>
  <c r="BM363" i="43"/>
  <c r="AL363" i="43" s="1"/>
  <c r="K364" i="43"/>
  <c r="K342" i="43"/>
  <c r="BM342" i="43"/>
  <c r="AL342" i="43" s="1"/>
  <c r="BM364" i="43"/>
  <c r="AL364" i="43" s="1"/>
  <c r="BM353" i="43"/>
  <c r="AL353" i="43" s="1"/>
  <c r="K354" i="43"/>
  <c r="K365" i="43"/>
  <c r="K366" i="43"/>
  <c r="BM354" i="43"/>
  <c r="AL354" i="43" s="1"/>
  <c r="BM365" i="43"/>
  <c r="AL365" i="43" s="1"/>
  <c r="BM366" i="43"/>
  <c r="AL366" i="43" s="1"/>
  <c r="V11" i="42"/>
  <c r="BK11" i="42" s="1"/>
  <c r="V16" i="42"/>
  <c r="BK16" i="42" s="1"/>
  <c r="V8" i="42"/>
  <c r="BK8" i="42" s="1"/>
  <c r="V9" i="42"/>
  <c r="BK9" i="42" s="1"/>
  <c r="V12" i="42"/>
  <c r="BK12" i="42" s="1"/>
  <c r="V40" i="42"/>
  <c r="BK40" i="42" s="1"/>
  <c r="V30" i="42"/>
  <c r="BK30" i="42" s="1"/>
  <c r="V13" i="42"/>
  <c r="BK13" i="42" s="1"/>
  <c r="V23" i="42"/>
  <c r="BK23" i="42" s="1"/>
  <c r="V15" i="42"/>
  <c r="BK15" i="42" s="1"/>
  <c r="V7" i="42"/>
  <c r="V10" i="42"/>
  <c r="BK10" i="42" s="1"/>
  <c r="V18" i="42"/>
  <c r="BK18" i="42" s="1"/>
  <c r="V22" i="42"/>
  <c r="BK22" i="42" s="1"/>
  <c r="V24" i="42"/>
  <c r="BK24" i="42" s="1"/>
  <c r="V26" i="42"/>
  <c r="BK26" i="42" s="1"/>
  <c r="V28" i="42"/>
  <c r="BK28" i="42" s="1"/>
  <c r="V29" i="42"/>
  <c r="BK29" i="42" s="1"/>
  <c r="V17" i="42"/>
  <c r="BK17" i="42" s="1"/>
  <c r="V14" i="42"/>
  <c r="BK14" i="42" s="1"/>
  <c r="V19" i="42"/>
  <c r="V21" i="42"/>
  <c r="BK21" i="42" s="1"/>
  <c r="V25" i="42"/>
  <c r="BK25" i="42" s="1"/>
  <c r="V27" i="42"/>
  <c r="BK27" i="42" s="1"/>
  <c r="V39" i="42"/>
  <c r="BK39" i="42" s="1"/>
  <c r="V34" i="42"/>
  <c r="BK34" i="42" s="1"/>
  <c r="V36" i="42"/>
  <c r="BK36" i="42" s="1"/>
  <c r="V42" i="42"/>
  <c r="BK42" i="42" s="1"/>
  <c r="V35" i="42"/>
  <c r="BK35" i="42" s="1"/>
  <c r="V41" i="42"/>
  <c r="BK41" i="42" s="1"/>
  <c r="V38" i="42"/>
  <c r="BK38" i="42" s="1"/>
  <c r="V20" i="42"/>
  <c r="BK20" i="42" s="1"/>
  <c r="V33" i="42"/>
  <c r="BK33" i="42" s="1"/>
  <c r="V37" i="42"/>
  <c r="BK37" i="42" s="1"/>
  <c r="V52" i="42"/>
  <c r="BK52" i="42" s="1"/>
  <c r="V43" i="42"/>
  <c r="V32" i="42"/>
  <c r="BK32" i="42" s="1"/>
  <c r="V53" i="42"/>
  <c r="BK53" i="42" s="1"/>
  <c r="V31" i="42"/>
  <c r="V49" i="42"/>
  <c r="BK49" i="42" s="1"/>
  <c r="V46" i="42"/>
  <c r="BK46" i="42" s="1"/>
  <c r="V48" i="42"/>
  <c r="BK48" i="42" s="1"/>
  <c r="V55" i="42"/>
  <c r="V63" i="42"/>
  <c r="BK63" i="42" s="1"/>
  <c r="V44" i="42"/>
  <c r="BK44" i="42" s="1"/>
  <c r="V65" i="42"/>
  <c r="BK65" i="42" s="1"/>
  <c r="V61" i="42"/>
  <c r="BK61" i="42" s="1"/>
  <c r="V50" i="42"/>
  <c r="BK50" i="42" s="1"/>
  <c r="V66" i="42"/>
  <c r="BK66" i="42" s="1"/>
  <c r="V51" i="42"/>
  <c r="BK51" i="42" s="1"/>
  <c r="V45" i="42"/>
  <c r="BK45" i="42" s="1"/>
  <c r="V64" i="42"/>
  <c r="BK64" i="42" s="1"/>
  <c r="V47" i="42"/>
  <c r="BK47" i="42" s="1"/>
  <c r="V59" i="42"/>
  <c r="BK59" i="42" s="1"/>
  <c r="V54" i="42"/>
  <c r="BK54" i="42" s="1"/>
  <c r="V88" i="42"/>
  <c r="BK88" i="42" s="1"/>
  <c r="V70" i="42"/>
  <c r="BK70" i="42" s="1"/>
  <c r="V62" i="42"/>
  <c r="BK62" i="42" s="1"/>
  <c r="V67" i="42"/>
  <c r="V75" i="42"/>
  <c r="BK75" i="42" s="1"/>
  <c r="V71" i="42"/>
  <c r="BK71" i="42" s="1"/>
  <c r="V76" i="42"/>
  <c r="BK76" i="42" s="1"/>
  <c r="V58" i="42"/>
  <c r="BK58" i="42" s="1"/>
  <c r="V57" i="42"/>
  <c r="BK57" i="42" s="1"/>
  <c r="V77" i="42"/>
  <c r="BK77" i="42" s="1"/>
  <c r="V60" i="42"/>
  <c r="BK60" i="42" s="1"/>
  <c r="V56" i="42"/>
  <c r="BK56" i="42" s="1"/>
  <c r="V74" i="42"/>
  <c r="BK74" i="42" s="1"/>
  <c r="V89" i="42"/>
  <c r="BK89" i="42" s="1"/>
  <c r="V90" i="42"/>
  <c r="BK90" i="42" s="1"/>
  <c r="V78" i="42"/>
  <c r="BK78" i="42" s="1"/>
  <c r="V87" i="42"/>
  <c r="BK87" i="42" s="1"/>
  <c r="V100" i="42"/>
  <c r="BK100" i="42" s="1"/>
  <c r="V69" i="42"/>
  <c r="BK69" i="42" s="1"/>
  <c r="V79" i="42"/>
  <c r="V83" i="42"/>
  <c r="BK83" i="42" s="1"/>
  <c r="V73" i="42"/>
  <c r="BK73" i="42" s="1"/>
  <c r="V81" i="42"/>
  <c r="BK81" i="42" s="1"/>
  <c r="V82" i="42"/>
  <c r="BK82" i="42" s="1"/>
  <c r="V72" i="42"/>
  <c r="BK72" i="42" s="1"/>
  <c r="V68" i="42"/>
  <c r="BK68" i="42" s="1"/>
  <c r="V84" i="42"/>
  <c r="BK84" i="42" s="1"/>
  <c r="V86" i="42"/>
  <c r="BK86" i="42" s="1"/>
  <c r="V96" i="42"/>
  <c r="BK96" i="42" s="1"/>
  <c r="V94" i="42"/>
  <c r="BK94" i="42" s="1"/>
  <c r="V80" i="42"/>
  <c r="BK80" i="42" s="1"/>
  <c r="V95" i="42"/>
  <c r="BK95" i="42" s="1"/>
  <c r="V98" i="42"/>
  <c r="BK98" i="42" s="1"/>
  <c r="V85" i="42"/>
  <c r="BK85" i="42" s="1"/>
  <c r="V97" i="42"/>
  <c r="BK97" i="42" s="1"/>
  <c r="V113" i="42"/>
  <c r="BK113" i="42" s="1"/>
  <c r="V102" i="42"/>
  <c r="BK102" i="42" s="1"/>
  <c r="V106" i="42"/>
  <c r="BK106" i="42" s="1"/>
  <c r="V112" i="42"/>
  <c r="BK112" i="42" s="1"/>
  <c r="V99" i="42"/>
  <c r="BK99" i="42" s="1"/>
  <c r="V91" i="42"/>
  <c r="V124" i="42"/>
  <c r="BK124" i="42" s="1"/>
  <c r="V108" i="42"/>
  <c r="BK108" i="42" s="1"/>
  <c r="V93" i="42"/>
  <c r="BK93" i="42" s="1"/>
  <c r="V92" i="42"/>
  <c r="BK92" i="42" s="1"/>
  <c r="V105" i="42"/>
  <c r="BK105" i="42" s="1"/>
  <c r="V104" i="42"/>
  <c r="BK104" i="42" s="1"/>
  <c r="V101" i="42"/>
  <c r="BK101" i="42" s="1"/>
  <c r="V116" i="42"/>
  <c r="BK116" i="42" s="1"/>
  <c r="K12" i="42"/>
  <c r="K16" i="42"/>
  <c r="K10" i="42"/>
  <c r="V111" i="42"/>
  <c r="BK111" i="42" s="1"/>
  <c r="V136" i="42"/>
  <c r="BK136" i="42" s="1"/>
  <c r="K8" i="42"/>
  <c r="V110" i="42"/>
  <c r="BK110" i="42" s="1"/>
  <c r="K11" i="42"/>
  <c r="K9" i="42"/>
  <c r="V103" i="42"/>
  <c r="K17" i="42"/>
  <c r="V114" i="42"/>
  <c r="BK114" i="42" s="1"/>
  <c r="V126" i="42"/>
  <c r="BK126" i="42" s="1"/>
  <c r="K15" i="42"/>
  <c r="V109" i="42"/>
  <c r="BK109" i="42" s="1"/>
  <c r="V120" i="42"/>
  <c r="BK120" i="42" s="1"/>
  <c r="K13" i="42"/>
  <c r="V107" i="42"/>
  <c r="BK107" i="42" s="1"/>
  <c r="K14" i="42"/>
  <c r="V122" i="42"/>
  <c r="BK122" i="42" s="1"/>
  <c r="V118" i="42"/>
  <c r="BK118" i="42" s="1"/>
  <c r="V119" i="42"/>
  <c r="BK119" i="42" s="1"/>
  <c r="K7" i="42"/>
  <c r="K91" i="42"/>
  <c r="K81" i="42"/>
  <c r="V132" i="42"/>
  <c r="BK132" i="42" s="1"/>
  <c r="K117" i="42"/>
  <c r="K79" i="42"/>
  <c r="K58" i="42"/>
  <c r="K37" i="42"/>
  <c r="K28" i="42"/>
  <c r="K70" i="42"/>
  <c r="K68" i="42"/>
  <c r="V115" i="42"/>
  <c r="K47" i="42"/>
  <c r="K92" i="42"/>
  <c r="K39" i="42"/>
  <c r="K82" i="42"/>
  <c r="V123" i="42"/>
  <c r="BK123" i="42" s="1"/>
  <c r="K45" i="42"/>
  <c r="K21" i="42"/>
  <c r="K24" i="42"/>
  <c r="K116" i="42"/>
  <c r="K56" i="42"/>
  <c r="K83" i="42"/>
  <c r="V121" i="42"/>
  <c r="BK121" i="42" s="1"/>
  <c r="K26" i="42"/>
  <c r="K72" i="42"/>
  <c r="K40" i="42"/>
  <c r="K36" i="42"/>
  <c r="K59" i="42"/>
  <c r="K60" i="42"/>
  <c r="K46" i="42"/>
  <c r="K33" i="42"/>
  <c r="K25" i="42"/>
  <c r="K43" i="42"/>
  <c r="K27" i="42"/>
  <c r="K71" i="42"/>
  <c r="K32" i="42"/>
  <c r="V135" i="42"/>
  <c r="BK135" i="42" s="1"/>
  <c r="V128" i="42"/>
  <c r="BK128" i="42" s="1"/>
  <c r="K49" i="42"/>
  <c r="K94" i="42"/>
  <c r="K69" i="42"/>
  <c r="K67" i="42"/>
  <c r="K48" i="42"/>
  <c r="K104" i="42"/>
  <c r="K35" i="42"/>
  <c r="V125" i="42"/>
  <c r="BK125" i="42" s="1"/>
  <c r="K115" i="42"/>
  <c r="K55" i="42"/>
  <c r="K50" i="42"/>
  <c r="K34" i="42"/>
  <c r="K80" i="42"/>
  <c r="K61" i="42"/>
  <c r="K31" i="42"/>
  <c r="K19" i="42"/>
  <c r="K38" i="42"/>
  <c r="K23" i="42"/>
  <c r="K44" i="42"/>
  <c r="K103" i="42"/>
  <c r="K57" i="42"/>
  <c r="K93" i="42"/>
  <c r="V117" i="42"/>
  <c r="BK117" i="42" s="1"/>
  <c r="K22" i="42"/>
  <c r="V134" i="42"/>
  <c r="BK134" i="42" s="1"/>
  <c r="K105" i="42"/>
  <c r="K20" i="42"/>
  <c r="V130" i="42"/>
  <c r="BK130" i="42" s="1"/>
  <c r="K127" i="42"/>
  <c r="K128" i="42"/>
  <c r="V148" i="42"/>
  <c r="BK148" i="42" s="1"/>
  <c r="K84" i="42"/>
  <c r="V140" i="42"/>
  <c r="BK140" i="42" s="1"/>
  <c r="K62" i="42"/>
  <c r="K129" i="42"/>
  <c r="V138" i="42"/>
  <c r="BK138" i="42" s="1"/>
  <c r="V133" i="42"/>
  <c r="BK133" i="42" s="1"/>
  <c r="K29" i="42"/>
  <c r="K51" i="42"/>
  <c r="V160" i="42"/>
  <c r="BK160" i="42" s="1"/>
  <c r="V137" i="42"/>
  <c r="BK137" i="42" s="1"/>
  <c r="K18" i="42"/>
  <c r="V127" i="42"/>
  <c r="K73" i="42"/>
  <c r="V145" i="42"/>
  <c r="BK145" i="42" s="1"/>
  <c r="K95" i="42"/>
  <c r="V147" i="42"/>
  <c r="BK147" i="42" s="1"/>
  <c r="V146" i="42"/>
  <c r="BK146" i="42" s="1"/>
  <c r="V131" i="42"/>
  <c r="BK131" i="42" s="1"/>
  <c r="K106" i="42"/>
  <c r="V129" i="42"/>
  <c r="BK129" i="42" s="1"/>
  <c r="V144" i="42"/>
  <c r="BK144" i="42" s="1"/>
  <c r="K140" i="42"/>
  <c r="K30" i="42"/>
  <c r="V156" i="42"/>
  <c r="BK156" i="42" s="1"/>
  <c r="V152" i="42"/>
  <c r="BK152" i="42" s="1"/>
  <c r="V142" i="42"/>
  <c r="BK142" i="42" s="1"/>
  <c r="V161" i="42"/>
  <c r="BK161" i="42" s="1"/>
  <c r="K85" i="42"/>
  <c r="K141" i="42"/>
  <c r="V141" i="42"/>
  <c r="BK141" i="42" s="1"/>
  <c r="V172" i="42"/>
  <c r="BK172" i="42" s="1"/>
  <c r="K96" i="42"/>
  <c r="K41" i="42"/>
  <c r="K63" i="42"/>
  <c r="K52" i="42"/>
  <c r="V139" i="42"/>
  <c r="K74" i="42"/>
  <c r="K107" i="42"/>
  <c r="V153" i="42"/>
  <c r="BK153" i="42" s="1"/>
  <c r="K139" i="42"/>
  <c r="V150" i="42"/>
  <c r="BK150" i="42" s="1"/>
  <c r="V143" i="42"/>
  <c r="BK143" i="42" s="1"/>
  <c r="K118" i="42"/>
  <c r="V157" i="42"/>
  <c r="BK157" i="42" s="1"/>
  <c r="V149" i="42"/>
  <c r="BK149" i="42" s="1"/>
  <c r="K97" i="42"/>
  <c r="K119" i="42"/>
  <c r="V155" i="42"/>
  <c r="BK155" i="42" s="1"/>
  <c r="V184" i="42"/>
  <c r="BK184" i="42" s="1"/>
  <c r="V151" i="42"/>
  <c r="V169" i="42"/>
  <c r="BK169" i="42" s="1"/>
  <c r="K153" i="42"/>
  <c r="K86" i="42"/>
  <c r="K42" i="42"/>
  <c r="V159" i="42"/>
  <c r="BK159" i="42" s="1"/>
  <c r="K108" i="42"/>
  <c r="K75" i="42"/>
  <c r="K130" i="42"/>
  <c r="V164" i="42"/>
  <c r="BK164" i="42" s="1"/>
  <c r="K64" i="42"/>
  <c r="V154" i="42"/>
  <c r="BK154" i="42" s="1"/>
  <c r="V168" i="42"/>
  <c r="BK168" i="42" s="1"/>
  <c r="K151" i="42"/>
  <c r="V162" i="42"/>
  <c r="BK162" i="42" s="1"/>
  <c r="V173" i="42"/>
  <c r="BK173" i="42" s="1"/>
  <c r="V158" i="42"/>
  <c r="BK158" i="42" s="1"/>
  <c r="K53" i="42"/>
  <c r="K152" i="42"/>
  <c r="V174" i="42"/>
  <c r="BK174" i="42" s="1"/>
  <c r="V165" i="42"/>
  <c r="BK165" i="42" s="1"/>
  <c r="V180" i="42"/>
  <c r="BK180" i="42" s="1"/>
  <c r="V171" i="42"/>
  <c r="BK171" i="42" s="1"/>
  <c r="K164" i="42"/>
  <c r="K142" i="42"/>
  <c r="K165" i="42"/>
  <c r="V178" i="42"/>
  <c r="BK178" i="42" s="1"/>
  <c r="K76" i="42"/>
  <c r="V163" i="42"/>
  <c r="K163" i="42"/>
  <c r="V176" i="42"/>
  <c r="BK176" i="42" s="1"/>
  <c r="V196" i="42"/>
  <c r="BK196" i="42" s="1"/>
  <c r="K120" i="42"/>
  <c r="K65" i="42"/>
  <c r="K98" i="42"/>
  <c r="V170" i="42"/>
  <c r="BK170" i="42" s="1"/>
  <c r="K109" i="42"/>
  <c r="K87" i="42"/>
  <c r="K54" i="42"/>
  <c r="V166" i="42"/>
  <c r="BK166" i="42" s="1"/>
  <c r="K131" i="42"/>
  <c r="V167" i="42"/>
  <c r="BK167" i="42" s="1"/>
  <c r="K176" i="42"/>
  <c r="V179" i="42"/>
  <c r="BK179" i="42" s="1"/>
  <c r="K121" i="42"/>
  <c r="V186" i="42"/>
  <c r="BK186" i="42" s="1"/>
  <c r="K88" i="42"/>
  <c r="K66" i="42"/>
  <c r="K177" i="42"/>
  <c r="V191" i="42"/>
  <c r="BK191" i="42" s="1"/>
  <c r="K132" i="42"/>
  <c r="V188" i="42"/>
  <c r="BK188" i="42" s="1"/>
  <c r="V185" i="42"/>
  <c r="BK185" i="42" s="1"/>
  <c r="V175" i="42"/>
  <c r="K99" i="42"/>
  <c r="V182" i="42"/>
  <c r="BK182" i="42" s="1"/>
  <c r="V177" i="42"/>
  <c r="BK177" i="42" s="1"/>
  <c r="K143" i="42"/>
  <c r="K175" i="42"/>
  <c r="K110" i="42"/>
  <c r="K154" i="42"/>
  <c r="K77" i="42"/>
  <c r="V181" i="42"/>
  <c r="BK181" i="42" s="1"/>
  <c r="V208" i="42"/>
  <c r="BK208" i="42" s="1"/>
  <c r="V189" i="42"/>
  <c r="BK189" i="42" s="1"/>
  <c r="V193" i="42"/>
  <c r="BK193" i="42" s="1"/>
  <c r="V183" i="42"/>
  <c r="BK183" i="42" s="1"/>
  <c r="K155" i="42"/>
  <c r="V198" i="42"/>
  <c r="BK198" i="42" s="1"/>
  <c r="K144" i="42"/>
  <c r="K189" i="42"/>
  <c r="V204" i="42"/>
  <c r="BK204" i="42" s="1"/>
  <c r="V202" i="42"/>
  <c r="BK202" i="42" s="1"/>
  <c r="V192" i="42"/>
  <c r="BK192" i="42" s="1"/>
  <c r="K122" i="42"/>
  <c r="K133" i="42"/>
  <c r="K78" i="42"/>
  <c r="V190" i="42"/>
  <c r="BK190" i="42" s="1"/>
  <c r="K111" i="42"/>
  <c r="K100" i="42"/>
  <c r="V195" i="42"/>
  <c r="BK195" i="42" s="1"/>
  <c r="K187" i="42"/>
  <c r="V206" i="42"/>
  <c r="BK206" i="42" s="1"/>
  <c r="K188" i="42"/>
  <c r="V200" i="42"/>
  <c r="BK200" i="42" s="1"/>
  <c r="V194" i="42"/>
  <c r="BK194" i="42" s="1"/>
  <c r="V187" i="42"/>
  <c r="V197" i="42"/>
  <c r="BK197" i="42" s="1"/>
  <c r="V205" i="42"/>
  <c r="BK205" i="42" s="1"/>
  <c r="V220" i="42"/>
  <c r="BK220" i="42" s="1"/>
  <c r="K89" i="42"/>
  <c r="K166" i="42"/>
  <c r="K112" i="42"/>
  <c r="V201" i="42"/>
  <c r="BK201" i="42" s="1"/>
  <c r="V199" i="42"/>
  <c r="V209" i="42"/>
  <c r="BK209" i="42" s="1"/>
  <c r="K134" i="42"/>
  <c r="V210" i="42"/>
  <c r="BK210" i="42" s="1"/>
  <c r="K199" i="42"/>
  <c r="K201" i="42"/>
  <c r="V207" i="42"/>
  <c r="BK207" i="42" s="1"/>
  <c r="K178" i="42"/>
  <c r="K145" i="42"/>
  <c r="V211" i="42"/>
  <c r="K101" i="42"/>
  <c r="V232" i="42"/>
  <c r="BK232" i="42" s="1"/>
  <c r="K90" i="42"/>
  <c r="K156" i="42"/>
  <c r="V203" i="42"/>
  <c r="BK203" i="42" s="1"/>
  <c r="K167" i="42"/>
  <c r="V212" i="42"/>
  <c r="BK212" i="42" s="1"/>
  <c r="K123" i="42"/>
  <c r="K200" i="42"/>
  <c r="V215" i="42"/>
  <c r="BK215" i="42" s="1"/>
  <c r="V216" i="42"/>
  <c r="BK216" i="42" s="1"/>
  <c r="V213" i="42"/>
  <c r="BK213" i="42" s="1"/>
  <c r="V233" i="42"/>
  <c r="BK233" i="42" s="1"/>
  <c r="K190" i="42"/>
  <c r="K146" i="42"/>
  <c r="V214" i="42"/>
  <c r="BK214" i="42" s="1"/>
  <c r="K213" i="42"/>
  <c r="K157" i="42"/>
  <c r="V244" i="42"/>
  <c r="BK244" i="42" s="1"/>
  <c r="V222" i="42"/>
  <c r="BK222" i="42" s="1"/>
  <c r="K179" i="42"/>
  <c r="V224" i="42"/>
  <c r="BK224" i="42" s="1"/>
  <c r="K124" i="42"/>
  <c r="V227" i="42"/>
  <c r="BK227" i="42" s="1"/>
  <c r="K212" i="42"/>
  <c r="K135" i="42"/>
  <c r="K211" i="42"/>
  <c r="V219" i="42"/>
  <c r="BK219" i="42" s="1"/>
  <c r="V218" i="42"/>
  <c r="BK218" i="42" s="1"/>
  <c r="V228" i="42"/>
  <c r="BK228" i="42" s="1"/>
  <c r="V221" i="42"/>
  <c r="BK221" i="42" s="1"/>
  <c r="V217" i="42"/>
  <c r="BK217" i="42" s="1"/>
  <c r="K102" i="42"/>
  <c r="K113" i="42"/>
  <c r="K168" i="42"/>
  <c r="V226" i="42"/>
  <c r="BK226" i="42" s="1"/>
  <c r="V230" i="42"/>
  <c r="BK230" i="42" s="1"/>
  <c r="K169" i="42"/>
  <c r="V256" i="42"/>
  <c r="BK256" i="42" s="1"/>
  <c r="V234" i="42"/>
  <c r="BK234" i="42" s="1"/>
  <c r="K180" i="42"/>
  <c r="V225" i="42"/>
  <c r="BK225" i="42" s="1"/>
  <c r="K114" i="42"/>
  <c r="K158" i="42"/>
  <c r="K191" i="42"/>
  <c r="K225" i="42"/>
  <c r="V223" i="42"/>
  <c r="V231" i="42"/>
  <c r="BK231" i="42" s="1"/>
  <c r="K136" i="42"/>
  <c r="K125" i="42"/>
  <c r="V240" i="42"/>
  <c r="BK240" i="42" s="1"/>
  <c r="K223" i="42"/>
  <c r="V229" i="42"/>
  <c r="BK229" i="42" s="1"/>
  <c r="K224" i="42"/>
  <c r="K147" i="42"/>
  <c r="K202" i="42"/>
  <c r="K159" i="42"/>
  <c r="V239" i="42"/>
  <c r="BK239" i="42" s="1"/>
  <c r="V243" i="42"/>
  <c r="BK243" i="42" s="1"/>
  <c r="V257" i="42"/>
  <c r="BK257" i="42" s="1"/>
  <c r="V249" i="42"/>
  <c r="BK249" i="42" s="1"/>
  <c r="V236" i="42"/>
  <c r="BK236" i="42" s="1"/>
  <c r="V255" i="42"/>
  <c r="BK255" i="42" s="1"/>
  <c r="V248" i="42"/>
  <c r="BK248" i="42" s="1"/>
  <c r="V246" i="42"/>
  <c r="BK246" i="42" s="1"/>
  <c r="V235" i="42"/>
  <c r="V245" i="42"/>
  <c r="BK245" i="42" s="1"/>
  <c r="V238" i="42"/>
  <c r="BK238" i="42" s="1"/>
  <c r="K214" i="42"/>
  <c r="K236" i="42"/>
  <c r="K235" i="42"/>
  <c r="K237" i="42"/>
  <c r="K192" i="42"/>
  <c r="V252" i="42"/>
  <c r="BK252" i="42" s="1"/>
  <c r="V237" i="42"/>
  <c r="BK237" i="42" s="1"/>
  <c r="V268" i="42"/>
  <c r="BK268" i="42" s="1"/>
  <c r="V241" i="42"/>
  <c r="BK241" i="42" s="1"/>
  <c r="V242" i="42"/>
  <c r="BK242" i="42" s="1"/>
  <c r="K137" i="42"/>
  <c r="K126" i="42"/>
  <c r="K170" i="42"/>
  <c r="K148" i="42"/>
  <c r="K181" i="42"/>
  <c r="K203" i="42"/>
  <c r="V254" i="42"/>
  <c r="BK254" i="42" s="1"/>
  <c r="V280" i="42"/>
  <c r="BK280" i="42" s="1"/>
  <c r="V253" i="42"/>
  <c r="BK253" i="42" s="1"/>
  <c r="K193" i="42"/>
  <c r="K215" i="42"/>
  <c r="V264" i="42"/>
  <c r="BK264" i="42" s="1"/>
  <c r="K138" i="42"/>
  <c r="K171" i="42"/>
  <c r="K182" i="42"/>
  <c r="V247" i="42"/>
  <c r="K247" i="42"/>
  <c r="K160" i="42"/>
  <c r="V258" i="42"/>
  <c r="BK258" i="42" s="1"/>
  <c r="K204" i="42"/>
  <c r="K249" i="42"/>
  <c r="V266" i="42"/>
  <c r="BK266" i="42" s="1"/>
  <c r="K226" i="42"/>
  <c r="K248" i="42"/>
  <c r="V269" i="42"/>
  <c r="BK269" i="42" s="1"/>
  <c r="V250" i="42"/>
  <c r="BK250" i="42" s="1"/>
  <c r="K149" i="42"/>
  <c r="V251" i="42"/>
  <c r="BK251" i="42" s="1"/>
  <c r="V263" i="42"/>
  <c r="BK263" i="42" s="1"/>
  <c r="K259" i="42"/>
  <c r="K205" i="42"/>
  <c r="K150" i="42"/>
  <c r="V292" i="42"/>
  <c r="BK292" i="42" s="1"/>
  <c r="V259" i="42"/>
  <c r="V277" i="42"/>
  <c r="BK277" i="42" s="1"/>
  <c r="K172" i="42"/>
  <c r="K216" i="42"/>
  <c r="V260" i="42"/>
  <c r="BK260" i="42" s="1"/>
  <c r="K260" i="42"/>
  <c r="V278" i="42"/>
  <c r="BK278" i="42" s="1"/>
  <c r="V270" i="42"/>
  <c r="BK270" i="42" s="1"/>
  <c r="V272" i="42"/>
  <c r="BK272" i="42" s="1"/>
  <c r="V281" i="42"/>
  <c r="BK281" i="42" s="1"/>
  <c r="V273" i="42"/>
  <c r="BK273" i="42" s="1"/>
  <c r="V262" i="42"/>
  <c r="BK262" i="42" s="1"/>
  <c r="V267" i="42"/>
  <c r="BK267" i="42" s="1"/>
  <c r="K261" i="42"/>
  <c r="V265" i="42"/>
  <c r="BK265" i="42" s="1"/>
  <c r="V282" i="42"/>
  <c r="BK282" i="42" s="1"/>
  <c r="K194" i="42"/>
  <c r="K238" i="42"/>
  <c r="V261" i="42"/>
  <c r="BK261" i="42" s="1"/>
  <c r="K161" i="42"/>
  <c r="K227" i="42"/>
  <c r="K183" i="42"/>
  <c r="V275" i="42"/>
  <c r="BK275" i="42" s="1"/>
  <c r="K271" i="42"/>
  <c r="V274" i="42"/>
  <c r="BK274" i="42" s="1"/>
  <c r="K206" i="42"/>
  <c r="V287" i="42"/>
  <c r="BK287" i="42" s="1"/>
  <c r="V288" i="42"/>
  <c r="BK288" i="42" s="1"/>
  <c r="K195" i="42"/>
  <c r="V289" i="42"/>
  <c r="BK289" i="42" s="1"/>
  <c r="K184" i="42"/>
  <c r="V286" i="42"/>
  <c r="BK286" i="42" s="1"/>
  <c r="K228" i="42"/>
  <c r="V279" i="42"/>
  <c r="BK279" i="42" s="1"/>
  <c r="K273" i="42"/>
  <c r="K272" i="42"/>
  <c r="K162" i="42"/>
  <c r="V284" i="42"/>
  <c r="BK284" i="42" s="1"/>
  <c r="K250" i="42"/>
  <c r="K239" i="42"/>
  <c r="V290" i="42"/>
  <c r="BK290" i="42" s="1"/>
  <c r="K173" i="42"/>
  <c r="V271" i="42"/>
  <c r="K217" i="42"/>
  <c r="V276" i="42"/>
  <c r="BK276" i="42" s="1"/>
  <c r="K251" i="42"/>
  <c r="K196" i="42"/>
  <c r="BM184" i="42"/>
  <c r="AL184" i="42" s="1"/>
  <c r="BN280" i="42"/>
  <c r="BM206" i="42"/>
  <c r="AL206" i="42" s="1"/>
  <c r="BN281" i="42"/>
  <c r="BM88" i="42"/>
  <c r="AL88" i="42" s="1"/>
  <c r="BM204" i="42"/>
  <c r="AL204" i="42" s="1"/>
  <c r="BM205" i="42"/>
  <c r="AL205" i="42" s="1"/>
  <c r="BM178" i="42"/>
  <c r="AL178" i="42" s="1"/>
  <c r="BM45" i="42"/>
  <c r="AL45" i="42" s="1"/>
  <c r="BM134" i="42"/>
  <c r="AL134" i="42" s="1"/>
  <c r="BM156" i="42"/>
  <c r="AL156" i="42" s="1"/>
  <c r="BM157" i="42"/>
  <c r="AL157" i="42" s="1"/>
  <c r="BM36" i="42"/>
  <c r="AL36" i="42" s="1"/>
  <c r="BM68" i="42"/>
  <c r="AL68" i="42" s="1"/>
  <c r="BM237" i="42"/>
  <c r="AL237" i="42" s="1"/>
  <c r="BM158" i="42"/>
  <c r="AL158" i="42" s="1"/>
  <c r="BM113" i="42"/>
  <c r="AL113" i="42" s="1"/>
  <c r="BM135" i="42"/>
  <c r="AL135" i="42" s="1"/>
  <c r="BM71" i="42"/>
  <c r="AL71" i="42" s="1"/>
  <c r="BM110" i="42"/>
  <c r="AL110" i="42" s="1"/>
  <c r="BM166" i="42"/>
  <c r="AL166" i="42" s="1"/>
  <c r="BM202" i="42"/>
  <c r="AL202" i="42" s="1"/>
  <c r="BM106" i="42"/>
  <c r="AL106" i="42" s="1"/>
  <c r="BM16" i="42"/>
  <c r="AL16" i="42" s="1"/>
  <c r="BM60" i="42"/>
  <c r="AL60" i="42" s="1"/>
  <c r="BM123" i="42"/>
  <c r="AL123" i="42" s="1"/>
  <c r="BM127" i="42"/>
  <c r="AL127" i="42" s="1"/>
  <c r="Z42" i="35" s="1"/>
  <c r="BM50" i="42"/>
  <c r="AL50" i="42" s="1"/>
  <c r="BM69" i="42"/>
  <c r="AL69" i="42" s="1"/>
  <c r="BM47" i="42"/>
  <c r="AL47" i="42" s="1"/>
  <c r="BM15" i="42"/>
  <c r="AL15" i="42" s="1"/>
  <c r="BM105" i="42"/>
  <c r="AL105" i="42" s="1"/>
  <c r="BM199" i="42"/>
  <c r="AL199" i="42" s="1"/>
  <c r="Z48" i="35" s="1"/>
  <c r="BM188" i="42"/>
  <c r="AL188" i="42" s="1"/>
  <c r="BM61" i="42"/>
  <c r="AL61" i="42" s="1"/>
  <c r="BM161" i="42"/>
  <c r="AL161" i="42" s="1"/>
  <c r="BM224" i="42"/>
  <c r="AL224" i="42" s="1"/>
  <c r="BM138" i="42"/>
  <c r="AL138" i="42" s="1"/>
  <c r="BM249" i="42"/>
  <c r="AL249" i="42" s="1"/>
  <c r="BM66" i="42"/>
  <c r="AL66" i="42" s="1"/>
  <c r="BM24" i="42"/>
  <c r="AL24" i="42" s="1"/>
  <c r="BM82" i="42"/>
  <c r="AL82" i="42" s="1"/>
  <c r="BM150" i="42"/>
  <c r="AL150" i="42" s="1"/>
  <c r="BM108" i="42"/>
  <c r="AL108" i="42" s="1"/>
  <c r="BM18" i="42"/>
  <c r="AL18" i="42" s="1"/>
  <c r="BM223" i="42"/>
  <c r="AL223" i="42" s="1"/>
  <c r="Z50" i="35" s="1"/>
  <c r="BM75" i="42"/>
  <c r="AL75" i="42" s="1"/>
  <c r="BM203" i="42"/>
  <c r="AL203" i="42" s="1"/>
  <c r="BM79" i="42"/>
  <c r="AL79" i="42" s="1"/>
  <c r="Z38" i="35" s="1"/>
  <c r="BM119" i="42"/>
  <c r="AL119" i="42" s="1"/>
  <c r="BM86" i="42"/>
  <c r="AL86" i="42" s="1"/>
  <c r="BM192" i="42"/>
  <c r="AL192" i="42" s="1"/>
  <c r="BM33" i="42"/>
  <c r="AL33" i="42" s="1"/>
  <c r="BN265" i="42"/>
  <c r="BM173" i="42"/>
  <c r="AL173" i="42" s="1"/>
  <c r="BM228" i="42"/>
  <c r="AL228" i="42" s="1"/>
  <c r="V302" i="42"/>
  <c r="BK302" i="42" s="1"/>
  <c r="BN267" i="42"/>
  <c r="BN259" i="42"/>
  <c r="BN262" i="42"/>
  <c r="V297" i="42"/>
  <c r="BK297" i="42" s="1"/>
  <c r="BN266" i="42"/>
  <c r="BM271" i="42"/>
  <c r="AL271" i="42" s="1"/>
  <c r="K283" i="42"/>
  <c r="BN274" i="42"/>
  <c r="BM93" i="42"/>
  <c r="AL93" i="42" s="1"/>
  <c r="BM121" i="42"/>
  <c r="AL121" i="42" s="1"/>
  <c r="BM30" i="42"/>
  <c r="AL30" i="42" s="1"/>
  <c r="BM116" i="42"/>
  <c r="AL116" i="42" s="1"/>
  <c r="BM227" i="42"/>
  <c r="AL227" i="42" s="1"/>
  <c r="BM190" i="42"/>
  <c r="AL190" i="42" s="1"/>
  <c r="BM91" i="42"/>
  <c r="AL91" i="42" s="1"/>
  <c r="Z39" i="35" s="1"/>
  <c r="BM181" i="42"/>
  <c r="AL181" i="42" s="1"/>
  <c r="BM55" i="42"/>
  <c r="AL55" i="42" s="1"/>
  <c r="Z36" i="35" s="1"/>
  <c r="BM133" i="42"/>
  <c r="AL133" i="42" s="1"/>
  <c r="BM165" i="42"/>
  <c r="AL165" i="42" s="1"/>
  <c r="BM12" i="42"/>
  <c r="AL12" i="42" s="1"/>
  <c r="BM77" i="42"/>
  <c r="AL77" i="42" s="1"/>
  <c r="BM182" i="42"/>
  <c r="AL182" i="42" s="1"/>
  <c r="BM215" i="42"/>
  <c r="AL215" i="42" s="1"/>
  <c r="BM194" i="42"/>
  <c r="AL194" i="42" s="1"/>
  <c r="BM164" i="42"/>
  <c r="AL164" i="42" s="1"/>
  <c r="BM58" i="42"/>
  <c r="AL58" i="42" s="1"/>
  <c r="BM46" i="42"/>
  <c r="AL46" i="42" s="1"/>
  <c r="BM131" i="42"/>
  <c r="AL131" i="42" s="1"/>
  <c r="BM169" i="42"/>
  <c r="AL169" i="42" s="1"/>
  <c r="BM65" i="42"/>
  <c r="AL65" i="42" s="1"/>
  <c r="BM117" i="42"/>
  <c r="AL117" i="42" s="1"/>
  <c r="BM54" i="42"/>
  <c r="AL54" i="42" s="1"/>
  <c r="BM85" i="42"/>
  <c r="AL85" i="42" s="1"/>
  <c r="BM211" i="42"/>
  <c r="AL211" i="42" s="1"/>
  <c r="Z49" i="35" s="1"/>
  <c r="BM114" i="42"/>
  <c r="AL114" i="42" s="1"/>
  <c r="BM103" i="42"/>
  <c r="AL103" i="42" s="1"/>
  <c r="Z40" i="35" s="1"/>
  <c r="BM73" i="42"/>
  <c r="AL73" i="42" s="1"/>
  <c r="BM94" i="42"/>
  <c r="AL94" i="42" s="1"/>
  <c r="BM53" i="42"/>
  <c r="AL53" i="42" s="1"/>
  <c r="BM90" i="42"/>
  <c r="AL90" i="42" s="1"/>
  <c r="BM187" i="42"/>
  <c r="AL187" i="42" s="1"/>
  <c r="Z47" i="35" s="1"/>
  <c r="BM149" i="42"/>
  <c r="AL149" i="42" s="1"/>
  <c r="BM67" i="42"/>
  <c r="AL67" i="42" s="1"/>
  <c r="Z37" i="35" s="1"/>
  <c r="BM81" i="42"/>
  <c r="AL81" i="42" s="1"/>
  <c r="BM142" i="42"/>
  <c r="AL142" i="42" s="1"/>
  <c r="BM84" i="42"/>
  <c r="AL84" i="42" s="1"/>
  <c r="BM52" i="42"/>
  <c r="AL52" i="42" s="1"/>
  <c r="BM141" i="42"/>
  <c r="AL141" i="42" s="1"/>
  <c r="BM146" i="42"/>
  <c r="AL146" i="42" s="1"/>
  <c r="BM200" i="42"/>
  <c r="AL200" i="42" s="1"/>
  <c r="BM51" i="42"/>
  <c r="AL51" i="42" s="1"/>
  <c r="BM201" i="42"/>
  <c r="AL201" i="42" s="1"/>
  <c r="BM48" i="42"/>
  <c r="AL48" i="42" s="1"/>
  <c r="BM130" i="42"/>
  <c r="AL130" i="42" s="1"/>
  <c r="BM144" i="42"/>
  <c r="AL144" i="42" s="1"/>
  <c r="BM189" i="42"/>
  <c r="AL189" i="42" s="1"/>
  <c r="BM29" i="42"/>
  <c r="AL29" i="42" s="1"/>
  <c r="BM115" i="42"/>
  <c r="AL115" i="42" s="1"/>
  <c r="Z41" i="35" s="1"/>
  <c r="BM9" i="42"/>
  <c r="AL9" i="42" s="1"/>
  <c r="BM143" i="42"/>
  <c r="AL143" i="42" s="1"/>
  <c r="BM49" i="42"/>
  <c r="AL49" i="42" s="1"/>
  <c r="BM212" i="42"/>
  <c r="AL212" i="42" s="1"/>
  <c r="BM14" i="42"/>
  <c r="AL14" i="42" s="1"/>
  <c r="K262" i="42"/>
  <c r="BM183" i="42"/>
  <c r="AL183" i="42" s="1"/>
  <c r="BM238" i="42"/>
  <c r="AL238" i="42" s="1"/>
  <c r="K284" i="42"/>
  <c r="BN275" i="42"/>
  <c r="BN277" i="42"/>
  <c r="BN292" i="42"/>
  <c r="BM195" i="42"/>
  <c r="AL195" i="42" s="1"/>
  <c r="BM273" i="42"/>
  <c r="AL273" i="42" s="1"/>
  <c r="V294" i="42"/>
  <c r="BK294" i="42" s="1"/>
  <c r="BN273" i="42"/>
  <c r="BM236" i="42"/>
  <c r="AL236" i="42" s="1"/>
  <c r="BM147" i="42"/>
  <c r="AL147" i="42" s="1"/>
  <c r="BM102" i="42"/>
  <c r="AL102" i="42" s="1"/>
  <c r="BM39" i="42"/>
  <c r="AL39" i="42" s="1"/>
  <c r="BM95" i="42"/>
  <c r="AL95" i="42" s="1"/>
  <c r="BM124" i="42"/>
  <c r="AL124" i="42" s="1"/>
  <c r="BM64" i="42"/>
  <c r="AL64" i="42" s="1"/>
  <c r="BM160" i="42"/>
  <c r="AL160" i="42" s="1"/>
  <c r="BM23" i="42"/>
  <c r="AL23" i="42" s="1"/>
  <c r="BM20" i="42"/>
  <c r="AL20" i="42" s="1"/>
  <c r="BM145" i="42"/>
  <c r="AL145" i="42" s="1"/>
  <c r="BM180" i="42"/>
  <c r="AL180" i="42" s="1"/>
  <c r="BM87" i="42"/>
  <c r="AL87" i="42" s="1"/>
  <c r="BM132" i="42"/>
  <c r="AL132" i="42" s="1"/>
  <c r="BM153" i="42"/>
  <c r="AL153" i="42" s="1"/>
  <c r="BM62" i="42"/>
  <c r="AL62" i="42" s="1"/>
  <c r="BM128" i="42"/>
  <c r="AL128" i="42" s="1"/>
  <c r="BM97" i="42"/>
  <c r="AL97" i="42" s="1"/>
  <c r="BM8" i="42"/>
  <c r="AL8" i="42" s="1"/>
  <c r="BM13" i="42"/>
  <c r="AL13" i="42" s="1"/>
  <c r="BM107" i="42"/>
  <c r="AL107" i="42" s="1"/>
  <c r="BM163" i="42"/>
  <c r="AL163" i="42" s="1"/>
  <c r="Z45" i="35" s="1"/>
  <c r="K174" i="42"/>
  <c r="V283" i="42"/>
  <c r="V291" i="42"/>
  <c r="BK291" i="42" s="1"/>
  <c r="V306" i="42"/>
  <c r="BK306" i="42" s="1"/>
  <c r="K218" i="42"/>
  <c r="K240" i="42"/>
  <c r="BN271" i="42"/>
  <c r="BN261" i="42"/>
  <c r="BN270" i="42"/>
  <c r="V304" i="42"/>
  <c r="BK304" i="42" s="1"/>
  <c r="BM214" i="42"/>
  <c r="AL214" i="42" s="1"/>
  <c r="BM235" i="42"/>
  <c r="AL235" i="42" s="1"/>
  <c r="Z51" i="35" s="1"/>
  <c r="BM176" i="42"/>
  <c r="AL176" i="42" s="1"/>
  <c r="BM225" i="42"/>
  <c r="AL225" i="42" s="1"/>
  <c r="BM148" i="42"/>
  <c r="AL148" i="42" s="1"/>
  <c r="BM38" i="42"/>
  <c r="AL38" i="42" s="1"/>
  <c r="BM63" i="42"/>
  <c r="AL63" i="42" s="1"/>
  <c r="BM136" i="42"/>
  <c r="AL136" i="42" s="1"/>
  <c r="BM22" i="42"/>
  <c r="AL22" i="42" s="1"/>
  <c r="BM56" i="42"/>
  <c r="AL56" i="42" s="1"/>
  <c r="BM213" i="42"/>
  <c r="AL213" i="42" s="1"/>
  <c r="BM41" i="42"/>
  <c r="AL41" i="42" s="1"/>
  <c r="BM226" i="42"/>
  <c r="AL226" i="42" s="1"/>
  <c r="BM118" i="42"/>
  <c r="AL118" i="42" s="1"/>
  <c r="BM83" i="42"/>
  <c r="AL83" i="42" s="1"/>
  <c r="BM120" i="42"/>
  <c r="AL120" i="42" s="1"/>
  <c r="BM59" i="42"/>
  <c r="AL59" i="42" s="1"/>
  <c r="BM191" i="42"/>
  <c r="AL191" i="42" s="1"/>
  <c r="BM126" i="42"/>
  <c r="AL126" i="42" s="1"/>
  <c r="BM89" i="42"/>
  <c r="AL89" i="42" s="1"/>
  <c r="BM78" i="42"/>
  <c r="AL78" i="42" s="1"/>
  <c r="BM175" i="42"/>
  <c r="AL175" i="42" s="1"/>
  <c r="Z46" i="35" s="1"/>
  <c r="BM100" i="42"/>
  <c r="AL100" i="42" s="1"/>
  <c r="BM21" i="42"/>
  <c r="AL21" i="42" s="1"/>
  <c r="BN268" i="42"/>
  <c r="BM179" i="42"/>
  <c r="AL179" i="42" s="1"/>
  <c r="BM42" i="42"/>
  <c r="AL42" i="42" s="1"/>
  <c r="BM170" i="42"/>
  <c r="AL170" i="42" s="1"/>
  <c r="BM43" i="42"/>
  <c r="AL43" i="42" s="1"/>
  <c r="Z35" i="35" s="1"/>
  <c r="BM34" i="42"/>
  <c r="AL34" i="42" s="1"/>
  <c r="BM7" i="42"/>
  <c r="AL7" i="42" s="1"/>
  <c r="BM92" i="42"/>
  <c r="AL92" i="42" s="1"/>
  <c r="BM98" i="42"/>
  <c r="AL98" i="42" s="1"/>
  <c r="BM11" i="42"/>
  <c r="AL11" i="42" s="1"/>
  <c r="BM25" i="42"/>
  <c r="AL25" i="42" s="1"/>
  <c r="BM26" i="42"/>
  <c r="AL26" i="42" s="1"/>
  <c r="BM168" i="42"/>
  <c r="AL168" i="42" s="1"/>
  <c r="BM10" i="42"/>
  <c r="AL10" i="42" s="1"/>
  <c r="BM72" i="42"/>
  <c r="AL72" i="42" s="1"/>
  <c r="BM171" i="42"/>
  <c r="AL171" i="42" s="1"/>
  <c r="BM104" i="42"/>
  <c r="AL104" i="42" s="1"/>
  <c r="BM28" i="42"/>
  <c r="AL28" i="42" s="1"/>
  <c r="BM177" i="42"/>
  <c r="AL177" i="42" s="1"/>
  <c r="BM17" i="42"/>
  <c r="AL17" i="42" s="1"/>
  <c r="BM247" i="42"/>
  <c r="AL247" i="42" s="1"/>
  <c r="BM125" i="42"/>
  <c r="AL125" i="42" s="1"/>
  <c r="BM96" i="42"/>
  <c r="AL96" i="42" s="1"/>
  <c r="BM80" i="42"/>
  <c r="AL80" i="42" s="1"/>
  <c r="BM137" i="42"/>
  <c r="AL137" i="42" s="1"/>
  <c r="BM167" i="42"/>
  <c r="AL167" i="42" s="1"/>
  <c r="BM101" i="42"/>
  <c r="AL101" i="42" s="1"/>
  <c r="BM193" i="42"/>
  <c r="AL193" i="42" s="1"/>
  <c r="BM216" i="42"/>
  <c r="AL216" i="42" s="1"/>
  <c r="BM239" i="42"/>
  <c r="AL239" i="42" s="1"/>
  <c r="K285" i="42"/>
  <c r="BN282" i="42"/>
  <c r="BN272" i="42"/>
  <c r="BM172" i="42"/>
  <c r="AL172" i="42" s="1"/>
  <c r="BM217" i="42"/>
  <c r="AL217" i="42" s="1"/>
  <c r="BM259" i="42"/>
  <c r="AL259" i="42" s="1"/>
  <c r="K207" i="42"/>
  <c r="BN263" i="42"/>
  <c r="BM272" i="42"/>
  <c r="AL272" i="42" s="1"/>
  <c r="BM162" i="42"/>
  <c r="AL162" i="42" s="1"/>
  <c r="BM250" i="42"/>
  <c r="AL250" i="42" s="1"/>
  <c r="BM261" i="42"/>
  <c r="AL261" i="42" s="1"/>
  <c r="V285" i="42"/>
  <c r="BK285" i="42" s="1"/>
  <c r="BM159" i="42"/>
  <c r="AL159" i="42" s="1"/>
  <c r="BM76" i="42"/>
  <c r="AL76" i="42" s="1"/>
  <c r="BM111" i="42"/>
  <c r="AL111" i="42" s="1"/>
  <c r="BM32" i="42"/>
  <c r="AL32" i="42" s="1"/>
  <c r="BM99" i="42"/>
  <c r="AL99" i="42" s="1"/>
  <c r="BM139" i="42"/>
  <c r="AL139" i="42" s="1"/>
  <c r="Z43" i="35" s="1"/>
  <c r="V305" i="42"/>
  <c r="BK305" i="42" s="1"/>
  <c r="K229" i="42"/>
  <c r="BN269" i="42"/>
  <c r="BN260" i="42"/>
  <c r="BM109" i="42"/>
  <c r="AL109" i="42" s="1"/>
  <c r="BM27" i="42"/>
  <c r="AL27" i="42" s="1"/>
  <c r="BM112" i="42"/>
  <c r="AL112" i="42" s="1"/>
  <c r="BM57" i="42"/>
  <c r="AL57" i="42" s="1"/>
  <c r="BM151" i="42"/>
  <c r="AL151" i="42" s="1"/>
  <c r="Z44" i="35" s="1"/>
  <c r="BM70" i="42"/>
  <c r="AL70" i="42" s="1"/>
  <c r="BM19" i="42"/>
  <c r="AL19" i="42" s="1"/>
  <c r="Z33" i="35" s="1"/>
  <c r="BM129" i="42"/>
  <c r="AL129" i="42" s="1"/>
  <c r="BM40" i="42"/>
  <c r="AL40" i="42" s="1"/>
  <c r="BM248" i="42"/>
  <c r="AL248" i="42" s="1"/>
  <c r="BM155" i="42"/>
  <c r="AL155" i="42" s="1"/>
  <c r="BM122" i="42"/>
  <c r="AL122" i="42" s="1"/>
  <c r="BM44" i="42"/>
  <c r="AL44" i="42" s="1"/>
  <c r="BM35" i="42"/>
  <c r="AL35" i="42" s="1"/>
  <c r="BM37" i="42"/>
  <c r="AL37" i="42" s="1"/>
  <c r="BM74" i="42"/>
  <c r="AL74" i="42" s="1"/>
  <c r="BM152" i="42"/>
  <c r="AL152" i="42" s="1"/>
  <c r="BM140" i="42"/>
  <c r="AL140" i="42" s="1"/>
  <c r="BM31" i="42"/>
  <c r="AL31" i="42" s="1"/>
  <c r="Z34" i="35" s="1"/>
  <c r="BM154" i="42"/>
  <c r="AL154" i="42" s="1"/>
  <c r="K185" i="42"/>
  <c r="BN279" i="42"/>
  <c r="BN278" i="42"/>
  <c r="BN264" i="42"/>
  <c r="BN276" i="42"/>
  <c r="BM260" i="42"/>
  <c r="AL260" i="42" s="1"/>
  <c r="V293" i="42"/>
  <c r="BK293" i="42" s="1"/>
  <c r="K296" i="42"/>
  <c r="V298" i="42"/>
  <c r="BK298" i="42" s="1"/>
  <c r="K219" i="42"/>
  <c r="V303" i="42"/>
  <c r="BK303" i="42" s="1"/>
  <c r="V316" i="42"/>
  <c r="BK316" i="42" s="1"/>
  <c r="BN294" i="42"/>
  <c r="V313" i="42"/>
  <c r="BK313" i="42" s="1"/>
  <c r="BM185" i="42"/>
  <c r="AL185" i="42" s="1"/>
  <c r="V295" i="42"/>
  <c r="K263" i="42"/>
  <c r="BN288" i="42"/>
  <c r="BN289" i="42"/>
  <c r="BN284" i="42"/>
  <c r="BM174" i="42"/>
  <c r="AL174" i="42" s="1"/>
  <c r="BN304" i="42"/>
  <c r="BM218" i="42"/>
  <c r="AL218" i="42" s="1"/>
  <c r="BN291" i="42"/>
  <c r="BM262" i="42"/>
  <c r="AL262" i="42" s="1"/>
  <c r="K197" i="42"/>
  <c r="V317" i="42"/>
  <c r="BK317" i="42" s="1"/>
  <c r="BN283" i="42"/>
  <c r="V309" i="42"/>
  <c r="BK309" i="42" s="1"/>
  <c r="K208" i="42"/>
  <c r="K295" i="42"/>
  <c r="V296" i="42"/>
  <c r="BK296" i="42" s="1"/>
  <c r="K241" i="42"/>
  <c r="K230" i="42"/>
  <c r="K186" i="42"/>
  <c r="BM251" i="42"/>
  <c r="AL251" i="42" s="1"/>
  <c r="BN286" i="42"/>
  <c r="BN293" i="42"/>
  <c r="BM207" i="42"/>
  <c r="AL207" i="42" s="1"/>
  <c r="K297" i="42"/>
  <c r="BN287" i="42"/>
  <c r="K252" i="42"/>
  <c r="V300" i="42"/>
  <c r="BK300" i="42" s="1"/>
  <c r="BM240" i="42"/>
  <c r="AL240" i="42" s="1"/>
  <c r="V299" i="42"/>
  <c r="BK299" i="42" s="1"/>
  <c r="BN285" i="42"/>
  <c r="BM284" i="42"/>
  <c r="AL284" i="42" s="1"/>
  <c r="BM283" i="42"/>
  <c r="AL283" i="42" s="1"/>
  <c r="K274" i="42"/>
  <c r="BN290" i="42"/>
  <c r="BM196" i="42"/>
  <c r="AL196" i="42" s="1"/>
  <c r="V301" i="42"/>
  <c r="BK301" i="42" s="1"/>
  <c r="BM229" i="42"/>
  <c r="AL229" i="42" s="1"/>
  <c r="K309" i="42"/>
  <c r="V308" i="42"/>
  <c r="BK308" i="42" s="1"/>
  <c r="BN299" i="42"/>
  <c r="BM208" i="42"/>
  <c r="AL208" i="42" s="1"/>
  <c r="V310" i="42"/>
  <c r="BK310" i="42" s="1"/>
  <c r="BM296" i="42"/>
  <c r="AL296" i="42" s="1"/>
  <c r="BN295" i="42"/>
  <c r="BM186" i="42"/>
  <c r="AL186" i="42" s="1"/>
  <c r="K220" i="42"/>
  <c r="BN297" i="42"/>
  <c r="BN316" i="42"/>
  <c r="BM263" i="42"/>
  <c r="AL263" i="42" s="1"/>
  <c r="K242" i="42"/>
  <c r="K209" i="42"/>
  <c r="K286" i="42"/>
  <c r="V325" i="42"/>
  <c r="BK325" i="42" s="1"/>
  <c r="V314" i="42"/>
  <c r="BK314" i="42" s="1"/>
  <c r="BM197" i="42"/>
  <c r="AL197" i="42" s="1"/>
  <c r="V318" i="42"/>
  <c r="BK318" i="42" s="1"/>
  <c r="BN300" i="42"/>
  <c r="K307" i="42"/>
  <c r="K231" i="42"/>
  <c r="BM285" i="42"/>
  <c r="AL285" i="42" s="1"/>
  <c r="BN296" i="42"/>
  <c r="BN302" i="42"/>
  <c r="V324" i="42"/>
  <c r="BK324" i="42" s="1"/>
  <c r="K308" i="42"/>
  <c r="V321" i="42"/>
  <c r="BK321" i="42" s="1"/>
  <c r="K198" i="42"/>
  <c r="BM252" i="42"/>
  <c r="AL252" i="42" s="1"/>
  <c r="BN301" i="42"/>
  <c r="V328" i="42"/>
  <c r="BK328" i="42" s="1"/>
  <c r="K253" i="42"/>
  <c r="BM219" i="42"/>
  <c r="AL219" i="42" s="1"/>
  <c r="BM274" i="42"/>
  <c r="AL274" i="42" s="1"/>
  <c r="V311" i="42"/>
  <c r="BK311" i="42" s="1"/>
  <c r="K275" i="42"/>
  <c r="BM241" i="42"/>
  <c r="AL241" i="42" s="1"/>
  <c r="V312" i="42"/>
  <c r="BK312" i="42" s="1"/>
  <c r="BN303" i="42"/>
  <c r="BM230" i="42"/>
  <c r="AL230" i="42" s="1"/>
  <c r="V315" i="42"/>
  <c r="BK315" i="42" s="1"/>
  <c r="BM297" i="42"/>
  <c r="AL297" i="42" s="1"/>
  <c r="V307" i="42"/>
  <c r="V322" i="42"/>
  <c r="BK322" i="42" s="1"/>
  <c r="K264" i="42"/>
  <c r="BN306" i="42"/>
  <c r="BN305" i="42"/>
  <c r="BN298" i="42"/>
  <c r="BM209" i="42"/>
  <c r="AL209" i="42" s="1"/>
  <c r="BN328" i="42"/>
  <c r="V320" i="42"/>
  <c r="BK320" i="42" s="1"/>
  <c r="V331" i="42"/>
  <c r="BN311" i="42"/>
  <c r="BM286" i="42"/>
  <c r="AL286" i="42" s="1"/>
  <c r="BM264" i="42"/>
  <c r="AL264" i="42" s="1"/>
  <c r="V323" i="42"/>
  <c r="BK323" i="42" s="1"/>
  <c r="BM295" i="42"/>
  <c r="AL295" i="42" s="1"/>
  <c r="BN307" i="42"/>
  <c r="BN312" i="42"/>
  <c r="V327" i="42"/>
  <c r="BK327" i="42" s="1"/>
  <c r="V340" i="42"/>
  <c r="BK340" i="42" s="1"/>
  <c r="BN318" i="42"/>
  <c r="K221" i="42"/>
  <c r="K287" i="42"/>
  <c r="K210" i="42"/>
  <c r="BM309" i="42"/>
  <c r="AL309" i="42" s="1"/>
  <c r="V338" i="42"/>
  <c r="BK338" i="42" s="1"/>
  <c r="V339" i="42"/>
  <c r="BK339" i="42" s="1"/>
  <c r="K232" i="42"/>
  <c r="K254" i="42"/>
  <c r="V352" i="42"/>
  <c r="BK352" i="42" s="1"/>
  <c r="V336" i="42"/>
  <c r="BK336" i="42" s="1"/>
  <c r="V329" i="42"/>
  <c r="BK329" i="42" s="1"/>
  <c r="K319" i="42"/>
  <c r="V342" i="42"/>
  <c r="BK342" i="42" s="1"/>
  <c r="BN310" i="42"/>
  <c r="BM220" i="42"/>
  <c r="AL220" i="42" s="1"/>
  <c r="BN309" i="42"/>
  <c r="V330" i="42"/>
  <c r="BK330" i="42" s="1"/>
  <c r="V319" i="42"/>
  <c r="BM198" i="42"/>
  <c r="AL198" i="42" s="1"/>
  <c r="BM253" i="42"/>
  <c r="AL253" i="42" s="1"/>
  <c r="V332" i="42"/>
  <c r="BK332" i="42" s="1"/>
  <c r="K243" i="42"/>
  <c r="V326" i="42"/>
  <c r="BK326" i="42" s="1"/>
  <c r="BN317" i="42"/>
  <c r="K321" i="42"/>
  <c r="BM231" i="42"/>
  <c r="AL231" i="42" s="1"/>
  <c r="K265" i="42"/>
  <c r="K276" i="42"/>
  <c r="K298" i="42"/>
  <c r="BM242" i="42"/>
  <c r="AL242" i="42" s="1"/>
  <c r="K320" i="42"/>
  <c r="BN315" i="42"/>
  <c r="BN313" i="42"/>
  <c r="V337" i="42"/>
  <c r="BK337" i="42" s="1"/>
  <c r="BM275" i="42"/>
  <c r="AL275" i="42" s="1"/>
  <c r="BN314" i="42"/>
  <c r="BN308" i="42"/>
  <c r="K331" i="42"/>
  <c r="V341" i="42"/>
  <c r="BK341" i="42" s="1"/>
  <c r="V334" i="42"/>
  <c r="BK334" i="42" s="1"/>
  <c r="K222" i="42"/>
  <c r="K288" i="42"/>
  <c r="K310" i="42"/>
  <c r="BN319" i="42"/>
  <c r="BM221" i="42"/>
  <c r="AL221" i="42" s="1"/>
  <c r="V350" i="42"/>
  <c r="BK350" i="42" s="1"/>
  <c r="K332" i="42"/>
  <c r="BN340" i="42"/>
  <c r="V364" i="42"/>
  <c r="BK364" i="42" s="1"/>
  <c r="BN326" i="42"/>
  <c r="V333" i="42"/>
  <c r="BK333" i="42" s="1"/>
  <c r="BM287" i="42"/>
  <c r="AL287" i="42" s="1"/>
  <c r="K333" i="42"/>
  <c r="K277" i="42"/>
  <c r="BM276" i="42"/>
  <c r="AL276" i="42" s="1"/>
  <c r="BM307" i="42"/>
  <c r="AL307" i="42" s="1"/>
  <c r="BM321" i="42"/>
  <c r="AL321" i="42" s="1"/>
  <c r="K299" i="42"/>
  <c r="BM210" i="42"/>
  <c r="AL210" i="42" s="1"/>
  <c r="BM232" i="42"/>
  <c r="AL232" i="42" s="1"/>
  <c r="BM298" i="42"/>
  <c r="AL298" i="42" s="1"/>
  <c r="V343" i="42"/>
  <c r="BN329" i="42"/>
  <c r="K266" i="42"/>
  <c r="K255" i="42"/>
  <c r="BM308" i="42"/>
  <c r="AL308" i="42" s="1"/>
  <c r="BN325" i="42"/>
  <c r="BN321" i="42"/>
  <c r="BM254" i="42"/>
  <c r="AL254" i="42" s="1"/>
  <c r="BN320" i="42"/>
  <c r="K244" i="42"/>
  <c r="V335" i="42"/>
  <c r="BK335" i="42" s="1"/>
  <c r="BN327" i="42"/>
  <c r="BN323" i="42"/>
  <c r="BM265" i="42"/>
  <c r="AL265" i="42" s="1"/>
  <c r="K233" i="42"/>
  <c r="BN322" i="42"/>
  <c r="BM243" i="42"/>
  <c r="AL243" i="42" s="1"/>
  <c r="V346" i="42"/>
  <c r="BK346" i="42" s="1"/>
  <c r="BN330" i="42"/>
  <c r="BN324" i="42"/>
  <c r="V351" i="42"/>
  <c r="BK351" i="42" s="1"/>
  <c r="BM233" i="42"/>
  <c r="AL233" i="42" s="1"/>
  <c r="BM320" i="42"/>
  <c r="AL320" i="42" s="1"/>
  <c r="K311" i="42"/>
  <c r="K322" i="42"/>
  <c r="BN335" i="42"/>
  <c r="BN333" i="42"/>
  <c r="BN338" i="42"/>
  <c r="BM331" i="42"/>
  <c r="AL331" i="42" s="1"/>
  <c r="V361" i="42"/>
  <c r="BK361" i="42" s="1"/>
  <c r="V344" i="42"/>
  <c r="BK344" i="42" s="1"/>
  <c r="BN339" i="42"/>
  <c r="BN342" i="42"/>
  <c r="BN334" i="42"/>
  <c r="BM244" i="42"/>
  <c r="AL244" i="42" s="1"/>
  <c r="V354" i="42"/>
  <c r="BK354" i="42" s="1"/>
  <c r="BN337" i="42"/>
  <c r="V348" i="42"/>
  <c r="BK348" i="42" s="1"/>
  <c r="K300" i="42"/>
  <c r="K267" i="42"/>
  <c r="K245" i="42"/>
  <c r="BM255" i="42"/>
  <c r="AL255" i="42" s="1"/>
  <c r="V347" i="42"/>
  <c r="BK347" i="42" s="1"/>
  <c r="V365" i="42"/>
  <c r="BK365" i="42" s="1"/>
  <c r="K256" i="42"/>
  <c r="BN331" i="42"/>
  <c r="BM288" i="42"/>
  <c r="AL288" i="42" s="1"/>
  <c r="BM319" i="42"/>
  <c r="AL319" i="42" s="1"/>
  <c r="BM332" i="42"/>
  <c r="AL332" i="42" s="1"/>
  <c r="BM222" i="42"/>
  <c r="AL222" i="42" s="1"/>
  <c r="K234" i="42"/>
  <c r="V360" i="42"/>
  <c r="BK360" i="42" s="1"/>
  <c r="V349" i="42"/>
  <c r="BK349" i="42" s="1"/>
  <c r="BM310" i="42"/>
  <c r="AL310" i="42" s="1"/>
  <c r="BM299" i="42"/>
  <c r="AL299" i="42" s="1"/>
  <c r="V356" i="42"/>
  <c r="BK356" i="42" s="1"/>
  <c r="V353" i="42"/>
  <c r="BK353" i="42" s="1"/>
  <c r="K345" i="42"/>
  <c r="K344" i="42"/>
  <c r="V345" i="42"/>
  <c r="BK345" i="42" s="1"/>
  <c r="BM266" i="42"/>
  <c r="AL266" i="42" s="1"/>
  <c r="K278" i="42"/>
  <c r="BN352" i="42"/>
  <c r="K289" i="42"/>
  <c r="BM277" i="42"/>
  <c r="AL277" i="42" s="1"/>
  <c r="BN332" i="42"/>
  <c r="K343" i="42"/>
  <c r="BN341" i="42"/>
  <c r="BN336" i="42"/>
  <c r="K356" i="42"/>
  <c r="K357" i="42"/>
  <c r="BN344" i="42"/>
  <c r="K301" i="42"/>
  <c r="K334" i="42"/>
  <c r="BN350" i="42"/>
  <c r="BN348" i="42"/>
  <c r="BN354" i="42"/>
  <c r="BN345" i="42"/>
  <c r="V357" i="42"/>
  <c r="BK357" i="42" s="1"/>
  <c r="V366" i="42"/>
  <c r="BK366" i="42" s="1"/>
  <c r="BN353" i="42"/>
  <c r="BM245" i="42"/>
  <c r="AL245" i="42" s="1"/>
  <c r="V359" i="42"/>
  <c r="BK359" i="42" s="1"/>
  <c r="K246" i="42"/>
  <c r="V362" i="42"/>
  <c r="BK362" i="42" s="1"/>
  <c r="V363" i="42"/>
  <c r="BK363" i="42" s="1"/>
  <c r="BM256" i="42"/>
  <c r="AL256" i="42" s="1"/>
  <c r="BM267" i="42"/>
  <c r="AL267" i="42" s="1"/>
  <c r="BN347" i="42"/>
  <c r="BM278" i="42"/>
  <c r="AL278" i="42" s="1"/>
  <c r="BM322" i="42"/>
  <c r="AL322" i="42" s="1"/>
  <c r="BN351" i="42"/>
  <c r="V358" i="42"/>
  <c r="BK358" i="42" s="1"/>
  <c r="BM300" i="42"/>
  <c r="AL300" i="42" s="1"/>
  <c r="K290" i="42"/>
  <c r="BN364" i="42"/>
  <c r="K355" i="42"/>
  <c r="BN346" i="42"/>
  <c r="K323" i="42"/>
  <c r="K279" i="42"/>
  <c r="BN343" i="42"/>
  <c r="BN349" i="42"/>
  <c r="BM311" i="42"/>
  <c r="AL311" i="42" s="1"/>
  <c r="K268" i="42"/>
  <c r="K257" i="42"/>
  <c r="K312" i="42"/>
  <c r="V355" i="42"/>
  <c r="BM343" i="42"/>
  <c r="AL343" i="42" s="1"/>
  <c r="BM333" i="42"/>
  <c r="AL333" i="42" s="1"/>
  <c r="BM289" i="42"/>
  <c r="AL289" i="42" s="1"/>
  <c r="BM234" i="42"/>
  <c r="AL234" i="42" s="1"/>
  <c r="K367" i="42"/>
  <c r="BN360" i="42"/>
  <c r="BM279" i="42"/>
  <c r="AL279" i="42" s="1"/>
  <c r="BM355" i="42"/>
  <c r="AL355" i="42" s="1"/>
  <c r="K280" i="42"/>
  <c r="BM334" i="42"/>
  <c r="AL334" i="42" s="1"/>
  <c r="BM246" i="42"/>
  <c r="AL246" i="42" s="1"/>
  <c r="K302" i="42"/>
  <c r="K346" i="42"/>
  <c r="BN359" i="42"/>
  <c r="BN365" i="42"/>
  <c r="BM257" i="42"/>
  <c r="AL257" i="42" s="1"/>
  <c r="BN363" i="42"/>
  <c r="BN356" i="42"/>
  <c r="BM323" i="42"/>
  <c r="AL323" i="42" s="1"/>
  <c r="K269" i="42"/>
  <c r="BN366" i="42"/>
  <c r="BN357" i="42"/>
  <c r="BN358" i="42"/>
  <c r="K324" i="42"/>
  <c r="BM345" i="42"/>
  <c r="AL345" i="42" s="1"/>
  <c r="BM290" i="42"/>
  <c r="AL290" i="42" s="1"/>
  <c r="BN361" i="42"/>
  <c r="V367" i="42"/>
  <c r="BK367" i="42" s="1"/>
  <c r="K258" i="42"/>
  <c r="K291" i="42"/>
  <c r="K335" i="42"/>
  <c r="BN362" i="42"/>
  <c r="BM301" i="42"/>
  <c r="AL301" i="42" s="1"/>
  <c r="BM344" i="42"/>
  <c r="AL344" i="42" s="1"/>
  <c r="BM356" i="42"/>
  <c r="AL356" i="42" s="1"/>
  <c r="BM268" i="42"/>
  <c r="AL268" i="42" s="1"/>
  <c r="K313" i="42"/>
  <c r="BM312" i="42"/>
  <c r="AL312" i="42" s="1"/>
  <c r="BN355" i="42"/>
  <c r="BM324" i="42"/>
  <c r="AL324" i="42" s="1"/>
  <c r="BM258" i="42"/>
  <c r="AL258" i="42" s="1"/>
  <c r="BM357" i="42"/>
  <c r="AL357" i="42" s="1"/>
  <c r="K336" i="42"/>
  <c r="BM280" i="42"/>
  <c r="AL280" i="42" s="1"/>
  <c r="K358" i="42"/>
  <c r="K314" i="42"/>
  <c r="K347" i="42"/>
  <c r="K303" i="42"/>
  <c r="K270" i="42"/>
  <c r="BM367" i="42"/>
  <c r="AL367" i="42" s="1"/>
  <c r="BM302" i="42"/>
  <c r="AL302" i="42" s="1"/>
  <c r="BN367" i="42"/>
  <c r="K281" i="42"/>
  <c r="K292" i="42"/>
  <c r="K325" i="42"/>
  <c r="BM269" i="42"/>
  <c r="AL269" i="42" s="1"/>
  <c r="BM346" i="42"/>
  <c r="AL346" i="42" s="1"/>
  <c r="BM291" i="42"/>
  <c r="AL291" i="42" s="1"/>
  <c r="BM313" i="42"/>
  <c r="AL313" i="42" s="1"/>
  <c r="BM335" i="42"/>
  <c r="AL335" i="42" s="1"/>
  <c r="K348" i="42"/>
  <c r="BM314" i="42"/>
  <c r="AL314" i="42" s="1"/>
  <c r="BM358" i="42"/>
  <c r="AL358" i="42" s="1"/>
  <c r="BM292" i="42"/>
  <c r="AL292" i="42" s="1"/>
  <c r="BM336" i="42"/>
  <c r="AL336" i="42" s="1"/>
  <c r="K304" i="42"/>
  <c r="K282" i="42"/>
  <c r="K293" i="42"/>
  <c r="BM281" i="42"/>
  <c r="AL281" i="42" s="1"/>
  <c r="BM325" i="42"/>
  <c r="AL325" i="42" s="1"/>
  <c r="BM303" i="42"/>
  <c r="AL303" i="42" s="1"/>
  <c r="K359" i="42"/>
  <c r="K326" i="42"/>
  <c r="K315" i="42"/>
  <c r="K337" i="42"/>
  <c r="BM347" i="42"/>
  <c r="AL347" i="42" s="1"/>
  <c r="BM270" i="42"/>
  <c r="AL270" i="42" s="1"/>
  <c r="K305" i="42"/>
  <c r="K316" i="42"/>
  <c r="K360" i="42"/>
  <c r="BM315" i="42"/>
  <c r="AL315" i="42" s="1"/>
  <c r="BM348" i="42"/>
  <c r="AL348" i="42" s="1"/>
  <c r="K338" i="42"/>
  <c r="K349" i="42"/>
  <c r="BM359" i="42"/>
  <c r="AL359" i="42" s="1"/>
  <c r="BM293" i="42"/>
  <c r="AL293" i="42" s="1"/>
  <c r="BM282" i="42"/>
  <c r="AL282" i="42" s="1"/>
  <c r="BM326" i="42"/>
  <c r="AL326" i="42" s="1"/>
  <c r="BM304" i="42"/>
  <c r="AL304" i="42" s="1"/>
  <c r="K327" i="42"/>
  <c r="K294" i="42"/>
  <c r="BM337" i="42"/>
  <c r="AL337" i="42" s="1"/>
  <c r="BM360" i="42"/>
  <c r="AL360" i="42" s="1"/>
  <c r="K306" i="42"/>
  <c r="BM327" i="42"/>
  <c r="AL327" i="42" s="1"/>
  <c r="BM338" i="42"/>
  <c r="AL338" i="42" s="1"/>
  <c r="K339" i="42"/>
  <c r="K361" i="42"/>
  <c r="K328" i="42"/>
  <c r="BM349" i="42"/>
  <c r="AL349" i="42" s="1"/>
  <c r="BM316" i="42"/>
  <c r="AL316" i="42" s="1"/>
  <c r="BM294" i="42"/>
  <c r="AL294" i="42" s="1"/>
  <c r="K317" i="42"/>
  <c r="K350" i="42"/>
  <c r="BM305" i="42"/>
  <c r="AL305" i="42" s="1"/>
  <c r="K340" i="42"/>
  <c r="K329" i="42"/>
  <c r="K351" i="42"/>
  <c r="BM361" i="42"/>
  <c r="AL361" i="42" s="1"/>
  <c r="BM328" i="42"/>
  <c r="AL328" i="42" s="1"/>
  <c r="K362" i="42"/>
  <c r="BM317" i="42"/>
  <c r="AL317" i="42" s="1"/>
  <c r="K318" i="42"/>
  <c r="BM306" i="42"/>
  <c r="AL306" i="42" s="1"/>
  <c r="BM350" i="42"/>
  <c r="AL350" i="42" s="1"/>
  <c r="BM339" i="42"/>
  <c r="AL339" i="42" s="1"/>
  <c r="K363" i="42"/>
  <c r="BM351" i="42"/>
  <c r="AL351" i="42" s="1"/>
  <c r="BM340" i="42"/>
  <c r="AL340" i="42" s="1"/>
  <c r="BM318" i="42"/>
  <c r="AL318" i="42" s="1"/>
  <c r="K330" i="42"/>
  <c r="BM329" i="42"/>
  <c r="AL329" i="42" s="1"/>
  <c r="K352" i="42"/>
  <c r="K341" i="42"/>
  <c r="BM362" i="42"/>
  <c r="AL362" i="42" s="1"/>
  <c r="BM363" i="42"/>
  <c r="AL363" i="42" s="1"/>
  <c r="K353" i="42"/>
  <c r="BM330" i="42"/>
  <c r="AL330" i="42" s="1"/>
  <c r="BM352" i="42"/>
  <c r="AL352" i="42" s="1"/>
  <c r="BM341" i="42"/>
  <c r="AL341" i="42" s="1"/>
  <c r="K364" i="42"/>
  <c r="K342" i="42"/>
  <c r="K354" i="42"/>
  <c r="BM353" i="42"/>
  <c r="AL353" i="42" s="1"/>
  <c r="K365" i="42"/>
  <c r="BM364" i="42"/>
  <c r="AL364" i="42" s="1"/>
  <c r="BM342" i="42"/>
  <c r="AL342" i="42" s="1"/>
  <c r="K366" i="42"/>
  <c r="BM354" i="42"/>
  <c r="AL354" i="42" s="1"/>
  <c r="BM365" i="42"/>
  <c r="AL365" i="42" s="1"/>
  <c r="BM366" i="42"/>
  <c r="AL366" i="42" s="1"/>
  <c r="H35" i="31"/>
  <c r="H42" i="31"/>
  <c r="H38" i="31"/>
  <c r="H40" i="31"/>
  <c r="H36" i="31"/>
  <c r="H32" i="31"/>
  <c r="H31" i="31"/>
  <c r="H41" i="31"/>
  <c r="H37" i="31"/>
  <c r="H33" i="31"/>
  <c r="H39" i="31"/>
  <c r="H34" i="31"/>
  <c r="AA174" i="42" l="1"/>
  <c r="AA174" i="43"/>
  <c r="AB174" i="43"/>
  <c r="AB174" i="42"/>
  <c r="AA126" i="42"/>
  <c r="AA126" i="43"/>
  <c r="AB126" i="43"/>
  <c r="AB126" i="42"/>
  <c r="AA258" i="42"/>
  <c r="AA258" i="43"/>
  <c r="AB258" i="43"/>
  <c r="AB258" i="42"/>
  <c r="AA210" i="42"/>
  <c r="AA210" i="43"/>
  <c r="AB210" i="43"/>
  <c r="AB210" i="42"/>
  <c r="AA222" i="42"/>
  <c r="AA222" i="43"/>
  <c r="AB222" i="43"/>
  <c r="AB222" i="42"/>
  <c r="AA54" i="42"/>
  <c r="AA54" i="43"/>
  <c r="AB54" i="43"/>
  <c r="AB54" i="42"/>
  <c r="AA198" i="42"/>
  <c r="AA198" i="43"/>
  <c r="AB198" i="43"/>
  <c r="AB198" i="42"/>
  <c r="AA114" i="42"/>
  <c r="AA114" i="43"/>
  <c r="AB114" i="43"/>
  <c r="AB114" i="42"/>
  <c r="AA234" i="42"/>
  <c r="AA234" i="43"/>
  <c r="AB234" i="43"/>
  <c r="AB234" i="42"/>
  <c r="AA246" i="43"/>
  <c r="AB246" i="43"/>
  <c r="AA246" i="42"/>
  <c r="AB246" i="42"/>
  <c r="AM7" i="42"/>
  <c r="Z32" i="35"/>
  <c r="BG365" i="43"/>
  <c r="BG352" i="43"/>
  <c r="BG341" i="43"/>
  <c r="BG350" i="43"/>
  <c r="BG306" i="43"/>
  <c r="BG338" i="43"/>
  <c r="BG360" i="43"/>
  <c r="BG282" i="43"/>
  <c r="BG303" i="43"/>
  <c r="BG314" i="43"/>
  <c r="BG280" i="43"/>
  <c r="BG291" i="43"/>
  <c r="BG257" i="43"/>
  <c r="BG345" i="43"/>
  <c r="BG301" i="43"/>
  <c r="BG312" i="43"/>
  <c r="BG278" i="43"/>
  <c r="BG311" i="43"/>
  <c r="BG356" i="43"/>
  <c r="BK355" i="43"/>
  <c r="BB36" i="43"/>
  <c r="BG355" i="43"/>
  <c r="L355" i="43" s="1"/>
  <c r="AX36" i="43"/>
  <c r="BG255" i="43"/>
  <c r="BG344" i="43"/>
  <c r="L344" i="43" s="1"/>
  <c r="BG210" i="43"/>
  <c r="BK331" i="43"/>
  <c r="BB34" i="43"/>
  <c r="BG232" i="43"/>
  <c r="BG331" i="43"/>
  <c r="L331" i="43" s="1"/>
  <c r="AX34" i="43"/>
  <c r="BG242" i="43"/>
  <c r="L242" i="43" s="1"/>
  <c r="BG320" i="43"/>
  <c r="BG220" i="43"/>
  <c r="L220" i="43" s="1"/>
  <c r="BG208" i="43"/>
  <c r="BG252" i="43"/>
  <c r="L252" i="43" s="1"/>
  <c r="BG186" i="43"/>
  <c r="BG285" i="43"/>
  <c r="L285" i="43" s="1"/>
  <c r="BG230" i="43"/>
  <c r="BK295" i="43"/>
  <c r="BB31" i="43"/>
  <c r="BG196" i="43"/>
  <c r="BG174" i="43"/>
  <c r="L174" i="43" s="1"/>
  <c r="BG185" i="43"/>
  <c r="BG239" i="43"/>
  <c r="L239" i="43" s="1"/>
  <c r="BG250" i="43"/>
  <c r="BG228" i="43"/>
  <c r="L228" i="43" s="1"/>
  <c r="BG261" i="43"/>
  <c r="BK271" i="43"/>
  <c r="BB29" i="43"/>
  <c r="BG216" i="43"/>
  <c r="BG272" i="43"/>
  <c r="L272" i="43" s="1"/>
  <c r="BG260" i="43"/>
  <c r="BG171" i="43"/>
  <c r="L171" i="43" s="1"/>
  <c r="BG193" i="43"/>
  <c r="BG182" i="43"/>
  <c r="L182" i="43" s="1"/>
  <c r="BG214" i="43"/>
  <c r="BG248" i="43"/>
  <c r="L248" i="43" s="1"/>
  <c r="BK235" i="43"/>
  <c r="BB26" i="43"/>
  <c r="BG213" i="43"/>
  <c r="L213" i="43" s="1"/>
  <c r="BG236" i="43"/>
  <c r="BG157" i="43"/>
  <c r="L157" i="43" s="1"/>
  <c r="BG113" i="43"/>
  <c r="BG223" i="43"/>
  <c r="L223" i="43" s="1"/>
  <c r="AX25" i="43"/>
  <c r="BK223" i="43"/>
  <c r="BB25" i="43"/>
  <c r="BG156" i="43"/>
  <c r="L156" i="43" s="1"/>
  <c r="BK211" i="43"/>
  <c r="BB24" i="43"/>
  <c r="BG212" i="43"/>
  <c r="L212" i="43" s="1"/>
  <c r="BG189" i="43"/>
  <c r="BG155" i="43"/>
  <c r="L155" i="43" s="1"/>
  <c r="BG78" i="43"/>
  <c r="BG88" i="43"/>
  <c r="L88" i="43" s="1"/>
  <c r="BG98" i="43"/>
  <c r="BG109" i="43"/>
  <c r="L109" i="43" s="1"/>
  <c r="BG131" i="43"/>
  <c r="BG87" i="43"/>
  <c r="L87" i="43" s="1"/>
  <c r="BG164" i="43"/>
  <c r="BK163" i="43"/>
  <c r="BB20" i="43"/>
  <c r="BG130" i="43"/>
  <c r="BG129" i="43"/>
  <c r="L129" i="43" s="1"/>
  <c r="BG106" i="43"/>
  <c r="BG40" i="43"/>
  <c r="L40" i="43" s="1"/>
  <c r="BG17" i="43"/>
  <c r="BG48" i="43"/>
  <c r="L48" i="43" s="1"/>
  <c r="BG60" i="43"/>
  <c r="BG19" i="43"/>
  <c r="L19" i="43" s="1"/>
  <c r="AX8" i="43"/>
  <c r="BG50" i="43"/>
  <c r="L50" i="43" s="1"/>
  <c r="BG25" i="43"/>
  <c r="BG55" i="43"/>
  <c r="L55" i="43" s="1"/>
  <c r="AX11" i="43"/>
  <c r="BG23" i="43"/>
  <c r="BG92" i="43"/>
  <c r="L92" i="43" s="1"/>
  <c r="BG81" i="43"/>
  <c r="BG39" i="43"/>
  <c r="L39" i="43" s="1"/>
  <c r="BG115" i="43"/>
  <c r="L115" i="43" s="1"/>
  <c r="AX16" i="43"/>
  <c r="BG116" i="43"/>
  <c r="BG80" i="43"/>
  <c r="L80" i="43" s="1"/>
  <c r="BG57" i="43"/>
  <c r="BG11" i="43"/>
  <c r="L11" i="43" s="1"/>
  <c r="BG16" i="43"/>
  <c r="BG14" i="43"/>
  <c r="L14" i="43" s="1"/>
  <c r="BK67" i="43"/>
  <c r="BB12" i="43"/>
  <c r="BK43" i="43"/>
  <c r="BB10" i="43"/>
  <c r="BK31" i="43"/>
  <c r="BB9" i="43"/>
  <c r="BG366" i="43"/>
  <c r="L366" i="43" s="1"/>
  <c r="BG353" i="43"/>
  <c r="L353" i="43" s="1"/>
  <c r="BG363" i="43"/>
  <c r="L363" i="43" s="1"/>
  <c r="BG318" i="43"/>
  <c r="L318" i="43" s="1"/>
  <c r="BG328" i="43"/>
  <c r="L328" i="43" s="1"/>
  <c r="BG339" i="43"/>
  <c r="L339" i="43" s="1"/>
  <c r="BG361" i="43"/>
  <c r="L361" i="43" s="1"/>
  <c r="BG305" i="43"/>
  <c r="L305" i="43" s="1"/>
  <c r="BG327" i="43"/>
  <c r="L327" i="43" s="1"/>
  <c r="BG359" i="43"/>
  <c r="L359" i="43" s="1"/>
  <c r="BG326" i="43"/>
  <c r="L326" i="43" s="1"/>
  <c r="BG304" i="43"/>
  <c r="BG325" i="43"/>
  <c r="L325" i="43" s="1"/>
  <c r="BG281" i="43"/>
  <c r="BG258" i="43"/>
  <c r="L258" i="43" s="1"/>
  <c r="BG357" i="43"/>
  <c r="BG324" i="43"/>
  <c r="L324" i="43" s="1"/>
  <c r="BG268" i="43"/>
  <c r="BG290" i="43"/>
  <c r="L290" i="43" s="1"/>
  <c r="BG367" i="43"/>
  <c r="BG234" i="43"/>
  <c r="L234" i="43" s="1"/>
  <c r="BG322" i="43"/>
  <c r="BG333" i="43"/>
  <c r="L333" i="43" s="1"/>
  <c r="BG267" i="43"/>
  <c r="BG222" i="43"/>
  <c r="L222" i="43" s="1"/>
  <c r="BG310" i="43"/>
  <c r="BG277" i="43"/>
  <c r="L277" i="43" s="1"/>
  <c r="BG288" i="43"/>
  <c r="BG265" i="43"/>
  <c r="L265" i="43" s="1"/>
  <c r="BG287" i="43"/>
  <c r="BG309" i="43"/>
  <c r="L309" i="43" s="1"/>
  <c r="BG253" i="43"/>
  <c r="BG297" i="43"/>
  <c r="L297" i="43" s="1"/>
  <c r="BG240" i="43"/>
  <c r="BG295" i="43"/>
  <c r="L295" i="43" s="1"/>
  <c r="AX31" i="43"/>
  <c r="BG173" i="43"/>
  <c r="L173" i="43" s="1"/>
  <c r="BG284" i="43"/>
  <c r="BK283" i="43"/>
  <c r="BB30" i="43"/>
  <c r="BG172" i="43"/>
  <c r="BG183" i="43"/>
  <c r="L183" i="43" s="1"/>
  <c r="BG205" i="43"/>
  <c r="BK259" i="43"/>
  <c r="BB28" i="43"/>
  <c r="BG149" i="43"/>
  <c r="BG181" i="43"/>
  <c r="L181" i="43" s="1"/>
  <c r="BG203" i="43"/>
  <c r="BG225" i="43"/>
  <c r="L225" i="43" s="1"/>
  <c r="BG192" i="43"/>
  <c r="BK247" i="43"/>
  <c r="BB27" i="43"/>
  <c r="BG125" i="43"/>
  <c r="BG114" i="43"/>
  <c r="L114" i="43" s="1"/>
  <c r="BG191" i="43"/>
  <c r="BG224" i="43"/>
  <c r="L224" i="43" s="1"/>
  <c r="BG201" i="43"/>
  <c r="BG124" i="43"/>
  <c r="L124" i="43" s="1"/>
  <c r="BG211" i="43"/>
  <c r="AX24" i="43"/>
  <c r="BG167" i="43"/>
  <c r="L167" i="43" s="1"/>
  <c r="BG90" i="43"/>
  <c r="BG177" i="43"/>
  <c r="L177" i="43" s="1"/>
  <c r="BK199" i="43"/>
  <c r="BB23" i="43"/>
  <c r="BG133" i="43"/>
  <c r="L133" i="43" s="1"/>
  <c r="BG100" i="43"/>
  <c r="BG166" i="43"/>
  <c r="L166" i="43" s="1"/>
  <c r="BG132" i="43"/>
  <c r="BG99" i="43"/>
  <c r="L99" i="43" s="1"/>
  <c r="BG143" i="43"/>
  <c r="BG175" i="43"/>
  <c r="L175" i="43" s="1"/>
  <c r="AX21" i="43"/>
  <c r="BG153" i="43"/>
  <c r="L153" i="43" s="1"/>
  <c r="BG54" i="43"/>
  <c r="BG76" i="43"/>
  <c r="L76" i="43" s="1"/>
  <c r="BG75" i="43"/>
  <c r="BG64" i="43"/>
  <c r="L64" i="43" s="1"/>
  <c r="BG42" i="43"/>
  <c r="BG108" i="43"/>
  <c r="L108" i="43" s="1"/>
  <c r="BG52" i="43"/>
  <c r="BK151" i="43"/>
  <c r="BB19" i="43"/>
  <c r="BG74" i="43"/>
  <c r="BG85" i="43"/>
  <c r="L85" i="43" s="1"/>
  <c r="BG30" i="43"/>
  <c r="BG95" i="43"/>
  <c r="L95" i="43" s="1"/>
  <c r="BG73" i="43"/>
  <c r="BK139" i="43"/>
  <c r="BB18" i="43"/>
  <c r="BG29" i="43"/>
  <c r="BG128" i="43"/>
  <c r="L128" i="43" s="1"/>
  <c r="BG83" i="43"/>
  <c r="BG71" i="43"/>
  <c r="L71" i="43" s="1"/>
  <c r="BG47" i="43"/>
  <c r="BG61" i="43"/>
  <c r="L61" i="43" s="1"/>
  <c r="BG45" i="43"/>
  <c r="BG58" i="43"/>
  <c r="L58" i="43" s="1"/>
  <c r="BG36" i="43"/>
  <c r="BG70" i="43"/>
  <c r="L70" i="43" s="1"/>
  <c r="BG79" i="43"/>
  <c r="AX13" i="43"/>
  <c r="BG28" i="43"/>
  <c r="L28" i="43" s="1"/>
  <c r="BG24" i="43"/>
  <c r="BG67" i="43"/>
  <c r="L67" i="43" s="1"/>
  <c r="AX12" i="43"/>
  <c r="BG34" i="43"/>
  <c r="L34" i="43" s="1"/>
  <c r="BK103" i="43"/>
  <c r="BB15" i="43"/>
  <c r="BG13" i="43"/>
  <c r="L13" i="43" s="1"/>
  <c r="BG9" i="43"/>
  <c r="BK79" i="43"/>
  <c r="BB13" i="43"/>
  <c r="BG364" i="43"/>
  <c r="L364" i="43" s="1"/>
  <c r="BG330" i="43"/>
  <c r="BG329" i="43"/>
  <c r="L329" i="43" s="1"/>
  <c r="BG362" i="43"/>
  <c r="BG317" i="43"/>
  <c r="L317" i="43" s="1"/>
  <c r="BG316" i="43"/>
  <c r="BG348" i="43"/>
  <c r="L348" i="43" s="1"/>
  <c r="BG337" i="43"/>
  <c r="BG315" i="43"/>
  <c r="L315" i="43" s="1"/>
  <c r="BG270" i="43"/>
  <c r="BG347" i="43"/>
  <c r="L347" i="43" s="1"/>
  <c r="BG313" i="43"/>
  <c r="BG269" i="43"/>
  <c r="L269" i="43" s="1"/>
  <c r="BG346" i="43"/>
  <c r="BG335" i="43"/>
  <c r="L335" i="43" s="1"/>
  <c r="BG246" i="43"/>
  <c r="BG323" i="43"/>
  <c r="L323" i="43" s="1"/>
  <c r="BG289" i="43"/>
  <c r="BG300" i="43"/>
  <c r="L300" i="43" s="1"/>
  <c r="BG266" i="43"/>
  <c r="BG233" i="43"/>
  <c r="L233" i="43" s="1"/>
  <c r="BG299" i="43"/>
  <c r="BG332" i="43"/>
  <c r="L332" i="43" s="1"/>
  <c r="BG276" i="43"/>
  <c r="BG221" i="43"/>
  <c r="L221" i="43" s="1"/>
  <c r="BG254" i="43"/>
  <c r="BG209" i="43"/>
  <c r="L209" i="43" s="1"/>
  <c r="BG319" i="43"/>
  <c r="AX33" i="43"/>
  <c r="BG231" i="43"/>
  <c r="L231" i="43" s="1"/>
  <c r="BG263" i="43"/>
  <c r="BK307" i="43"/>
  <c r="BB32" i="43"/>
  <c r="BG219" i="43"/>
  <c r="BG262" i="43"/>
  <c r="L262" i="43" s="1"/>
  <c r="BG218" i="43"/>
  <c r="BG162" i="43"/>
  <c r="BG184" i="43"/>
  <c r="L184" i="43" s="1"/>
  <c r="BG217" i="43"/>
  <c r="BG249" i="43"/>
  <c r="L249" i="43" s="1"/>
  <c r="BG194" i="43"/>
  <c r="BG161" i="43"/>
  <c r="L161" i="43" s="1"/>
  <c r="BG215" i="43"/>
  <c r="BG259" i="43"/>
  <c r="L259" i="43" s="1"/>
  <c r="AX28" i="43"/>
  <c r="BG160" i="43"/>
  <c r="L160" i="43" s="1"/>
  <c r="BG159" i="43"/>
  <c r="BG170" i="43"/>
  <c r="L170" i="43" s="1"/>
  <c r="BG137" i="43"/>
  <c r="BG126" i="43"/>
  <c r="L126" i="43" s="1"/>
  <c r="BG180" i="43"/>
  <c r="BG169" i="43"/>
  <c r="L169" i="43" s="1"/>
  <c r="BG136" i="43"/>
  <c r="BG158" i="43"/>
  <c r="L158" i="43" s="1"/>
  <c r="BG146" i="43"/>
  <c r="BG102" i="43"/>
  <c r="L102" i="43" s="1"/>
  <c r="BG145" i="43"/>
  <c r="BG123" i="43"/>
  <c r="L123" i="43" s="1"/>
  <c r="BG111" i="43"/>
  <c r="BG122" i="43"/>
  <c r="L122" i="43" s="1"/>
  <c r="BG187" i="43"/>
  <c r="AX22" i="43"/>
  <c r="BG77" i="43"/>
  <c r="L77" i="43" s="1"/>
  <c r="BK187" i="43"/>
  <c r="BB22" i="43"/>
  <c r="BG66" i="43"/>
  <c r="L66" i="43" s="1"/>
  <c r="BG165" i="43"/>
  <c r="BK175" i="43"/>
  <c r="BB21" i="43"/>
  <c r="BG176" i="43"/>
  <c r="BG119" i="43"/>
  <c r="L119" i="43" s="1"/>
  <c r="BG53" i="43"/>
  <c r="BG97" i="43"/>
  <c r="L97" i="43" s="1"/>
  <c r="BG152" i="43"/>
  <c r="BG118" i="43"/>
  <c r="L118" i="43" s="1"/>
  <c r="BG107" i="43"/>
  <c r="BG41" i="43"/>
  <c r="L41" i="43" s="1"/>
  <c r="BG117" i="43"/>
  <c r="BG139" i="43"/>
  <c r="L139" i="43" s="1"/>
  <c r="AX18" i="43"/>
  <c r="BG18" i="43"/>
  <c r="L18" i="43" s="1"/>
  <c r="BG51" i="43"/>
  <c r="BG72" i="43"/>
  <c r="L72" i="43" s="1"/>
  <c r="BG127" i="43"/>
  <c r="AX17" i="43"/>
  <c r="BG21" i="43"/>
  <c r="L21" i="43" s="1"/>
  <c r="BG94" i="43"/>
  <c r="BG32" i="43"/>
  <c r="L32" i="43" s="1"/>
  <c r="BG35" i="43"/>
  <c r="BK115" i="43"/>
  <c r="BB16" i="43"/>
  <c r="BG38" i="43"/>
  <c r="BG43" i="43"/>
  <c r="L43" i="43" s="1"/>
  <c r="AX10" i="43"/>
  <c r="BG20" i="43"/>
  <c r="L20" i="43" s="1"/>
  <c r="BG56" i="43"/>
  <c r="BG103" i="43"/>
  <c r="L103" i="43" s="1"/>
  <c r="AX15" i="43"/>
  <c r="BG59" i="43"/>
  <c r="BG46" i="43"/>
  <c r="L46" i="43" s="1"/>
  <c r="BG22" i="43"/>
  <c r="BG82" i="43"/>
  <c r="L82" i="43" s="1"/>
  <c r="BG104" i="43"/>
  <c r="BG12" i="43"/>
  <c r="L12" i="43" s="1"/>
  <c r="BG10" i="43"/>
  <c r="BK91" i="43"/>
  <c r="BB14" i="43"/>
  <c r="BK55" i="43"/>
  <c r="BB11" i="43"/>
  <c r="BG354" i="43"/>
  <c r="BG342" i="43"/>
  <c r="L342" i="43" s="1"/>
  <c r="BG351" i="43"/>
  <c r="BG340" i="43"/>
  <c r="L340" i="43" s="1"/>
  <c r="BG294" i="43"/>
  <c r="BG349" i="43"/>
  <c r="L349" i="43" s="1"/>
  <c r="BG293" i="43"/>
  <c r="BG358" i="43"/>
  <c r="L358" i="43" s="1"/>
  <c r="BG336" i="43"/>
  <c r="BG292" i="43"/>
  <c r="L292" i="43" s="1"/>
  <c r="BG302" i="43"/>
  <c r="BG334" i="43"/>
  <c r="L334" i="43" s="1"/>
  <c r="BG279" i="43"/>
  <c r="BG245" i="43"/>
  <c r="L245" i="43" s="1"/>
  <c r="BG256" i="43"/>
  <c r="BK343" i="43"/>
  <c r="BB35" i="43"/>
  <c r="BG321" i="43"/>
  <c r="BG343" i="43"/>
  <c r="L343" i="43" s="1"/>
  <c r="AX35" i="43"/>
  <c r="BG244" i="43"/>
  <c r="L244" i="43" s="1"/>
  <c r="BG243" i="43"/>
  <c r="BG298" i="43"/>
  <c r="L298" i="43" s="1"/>
  <c r="BG286" i="43"/>
  <c r="BG275" i="43"/>
  <c r="L275" i="43" s="1"/>
  <c r="BG264" i="43"/>
  <c r="BG198" i="43"/>
  <c r="L198" i="43" s="1"/>
  <c r="BG308" i="43"/>
  <c r="BG197" i="43"/>
  <c r="L197" i="43" s="1"/>
  <c r="BG307" i="43"/>
  <c r="AX32" i="43"/>
  <c r="BK319" i="43"/>
  <c r="BB33" i="43"/>
  <c r="BG274" i="43"/>
  <c r="BG241" i="43"/>
  <c r="L241" i="43" s="1"/>
  <c r="BG229" i="43"/>
  <c r="BG251" i="43"/>
  <c r="L251" i="43" s="1"/>
  <c r="BG273" i="43"/>
  <c r="BG296" i="43"/>
  <c r="L296" i="43" s="1"/>
  <c r="BG207" i="43"/>
  <c r="BG195" i="43"/>
  <c r="L195" i="43" s="1"/>
  <c r="BG283" i="43"/>
  <c r="L283" i="43" s="1"/>
  <c r="AX30" i="43"/>
  <c r="BG206" i="43"/>
  <c r="BG150" i="43"/>
  <c r="L150" i="43" s="1"/>
  <c r="BG238" i="43"/>
  <c r="BG227" i="43"/>
  <c r="L227" i="43" s="1"/>
  <c r="BG271" i="43"/>
  <c r="AX29" i="43"/>
  <c r="BG237" i="43"/>
  <c r="L237" i="43" s="1"/>
  <c r="BG138" i="43"/>
  <c r="BG226" i="43"/>
  <c r="L226" i="43" s="1"/>
  <c r="BG204" i="43"/>
  <c r="BG247" i="43"/>
  <c r="L247" i="43" s="1"/>
  <c r="AX27" i="43"/>
  <c r="BG148" i="43"/>
  <c r="L148" i="43" s="1"/>
  <c r="BG147" i="43"/>
  <c r="BG202" i="43"/>
  <c r="L202" i="43" s="1"/>
  <c r="BG235" i="43"/>
  <c r="AX26" i="43"/>
  <c r="BG135" i="43"/>
  <c r="L135" i="43" s="1"/>
  <c r="BG179" i="43"/>
  <c r="BG190" i="43"/>
  <c r="L190" i="43" s="1"/>
  <c r="BG168" i="43"/>
  <c r="BG134" i="43"/>
  <c r="L134" i="43" s="1"/>
  <c r="BG101" i="43"/>
  <c r="BG178" i="43"/>
  <c r="L178" i="43" s="1"/>
  <c r="BG112" i="43"/>
  <c r="BG200" i="43"/>
  <c r="L200" i="43" s="1"/>
  <c r="BG89" i="43"/>
  <c r="BG144" i="43"/>
  <c r="L144" i="43" s="1"/>
  <c r="BG199" i="43"/>
  <c r="AX23" i="43"/>
  <c r="BG110" i="43"/>
  <c r="BG154" i="43"/>
  <c r="L154" i="43" s="1"/>
  <c r="BG188" i="43"/>
  <c r="BG121" i="43"/>
  <c r="L121" i="43" s="1"/>
  <c r="BG142" i="43"/>
  <c r="BG120" i="43"/>
  <c r="L120" i="43" s="1"/>
  <c r="BG65" i="43"/>
  <c r="BG141" i="43"/>
  <c r="L141" i="43" s="1"/>
  <c r="BG86" i="43"/>
  <c r="BG163" i="43"/>
  <c r="L163" i="43" s="1"/>
  <c r="AX20" i="43"/>
  <c r="BG151" i="43"/>
  <c r="L151" i="43" s="1"/>
  <c r="AX19" i="43"/>
  <c r="BG63" i="43"/>
  <c r="BG96" i="43"/>
  <c r="L96" i="43" s="1"/>
  <c r="BG140" i="43"/>
  <c r="BG62" i="43"/>
  <c r="L62" i="43" s="1"/>
  <c r="BG84" i="43"/>
  <c r="BK127" i="43"/>
  <c r="BB17" i="43"/>
  <c r="BG37" i="43"/>
  <c r="BG26" i="43"/>
  <c r="L26" i="43" s="1"/>
  <c r="BG69" i="43"/>
  <c r="BG27" i="43"/>
  <c r="L27" i="43" s="1"/>
  <c r="BG68" i="43"/>
  <c r="BG93" i="43"/>
  <c r="L93" i="43" s="1"/>
  <c r="BG44" i="43"/>
  <c r="BG49" i="43"/>
  <c r="L49" i="43" s="1"/>
  <c r="BG91" i="43"/>
  <c r="AX14" i="43"/>
  <c r="BG33" i="43"/>
  <c r="L33" i="43" s="1"/>
  <c r="BG31" i="43"/>
  <c r="AX9" i="43"/>
  <c r="BG105" i="43"/>
  <c r="BG15" i="43"/>
  <c r="L15" i="43" s="1"/>
  <c r="BG7" i="43"/>
  <c r="AX7" i="43"/>
  <c r="AA186" i="43"/>
  <c r="BG8" i="43"/>
  <c r="BB7" i="43"/>
  <c r="BK7" i="43"/>
  <c r="AB186" i="43"/>
  <c r="BK19" i="43"/>
  <c r="BB8" i="43"/>
  <c r="BG342" i="42"/>
  <c r="BG341" i="42"/>
  <c r="BG351" i="42"/>
  <c r="BG350" i="42"/>
  <c r="BG349" i="42"/>
  <c r="BG360" i="42"/>
  <c r="BG359" i="42"/>
  <c r="BG293" i="42"/>
  <c r="BG358" i="42"/>
  <c r="BG313" i="42"/>
  <c r="BG335" i="42"/>
  <c r="BG257" i="42"/>
  <c r="BG290" i="42"/>
  <c r="BG301" i="42"/>
  <c r="BG357" i="42"/>
  <c r="BG278" i="42"/>
  <c r="BG267" i="42"/>
  <c r="BG255" i="42"/>
  <c r="BG333" i="42"/>
  <c r="BG332" i="42"/>
  <c r="BG276" i="42"/>
  <c r="BG243" i="42"/>
  <c r="BK319" i="42"/>
  <c r="BB33" i="42"/>
  <c r="BG232" i="42"/>
  <c r="BG210" i="42"/>
  <c r="L210" i="42" s="1"/>
  <c r="BK307" i="42"/>
  <c r="BB32" i="42"/>
  <c r="BG275" i="42"/>
  <c r="L275" i="42" s="1"/>
  <c r="BG308" i="42"/>
  <c r="L308" i="42" s="1"/>
  <c r="BG209" i="42"/>
  <c r="L209" i="42" s="1"/>
  <c r="BG274" i="42"/>
  <c r="L274" i="42" s="1"/>
  <c r="BG230" i="42"/>
  <c r="L230" i="42" s="1"/>
  <c r="BG208" i="42"/>
  <c r="L208" i="42" s="1"/>
  <c r="BG197" i="42"/>
  <c r="L197" i="42" s="1"/>
  <c r="BG219" i="42"/>
  <c r="L219" i="42" s="1"/>
  <c r="BG296" i="42"/>
  <c r="L296" i="42" s="1"/>
  <c r="BG185" i="42"/>
  <c r="L185" i="42" s="1"/>
  <c r="BG207" i="42"/>
  <c r="L207" i="42" s="1"/>
  <c r="BG218" i="42"/>
  <c r="L218" i="42" s="1"/>
  <c r="BG174" i="42"/>
  <c r="L174" i="42" s="1"/>
  <c r="BG162" i="42"/>
  <c r="L162" i="42" s="1"/>
  <c r="BG228" i="42"/>
  <c r="L228" i="42" s="1"/>
  <c r="BG195" i="42"/>
  <c r="L195" i="42" s="1"/>
  <c r="BG227" i="42"/>
  <c r="L227" i="42" s="1"/>
  <c r="BG194" i="42"/>
  <c r="L194" i="42" s="1"/>
  <c r="BK259" i="42"/>
  <c r="BB28" i="42"/>
  <c r="BG259" i="42"/>
  <c r="L259" i="42" s="1"/>
  <c r="AX28" i="42"/>
  <c r="BG160" i="42"/>
  <c r="BG171" i="42"/>
  <c r="L171" i="42" s="1"/>
  <c r="BG193" i="42"/>
  <c r="BG203" i="42"/>
  <c r="L203" i="42" s="1"/>
  <c r="BG126" i="42"/>
  <c r="BG237" i="42"/>
  <c r="L237" i="42" s="1"/>
  <c r="BG202" i="42"/>
  <c r="BG223" i="42"/>
  <c r="L223" i="42" s="1"/>
  <c r="AX25" i="42"/>
  <c r="BG158" i="42"/>
  <c r="L158" i="42" s="1"/>
  <c r="BG123" i="42"/>
  <c r="L123" i="42" s="1"/>
  <c r="BG156" i="42"/>
  <c r="L156" i="42" s="1"/>
  <c r="BK211" i="42"/>
  <c r="BB24" i="42"/>
  <c r="X84" i="35" s="1"/>
  <c r="BG201" i="42"/>
  <c r="L201" i="42" s="1"/>
  <c r="BG166" i="42"/>
  <c r="L166" i="42" s="1"/>
  <c r="BG188" i="42"/>
  <c r="L188" i="42" s="1"/>
  <c r="BG100" i="42"/>
  <c r="L100" i="42" s="1"/>
  <c r="BG133" i="42"/>
  <c r="L133" i="42" s="1"/>
  <c r="BG155" i="42"/>
  <c r="L155" i="42" s="1"/>
  <c r="BG110" i="42"/>
  <c r="L110" i="42" s="1"/>
  <c r="BG66" i="42"/>
  <c r="L66" i="42" s="1"/>
  <c r="BG76" i="42"/>
  <c r="L76" i="42" s="1"/>
  <c r="BG164" i="42"/>
  <c r="L164" i="42" s="1"/>
  <c r="BG75" i="42"/>
  <c r="L75" i="42" s="1"/>
  <c r="BG86" i="42"/>
  <c r="L86" i="42" s="1"/>
  <c r="BG74" i="42"/>
  <c r="L74" i="42" s="1"/>
  <c r="BG41" i="42"/>
  <c r="L41" i="42" s="1"/>
  <c r="BG141" i="42"/>
  <c r="L141" i="42" s="1"/>
  <c r="BG73" i="42"/>
  <c r="L73" i="42" s="1"/>
  <c r="BG84" i="42"/>
  <c r="L84" i="42" s="1"/>
  <c r="BG22" i="42"/>
  <c r="L22" i="42" s="1"/>
  <c r="BG103" i="42"/>
  <c r="L103" i="42" s="1"/>
  <c r="AX15" i="42"/>
  <c r="AX8" i="42"/>
  <c r="BG19" i="42"/>
  <c r="L19" i="42" s="1"/>
  <c r="BG34" i="42"/>
  <c r="L34" i="42" s="1"/>
  <c r="BG67" i="42"/>
  <c r="L67" i="42" s="1"/>
  <c r="AX12" i="42"/>
  <c r="BG27" i="42"/>
  <c r="BG46" i="42"/>
  <c r="L46" i="42" s="1"/>
  <c r="BG40" i="42"/>
  <c r="BG83" i="42"/>
  <c r="L83" i="42" s="1"/>
  <c r="BG21" i="42"/>
  <c r="BG39" i="42"/>
  <c r="L39" i="42" s="1"/>
  <c r="BG68" i="42"/>
  <c r="BG58" i="42"/>
  <c r="L58" i="42" s="1"/>
  <c r="BG81" i="42"/>
  <c r="BG13" i="42"/>
  <c r="L13" i="42" s="1"/>
  <c r="BG9" i="42"/>
  <c r="BG12" i="42"/>
  <c r="L12" i="42" s="1"/>
  <c r="BK19" i="42"/>
  <c r="BB8" i="42"/>
  <c r="X68" i="35" s="1"/>
  <c r="BG354" i="42"/>
  <c r="BG330" i="42"/>
  <c r="L330" i="42" s="1"/>
  <c r="BG363" i="42"/>
  <c r="BG318" i="42"/>
  <c r="L318" i="42" s="1"/>
  <c r="BG339" i="42"/>
  <c r="BG326" i="42"/>
  <c r="L326" i="42" s="1"/>
  <c r="BG348" i="42"/>
  <c r="BG281" i="42"/>
  <c r="L281" i="42" s="1"/>
  <c r="BG270" i="42"/>
  <c r="BG314" i="42"/>
  <c r="L314" i="42" s="1"/>
  <c r="BG269" i="42"/>
  <c r="BG302" i="42"/>
  <c r="L302" i="42" s="1"/>
  <c r="BG280" i="42"/>
  <c r="BG367" i="42"/>
  <c r="L367" i="42" s="1"/>
  <c r="BG312" i="42"/>
  <c r="BG323" i="42"/>
  <c r="L323" i="42" s="1"/>
  <c r="BG334" i="42"/>
  <c r="BG256" i="42"/>
  <c r="L256" i="42" s="1"/>
  <c r="BG245" i="42"/>
  <c r="BK343" i="42"/>
  <c r="BB35" i="42"/>
  <c r="BG277" i="42"/>
  <c r="BG222" i="42"/>
  <c r="L222" i="42" s="1"/>
  <c r="BG298" i="42"/>
  <c r="BG319" i="42"/>
  <c r="L319" i="42" s="1"/>
  <c r="AX33" i="42"/>
  <c r="BG254" i="42"/>
  <c r="L254" i="42" s="1"/>
  <c r="BG286" i="42"/>
  <c r="L286" i="42" s="1"/>
  <c r="BG220" i="42"/>
  <c r="L220" i="42" s="1"/>
  <c r="BG252" i="42"/>
  <c r="L252" i="42" s="1"/>
  <c r="BG186" i="42"/>
  <c r="L186" i="42" s="1"/>
  <c r="BG295" i="42"/>
  <c r="AX31" i="42"/>
  <c r="BK295" i="42"/>
  <c r="BB31" i="42"/>
  <c r="BG240" i="42"/>
  <c r="L240" i="42" s="1"/>
  <c r="BK283" i="42"/>
  <c r="BB30" i="42"/>
  <c r="BG283" i="42"/>
  <c r="L283" i="42" s="1"/>
  <c r="AX30" i="42"/>
  <c r="BG251" i="42"/>
  <c r="L251" i="42" s="1"/>
  <c r="BG173" i="42"/>
  <c r="BG206" i="42"/>
  <c r="L206" i="42" s="1"/>
  <c r="BG183" i="42"/>
  <c r="BG238" i="42"/>
  <c r="L238" i="42" s="1"/>
  <c r="BG261" i="42"/>
  <c r="BG260" i="42"/>
  <c r="L260" i="42" s="1"/>
  <c r="BG205" i="42"/>
  <c r="BG149" i="42"/>
  <c r="L149" i="42" s="1"/>
  <c r="BG226" i="42"/>
  <c r="BG182" i="42"/>
  <c r="L182" i="42" s="1"/>
  <c r="BG215" i="42"/>
  <c r="BG170" i="42"/>
  <c r="L170" i="42" s="1"/>
  <c r="BG192" i="42"/>
  <c r="BG214" i="42"/>
  <c r="L214" i="42" s="1"/>
  <c r="BG159" i="42"/>
  <c r="BG136" i="42"/>
  <c r="L136" i="42" s="1"/>
  <c r="BG191" i="42"/>
  <c r="BG180" i="42"/>
  <c r="L180" i="42" s="1"/>
  <c r="BG102" i="42"/>
  <c r="BG212" i="42"/>
  <c r="L212" i="42" s="1"/>
  <c r="BG179" i="42"/>
  <c r="BG213" i="42"/>
  <c r="L213" i="42" s="1"/>
  <c r="BG200" i="42"/>
  <c r="BG101" i="42"/>
  <c r="L101" i="42" s="1"/>
  <c r="BG134" i="42"/>
  <c r="BG112" i="42"/>
  <c r="L112" i="42" s="1"/>
  <c r="BG78" i="42"/>
  <c r="BG154" i="42"/>
  <c r="L154" i="42" s="1"/>
  <c r="BG177" i="42"/>
  <c r="BG121" i="42"/>
  <c r="L121" i="42" s="1"/>
  <c r="BG131" i="42"/>
  <c r="BG109" i="42"/>
  <c r="L109" i="42" s="1"/>
  <c r="BG120" i="42"/>
  <c r="BK163" i="42"/>
  <c r="BB20" i="42"/>
  <c r="X80" i="35" s="1"/>
  <c r="BG142" i="42"/>
  <c r="BG130" i="42"/>
  <c r="L130" i="42" s="1"/>
  <c r="BG42" i="42"/>
  <c r="BK151" i="42"/>
  <c r="BB19" i="42"/>
  <c r="X79" i="35" s="1"/>
  <c r="BG97" i="42"/>
  <c r="BG107" i="42"/>
  <c r="L107" i="42" s="1"/>
  <c r="BG63" i="42"/>
  <c r="BG140" i="42"/>
  <c r="L140" i="42" s="1"/>
  <c r="BG127" i="42"/>
  <c r="AX17" i="42"/>
  <c r="BG57" i="42"/>
  <c r="L57" i="42" s="1"/>
  <c r="BG38" i="42"/>
  <c r="BG80" i="42"/>
  <c r="L80" i="42" s="1"/>
  <c r="BG115" i="42"/>
  <c r="L115" i="42" s="1"/>
  <c r="AX16" i="42"/>
  <c r="BG48" i="42"/>
  <c r="L48" i="42" s="1"/>
  <c r="BG49" i="42"/>
  <c r="L49" i="42" s="1"/>
  <c r="BG71" i="42"/>
  <c r="L71" i="42" s="1"/>
  <c r="BG33" i="42"/>
  <c r="L33" i="42" s="1"/>
  <c r="BG36" i="42"/>
  <c r="L36" i="42" s="1"/>
  <c r="BG24" i="42"/>
  <c r="L24" i="42" s="1"/>
  <c r="BG82" i="42"/>
  <c r="BK115" i="42"/>
  <c r="BB16" i="42"/>
  <c r="X76" i="35" s="1"/>
  <c r="BG37" i="42"/>
  <c r="BG15" i="42"/>
  <c r="L15" i="42" s="1"/>
  <c r="BK103" i="42"/>
  <c r="BB15" i="42"/>
  <c r="X75" i="35" s="1"/>
  <c r="BG8" i="42"/>
  <c r="L8" i="42" s="1"/>
  <c r="BG16" i="42"/>
  <c r="L16" i="42" s="1"/>
  <c r="BG366" i="42"/>
  <c r="L366" i="42" s="1"/>
  <c r="BG340" i="42"/>
  <c r="L340" i="42" s="1"/>
  <c r="BG361" i="42"/>
  <c r="L361" i="42" s="1"/>
  <c r="BG306" i="42"/>
  <c r="L306" i="42" s="1"/>
  <c r="BG327" i="42"/>
  <c r="L327" i="42" s="1"/>
  <c r="BG305" i="42"/>
  <c r="L305" i="42" s="1"/>
  <c r="BG315" i="42"/>
  <c r="L315" i="42" s="1"/>
  <c r="BG304" i="42"/>
  <c r="L304" i="42" s="1"/>
  <c r="BG292" i="42"/>
  <c r="L292" i="42" s="1"/>
  <c r="BG347" i="42"/>
  <c r="L347" i="42" s="1"/>
  <c r="BG336" i="42"/>
  <c r="L336" i="42" s="1"/>
  <c r="BG258" i="42"/>
  <c r="L258" i="42" s="1"/>
  <c r="BG346" i="42"/>
  <c r="L346" i="42" s="1"/>
  <c r="BG279" i="42"/>
  <c r="L279" i="42" s="1"/>
  <c r="BG355" i="42"/>
  <c r="AX36" i="42"/>
  <c r="BG246" i="42"/>
  <c r="L246" i="42" s="1"/>
  <c r="BG343" i="42"/>
  <c r="AX35" i="42"/>
  <c r="BG345" i="42"/>
  <c r="L345" i="42" s="1"/>
  <c r="BG311" i="42"/>
  <c r="L311" i="42" s="1"/>
  <c r="BG233" i="42"/>
  <c r="L233" i="42" s="1"/>
  <c r="BG288" i="42"/>
  <c r="L288" i="42" s="1"/>
  <c r="BG331" i="42"/>
  <c r="AX34" i="42"/>
  <c r="BG221" i="42"/>
  <c r="L221" i="42" s="1"/>
  <c r="BK331" i="42"/>
  <c r="BB34" i="42"/>
  <c r="BG264" i="42"/>
  <c r="L264" i="42" s="1"/>
  <c r="BG307" i="42"/>
  <c r="AX32" i="42"/>
  <c r="BG309" i="42"/>
  <c r="L309" i="42" s="1"/>
  <c r="BG297" i="42"/>
  <c r="L297" i="42" s="1"/>
  <c r="BG263" i="42"/>
  <c r="L263" i="42" s="1"/>
  <c r="BG229" i="42"/>
  <c r="L229" i="42" s="1"/>
  <c r="BG285" i="42"/>
  <c r="L285" i="42" s="1"/>
  <c r="BG284" i="42"/>
  <c r="L284" i="42" s="1"/>
  <c r="BG196" i="42"/>
  <c r="L196" i="42" s="1"/>
  <c r="BK271" i="42"/>
  <c r="BB29" i="42"/>
  <c r="BG250" i="42"/>
  <c r="L250" i="42" s="1"/>
  <c r="BG273" i="42"/>
  <c r="L273" i="42" s="1"/>
  <c r="BG184" i="42"/>
  <c r="L184" i="42" s="1"/>
  <c r="BG172" i="42"/>
  <c r="L172" i="42" s="1"/>
  <c r="BG150" i="42"/>
  <c r="L150" i="42" s="1"/>
  <c r="BG248" i="42"/>
  <c r="L248" i="42" s="1"/>
  <c r="BG204" i="42"/>
  <c r="L204" i="42" s="1"/>
  <c r="BK247" i="42"/>
  <c r="BB27" i="42"/>
  <c r="BG148" i="42"/>
  <c r="L148" i="42" s="1"/>
  <c r="BG236" i="42"/>
  <c r="L236" i="42" s="1"/>
  <c r="BK235" i="42"/>
  <c r="BB26" i="42"/>
  <c r="X86" i="35" s="1"/>
  <c r="BG224" i="42"/>
  <c r="L224" i="42" s="1"/>
  <c r="BG125" i="42"/>
  <c r="L125" i="42" s="1"/>
  <c r="BG225" i="42"/>
  <c r="L225" i="42" s="1"/>
  <c r="BG169" i="42"/>
  <c r="L169" i="42" s="1"/>
  <c r="BG113" i="42"/>
  <c r="L113" i="42" s="1"/>
  <c r="BG135" i="42"/>
  <c r="L135" i="42" s="1"/>
  <c r="BG157" i="42"/>
  <c r="L157" i="42" s="1"/>
  <c r="BG190" i="42"/>
  <c r="L190" i="42" s="1"/>
  <c r="BG167" i="42"/>
  <c r="L167" i="42" s="1"/>
  <c r="BG178" i="42"/>
  <c r="L178" i="42" s="1"/>
  <c r="BG187" i="42"/>
  <c r="L187" i="42" s="1"/>
  <c r="AX22" i="42"/>
  <c r="BG144" i="42"/>
  <c r="BG77" i="42"/>
  <c r="L77" i="42" s="1"/>
  <c r="BG143" i="42"/>
  <c r="BK175" i="42"/>
  <c r="BB21" i="42"/>
  <c r="X81" i="35" s="1"/>
  <c r="BG87" i="42"/>
  <c r="BG65" i="42"/>
  <c r="L65" i="42" s="1"/>
  <c r="BG163" i="42"/>
  <c r="L163" i="42" s="1"/>
  <c r="AX20" i="42"/>
  <c r="BG165" i="42"/>
  <c r="L165" i="42" s="1"/>
  <c r="BG53" i="42"/>
  <c r="L53" i="42" s="1"/>
  <c r="BG151" i="42"/>
  <c r="L151" i="42" s="1"/>
  <c r="AX19" i="42"/>
  <c r="BG119" i="42"/>
  <c r="L119" i="42" s="1"/>
  <c r="BG118" i="42"/>
  <c r="BG52" i="42"/>
  <c r="L52" i="42" s="1"/>
  <c r="BG30" i="42"/>
  <c r="BG106" i="42"/>
  <c r="L106" i="42" s="1"/>
  <c r="BG95" i="42"/>
  <c r="BG18" i="42"/>
  <c r="L18" i="42" s="1"/>
  <c r="BG29" i="42"/>
  <c r="BG62" i="42"/>
  <c r="L62" i="42" s="1"/>
  <c r="BG128" i="42"/>
  <c r="BG105" i="42"/>
  <c r="L105" i="42" s="1"/>
  <c r="BG93" i="42"/>
  <c r="BG23" i="42"/>
  <c r="L23" i="42" s="1"/>
  <c r="BG61" i="42"/>
  <c r="BG55" i="42"/>
  <c r="L55" i="42" s="1"/>
  <c r="AX11" i="42"/>
  <c r="BG104" i="42"/>
  <c r="L104" i="42" s="1"/>
  <c r="BG94" i="42"/>
  <c r="L94" i="42" s="1"/>
  <c r="BG32" i="42"/>
  <c r="L32" i="42" s="1"/>
  <c r="BG25" i="42"/>
  <c r="L25" i="42" s="1"/>
  <c r="BG59" i="42"/>
  <c r="L59" i="42" s="1"/>
  <c r="BG26" i="42"/>
  <c r="L26" i="42" s="1"/>
  <c r="BG116" i="42"/>
  <c r="L116" i="42" s="1"/>
  <c r="BG47" i="42"/>
  <c r="L47" i="42" s="1"/>
  <c r="BG28" i="42"/>
  <c r="L28" i="42" s="1"/>
  <c r="BG117" i="42"/>
  <c r="L117" i="42" s="1"/>
  <c r="BG7" i="42"/>
  <c r="L7" i="42" s="1"/>
  <c r="AX7" i="42"/>
  <c r="AA186" i="42"/>
  <c r="BG14" i="42"/>
  <c r="L14" i="42" s="1"/>
  <c r="BG17" i="42"/>
  <c r="L17" i="42" s="1"/>
  <c r="BG10" i="42"/>
  <c r="L10" i="42" s="1"/>
  <c r="BK79" i="42"/>
  <c r="BB13" i="42"/>
  <c r="X73" i="35" s="1"/>
  <c r="BK67" i="42"/>
  <c r="BB12" i="42"/>
  <c r="X72" i="35" s="1"/>
  <c r="BK55" i="42"/>
  <c r="BB11" i="42"/>
  <c r="X71" i="35" s="1"/>
  <c r="BK31" i="42"/>
  <c r="BB9" i="42"/>
  <c r="X69" i="35" s="1"/>
  <c r="BK7" i="42"/>
  <c r="BB7" i="42"/>
  <c r="X67" i="35" s="1"/>
  <c r="AB186" i="42"/>
  <c r="BG365" i="42"/>
  <c r="L365" i="42" s="1"/>
  <c r="BG364" i="42"/>
  <c r="BG353" i="42"/>
  <c r="L353" i="42" s="1"/>
  <c r="BG352" i="42"/>
  <c r="BG362" i="42"/>
  <c r="L362" i="42" s="1"/>
  <c r="BG329" i="42"/>
  <c r="BG317" i="42"/>
  <c r="L317" i="42" s="1"/>
  <c r="BG328" i="42"/>
  <c r="BG294" i="42"/>
  <c r="L294" i="42" s="1"/>
  <c r="BG338" i="42"/>
  <c r="BG316" i="42"/>
  <c r="L316" i="42" s="1"/>
  <c r="BG337" i="42"/>
  <c r="BG282" i="42"/>
  <c r="L282" i="42" s="1"/>
  <c r="BG325" i="42"/>
  <c r="BG303" i="42"/>
  <c r="L303" i="42" s="1"/>
  <c r="BG291" i="42"/>
  <c r="BG324" i="42"/>
  <c r="L324" i="42" s="1"/>
  <c r="BK355" i="42"/>
  <c r="BB36" i="42"/>
  <c r="BG268" i="42"/>
  <c r="L268" i="42" s="1"/>
  <c r="BG356" i="42"/>
  <c r="BG289" i="42"/>
  <c r="L289" i="42" s="1"/>
  <c r="BG344" i="42"/>
  <c r="BG234" i="42"/>
  <c r="L234" i="42" s="1"/>
  <c r="BG300" i="42"/>
  <c r="BG322" i="42"/>
  <c r="L322" i="42" s="1"/>
  <c r="BG244" i="42"/>
  <c r="BG266" i="42"/>
  <c r="L266" i="42" s="1"/>
  <c r="BG299" i="42"/>
  <c r="BG310" i="42"/>
  <c r="L310" i="42" s="1"/>
  <c r="BG320" i="42"/>
  <c r="BG265" i="42"/>
  <c r="L265" i="42" s="1"/>
  <c r="BG321" i="42"/>
  <c r="BG287" i="42"/>
  <c r="L287" i="42" s="1"/>
  <c r="BG253" i="42"/>
  <c r="BG198" i="42"/>
  <c r="L198" i="42" s="1"/>
  <c r="BG231" i="42"/>
  <c r="BG242" i="42"/>
  <c r="L242" i="42" s="1"/>
  <c r="BG241" i="42"/>
  <c r="BG262" i="42"/>
  <c r="L262" i="42" s="1"/>
  <c r="BG217" i="42"/>
  <c r="BG239" i="42"/>
  <c r="L239" i="42" s="1"/>
  <c r="BG272" i="42"/>
  <c r="BG271" i="42"/>
  <c r="L271" i="42" s="1"/>
  <c r="AX29" i="42"/>
  <c r="BG161" i="42"/>
  <c r="L161" i="42" s="1"/>
  <c r="BG216" i="42"/>
  <c r="L216" i="42" s="1"/>
  <c r="BG249" i="42"/>
  <c r="L249" i="42" s="1"/>
  <c r="BG247" i="42"/>
  <c r="AX27" i="42"/>
  <c r="BG138" i="42"/>
  <c r="L138" i="42" s="1"/>
  <c r="BG181" i="42"/>
  <c r="BG137" i="42"/>
  <c r="L137" i="42" s="1"/>
  <c r="BG235" i="42"/>
  <c r="AX26" i="42"/>
  <c r="BG147" i="42"/>
  <c r="L147" i="42" s="1"/>
  <c r="BK223" i="42"/>
  <c r="BB25" i="42"/>
  <c r="X85" i="35" s="1"/>
  <c r="BG114" i="42"/>
  <c r="L114" i="42" s="1"/>
  <c r="BG168" i="42"/>
  <c r="L168" i="42" s="1"/>
  <c r="BG211" i="42"/>
  <c r="L211" i="42" s="1"/>
  <c r="AX24" i="42"/>
  <c r="BG124" i="42"/>
  <c r="L124" i="42" s="1"/>
  <c r="BG146" i="42"/>
  <c r="BG90" i="42"/>
  <c r="L90" i="42" s="1"/>
  <c r="BG145" i="42"/>
  <c r="BG199" i="42"/>
  <c r="L199" i="42" s="1"/>
  <c r="AX23" i="42"/>
  <c r="BK199" i="42"/>
  <c r="BB23" i="42"/>
  <c r="X83" i="35" s="1"/>
  <c r="BG89" i="42"/>
  <c r="L89" i="42" s="1"/>
  <c r="BK187" i="42"/>
  <c r="BB22" i="42"/>
  <c r="X82" i="35" s="1"/>
  <c r="BG111" i="42"/>
  <c r="L111" i="42" s="1"/>
  <c r="BG122" i="42"/>
  <c r="L122" i="42" s="1"/>
  <c r="BG189" i="42"/>
  <c r="L189" i="42" s="1"/>
  <c r="BG175" i="42"/>
  <c r="L175" i="42" s="1"/>
  <c r="AX21" i="42"/>
  <c r="BG99" i="42"/>
  <c r="BG132" i="42"/>
  <c r="L132" i="42" s="1"/>
  <c r="BG88" i="42"/>
  <c r="BG176" i="42"/>
  <c r="L176" i="42" s="1"/>
  <c r="BG54" i="42"/>
  <c r="BG98" i="42"/>
  <c r="L98" i="42" s="1"/>
  <c r="BG152" i="42"/>
  <c r="BG64" i="42"/>
  <c r="L64" i="42" s="1"/>
  <c r="BG108" i="42"/>
  <c r="BG153" i="42"/>
  <c r="L153" i="42" s="1"/>
  <c r="BG139" i="42"/>
  <c r="L139" i="42" s="1"/>
  <c r="AX18" i="42"/>
  <c r="BK139" i="42"/>
  <c r="BB18" i="42"/>
  <c r="X78" i="35" s="1"/>
  <c r="BG96" i="42"/>
  <c r="L96" i="42" s="1"/>
  <c r="BG85" i="42"/>
  <c r="L85" i="42" s="1"/>
  <c r="BK127" i="42"/>
  <c r="BB17" i="42"/>
  <c r="X77" i="35" s="1"/>
  <c r="BG51" i="42"/>
  <c r="L51" i="42" s="1"/>
  <c r="BG129" i="42"/>
  <c r="L129" i="42" s="1"/>
  <c r="BG20" i="42"/>
  <c r="L20" i="42" s="1"/>
  <c r="BG44" i="42"/>
  <c r="L44" i="42" s="1"/>
  <c r="BG31" i="42"/>
  <c r="L31" i="42" s="1"/>
  <c r="AX9" i="42"/>
  <c r="BG50" i="42"/>
  <c r="L50" i="42" s="1"/>
  <c r="BG35" i="42"/>
  <c r="BG69" i="42"/>
  <c r="L69" i="42" s="1"/>
  <c r="BG43" i="42"/>
  <c r="AX10" i="42"/>
  <c r="BG60" i="42"/>
  <c r="L60" i="42" s="1"/>
  <c r="BG72" i="42"/>
  <c r="L72" i="42" s="1"/>
  <c r="BG56" i="42"/>
  <c r="L56" i="42" s="1"/>
  <c r="BG45" i="42"/>
  <c r="L45" i="42" s="1"/>
  <c r="BG92" i="42"/>
  <c r="L92" i="42" s="1"/>
  <c r="BG70" i="42"/>
  <c r="L70" i="42" s="1"/>
  <c r="BG79" i="42"/>
  <c r="L79" i="42" s="1"/>
  <c r="AX13" i="42"/>
  <c r="BG91" i="42"/>
  <c r="L91" i="42" s="1"/>
  <c r="AX14" i="42"/>
  <c r="BG11" i="42"/>
  <c r="L11" i="42" s="1"/>
  <c r="BK91" i="42"/>
  <c r="BB14" i="42"/>
  <c r="X74" i="35" s="1"/>
  <c r="BK43" i="42"/>
  <c r="BB10" i="42"/>
  <c r="X70" i="35" s="1"/>
  <c r="H47" i="31"/>
  <c r="H49" i="31"/>
  <c r="H48" i="31"/>
  <c r="H45" i="31"/>
  <c r="H44" i="31"/>
  <c r="H50" i="31"/>
  <c r="H51" i="31"/>
  <c r="H43" i="31"/>
  <c r="H59" i="31"/>
  <c r="H54" i="31"/>
  <c r="H46" i="31"/>
  <c r="H53" i="31"/>
  <c r="H52" i="31"/>
  <c r="L8" i="43" l="1"/>
  <c r="L105" i="43"/>
  <c r="L44" i="43"/>
  <c r="L68" i="43"/>
  <c r="L69" i="43"/>
  <c r="L37" i="43"/>
  <c r="L84" i="43"/>
  <c r="L140" i="43"/>
  <c r="L63" i="43"/>
  <c r="L86" i="43"/>
  <c r="L65" i="43"/>
  <c r="L142" i="43"/>
  <c r="L188" i="43"/>
  <c r="L110" i="43"/>
  <c r="L147" i="43"/>
  <c r="L238" i="43"/>
  <c r="L206" i="43"/>
  <c r="L308" i="43"/>
  <c r="L264" i="43"/>
  <c r="L286" i="43"/>
  <c r="L243" i="43"/>
  <c r="L56" i="43"/>
  <c r="L51" i="43"/>
  <c r="L111" i="43"/>
  <c r="L145" i="43"/>
  <c r="L146" i="43"/>
  <c r="L136" i="43"/>
  <c r="L180" i="43"/>
  <c r="L137" i="43"/>
  <c r="L159" i="43"/>
  <c r="L254" i="43"/>
  <c r="L276" i="43"/>
  <c r="L299" i="43"/>
  <c r="L266" i="43"/>
  <c r="L289" i="43"/>
  <c r="L246" i="43"/>
  <c r="L346" i="43"/>
  <c r="L313" i="43"/>
  <c r="L270" i="43"/>
  <c r="L337" i="43"/>
  <c r="L316" i="43"/>
  <c r="L362" i="43"/>
  <c r="L330" i="43"/>
  <c r="L9" i="43"/>
  <c r="L36" i="43"/>
  <c r="L45" i="43"/>
  <c r="L47" i="43"/>
  <c r="L83" i="43"/>
  <c r="L29" i="43"/>
  <c r="L73" i="43"/>
  <c r="L30" i="43"/>
  <c r="L74" i="43"/>
  <c r="L52" i="43"/>
  <c r="L42" i="43"/>
  <c r="L75" i="43"/>
  <c r="L54" i="43"/>
  <c r="L201" i="43"/>
  <c r="L191" i="43"/>
  <c r="L125" i="43"/>
  <c r="L192" i="43"/>
  <c r="L203" i="43"/>
  <c r="L149" i="43"/>
  <c r="L205" i="43"/>
  <c r="L172" i="43"/>
  <c r="L284" i="43"/>
  <c r="L16" i="43"/>
  <c r="L57" i="43"/>
  <c r="L116" i="43"/>
  <c r="L25" i="43"/>
  <c r="L113" i="43"/>
  <c r="L236" i="43"/>
  <c r="L214" i="43"/>
  <c r="L193" i="43"/>
  <c r="L260" i="43"/>
  <c r="L216" i="43"/>
  <c r="L261" i="43"/>
  <c r="L250" i="43"/>
  <c r="L185" i="43"/>
  <c r="L196" i="43"/>
  <c r="L230" i="43"/>
  <c r="L186" i="43"/>
  <c r="L208" i="43"/>
  <c r="L320" i="43"/>
  <c r="L311" i="43"/>
  <c r="L312" i="43"/>
  <c r="L345" i="43"/>
  <c r="L291" i="43"/>
  <c r="L314" i="43"/>
  <c r="L282" i="43"/>
  <c r="L338" i="43"/>
  <c r="L350" i="43"/>
  <c r="L352" i="43"/>
  <c r="L7" i="43"/>
  <c r="L91" i="43"/>
  <c r="L89" i="43"/>
  <c r="L112" i="43"/>
  <c r="L101" i="43"/>
  <c r="L168" i="43"/>
  <c r="L179" i="43"/>
  <c r="L235" i="43"/>
  <c r="L204" i="43"/>
  <c r="L138" i="43"/>
  <c r="L271" i="43"/>
  <c r="L207" i="43"/>
  <c r="L273" i="43"/>
  <c r="L229" i="43"/>
  <c r="L274" i="43"/>
  <c r="L307" i="43"/>
  <c r="L321" i="43"/>
  <c r="L256" i="43"/>
  <c r="L279" i="43"/>
  <c r="L302" i="43"/>
  <c r="L336" i="43"/>
  <c r="L293" i="43"/>
  <c r="L294" i="43"/>
  <c r="L351" i="43"/>
  <c r="L354" i="43"/>
  <c r="L10" i="43"/>
  <c r="L104" i="43"/>
  <c r="L22" i="43"/>
  <c r="L59" i="43"/>
  <c r="L38" i="43"/>
  <c r="L35" i="43"/>
  <c r="L94" i="43"/>
  <c r="L127" i="43"/>
  <c r="L117" i="43"/>
  <c r="L107" i="43"/>
  <c r="L152" i="43"/>
  <c r="L53" i="43"/>
  <c r="L176" i="43"/>
  <c r="L165" i="43"/>
  <c r="L187" i="43"/>
  <c r="L215" i="43"/>
  <c r="L194" i="43"/>
  <c r="L217" i="43"/>
  <c r="L162" i="43"/>
  <c r="L218" i="43"/>
  <c r="L219" i="43"/>
  <c r="L263" i="43"/>
  <c r="L319" i="43"/>
  <c r="L24" i="43"/>
  <c r="L79" i="43"/>
  <c r="L143" i="43"/>
  <c r="L132" i="43"/>
  <c r="L100" i="43"/>
  <c r="L90" i="43"/>
  <c r="L211" i="43"/>
  <c r="L240" i="43"/>
  <c r="L253" i="43"/>
  <c r="L287" i="43"/>
  <c r="L288" i="43"/>
  <c r="L310" i="43"/>
  <c r="L267" i="43"/>
  <c r="L322" i="43"/>
  <c r="L367" i="43"/>
  <c r="L268" i="43"/>
  <c r="L357" i="43"/>
  <c r="L281" i="43"/>
  <c r="L304" i="43"/>
  <c r="L81" i="43"/>
  <c r="L23" i="43"/>
  <c r="L60" i="43"/>
  <c r="L17" i="43"/>
  <c r="L106" i="43"/>
  <c r="L130" i="43"/>
  <c r="L164" i="43"/>
  <c r="L131" i="43"/>
  <c r="L98" i="43"/>
  <c r="L78" i="43"/>
  <c r="L189" i="43"/>
  <c r="L232" i="43"/>
  <c r="L210" i="43"/>
  <c r="L255" i="43"/>
  <c r="L31" i="43"/>
  <c r="L199" i="43"/>
  <c r="L356" i="43"/>
  <c r="L278" i="43"/>
  <c r="L301" i="43"/>
  <c r="L257" i="43"/>
  <c r="L280" i="43"/>
  <c r="L303" i="43"/>
  <c r="L360" i="43"/>
  <c r="L306" i="43"/>
  <c r="L341" i="43"/>
  <c r="L365" i="43"/>
  <c r="L37" i="42"/>
  <c r="L82" i="42"/>
  <c r="L63" i="42"/>
  <c r="L97" i="42"/>
  <c r="L42" i="42"/>
  <c r="L142" i="42"/>
  <c r="L120" i="42"/>
  <c r="L131" i="42"/>
  <c r="L177" i="42"/>
  <c r="L78" i="42"/>
  <c r="L134" i="42"/>
  <c r="L200" i="42"/>
  <c r="L179" i="42"/>
  <c r="L102" i="42"/>
  <c r="L191" i="42"/>
  <c r="L159" i="42"/>
  <c r="L192" i="42"/>
  <c r="L215" i="42"/>
  <c r="L226" i="42"/>
  <c r="L205" i="42"/>
  <c r="L261" i="42"/>
  <c r="L183" i="42"/>
  <c r="L173" i="42"/>
  <c r="L276" i="42"/>
  <c r="L333" i="42"/>
  <c r="L267" i="42"/>
  <c r="L357" i="42"/>
  <c r="L290" i="42"/>
  <c r="L335" i="42"/>
  <c r="L358" i="42"/>
  <c r="L359" i="42"/>
  <c r="L349" i="42"/>
  <c r="L351" i="42"/>
  <c r="L342" i="42"/>
  <c r="L35" i="42"/>
  <c r="L108" i="42"/>
  <c r="L152" i="42"/>
  <c r="L54" i="42"/>
  <c r="L88" i="42"/>
  <c r="L99" i="42"/>
  <c r="L145" i="42"/>
  <c r="L146" i="42"/>
  <c r="L181" i="42"/>
  <c r="L247" i="42"/>
  <c r="L272" i="42"/>
  <c r="L217" i="42"/>
  <c r="L241" i="42"/>
  <c r="L231" i="42"/>
  <c r="L253" i="42"/>
  <c r="L321" i="42"/>
  <c r="L320" i="42"/>
  <c r="L299" i="42"/>
  <c r="L244" i="42"/>
  <c r="L300" i="42"/>
  <c r="L344" i="42"/>
  <c r="L356" i="42"/>
  <c r="L291" i="42"/>
  <c r="L325" i="42"/>
  <c r="L337" i="42"/>
  <c r="L338" i="42"/>
  <c r="L328" i="42"/>
  <c r="L329" i="42"/>
  <c r="L352" i="42"/>
  <c r="L364" i="42"/>
  <c r="L61" i="42"/>
  <c r="L93" i="42"/>
  <c r="L128" i="42"/>
  <c r="L29" i="42"/>
  <c r="L95" i="42"/>
  <c r="L30" i="42"/>
  <c r="L118" i="42"/>
  <c r="L87" i="42"/>
  <c r="L143" i="42"/>
  <c r="L144" i="42"/>
  <c r="L331" i="42"/>
  <c r="L355" i="42"/>
  <c r="L38" i="42"/>
  <c r="L127" i="42"/>
  <c r="L295" i="42"/>
  <c r="L298" i="42"/>
  <c r="L277" i="42"/>
  <c r="L245" i="42"/>
  <c r="L334" i="42"/>
  <c r="L312" i="42"/>
  <c r="L280" i="42"/>
  <c r="L269" i="42"/>
  <c r="L270" i="42"/>
  <c r="L348" i="42"/>
  <c r="L339" i="42"/>
  <c r="L363" i="42"/>
  <c r="L354" i="42"/>
  <c r="L9" i="42"/>
  <c r="L81" i="42"/>
  <c r="L68" i="42"/>
  <c r="L21" i="42"/>
  <c r="L40" i="42"/>
  <c r="L27" i="42"/>
  <c r="L202" i="42"/>
  <c r="L126" i="42"/>
  <c r="L193" i="42"/>
  <c r="L160" i="42"/>
  <c r="L43" i="42"/>
  <c r="L235" i="42"/>
  <c r="L307" i="42"/>
  <c r="L343" i="42"/>
  <c r="L232" i="42"/>
  <c r="L243" i="42"/>
  <c r="L332" i="42"/>
  <c r="L255" i="42"/>
  <c r="L278" i="42"/>
  <c r="L301" i="42"/>
  <c r="L257" i="42"/>
  <c r="L313" i="42"/>
  <c r="L293" i="42"/>
  <c r="L360" i="42"/>
  <c r="L350" i="42"/>
  <c r="L341" i="42"/>
  <c r="H66" i="31"/>
  <c r="H62" i="31"/>
  <c r="H61" i="31"/>
  <c r="H58" i="31"/>
  <c r="H63" i="31"/>
  <c r="H60" i="31"/>
  <c r="H65" i="31"/>
  <c r="H55" i="31"/>
  <c r="H57" i="31"/>
  <c r="H64" i="31"/>
  <c r="H71" i="31"/>
  <c r="H56" i="31"/>
  <c r="U79" i="35"/>
  <c r="T44" i="35"/>
  <c r="T50" i="35"/>
  <c r="U85" i="35"/>
  <c r="U70" i="35"/>
  <c r="T35" i="35"/>
  <c r="T46" i="35"/>
  <c r="U81" i="35"/>
  <c r="U82" i="35"/>
  <c r="T47" i="35"/>
  <c r="U74" i="35"/>
  <c r="T39" i="35"/>
  <c r="U76" i="35"/>
  <c r="T41" i="35"/>
  <c r="U83" i="35"/>
  <c r="T48" i="35"/>
  <c r="T37" i="35"/>
  <c r="U72" i="35"/>
  <c r="U75" i="35"/>
  <c r="T40" i="35"/>
  <c r="T42" i="35"/>
  <c r="U77" i="35"/>
  <c r="T36" i="35"/>
  <c r="U71" i="35"/>
  <c r="U80" i="35"/>
  <c r="T45" i="35"/>
  <c r="U73" i="35"/>
  <c r="T38" i="35"/>
  <c r="T32" i="35"/>
  <c r="U67" i="35"/>
  <c r="T51" i="35"/>
  <c r="U86" i="35"/>
  <c r="T34" i="35"/>
  <c r="U69" i="35"/>
  <c r="U78" i="35"/>
  <c r="T43" i="35"/>
  <c r="T49" i="35"/>
  <c r="U84" i="35"/>
  <c r="T33" i="35"/>
  <c r="U68" i="35"/>
  <c r="F3" i="31"/>
  <c r="C30" i="31"/>
  <c r="C29" i="31"/>
  <c r="C28" i="31"/>
  <c r="C27" i="31"/>
  <c r="C26" i="31"/>
  <c r="C25" i="31"/>
  <c r="C24" i="31"/>
  <c r="J24" i="31" s="1"/>
  <c r="C23" i="31"/>
  <c r="J23" i="31" s="1"/>
  <c r="C22" i="31"/>
  <c r="J22" i="31" s="1"/>
  <c r="C21" i="31"/>
  <c r="J21" i="31" s="1"/>
  <c r="C20" i="31"/>
  <c r="J20" i="31" s="1"/>
  <c r="F19" i="31"/>
  <c r="AC19" i="31" s="1"/>
  <c r="C18" i="31"/>
  <c r="J18" i="31" s="1"/>
  <c r="B18" i="31"/>
  <c r="C17" i="31"/>
  <c r="J17" i="31" s="1"/>
  <c r="B17" i="31"/>
  <c r="C16" i="31"/>
  <c r="J16" i="31" s="1"/>
  <c r="B16" i="31"/>
  <c r="C15" i="31"/>
  <c r="J15" i="31" s="1"/>
  <c r="B15" i="31"/>
  <c r="C14" i="31"/>
  <c r="J14" i="31" s="1"/>
  <c r="B14" i="31"/>
  <c r="C13" i="31"/>
  <c r="J13" i="31" s="1"/>
  <c r="B13" i="31"/>
  <c r="C12" i="31"/>
  <c r="J12" i="31" s="1"/>
  <c r="B12" i="31"/>
  <c r="C11" i="31"/>
  <c r="J11" i="31" s="1"/>
  <c r="B11" i="31"/>
  <c r="C10" i="31"/>
  <c r="J10" i="31" s="1"/>
  <c r="B10" i="31"/>
  <c r="C9" i="31"/>
  <c r="J9" i="31" s="1"/>
  <c r="B9" i="31"/>
  <c r="AW8" i="31"/>
  <c r="AW9" i="31" s="1"/>
  <c r="F8" i="31"/>
  <c r="AC8" i="31" s="1"/>
  <c r="C8" i="31"/>
  <c r="J8" i="31" s="1"/>
  <c r="B8" i="31"/>
  <c r="D7" i="31"/>
  <c r="D8" i="31" s="1"/>
  <c r="C7" i="31"/>
  <c r="J7" i="31" s="1"/>
  <c r="K7" i="31" s="1"/>
  <c r="B7" i="31"/>
  <c r="CH7" i="31" s="1"/>
  <c r="AJ7" i="31" l="1"/>
  <c r="BX7" i="31" s="1"/>
  <c r="AA19" i="31"/>
  <c r="AB19" i="31"/>
  <c r="I19" i="31"/>
  <c r="BW19" i="31" s="1"/>
  <c r="AB8" i="31"/>
  <c r="AA8" i="31"/>
  <c r="I8" i="31"/>
  <c r="BW8" i="31" s="1"/>
  <c r="H69" i="31"/>
  <c r="H75" i="31"/>
  <c r="H78" i="31"/>
  <c r="F20" i="31"/>
  <c r="AC20" i="31" s="1"/>
  <c r="H76" i="31"/>
  <c r="H72" i="31"/>
  <c r="H74" i="31"/>
  <c r="H83" i="31"/>
  <c r="H77" i="31"/>
  <c r="H73" i="31"/>
  <c r="F31" i="31"/>
  <c r="AC31" i="31" s="1"/>
  <c r="H68" i="31"/>
  <c r="H67" i="31"/>
  <c r="H70" i="31"/>
  <c r="V7" i="31"/>
  <c r="U43" i="35"/>
  <c r="U38" i="35"/>
  <c r="U40" i="35"/>
  <c r="U48" i="35"/>
  <c r="U39" i="35"/>
  <c r="U44" i="35"/>
  <c r="U33" i="35"/>
  <c r="U46" i="35"/>
  <c r="U50" i="35"/>
  <c r="U49" i="35"/>
  <c r="U34" i="35"/>
  <c r="U51" i="35"/>
  <c r="U32" i="35"/>
  <c r="U36" i="35"/>
  <c r="U42" i="35"/>
  <c r="U37" i="35"/>
  <c r="U45" i="35"/>
  <c r="U41" i="35"/>
  <c r="U47" i="35"/>
  <c r="U35" i="35"/>
  <c r="AJ8" i="31"/>
  <c r="BX8" i="31" s="1"/>
  <c r="F9" i="31"/>
  <c r="AC9" i="31" s="1"/>
  <c r="J26" i="31"/>
  <c r="J30" i="31"/>
  <c r="J28" i="31"/>
  <c r="V9" i="31"/>
  <c r="BK9" i="31" s="1"/>
  <c r="V8" i="31"/>
  <c r="BK8" i="31" s="1"/>
  <c r="V10" i="31"/>
  <c r="BK10" i="31" s="1"/>
  <c r="V12" i="31"/>
  <c r="BK12" i="31" s="1"/>
  <c r="V14" i="31"/>
  <c r="BK14" i="31" s="1"/>
  <c r="V16" i="31"/>
  <c r="BK16" i="31" s="1"/>
  <c r="V18" i="31"/>
  <c r="BK18" i="31" s="1"/>
  <c r="V11" i="31"/>
  <c r="BK11" i="31" s="1"/>
  <c r="V13" i="31"/>
  <c r="BK13" i="31" s="1"/>
  <c r="V15" i="31"/>
  <c r="BK15" i="31" s="1"/>
  <c r="V17" i="31"/>
  <c r="BK17" i="31" s="1"/>
  <c r="D9" i="3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AW10" i="31"/>
  <c r="B39" i="31"/>
  <c r="C39" i="31"/>
  <c r="B19" i="31"/>
  <c r="B21" i="31"/>
  <c r="B23" i="31"/>
  <c r="B25" i="31"/>
  <c r="F32" i="31"/>
  <c r="AC32" i="31" s="1"/>
  <c r="B20" i="31"/>
  <c r="AJ20" i="31" s="1"/>
  <c r="BX20" i="31" s="1"/>
  <c r="B22" i="31"/>
  <c r="B24" i="31"/>
  <c r="B26" i="31"/>
  <c r="B28" i="31"/>
  <c r="B30" i="31"/>
  <c r="BG7" i="31"/>
  <c r="C19" i="31"/>
  <c r="J19" i="31" s="1"/>
  <c r="J25" i="31"/>
  <c r="J27" i="31"/>
  <c r="J29" i="31"/>
  <c r="B27" i="31"/>
  <c r="B29" i="31"/>
  <c r="AB9" i="31" l="1"/>
  <c r="AA9" i="31"/>
  <c r="I9" i="31"/>
  <c r="BW9" i="31" s="1"/>
  <c r="AA31" i="31"/>
  <c r="AB31" i="31"/>
  <c r="I31" i="31"/>
  <c r="BW31" i="31" s="1"/>
  <c r="AB32" i="31"/>
  <c r="I32" i="31"/>
  <c r="BW32" i="31" s="1"/>
  <c r="AA32" i="31"/>
  <c r="I20" i="31"/>
  <c r="BW20" i="31" s="1"/>
  <c r="AA20" i="31"/>
  <c r="AB20" i="31"/>
  <c r="K8" i="31"/>
  <c r="AJ9" i="31"/>
  <c r="BX9" i="31" s="1"/>
  <c r="BK7" i="31"/>
  <c r="K19" i="31"/>
  <c r="F10" i="31"/>
  <c r="AC10" i="31" s="1"/>
  <c r="F43" i="31"/>
  <c r="AC43" i="31" s="1"/>
  <c r="H82" i="31"/>
  <c r="H85" i="31"/>
  <c r="H88" i="31"/>
  <c r="H81" i="31"/>
  <c r="F21" i="31"/>
  <c r="AC21" i="31" s="1"/>
  <c r="H84" i="31"/>
  <c r="H87" i="31"/>
  <c r="H80" i="31"/>
  <c r="H95" i="31"/>
  <c r="H86" i="31"/>
  <c r="H90" i="31"/>
  <c r="H79" i="31"/>
  <c r="H89" i="31"/>
  <c r="V22" i="31"/>
  <c r="BK22" i="31" s="1"/>
  <c r="V39" i="31"/>
  <c r="BK39" i="31" s="1"/>
  <c r="V19" i="31"/>
  <c r="BK19" i="31" s="1"/>
  <c r="AJ19" i="31"/>
  <c r="BX19" i="31" s="1"/>
  <c r="AK7" i="31"/>
  <c r="AK20" i="31"/>
  <c r="J39" i="31"/>
  <c r="BY7" i="31"/>
  <c r="V29" i="31"/>
  <c r="BK29" i="31" s="1"/>
  <c r="V20" i="31"/>
  <c r="BK20" i="31" s="1"/>
  <c r="V25" i="31"/>
  <c r="BK25" i="31" s="1"/>
  <c r="V27" i="31"/>
  <c r="BK27" i="31" s="1"/>
  <c r="V26" i="31"/>
  <c r="BK26" i="31" s="1"/>
  <c r="V23" i="31"/>
  <c r="BK23" i="31" s="1"/>
  <c r="V30" i="31"/>
  <c r="BK30" i="31" s="1"/>
  <c r="V28" i="31"/>
  <c r="BK28" i="31" s="1"/>
  <c r="V24" i="31"/>
  <c r="BK24" i="31" s="1"/>
  <c r="V21" i="31"/>
  <c r="BK21" i="31" s="1"/>
  <c r="B37" i="31"/>
  <c r="C37" i="31"/>
  <c r="B41" i="31"/>
  <c r="C41" i="31"/>
  <c r="B35" i="31"/>
  <c r="C35" i="31"/>
  <c r="B31" i="31"/>
  <c r="C31" i="31"/>
  <c r="B34" i="31"/>
  <c r="C34" i="31"/>
  <c r="L7" i="31"/>
  <c r="F44" i="31"/>
  <c r="AC44" i="31" s="1"/>
  <c r="AW11" i="31"/>
  <c r="B33" i="31"/>
  <c r="C33" i="31"/>
  <c r="B36" i="31"/>
  <c r="C36" i="31"/>
  <c r="B32" i="31"/>
  <c r="AJ32" i="31" s="1"/>
  <c r="BX32" i="31" s="1"/>
  <c r="C32" i="31"/>
  <c r="AK8" i="31"/>
  <c r="BM8" i="31" s="1"/>
  <c r="C42" i="31"/>
  <c r="B42" i="31"/>
  <c r="C40" i="31"/>
  <c r="B40" i="31"/>
  <c r="C38" i="31"/>
  <c r="B38" i="31"/>
  <c r="B51" i="31"/>
  <c r="C51" i="31"/>
  <c r="BG19" i="31" l="1"/>
  <c r="L19" i="31" s="1"/>
  <c r="AA10" i="31"/>
  <c r="AB10" i="31"/>
  <c r="I10" i="31"/>
  <c r="BW10" i="31" s="1"/>
  <c r="AB43" i="31"/>
  <c r="I43" i="31"/>
  <c r="BW43" i="31" s="1"/>
  <c r="AA43" i="31"/>
  <c r="AB44" i="31"/>
  <c r="I44" i="31"/>
  <c r="BW44" i="31" s="1"/>
  <c r="AA44" i="31"/>
  <c r="AB21" i="31"/>
  <c r="I21" i="31"/>
  <c r="BW21" i="31" s="1"/>
  <c r="AA21" i="31"/>
  <c r="BG8" i="31"/>
  <c r="L8" i="31" s="1"/>
  <c r="K20" i="31"/>
  <c r="BG20" i="31" s="1"/>
  <c r="BY20" i="31"/>
  <c r="K9" i="31"/>
  <c r="BY9" i="31"/>
  <c r="AJ10" i="31"/>
  <c r="BX10" i="31" s="1"/>
  <c r="F22" i="31"/>
  <c r="AC22" i="31" s="1"/>
  <c r="AK9" i="31"/>
  <c r="BM9" i="31" s="1"/>
  <c r="F11" i="31"/>
  <c r="AC11" i="31" s="1"/>
  <c r="BY8" i="31"/>
  <c r="F55" i="31"/>
  <c r="AC55" i="31" s="1"/>
  <c r="AJ21" i="31"/>
  <c r="BX21" i="31" s="1"/>
  <c r="H101" i="31"/>
  <c r="H94" i="31"/>
  <c r="H102" i="31"/>
  <c r="F33" i="31"/>
  <c r="AC33" i="31" s="1"/>
  <c r="H97" i="31"/>
  <c r="H98" i="31"/>
  <c r="H92" i="31"/>
  <c r="H96" i="31"/>
  <c r="H100" i="31"/>
  <c r="H91" i="31"/>
  <c r="H107" i="31"/>
  <c r="H99" i="31"/>
  <c r="H93" i="31"/>
  <c r="BM7" i="31"/>
  <c r="AL7" i="31" s="1"/>
  <c r="AM7" i="31" s="1"/>
  <c r="V31" i="31"/>
  <c r="BK31" i="31" s="1"/>
  <c r="AJ31" i="31"/>
  <c r="BX31" i="31" s="1"/>
  <c r="BM20" i="31"/>
  <c r="AL20" i="31" s="1"/>
  <c r="J40" i="31"/>
  <c r="J36" i="31"/>
  <c r="J37" i="31"/>
  <c r="J42" i="31"/>
  <c r="J51" i="31"/>
  <c r="J35" i="31"/>
  <c r="J38" i="31"/>
  <c r="J34" i="31"/>
  <c r="J41" i="31"/>
  <c r="BY19" i="31"/>
  <c r="V51" i="31"/>
  <c r="BK51" i="31" s="1"/>
  <c r="V38" i="31"/>
  <c r="BK38" i="31" s="1"/>
  <c r="V42" i="31"/>
  <c r="BK42" i="31" s="1"/>
  <c r="V32" i="31"/>
  <c r="BK32" i="31" s="1"/>
  <c r="V40" i="31"/>
  <c r="BK40" i="31" s="1"/>
  <c r="V36" i="31"/>
  <c r="BK36" i="31" s="1"/>
  <c r="V41" i="31"/>
  <c r="BK41" i="31" s="1"/>
  <c r="V33" i="31"/>
  <c r="BK33" i="31" s="1"/>
  <c r="V34" i="31"/>
  <c r="BK34" i="31" s="1"/>
  <c r="V37" i="31"/>
  <c r="BK37" i="31" s="1"/>
  <c r="V35" i="31"/>
  <c r="BK35" i="31" s="1"/>
  <c r="J31" i="31"/>
  <c r="K31" i="31" s="1"/>
  <c r="AK19" i="31"/>
  <c r="C50" i="31"/>
  <c r="B50" i="31"/>
  <c r="C54" i="31"/>
  <c r="B54" i="31"/>
  <c r="C44" i="31"/>
  <c r="B44" i="31"/>
  <c r="AJ44" i="31" s="1"/>
  <c r="BX44" i="31" s="1"/>
  <c r="F56" i="31"/>
  <c r="AC56" i="31" s="1"/>
  <c r="C46" i="31"/>
  <c r="B46" i="31"/>
  <c r="B47" i="31"/>
  <c r="C47" i="31"/>
  <c r="J32" i="31"/>
  <c r="K32" i="31" s="1"/>
  <c r="J33" i="31"/>
  <c r="B63" i="31"/>
  <c r="C63" i="31"/>
  <c r="C52" i="31"/>
  <c r="B52" i="31"/>
  <c r="C48" i="31"/>
  <c r="B48" i="31"/>
  <c r="B45" i="31"/>
  <c r="C45" i="31"/>
  <c r="AW12" i="31"/>
  <c r="B43" i="31"/>
  <c r="C43" i="31"/>
  <c r="B53" i="31"/>
  <c r="C53" i="31"/>
  <c r="B49" i="31"/>
  <c r="C49" i="31"/>
  <c r="AL8" i="31"/>
  <c r="F67" i="31" l="1"/>
  <c r="BY10" i="31"/>
  <c r="AA33" i="31"/>
  <c r="AB33" i="31"/>
  <c r="I33" i="31"/>
  <c r="BW33" i="31" s="1"/>
  <c r="AB56" i="31"/>
  <c r="I56" i="31"/>
  <c r="BW56" i="31" s="1"/>
  <c r="AA56" i="31"/>
  <c r="AA22" i="31"/>
  <c r="I22" i="31"/>
  <c r="BW22" i="31" s="1"/>
  <c r="AB22" i="31"/>
  <c r="AB11" i="31"/>
  <c r="AA11" i="31"/>
  <c r="I11" i="31"/>
  <c r="BW11" i="31" s="1"/>
  <c r="AB67" i="31"/>
  <c r="AB55" i="31"/>
  <c r="I55" i="31"/>
  <c r="BW55" i="31" s="1"/>
  <c r="AA55" i="31"/>
  <c r="AL9" i="31"/>
  <c r="AK10" i="31"/>
  <c r="BM10" i="31" s="1"/>
  <c r="AL10" i="31" s="1"/>
  <c r="K21" i="31"/>
  <c r="BY21" i="31"/>
  <c r="F12" i="31"/>
  <c r="AC12" i="31" s="1"/>
  <c r="K10" i="31"/>
  <c r="F34" i="31"/>
  <c r="AC34" i="31" s="1"/>
  <c r="AJ22" i="31"/>
  <c r="BX22" i="31" s="1"/>
  <c r="AJ11" i="31"/>
  <c r="BX11" i="31" s="1"/>
  <c r="F23" i="31"/>
  <c r="AC23" i="31" s="1"/>
  <c r="AK21" i="31"/>
  <c r="BM21" i="31" s="1"/>
  <c r="AL21" i="31" s="1"/>
  <c r="H108" i="31"/>
  <c r="F45" i="31"/>
  <c r="AC45" i="31" s="1"/>
  <c r="H119" i="31"/>
  <c r="H112" i="31"/>
  <c r="H109" i="31"/>
  <c r="H114" i="31"/>
  <c r="AJ33" i="31"/>
  <c r="BX33" i="31" s="1"/>
  <c r="H103" i="31"/>
  <c r="H111" i="31"/>
  <c r="H110" i="31"/>
  <c r="BG9" i="31"/>
  <c r="L9" i="31" s="1"/>
  <c r="H113" i="31"/>
  <c r="L20" i="31"/>
  <c r="H105" i="31"/>
  <c r="H104" i="31"/>
  <c r="H106" i="31"/>
  <c r="BM19" i="31"/>
  <c r="AL19" i="31" s="1"/>
  <c r="V43" i="31"/>
  <c r="BK43" i="31" s="1"/>
  <c r="AJ43" i="31"/>
  <c r="BX43" i="31" s="1"/>
  <c r="V45" i="31"/>
  <c r="BK45" i="31" s="1"/>
  <c r="AK31" i="31"/>
  <c r="AK44" i="31"/>
  <c r="BM44" i="31" s="1"/>
  <c r="AK32" i="31"/>
  <c r="J63" i="31"/>
  <c r="J47" i="31"/>
  <c r="J49" i="31"/>
  <c r="J52" i="31"/>
  <c r="BY32" i="31"/>
  <c r="J53" i="31"/>
  <c r="J54" i="31"/>
  <c r="J48" i="31"/>
  <c r="J46" i="31"/>
  <c r="J50" i="31"/>
  <c r="BY31" i="31"/>
  <c r="V49" i="31"/>
  <c r="BK49" i="31" s="1"/>
  <c r="V46" i="31"/>
  <c r="BK46" i="31" s="1"/>
  <c r="V52" i="31"/>
  <c r="BK52" i="31" s="1"/>
  <c r="V54" i="31"/>
  <c r="BK54" i="31" s="1"/>
  <c r="V63" i="31"/>
  <c r="BK63" i="31" s="1"/>
  <c r="V47" i="31"/>
  <c r="BK47" i="31" s="1"/>
  <c r="V53" i="31"/>
  <c r="BK53" i="31" s="1"/>
  <c r="V44" i="31"/>
  <c r="BK44" i="31" s="1"/>
  <c r="V50" i="31"/>
  <c r="BK50" i="31" s="1"/>
  <c r="V48" i="31"/>
  <c r="BK48" i="31" s="1"/>
  <c r="BG32" i="31"/>
  <c r="J45" i="31"/>
  <c r="J43" i="31"/>
  <c r="K43" i="31" s="1"/>
  <c r="B65" i="31"/>
  <c r="C65" i="31"/>
  <c r="B55" i="31"/>
  <c r="C55" i="31"/>
  <c r="AW13" i="31"/>
  <c r="B57" i="31"/>
  <c r="C57" i="31"/>
  <c r="C60" i="31"/>
  <c r="B60" i="31"/>
  <c r="C64" i="31"/>
  <c r="B64" i="31"/>
  <c r="F79" i="31"/>
  <c r="AC79" i="31" s="1"/>
  <c r="F68" i="31"/>
  <c r="AC68" i="31" s="1"/>
  <c r="C56" i="31"/>
  <c r="B56" i="31"/>
  <c r="AJ56" i="31" s="1"/>
  <c r="BX56" i="31" s="1"/>
  <c r="C62" i="31"/>
  <c r="B62" i="31"/>
  <c r="J44" i="31"/>
  <c r="K44" i="31" s="1"/>
  <c r="B61" i="31"/>
  <c r="C61" i="31"/>
  <c r="B75" i="31"/>
  <c r="C75" i="31"/>
  <c r="B59" i="31"/>
  <c r="C59" i="31"/>
  <c r="C58" i="31"/>
  <c r="B58" i="31"/>
  <c r="C66" i="31"/>
  <c r="B66" i="31"/>
  <c r="AA67" i="31" l="1"/>
  <c r="AC67" i="31"/>
  <c r="I67" i="31"/>
  <c r="BW67" i="31" s="1"/>
  <c r="BY33" i="31"/>
  <c r="AA34" i="31"/>
  <c r="I34" i="31"/>
  <c r="BW34" i="31" s="1"/>
  <c r="AB34" i="31"/>
  <c r="AA79" i="31"/>
  <c r="AB79" i="31"/>
  <c r="I79" i="31"/>
  <c r="BW79" i="31" s="1"/>
  <c r="AA68" i="31"/>
  <c r="I68" i="31"/>
  <c r="BW68" i="31" s="1"/>
  <c r="AB68" i="31"/>
  <c r="F13" i="31"/>
  <c r="AC13" i="31" s="1"/>
  <c r="AB12" i="31"/>
  <c r="AA12" i="31"/>
  <c r="I12" i="31"/>
  <c r="BW12" i="31" s="1"/>
  <c r="AA45" i="31"/>
  <c r="AB45" i="31"/>
  <c r="I45" i="31"/>
  <c r="BW45" i="31" s="1"/>
  <c r="AB23" i="31"/>
  <c r="I23" i="31"/>
  <c r="BW23" i="31" s="1"/>
  <c r="AA23" i="31"/>
  <c r="AJ34" i="31"/>
  <c r="BX34" i="31" s="1"/>
  <c r="BG10" i="31"/>
  <c r="L10" i="31" s="1"/>
  <c r="K22" i="31"/>
  <c r="BY22" i="31"/>
  <c r="K11" i="31"/>
  <c r="BG11" i="31" s="1"/>
  <c r="BY11" i="31"/>
  <c r="AK11" i="31"/>
  <c r="BM11" i="31" s="1"/>
  <c r="AL11" i="31" s="1"/>
  <c r="K33" i="31"/>
  <c r="BG33" i="31" s="1"/>
  <c r="F35" i="31"/>
  <c r="AC35" i="31" s="1"/>
  <c r="AJ12" i="31"/>
  <c r="BX12" i="31" s="1"/>
  <c r="F24" i="31"/>
  <c r="AC24" i="31" s="1"/>
  <c r="AK22" i="31"/>
  <c r="BM22" i="31" s="1"/>
  <c r="F46" i="31"/>
  <c r="AC46" i="31" s="1"/>
  <c r="AJ23" i="31"/>
  <c r="BX23" i="31" s="1"/>
  <c r="AJ45" i="31"/>
  <c r="BX45" i="31" s="1"/>
  <c r="BG21" i="31"/>
  <c r="L21" i="31" s="1"/>
  <c r="H115" i="31"/>
  <c r="H121" i="31"/>
  <c r="F57" i="31"/>
  <c r="AC57" i="31" s="1"/>
  <c r="H118" i="31"/>
  <c r="H117" i="31"/>
  <c r="H125" i="31"/>
  <c r="H123" i="31"/>
  <c r="H126" i="31"/>
  <c r="H124" i="31"/>
  <c r="H120" i="31"/>
  <c r="H116" i="31"/>
  <c r="H122" i="31"/>
  <c r="H131" i="31"/>
  <c r="AK33" i="31"/>
  <c r="BM33" i="31" s="1"/>
  <c r="BG31" i="31"/>
  <c r="L31" i="31" s="1"/>
  <c r="BM31" i="31"/>
  <c r="AL31" i="31" s="1"/>
  <c r="V55" i="31"/>
  <c r="BK55" i="31" s="1"/>
  <c r="AJ55" i="31"/>
  <c r="BX55" i="31" s="1"/>
  <c r="BM32" i="31"/>
  <c r="AL32" i="31" s="1"/>
  <c r="AK43" i="31"/>
  <c r="J59" i="31"/>
  <c r="J61" i="31"/>
  <c r="J64" i="31"/>
  <c r="BY43" i="31"/>
  <c r="J60" i="31"/>
  <c r="J58" i="31"/>
  <c r="J75" i="31"/>
  <c r="J62" i="31"/>
  <c r="BY44" i="31"/>
  <c r="J66" i="31"/>
  <c r="J65" i="31"/>
  <c r="V58" i="31"/>
  <c r="BK58" i="31" s="1"/>
  <c r="V61" i="31"/>
  <c r="BK61" i="31" s="1"/>
  <c r="V59" i="31"/>
  <c r="BK59" i="31" s="1"/>
  <c r="V56" i="31"/>
  <c r="BK56" i="31" s="1"/>
  <c r="V60" i="31"/>
  <c r="BK60" i="31" s="1"/>
  <c r="L32" i="31"/>
  <c r="V57" i="31"/>
  <c r="BK57" i="31" s="1"/>
  <c r="V65" i="31"/>
  <c r="BK65" i="31" s="1"/>
  <c r="V66" i="31"/>
  <c r="BK66" i="31" s="1"/>
  <c r="V75" i="31"/>
  <c r="BK75" i="31" s="1"/>
  <c r="V62" i="31"/>
  <c r="BK62" i="31" s="1"/>
  <c r="V64" i="31"/>
  <c r="BK64" i="31" s="1"/>
  <c r="BG43" i="31"/>
  <c r="BG44" i="31"/>
  <c r="J57" i="31"/>
  <c r="J55" i="31"/>
  <c r="K55" i="31" s="1"/>
  <c r="F36" i="31"/>
  <c r="AC36" i="31" s="1"/>
  <c r="B71" i="31"/>
  <c r="C71" i="31"/>
  <c r="B73" i="31"/>
  <c r="C73" i="31"/>
  <c r="C74" i="31"/>
  <c r="B74" i="31"/>
  <c r="C68" i="31"/>
  <c r="B68" i="31"/>
  <c r="AJ68" i="31" s="1"/>
  <c r="BX68" i="31" s="1"/>
  <c r="F80" i="31"/>
  <c r="AC80" i="31" s="1"/>
  <c r="F91" i="31"/>
  <c r="AC91" i="31" s="1"/>
  <c r="C72" i="31"/>
  <c r="B72" i="31"/>
  <c r="B69" i="31"/>
  <c r="C69" i="31"/>
  <c r="AW14" i="31"/>
  <c r="B67" i="31"/>
  <c r="C67" i="31"/>
  <c r="B77" i="31"/>
  <c r="C77" i="31"/>
  <c r="J56" i="31"/>
  <c r="K56" i="31" s="1"/>
  <c r="AL44" i="31"/>
  <c r="C78" i="31"/>
  <c r="B78" i="31"/>
  <c r="C70" i="31"/>
  <c r="B70" i="31"/>
  <c r="B87" i="31"/>
  <c r="C87" i="31"/>
  <c r="C76" i="31"/>
  <c r="B76" i="31"/>
  <c r="AJ24" i="31" l="1"/>
  <c r="BX24" i="31" s="1"/>
  <c r="F47" i="31"/>
  <c r="AC47" i="31" s="1"/>
  <c r="AJ13" i="31"/>
  <c r="BX13" i="31" s="1"/>
  <c r="AJ35" i="31"/>
  <c r="BX35" i="31" s="1"/>
  <c r="BG22" i="31"/>
  <c r="L22" i="31" s="1"/>
  <c r="BY12" i="31"/>
  <c r="BY45" i="31"/>
  <c r="BY23" i="31"/>
  <c r="F25" i="31"/>
  <c r="AC25" i="31" s="1"/>
  <c r="F14" i="31"/>
  <c r="AC14" i="31" s="1"/>
  <c r="K23" i="31"/>
  <c r="BG23" i="31" s="1"/>
  <c r="AK34" i="31"/>
  <c r="BM34" i="31" s="1"/>
  <c r="AB35" i="31"/>
  <c r="I35" i="31"/>
  <c r="BW35" i="31" s="1"/>
  <c r="AA35" i="31"/>
  <c r="AB13" i="31"/>
  <c r="AA13" i="31"/>
  <c r="I13" i="31"/>
  <c r="BW13" i="31" s="1"/>
  <c r="AB36" i="31"/>
  <c r="I36" i="31"/>
  <c r="BW36" i="31" s="1"/>
  <c r="AA36" i="31"/>
  <c r="AB57" i="31"/>
  <c r="AA57" i="31"/>
  <c r="I57" i="31"/>
  <c r="BW57" i="31" s="1"/>
  <c r="AB46" i="31"/>
  <c r="AA46" i="31"/>
  <c r="I46" i="31"/>
  <c r="BW46" i="31" s="1"/>
  <c r="I91" i="31"/>
  <c r="BW91" i="31" s="1"/>
  <c r="AA91" i="31"/>
  <c r="AB91" i="31"/>
  <c r="AA25" i="31"/>
  <c r="AA14" i="31"/>
  <c r="AB14" i="31"/>
  <c r="I14" i="31"/>
  <c r="BW14" i="31" s="1"/>
  <c r="AA80" i="31"/>
  <c r="I80" i="31"/>
  <c r="BW80" i="31" s="1"/>
  <c r="AB80" i="31"/>
  <c r="AA24" i="31"/>
  <c r="I24" i="31"/>
  <c r="BW24" i="31" s="1"/>
  <c r="AB24" i="31"/>
  <c r="L11" i="31"/>
  <c r="K34" i="31"/>
  <c r="BG34" i="31" s="1"/>
  <c r="BY34" i="31"/>
  <c r="AL22" i="31"/>
  <c r="K12" i="31"/>
  <c r="AK12" i="31"/>
  <c r="BM12" i="31" s="1"/>
  <c r="AJ46" i="31"/>
  <c r="BX46" i="31" s="1"/>
  <c r="F58" i="31"/>
  <c r="AC58" i="31" s="1"/>
  <c r="AK23" i="31"/>
  <c r="BM23" i="31" s="1"/>
  <c r="AL23" i="31" s="1"/>
  <c r="K45" i="31"/>
  <c r="BG45" i="31" s="1"/>
  <c r="L45" i="31" s="1"/>
  <c r="AK45" i="31"/>
  <c r="BM45" i="31" s="1"/>
  <c r="AJ57" i="31"/>
  <c r="L33" i="31"/>
  <c r="H134" i="31"/>
  <c r="H138" i="31"/>
  <c r="H130" i="31"/>
  <c r="AJ25" i="31"/>
  <c r="BX25" i="31" s="1"/>
  <c r="H143" i="31"/>
  <c r="H129" i="31"/>
  <c r="H133" i="31"/>
  <c r="AL33" i="31"/>
  <c r="AJ14" i="31"/>
  <c r="BX14" i="31" s="1"/>
  <c r="AJ36" i="31"/>
  <c r="BX36" i="31" s="1"/>
  <c r="H132" i="31"/>
  <c r="H137" i="31"/>
  <c r="F69" i="31"/>
  <c r="AC69" i="31" s="1"/>
  <c r="H128" i="31"/>
  <c r="H136" i="31"/>
  <c r="H135" i="31"/>
  <c r="H127" i="31"/>
  <c r="BG56" i="31"/>
  <c r="L56" i="31" s="1"/>
  <c r="BM43" i="31"/>
  <c r="AL43" i="31" s="1"/>
  <c r="V67" i="31"/>
  <c r="BK67" i="31" s="1"/>
  <c r="AJ67" i="31"/>
  <c r="BX67" i="31" s="1"/>
  <c r="AK68" i="31"/>
  <c r="BM68" i="31" s="1"/>
  <c r="AK56" i="31"/>
  <c r="BM56" i="31" s="1"/>
  <c r="AK55" i="31"/>
  <c r="J70" i="31"/>
  <c r="J71" i="31"/>
  <c r="BY56" i="31"/>
  <c r="J77" i="31"/>
  <c r="J78" i="31"/>
  <c r="BY55" i="31"/>
  <c r="J74" i="31"/>
  <c r="J76" i="31"/>
  <c r="J72" i="31"/>
  <c r="J87" i="31"/>
  <c r="J73" i="31"/>
  <c r="V70" i="31"/>
  <c r="BK70" i="31" s="1"/>
  <c r="V77" i="31"/>
  <c r="BK77" i="31" s="1"/>
  <c r="V68" i="31"/>
  <c r="BK68" i="31" s="1"/>
  <c r="V73" i="31"/>
  <c r="BK73" i="31" s="1"/>
  <c r="V87" i="31"/>
  <c r="BK87" i="31" s="1"/>
  <c r="V78" i="31"/>
  <c r="BK78" i="31" s="1"/>
  <c r="V72" i="31"/>
  <c r="BK72" i="31" s="1"/>
  <c r="V76" i="31"/>
  <c r="BK76" i="31" s="1"/>
  <c r="V71" i="31"/>
  <c r="BK71" i="31" s="1"/>
  <c r="L44" i="31"/>
  <c r="V69" i="31"/>
  <c r="BK69" i="31" s="1"/>
  <c r="V74" i="31"/>
  <c r="BK74" i="31" s="1"/>
  <c r="L43" i="31"/>
  <c r="J69" i="31"/>
  <c r="J67" i="31"/>
  <c r="K67" i="31" s="1"/>
  <c r="J68" i="31"/>
  <c r="K68" i="31" s="1"/>
  <c r="B99" i="31"/>
  <c r="C99" i="31"/>
  <c r="B82" i="31"/>
  <c r="C82" i="31"/>
  <c r="F26" i="31"/>
  <c r="AC26" i="31" s="1"/>
  <c r="F15" i="31"/>
  <c r="AC15" i="31" s="1"/>
  <c r="F37" i="31"/>
  <c r="AC37" i="31" s="1"/>
  <c r="B90" i="31"/>
  <c r="C90" i="31"/>
  <c r="B89" i="31"/>
  <c r="C89" i="31"/>
  <c r="B79" i="31"/>
  <c r="C79" i="31"/>
  <c r="F103" i="31"/>
  <c r="AC103" i="31" s="1"/>
  <c r="B80" i="31"/>
  <c r="AJ80" i="31" s="1"/>
  <c r="BX80" i="31" s="1"/>
  <c r="C80" i="31"/>
  <c r="B85" i="31"/>
  <c r="C85" i="31"/>
  <c r="B83" i="31"/>
  <c r="C83" i="31"/>
  <c r="F48" i="31"/>
  <c r="AC48" i="31" s="1"/>
  <c r="F59" i="31"/>
  <c r="AC59" i="31" s="1"/>
  <c r="B88" i="31"/>
  <c r="C88" i="31"/>
  <c r="AW15" i="31"/>
  <c r="B81" i="31"/>
  <c r="C81" i="31"/>
  <c r="B84" i="31"/>
  <c r="C84" i="31"/>
  <c r="F92" i="31"/>
  <c r="AC92" i="31" s="1"/>
  <c r="B86" i="31"/>
  <c r="C86" i="31"/>
  <c r="AK24" i="31"/>
  <c r="BM24" i="31" s="1"/>
  <c r="AK35" i="31" l="1"/>
  <c r="BM35" i="31" s="1"/>
  <c r="AL35" i="31" s="1"/>
  <c r="AK13" i="31"/>
  <c r="BM13" i="31" s="1"/>
  <c r="AL13" i="31" s="1"/>
  <c r="AJ47" i="31"/>
  <c r="BX47" i="31" s="1"/>
  <c r="AB47" i="31"/>
  <c r="I47" i="31"/>
  <c r="BW47" i="31" s="1"/>
  <c r="AA47" i="31"/>
  <c r="K35" i="31"/>
  <c r="BG35" i="31" s="1"/>
  <c r="BY13" i="31"/>
  <c r="BY24" i="31"/>
  <c r="AB25" i="31"/>
  <c r="I25" i="31"/>
  <c r="BW25" i="31" s="1"/>
  <c r="AL34" i="31"/>
  <c r="L23" i="31"/>
  <c r="K24" i="31"/>
  <c r="BY35" i="31"/>
  <c r="K13" i="31"/>
  <c r="BG13" i="31" s="1"/>
  <c r="L13" i="31" s="1"/>
  <c r="AA37" i="31"/>
  <c r="AB37" i="31"/>
  <c r="I37" i="31"/>
  <c r="BW37" i="31" s="1"/>
  <c r="AA92" i="31"/>
  <c r="AB92" i="31"/>
  <c r="I92" i="31"/>
  <c r="BW92" i="31" s="1"/>
  <c r="AB48" i="31"/>
  <c r="I48" i="31"/>
  <c r="BW48" i="31" s="1"/>
  <c r="AA48" i="31"/>
  <c r="AA26" i="31"/>
  <c r="I26" i="31"/>
  <c r="BW26" i="31" s="1"/>
  <c r="AB26" i="31"/>
  <c r="AA69" i="31"/>
  <c r="AB69" i="31"/>
  <c r="I69" i="31"/>
  <c r="BW69" i="31" s="1"/>
  <c r="AB58" i="31"/>
  <c r="AA58" i="31"/>
  <c r="I58" i="31"/>
  <c r="BW58" i="31" s="1"/>
  <c r="AA59" i="31"/>
  <c r="I59" i="31"/>
  <c r="BW59" i="31" s="1"/>
  <c r="AB59" i="31"/>
  <c r="AB103" i="31"/>
  <c r="I103" i="31"/>
  <c r="BW103" i="31" s="1"/>
  <c r="AA103" i="31"/>
  <c r="AB15" i="31"/>
  <c r="AA15" i="31"/>
  <c r="I15" i="31"/>
  <c r="BW15" i="31" s="1"/>
  <c r="BG12" i="31"/>
  <c r="L12" i="31" s="1"/>
  <c r="L34" i="31"/>
  <c r="AJ58" i="31"/>
  <c r="BX58" i="31" s="1"/>
  <c r="F70" i="31"/>
  <c r="K14" i="31"/>
  <c r="BG14" i="31" s="1"/>
  <c r="BY14" i="31"/>
  <c r="K46" i="31"/>
  <c r="BG46" i="31" s="1"/>
  <c r="BY46" i="31"/>
  <c r="K36" i="31"/>
  <c r="BG36" i="31" s="1"/>
  <c r="BY36" i="31"/>
  <c r="AK57" i="31"/>
  <c r="BM57" i="31" s="1"/>
  <c r="BX57" i="31"/>
  <c r="AK46" i="31"/>
  <c r="BM46" i="31" s="1"/>
  <c r="AL12" i="31"/>
  <c r="K57" i="31"/>
  <c r="BG57" i="31" s="1"/>
  <c r="AL45" i="31"/>
  <c r="AJ69" i="31"/>
  <c r="BX69" i="31" s="1"/>
  <c r="H146" i="31"/>
  <c r="H140" i="31"/>
  <c r="H145" i="31"/>
  <c r="H142" i="31"/>
  <c r="H150" i="31"/>
  <c r="H139" i="31"/>
  <c r="AJ59" i="31"/>
  <c r="BX59" i="31" s="1"/>
  <c r="AJ37" i="31"/>
  <c r="BX37" i="31" s="1"/>
  <c r="H148" i="31"/>
  <c r="H149" i="31"/>
  <c r="H144" i="31"/>
  <c r="H141" i="31"/>
  <c r="AJ26" i="31"/>
  <c r="BX26" i="31" s="1"/>
  <c r="AJ48" i="31"/>
  <c r="BX48" i="31" s="1"/>
  <c r="AJ15" i="31"/>
  <c r="BX15" i="31" s="1"/>
  <c r="H147" i="31"/>
  <c r="F81" i="31"/>
  <c r="AC81" i="31" s="1"/>
  <c r="H155" i="31"/>
  <c r="BG55" i="31"/>
  <c r="L55" i="31" s="1"/>
  <c r="BG67" i="31"/>
  <c r="L67" i="31" s="1"/>
  <c r="BM55" i="31"/>
  <c r="AL55" i="31" s="1"/>
  <c r="V81" i="31"/>
  <c r="BK81" i="31" s="1"/>
  <c r="V79" i="31"/>
  <c r="BK79" i="31" s="1"/>
  <c r="AJ79" i="31"/>
  <c r="BX79" i="31" s="1"/>
  <c r="AL56" i="31"/>
  <c r="AK67" i="31"/>
  <c r="J82" i="31"/>
  <c r="J99" i="31"/>
  <c r="J89" i="31"/>
  <c r="J84" i="31"/>
  <c r="J86" i="31"/>
  <c r="J90" i="31"/>
  <c r="BY67" i="31"/>
  <c r="J85" i="31"/>
  <c r="J88" i="31"/>
  <c r="J83" i="31"/>
  <c r="BY68" i="31"/>
  <c r="V85" i="31"/>
  <c r="BK85" i="31" s="1"/>
  <c r="V99" i="31"/>
  <c r="BK99" i="31" s="1"/>
  <c r="V84" i="31"/>
  <c r="BK84" i="31" s="1"/>
  <c r="V80" i="31"/>
  <c r="BK80" i="31" s="1"/>
  <c r="V90" i="31"/>
  <c r="BK90" i="31" s="1"/>
  <c r="V88" i="31"/>
  <c r="BK88" i="31" s="1"/>
  <c r="V83" i="31"/>
  <c r="BK83" i="31" s="1"/>
  <c r="V82" i="31"/>
  <c r="BK82" i="31" s="1"/>
  <c r="V86" i="31"/>
  <c r="BK86" i="31" s="1"/>
  <c r="V89" i="31"/>
  <c r="BK89" i="31" s="1"/>
  <c r="BG68" i="31"/>
  <c r="J79" i="31"/>
  <c r="K79" i="31" s="1"/>
  <c r="F104" i="31"/>
  <c r="AC104" i="31" s="1"/>
  <c r="B93" i="31"/>
  <c r="C93" i="31"/>
  <c r="AW16" i="31"/>
  <c r="AK36" i="31"/>
  <c r="BM36" i="31" s="1"/>
  <c r="B97" i="31"/>
  <c r="C97" i="31"/>
  <c r="F115" i="31"/>
  <c r="AC115" i="31" s="1"/>
  <c r="B91" i="31"/>
  <c r="C91" i="31"/>
  <c r="B102" i="31"/>
  <c r="C102" i="31"/>
  <c r="F49" i="31"/>
  <c r="AC49" i="31" s="1"/>
  <c r="F27" i="31"/>
  <c r="AC27" i="31" s="1"/>
  <c r="F16" i="31"/>
  <c r="AC16" i="31" s="1"/>
  <c r="B94" i="31"/>
  <c r="C94" i="31"/>
  <c r="J80" i="31"/>
  <c r="K80" i="31" s="1"/>
  <c r="AL68" i="31"/>
  <c r="B98" i="31"/>
  <c r="C98" i="31"/>
  <c r="B96" i="31"/>
  <c r="C96" i="31"/>
  <c r="B100" i="31"/>
  <c r="C100" i="31"/>
  <c r="F71" i="31"/>
  <c r="AC71" i="31" s="1"/>
  <c r="F60" i="31"/>
  <c r="AC60" i="31" s="1"/>
  <c r="B95" i="31"/>
  <c r="C95" i="31"/>
  <c r="B92" i="31"/>
  <c r="AJ92" i="31" s="1"/>
  <c r="BX92" i="31" s="1"/>
  <c r="C92" i="31"/>
  <c r="B101" i="31"/>
  <c r="C101" i="31"/>
  <c r="AK25" i="31"/>
  <c r="BM25" i="31" s="1"/>
  <c r="AK14" i="31"/>
  <c r="BM14" i="31" s="1"/>
  <c r="F38" i="31"/>
  <c r="AC38" i="31" s="1"/>
  <c r="B111" i="31"/>
  <c r="C111" i="31"/>
  <c r="AL24" i="31"/>
  <c r="J81" i="31"/>
  <c r="F82" i="31" l="1"/>
  <c r="AC82" i="31" s="1"/>
  <c r="AC70" i="31"/>
  <c r="AK47" i="31"/>
  <c r="BM47" i="31" s="1"/>
  <c r="AL47" i="31" s="1"/>
  <c r="K47" i="31"/>
  <c r="BG47" i="31" s="1"/>
  <c r="BY47" i="31"/>
  <c r="AJ70" i="31"/>
  <c r="BX70" i="31" s="1"/>
  <c r="BG24" i="31"/>
  <c r="L24" i="31" s="1"/>
  <c r="BY57" i="31"/>
  <c r="L35" i="31"/>
  <c r="BY58" i="31"/>
  <c r="K25" i="31"/>
  <c r="BG25" i="31" s="1"/>
  <c r="BY69" i="31"/>
  <c r="BY25" i="31"/>
  <c r="K58" i="31"/>
  <c r="BG58" i="31" s="1"/>
  <c r="AA38" i="31"/>
  <c r="I38" i="31"/>
  <c r="BW38" i="31" s="1"/>
  <c r="AB38" i="31"/>
  <c r="AB27" i="31"/>
  <c r="I27" i="31"/>
  <c r="BW27" i="31" s="1"/>
  <c r="AA27" i="31"/>
  <c r="AA81" i="31"/>
  <c r="AB81" i="31"/>
  <c r="I81" i="31"/>
  <c r="BW81" i="31" s="1"/>
  <c r="AB70" i="31"/>
  <c r="AA70" i="31"/>
  <c r="I70" i="31"/>
  <c r="BW70" i="31" s="1"/>
  <c r="AA49" i="31"/>
  <c r="I49" i="31"/>
  <c r="BW49" i="31" s="1"/>
  <c r="AB49" i="31"/>
  <c r="AB16" i="31"/>
  <c r="AA16" i="31"/>
  <c r="I16" i="31"/>
  <c r="BW16" i="31" s="1"/>
  <c r="I104" i="31"/>
  <c r="BW104" i="31" s="1"/>
  <c r="AA104" i="31"/>
  <c r="AB104" i="31"/>
  <c r="AB71" i="31"/>
  <c r="I71" i="31"/>
  <c r="BW71" i="31" s="1"/>
  <c r="AA71" i="31"/>
  <c r="AA82" i="31"/>
  <c r="I82" i="31"/>
  <c r="BW82" i="31" s="1"/>
  <c r="AB82" i="31"/>
  <c r="I60" i="31"/>
  <c r="BW60" i="31" s="1"/>
  <c r="AA60" i="31"/>
  <c r="AB60" i="31"/>
  <c r="AA115" i="31"/>
  <c r="AB115" i="31"/>
  <c r="I115" i="31"/>
  <c r="BW115" i="31" s="1"/>
  <c r="L46" i="31"/>
  <c r="AL57" i="31"/>
  <c r="AK58" i="31"/>
  <c r="BM58" i="31" s="1"/>
  <c r="K48" i="31"/>
  <c r="BG48" i="31" s="1"/>
  <c r="BY48" i="31"/>
  <c r="K59" i="31"/>
  <c r="BG59" i="31" s="1"/>
  <c r="BY59" i="31"/>
  <c r="K15" i="31"/>
  <c r="BG15" i="31" s="1"/>
  <c r="BY15" i="31"/>
  <c r="K26" i="31"/>
  <c r="BG26" i="31" s="1"/>
  <c r="BY26" i="31"/>
  <c r="K37" i="31"/>
  <c r="BG37" i="31" s="1"/>
  <c r="BY37" i="31"/>
  <c r="AL46" i="31"/>
  <c r="K69" i="31"/>
  <c r="BG69" i="31" s="1"/>
  <c r="L69" i="31" s="1"/>
  <c r="AK69" i="31"/>
  <c r="BM69" i="31" s="1"/>
  <c r="AJ81" i="31"/>
  <c r="H162" i="31"/>
  <c r="H158" i="31"/>
  <c r="AJ71" i="31"/>
  <c r="BX71" i="31" s="1"/>
  <c r="AJ49" i="31"/>
  <c r="BX49" i="31" s="1"/>
  <c r="H159" i="31"/>
  <c r="H153" i="31"/>
  <c r="H160" i="31"/>
  <c r="H151" i="31"/>
  <c r="H152" i="31"/>
  <c r="L57" i="31"/>
  <c r="H156" i="31"/>
  <c r="AJ38" i="31"/>
  <c r="BX38" i="31" s="1"/>
  <c r="AJ16" i="31"/>
  <c r="BX16" i="31" s="1"/>
  <c r="F93" i="31"/>
  <c r="AC93" i="31" s="1"/>
  <c r="H161" i="31"/>
  <c r="H157" i="31"/>
  <c r="AJ60" i="31"/>
  <c r="BX60" i="31" s="1"/>
  <c r="AJ27" i="31"/>
  <c r="BX27" i="31" s="1"/>
  <c r="AJ82" i="31"/>
  <c r="BX82" i="31" s="1"/>
  <c r="H167" i="31"/>
  <c r="H154" i="31"/>
  <c r="BG80" i="31"/>
  <c r="L80" i="31" s="1"/>
  <c r="BG79" i="31"/>
  <c r="L79" i="31" s="1"/>
  <c r="BM67" i="31"/>
  <c r="AL67" i="31" s="1"/>
  <c r="V91" i="31"/>
  <c r="BK91" i="31" s="1"/>
  <c r="AJ91" i="31"/>
  <c r="BX91" i="31" s="1"/>
  <c r="AK79" i="31"/>
  <c r="AK80" i="31"/>
  <c r="BM80" i="31" s="1"/>
  <c r="J94" i="31"/>
  <c r="J98" i="31"/>
  <c r="J91" i="31"/>
  <c r="K91" i="31" s="1"/>
  <c r="BY79" i="31"/>
  <c r="J111" i="31"/>
  <c r="J97" i="31"/>
  <c r="BY80" i="31"/>
  <c r="J96" i="31"/>
  <c r="J101" i="31"/>
  <c r="J95" i="31"/>
  <c r="J100" i="31"/>
  <c r="J102" i="31"/>
  <c r="L14" i="31"/>
  <c r="AL36" i="31"/>
  <c r="AL25" i="31"/>
  <c r="V101" i="31"/>
  <c r="BK101" i="31" s="1"/>
  <c r="V100" i="31"/>
  <c r="BK100" i="31" s="1"/>
  <c r="V96" i="31"/>
  <c r="BK96" i="31" s="1"/>
  <c r="V94" i="31"/>
  <c r="BK94" i="31" s="1"/>
  <c r="L68" i="31"/>
  <c r="V95" i="31"/>
  <c r="BK95" i="31" s="1"/>
  <c r="V98" i="31"/>
  <c r="BK98" i="31" s="1"/>
  <c r="V102" i="31"/>
  <c r="BK102" i="31" s="1"/>
  <c r="V97" i="31"/>
  <c r="BK97" i="31" s="1"/>
  <c r="V111" i="31"/>
  <c r="BK111" i="31" s="1"/>
  <c r="V92" i="31"/>
  <c r="BK92" i="31" s="1"/>
  <c r="V93" i="31"/>
  <c r="BK93" i="31" s="1"/>
  <c r="J92" i="31"/>
  <c r="K92" i="31" s="1"/>
  <c r="AK26" i="31"/>
  <c r="B113" i="31"/>
  <c r="C113" i="31"/>
  <c r="B104" i="31"/>
  <c r="AJ104" i="31" s="1"/>
  <c r="BX104" i="31" s="1"/>
  <c r="C104" i="31"/>
  <c r="AK48" i="31"/>
  <c r="BM48" i="31" s="1"/>
  <c r="F72" i="31"/>
  <c r="AC72" i="31" s="1"/>
  <c r="L36" i="31"/>
  <c r="F83" i="31"/>
  <c r="AC83" i="31" s="1"/>
  <c r="B112" i="31"/>
  <c r="C112" i="31"/>
  <c r="B110" i="31"/>
  <c r="C110" i="31"/>
  <c r="B106" i="31"/>
  <c r="C106" i="31"/>
  <c r="F28" i="31"/>
  <c r="AC28" i="31" s="1"/>
  <c r="F17" i="31"/>
  <c r="AC17" i="31" s="1"/>
  <c r="AK15" i="31"/>
  <c r="BM15" i="31" s="1"/>
  <c r="F61" i="31"/>
  <c r="AC61" i="31" s="1"/>
  <c r="B114" i="31"/>
  <c r="C114" i="31"/>
  <c r="B103" i="31"/>
  <c r="C103" i="31"/>
  <c r="B109" i="31"/>
  <c r="C109" i="31"/>
  <c r="AW17" i="31"/>
  <c r="F116" i="31"/>
  <c r="AC116" i="31" s="1"/>
  <c r="AL14" i="31"/>
  <c r="J93" i="31"/>
  <c r="B123" i="31"/>
  <c r="C123" i="31"/>
  <c r="F50" i="31"/>
  <c r="AC50" i="31" s="1"/>
  <c r="B107" i="31"/>
  <c r="C107" i="31"/>
  <c r="AK59" i="31"/>
  <c r="B108" i="31"/>
  <c r="C108" i="31"/>
  <c r="F39" i="31"/>
  <c r="AC39" i="31" s="1"/>
  <c r="AK37" i="31"/>
  <c r="F127" i="31"/>
  <c r="AC127" i="31" s="1"/>
  <c r="F94" i="31"/>
  <c r="AC94" i="31" s="1"/>
  <c r="B105" i="31"/>
  <c r="C105" i="31"/>
  <c r="L47" i="31" l="1"/>
  <c r="AK70" i="31"/>
  <c r="BM70" i="31" s="1"/>
  <c r="L25" i="31"/>
  <c r="BY70" i="31"/>
  <c r="L58" i="31"/>
  <c r="K70" i="31"/>
  <c r="BG70" i="31" s="1"/>
  <c r="AA39" i="31"/>
  <c r="AB39" i="31"/>
  <c r="I39" i="31"/>
  <c r="BW39" i="31" s="1"/>
  <c r="AB61" i="31"/>
  <c r="AA61" i="31"/>
  <c r="I61" i="31"/>
  <c r="BW61" i="31" s="1"/>
  <c r="AB72" i="31"/>
  <c r="I72" i="31"/>
  <c r="BW72" i="31" s="1"/>
  <c r="AA72" i="31"/>
  <c r="AA93" i="31"/>
  <c r="AB93" i="31"/>
  <c r="I93" i="31"/>
  <c r="BW93" i="31" s="1"/>
  <c r="AB83" i="31"/>
  <c r="I83" i="31"/>
  <c r="BW83" i="31" s="1"/>
  <c r="AA83" i="31"/>
  <c r="AB116" i="31"/>
  <c r="AA116" i="31"/>
  <c r="I116" i="31"/>
  <c r="BW116" i="31" s="1"/>
  <c r="AA28" i="31"/>
  <c r="I28" i="31"/>
  <c r="BW28" i="31" s="1"/>
  <c r="AB28" i="31"/>
  <c r="AB127" i="31"/>
  <c r="I127" i="31"/>
  <c r="BW127" i="31" s="1"/>
  <c r="AA127" i="31"/>
  <c r="AB50" i="31"/>
  <c r="AA50" i="31"/>
  <c r="I50" i="31"/>
  <c r="BW50" i="31" s="1"/>
  <c r="AB17" i="31"/>
  <c r="AA17" i="31"/>
  <c r="I17" i="31"/>
  <c r="BW17" i="31" s="1"/>
  <c r="I94" i="31"/>
  <c r="BW94" i="31" s="1"/>
  <c r="AB94" i="31"/>
  <c r="AA94" i="31"/>
  <c r="AL58" i="31"/>
  <c r="K82" i="31"/>
  <c r="BG82" i="31" s="1"/>
  <c r="BY82" i="31"/>
  <c r="K60" i="31"/>
  <c r="BG60" i="31" s="1"/>
  <c r="BY60" i="31"/>
  <c r="K38" i="31"/>
  <c r="BG38" i="31" s="1"/>
  <c r="BY38" i="31"/>
  <c r="K71" i="31"/>
  <c r="BG71" i="31" s="1"/>
  <c r="BY71" i="31"/>
  <c r="AK81" i="31"/>
  <c r="BM81" i="31" s="1"/>
  <c r="BX81" i="31"/>
  <c r="K27" i="31"/>
  <c r="BG27" i="31" s="1"/>
  <c r="BY27" i="31"/>
  <c r="K16" i="31"/>
  <c r="BG16" i="31" s="1"/>
  <c r="BY16" i="31"/>
  <c r="K49" i="31"/>
  <c r="BG49" i="31" s="1"/>
  <c r="BY49" i="31"/>
  <c r="K81" i="31"/>
  <c r="BG81" i="31" s="1"/>
  <c r="AL69" i="31"/>
  <c r="H166" i="31"/>
  <c r="F105" i="31"/>
  <c r="AC105" i="31" s="1"/>
  <c r="H163" i="31"/>
  <c r="H173" i="31"/>
  <c r="H168" i="31"/>
  <c r="H164" i="31"/>
  <c r="H171" i="31"/>
  <c r="H174" i="31"/>
  <c r="AJ39" i="31"/>
  <c r="BX39" i="31" s="1"/>
  <c r="AJ50" i="31"/>
  <c r="BX50" i="31" s="1"/>
  <c r="AJ94" i="31"/>
  <c r="BX94" i="31" s="1"/>
  <c r="AJ83" i="31"/>
  <c r="BX83" i="31" s="1"/>
  <c r="AJ72" i="31"/>
  <c r="BX72" i="31" s="1"/>
  <c r="AJ28" i="31"/>
  <c r="BX28" i="31" s="1"/>
  <c r="H169" i="31"/>
  <c r="H165" i="31"/>
  <c r="H170" i="31"/>
  <c r="AJ93" i="31"/>
  <c r="BX93" i="31" s="1"/>
  <c r="AJ61" i="31"/>
  <c r="BX61" i="31" s="1"/>
  <c r="AJ17" i="31"/>
  <c r="BX17" i="31" s="1"/>
  <c r="H179" i="31"/>
  <c r="H172" i="31"/>
  <c r="BG91" i="31"/>
  <c r="L91" i="31" s="1"/>
  <c r="BM37" i="31"/>
  <c r="AL37" i="31" s="1"/>
  <c r="BM26" i="31"/>
  <c r="AL26" i="31" s="1"/>
  <c r="BM59" i="31"/>
  <c r="AL59" i="31" s="1"/>
  <c r="BM79" i="31"/>
  <c r="AL79" i="31" s="1"/>
  <c r="V105" i="31"/>
  <c r="BK105" i="31" s="1"/>
  <c r="V103" i="31"/>
  <c r="BK103" i="31" s="1"/>
  <c r="AJ103" i="31"/>
  <c r="BX103" i="31" s="1"/>
  <c r="AL80" i="31"/>
  <c r="AK92" i="31"/>
  <c r="BM92" i="31" s="1"/>
  <c r="J108" i="31"/>
  <c r="J110" i="31"/>
  <c r="J113" i="31"/>
  <c r="J107" i="31"/>
  <c r="J112" i="31"/>
  <c r="BY92" i="31"/>
  <c r="J114" i="31"/>
  <c r="J123" i="31"/>
  <c r="J109" i="31"/>
  <c r="J106" i="31"/>
  <c r="AK91" i="31"/>
  <c r="L37" i="31"/>
  <c r="L59" i="31"/>
  <c r="L26" i="31"/>
  <c r="L48" i="31"/>
  <c r="V112" i="31"/>
  <c r="BK112" i="31" s="1"/>
  <c r="V104" i="31"/>
  <c r="BK104" i="31" s="1"/>
  <c r="V109" i="31"/>
  <c r="BK109" i="31" s="1"/>
  <c r="V114" i="31"/>
  <c r="BK114" i="31" s="1"/>
  <c r="V106" i="31"/>
  <c r="BK106" i="31" s="1"/>
  <c r="V113" i="31"/>
  <c r="BK113" i="31" s="1"/>
  <c r="V107" i="31"/>
  <c r="BK107" i="31" s="1"/>
  <c r="V123" i="31"/>
  <c r="BK123" i="31" s="1"/>
  <c r="V110" i="31"/>
  <c r="BK110" i="31" s="1"/>
  <c r="V108" i="31"/>
  <c r="BK108" i="31" s="1"/>
  <c r="BG92" i="31"/>
  <c r="BY91" i="31"/>
  <c r="J104" i="31"/>
  <c r="K104" i="31" s="1"/>
  <c r="AK82" i="31"/>
  <c r="BM82" i="31" s="1"/>
  <c r="F106" i="31"/>
  <c r="AC106" i="31" s="1"/>
  <c r="F51" i="31"/>
  <c r="AC51" i="31" s="1"/>
  <c r="L15" i="31"/>
  <c r="B119" i="31"/>
  <c r="C119" i="31"/>
  <c r="AK38" i="31"/>
  <c r="BM38" i="31" s="1"/>
  <c r="F128" i="31"/>
  <c r="AC128" i="31" s="1"/>
  <c r="B126" i="31"/>
  <c r="C126" i="31"/>
  <c r="F73" i="31"/>
  <c r="AC73" i="31" s="1"/>
  <c r="F40" i="31"/>
  <c r="AC40" i="31" s="1"/>
  <c r="B122" i="31"/>
  <c r="C122" i="31"/>
  <c r="AK60" i="31"/>
  <c r="BM60" i="31" s="1"/>
  <c r="F84" i="31"/>
  <c r="AC84" i="31" s="1"/>
  <c r="B116" i="31"/>
  <c r="AJ116" i="31" s="1"/>
  <c r="BX116" i="31" s="1"/>
  <c r="C116" i="31"/>
  <c r="J105" i="31"/>
  <c r="J103" i="31"/>
  <c r="K103" i="31" s="1"/>
  <c r="AL48" i="31"/>
  <c r="B117" i="31"/>
  <c r="C117" i="31"/>
  <c r="F139" i="31"/>
  <c r="AC139" i="31" s="1"/>
  <c r="AK27" i="31"/>
  <c r="BM27" i="31" s="1"/>
  <c r="B120" i="31"/>
  <c r="C120" i="31"/>
  <c r="F62" i="31"/>
  <c r="AC62" i="31" s="1"/>
  <c r="B135" i="31"/>
  <c r="C135" i="31"/>
  <c r="AW18" i="31"/>
  <c r="B121" i="31"/>
  <c r="C121" i="31"/>
  <c r="B115" i="31"/>
  <c r="C115" i="31"/>
  <c r="AK49" i="31"/>
  <c r="BM49" i="31" s="1"/>
  <c r="AK16" i="31"/>
  <c r="F29" i="31"/>
  <c r="AC29" i="31" s="1"/>
  <c r="F18" i="31"/>
  <c r="AC18" i="31" s="1"/>
  <c r="B118" i="31"/>
  <c r="C118" i="31"/>
  <c r="B124" i="31"/>
  <c r="C124" i="31"/>
  <c r="AK71" i="31"/>
  <c r="F95" i="31"/>
  <c r="AC95" i="31" s="1"/>
  <c r="B125" i="31"/>
  <c r="C125" i="31"/>
  <c r="AL15" i="31"/>
  <c r="AL70" i="31" l="1"/>
  <c r="BY81" i="31"/>
  <c r="BY93" i="31"/>
  <c r="BY94" i="31"/>
  <c r="L70" i="31"/>
  <c r="AA29" i="31"/>
  <c r="AB29" i="31"/>
  <c r="I29" i="31"/>
  <c r="BW29" i="31" s="1"/>
  <c r="AA105" i="31"/>
  <c r="AB105" i="31"/>
  <c r="I105" i="31"/>
  <c r="BW105" i="31" s="1"/>
  <c r="AA18" i="31"/>
  <c r="AB18" i="31"/>
  <c r="I18" i="31"/>
  <c r="BW18" i="31" s="1"/>
  <c r="AB73" i="31"/>
  <c r="AA73" i="31"/>
  <c r="I73" i="31"/>
  <c r="BW73" i="31" s="1"/>
  <c r="AB128" i="31"/>
  <c r="I128" i="31"/>
  <c r="BW128" i="31" s="1"/>
  <c r="AA128" i="31"/>
  <c r="AA51" i="31"/>
  <c r="AB51" i="31"/>
  <c r="I51" i="31"/>
  <c r="BW51" i="31" s="1"/>
  <c r="AB62" i="31"/>
  <c r="AA62" i="31"/>
  <c r="I62" i="31"/>
  <c r="BW62" i="31" s="1"/>
  <c r="AB139" i="31"/>
  <c r="AA139" i="31"/>
  <c r="I139" i="31"/>
  <c r="BW139" i="31" s="1"/>
  <c r="AA84" i="31"/>
  <c r="AB84" i="31"/>
  <c r="I84" i="31"/>
  <c r="BW84" i="31" s="1"/>
  <c r="AA40" i="31"/>
  <c r="AB40" i="31"/>
  <c r="I40" i="31"/>
  <c r="BW40" i="31" s="1"/>
  <c r="AB95" i="31"/>
  <c r="I95" i="31"/>
  <c r="BW95" i="31" s="1"/>
  <c r="AA95" i="31"/>
  <c r="AA106" i="31"/>
  <c r="I106" i="31"/>
  <c r="BW106" i="31" s="1"/>
  <c r="AB106" i="31"/>
  <c r="AL81" i="31"/>
  <c r="K61" i="31"/>
  <c r="BG61" i="31" s="1"/>
  <c r="BY61" i="31"/>
  <c r="K28" i="31"/>
  <c r="BG28" i="31" s="1"/>
  <c r="BY28" i="31"/>
  <c r="K83" i="31"/>
  <c r="BG83" i="31" s="1"/>
  <c r="BY83" i="31"/>
  <c r="K50" i="31"/>
  <c r="BG50" i="31" s="1"/>
  <c r="BY50" i="31"/>
  <c r="K17" i="31"/>
  <c r="BG17" i="31" s="1"/>
  <c r="BY17" i="31"/>
  <c r="K72" i="31"/>
  <c r="BG72" i="31" s="1"/>
  <c r="BY72" i="31"/>
  <c r="K39" i="31"/>
  <c r="BG39" i="31" s="1"/>
  <c r="BY39" i="31"/>
  <c r="K93" i="31"/>
  <c r="BG93" i="31" s="1"/>
  <c r="AJ105" i="31"/>
  <c r="K94" i="31"/>
  <c r="BG94" i="31" s="1"/>
  <c r="L81" i="31"/>
  <c r="AK93" i="31"/>
  <c r="BM93" i="31" s="1"/>
  <c r="H180" i="31"/>
  <c r="H178" i="31"/>
  <c r="AJ95" i="31"/>
  <c r="BX95" i="31" s="1"/>
  <c r="AJ40" i="31"/>
  <c r="BX40" i="31" s="1"/>
  <c r="H177" i="31"/>
  <c r="H176" i="31"/>
  <c r="F117" i="31"/>
  <c r="AC117" i="31" s="1"/>
  <c r="AJ29" i="31"/>
  <c r="BX29" i="31" s="1"/>
  <c r="AJ73" i="31"/>
  <c r="BX73" i="31" s="1"/>
  <c r="H191" i="31"/>
  <c r="H182" i="31"/>
  <c r="H183" i="31"/>
  <c r="H175" i="31"/>
  <c r="AJ106" i="31"/>
  <c r="BX106" i="31" s="1"/>
  <c r="H181" i="31"/>
  <c r="AJ18" i="31"/>
  <c r="BX18" i="31" s="1"/>
  <c r="AJ62" i="31"/>
  <c r="BX62" i="31" s="1"/>
  <c r="AJ84" i="31"/>
  <c r="BX84" i="31" s="1"/>
  <c r="AJ51" i="31"/>
  <c r="BX51" i="31" s="1"/>
  <c r="H184" i="31"/>
  <c r="H186" i="31"/>
  <c r="H185" i="31"/>
  <c r="BG103" i="31"/>
  <c r="L103" i="31" s="1"/>
  <c r="BM16" i="31"/>
  <c r="AL16" i="31" s="1"/>
  <c r="BM71" i="31"/>
  <c r="AL71" i="31" s="1"/>
  <c r="BM91" i="31"/>
  <c r="AL91" i="31" s="1"/>
  <c r="AK103" i="31"/>
  <c r="V115" i="31"/>
  <c r="BK115" i="31" s="1"/>
  <c r="AJ115" i="31"/>
  <c r="BX115" i="31" s="1"/>
  <c r="V117" i="31"/>
  <c r="BK117" i="31" s="1"/>
  <c r="AL92" i="31"/>
  <c r="AK104" i="31"/>
  <c r="BM104" i="31" s="1"/>
  <c r="J119" i="31"/>
  <c r="J118" i="31"/>
  <c r="J122" i="31"/>
  <c r="J126" i="31"/>
  <c r="J125" i="31"/>
  <c r="J121" i="31"/>
  <c r="J120" i="31"/>
  <c r="BY103" i="31"/>
  <c r="BY104" i="31"/>
  <c r="J124" i="31"/>
  <c r="J135" i="31"/>
  <c r="L71" i="31"/>
  <c r="AL49" i="31"/>
  <c r="L49" i="31"/>
  <c r="L38" i="31"/>
  <c r="L27" i="31"/>
  <c r="V124" i="31"/>
  <c r="BK124" i="31" s="1"/>
  <c r="V135" i="31"/>
  <c r="BK135" i="31" s="1"/>
  <c r="V122" i="31"/>
  <c r="BK122" i="31" s="1"/>
  <c r="V126" i="31"/>
  <c r="V119" i="31"/>
  <c r="BK119" i="31" s="1"/>
  <c r="L92" i="31"/>
  <c r="L16" i="31"/>
  <c r="V121" i="31"/>
  <c r="BK121" i="31" s="1"/>
  <c r="V116" i="31"/>
  <c r="BK116" i="31" s="1"/>
  <c r="V125" i="31"/>
  <c r="BK125" i="31" s="1"/>
  <c r="V118" i="31"/>
  <c r="BK118" i="31" s="1"/>
  <c r="V120" i="31"/>
  <c r="BK120" i="31" s="1"/>
  <c r="BG104" i="31"/>
  <c r="L60" i="31"/>
  <c r="J116" i="31"/>
  <c r="K116" i="31" s="1"/>
  <c r="B137" i="31"/>
  <c r="C137" i="31"/>
  <c r="F107" i="31"/>
  <c r="AC107" i="31" s="1"/>
  <c r="B136" i="31"/>
  <c r="C136" i="31"/>
  <c r="F30" i="31"/>
  <c r="AC30" i="31" s="1"/>
  <c r="F41" i="31"/>
  <c r="AC41" i="31" s="1"/>
  <c r="B147" i="31"/>
  <c r="C147" i="31"/>
  <c r="F74" i="31"/>
  <c r="AC74" i="31" s="1"/>
  <c r="L82" i="31"/>
  <c r="B129" i="31"/>
  <c r="C129" i="31"/>
  <c r="B128" i="31"/>
  <c r="AJ128" i="31" s="1"/>
  <c r="BX128" i="31" s="1"/>
  <c r="C128" i="31"/>
  <c r="F96" i="31"/>
  <c r="AC96" i="31" s="1"/>
  <c r="F52" i="31"/>
  <c r="AC52" i="31" s="1"/>
  <c r="AK61" i="31"/>
  <c r="F63" i="31"/>
  <c r="AC63" i="31" s="1"/>
  <c r="AK94" i="31"/>
  <c r="BM94" i="31" s="1"/>
  <c r="F118" i="31"/>
  <c r="AC118" i="31" s="1"/>
  <c r="J115" i="31"/>
  <c r="K115" i="31" s="1"/>
  <c r="AL27" i="31"/>
  <c r="AL38" i="31"/>
  <c r="AK83" i="31"/>
  <c r="B130" i="31"/>
  <c r="C130" i="31"/>
  <c r="AK17" i="31"/>
  <c r="BM17" i="31" s="1"/>
  <c r="B127" i="31"/>
  <c r="C127" i="31"/>
  <c r="J127" i="31" s="1"/>
  <c r="B133" i="31"/>
  <c r="C133" i="31"/>
  <c r="AW19" i="31"/>
  <c r="AK50" i="31"/>
  <c r="BM50" i="31" s="1"/>
  <c r="B132" i="31"/>
  <c r="C132" i="31"/>
  <c r="F151" i="31"/>
  <c r="AC151" i="31" s="1"/>
  <c r="AK72" i="31"/>
  <c r="BM72" i="31" s="1"/>
  <c r="B134" i="31"/>
  <c r="C134" i="31"/>
  <c r="AK28" i="31"/>
  <c r="BM28" i="31" s="1"/>
  <c r="F85" i="31"/>
  <c r="AC85" i="31" s="1"/>
  <c r="B138" i="31"/>
  <c r="C138" i="31"/>
  <c r="F140" i="31"/>
  <c r="AC140" i="31" s="1"/>
  <c r="B131" i="31"/>
  <c r="C131" i="31"/>
  <c r="AK39" i="31"/>
  <c r="J117" i="31"/>
  <c r="AL60" i="31"/>
  <c r="AL82" i="31"/>
  <c r="AA32" i="35" l="1"/>
  <c r="AB96" i="31"/>
  <c r="AA96" i="31"/>
  <c r="I96" i="31"/>
  <c r="BW96" i="31" s="1"/>
  <c r="AB140" i="31"/>
  <c r="I140" i="31"/>
  <c r="BW140" i="31" s="1"/>
  <c r="AA140" i="31"/>
  <c r="AA151" i="31"/>
  <c r="I151" i="31"/>
  <c r="BW151" i="31" s="1"/>
  <c r="AB151" i="31"/>
  <c r="AA118" i="31"/>
  <c r="AB118" i="31"/>
  <c r="I118" i="31"/>
  <c r="BW118" i="31" s="1"/>
  <c r="AA52" i="31"/>
  <c r="AB52" i="31"/>
  <c r="I52" i="31"/>
  <c r="BW52" i="31" s="1"/>
  <c r="AA117" i="31"/>
  <c r="AB117" i="31"/>
  <c r="I117" i="31"/>
  <c r="BW117" i="31" s="1"/>
  <c r="AB85" i="31"/>
  <c r="AA85" i="31"/>
  <c r="I85" i="31"/>
  <c r="BW85" i="31" s="1"/>
  <c r="AA74" i="31"/>
  <c r="I74" i="31"/>
  <c r="BW74" i="31" s="1"/>
  <c r="AB74" i="31"/>
  <c r="AB30" i="31"/>
  <c r="AA30" i="31"/>
  <c r="I30" i="31"/>
  <c r="BW30" i="31" s="1"/>
  <c r="AA63" i="31"/>
  <c r="AB63" i="31"/>
  <c r="I63" i="31"/>
  <c r="BW63" i="31" s="1"/>
  <c r="AA41" i="31"/>
  <c r="AB41" i="31"/>
  <c r="I41" i="31"/>
  <c r="BW41" i="31" s="1"/>
  <c r="AB107" i="31"/>
  <c r="I107" i="31"/>
  <c r="BW107" i="31" s="1"/>
  <c r="AA107" i="31"/>
  <c r="K18" i="31"/>
  <c r="BG18" i="31" s="1"/>
  <c r="BY18" i="31"/>
  <c r="K29" i="31"/>
  <c r="BG29" i="31" s="1"/>
  <c r="BY29" i="31"/>
  <c r="K84" i="31"/>
  <c r="BG84" i="31" s="1"/>
  <c r="BY84" i="31"/>
  <c r="K106" i="31"/>
  <c r="BG106" i="31" s="1"/>
  <c r="BY106" i="31"/>
  <c r="K40" i="31"/>
  <c r="BG40" i="31" s="1"/>
  <c r="BY40" i="31"/>
  <c r="AK105" i="31"/>
  <c r="BM105" i="31" s="1"/>
  <c r="BX105" i="31"/>
  <c r="K62" i="31"/>
  <c r="BG62" i="31" s="1"/>
  <c r="BY62" i="31"/>
  <c r="K73" i="31"/>
  <c r="BG73" i="31" s="1"/>
  <c r="BY73" i="31"/>
  <c r="K51" i="31"/>
  <c r="BG51" i="31" s="1"/>
  <c r="BY51" i="31"/>
  <c r="K95" i="31"/>
  <c r="BG95" i="31" s="1"/>
  <c r="BY95" i="31"/>
  <c r="K105" i="31"/>
  <c r="BG105" i="31" s="1"/>
  <c r="L105" i="31" s="1"/>
  <c r="L93" i="31"/>
  <c r="BK126" i="31"/>
  <c r="AJ117" i="31"/>
  <c r="BX117" i="31" s="1"/>
  <c r="AL93" i="31"/>
  <c r="H193" i="31"/>
  <c r="H195" i="31"/>
  <c r="H189" i="31"/>
  <c r="H192" i="31"/>
  <c r="AJ118" i="31"/>
  <c r="BX118" i="31" s="1"/>
  <c r="H197" i="31"/>
  <c r="H194" i="31"/>
  <c r="AJ96" i="31"/>
  <c r="BX96" i="31" s="1"/>
  <c r="AJ85" i="31"/>
  <c r="BX85" i="31" s="1"/>
  <c r="AJ41" i="31"/>
  <c r="BX41" i="31" s="1"/>
  <c r="AJ107" i="31"/>
  <c r="BX107" i="31" s="1"/>
  <c r="H196" i="31"/>
  <c r="H187" i="31"/>
  <c r="H188" i="31"/>
  <c r="H190" i="31"/>
  <c r="AJ63" i="31"/>
  <c r="BX63" i="31" s="1"/>
  <c r="AJ52" i="31"/>
  <c r="BX52" i="31" s="1"/>
  <c r="AJ74" i="31"/>
  <c r="BX74" i="31" s="1"/>
  <c r="AJ30" i="31"/>
  <c r="BX30" i="31" s="1"/>
  <c r="H198" i="31"/>
  <c r="H203" i="31"/>
  <c r="F129" i="31"/>
  <c r="AC129" i="31" s="1"/>
  <c r="BM103" i="31"/>
  <c r="AL103" i="31" s="1"/>
  <c r="BM61" i="31"/>
  <c r="AL61" i="31" s="1"/>
  <c r="BM39" i="31"/>
  <c r="AL39" i="31" s="1"/>
  <c r="BM83" i="31"/>
  <c r="AL83" i="31" s="1"/>
  <c r="V131" i="31"/>
  <c r="BK131" i="31" s="1"/>
  <c r="V127" i="31"/>
  <c r="BK127" i="31" s="1"/>
  <c r="AJ127" i="31"/>
  <c r="BX127" i="31" s="1"/>
  <c r="AL104" i="31"/>
  <c r="AK116" i="31"/>
  <c r="BM116" i="31" s="1"/>
  <c r="AK115" i="31"/>
  <c r="AK128" i="31"/>
  <c r="BM128" i="31" s="1"/>
  <c r="J131" i="31"/>
  <c r="J137" i="31"/>
  <c r="BY116" i="31"/>
  <c r="J138" i="31"/>
  <c r="J132" i="31"/>
  <c r="J133" i="31"/>
  <c r="J147" i="31"/>
  <c r="J136" i="31"/>
  <c r="J134" i="31"/>
  <c r="J130" i="31"/>
  <c r="BY115" i="31"/>
  <c r="L39" i="31"/>
  <c r="AL28" i="31"/>
  <c r="AL94" i="31"/>
  <c r="L28" i="31"/>
  <c r="L17" i="31"/>
  <c r="L83" i="31"/>
  <c r="L50" i="31"/>
  <c r="L61" i="31"/>
  <c r="V128" i="31"/>
  <c r="BK128" i="31" s="1"/>
  <c r="V136" i="31"/>
  <c r="BK136" i="31" s="1"/>
  <c r="V137" i="31"/>
  <c r="BK137" i="31" s="1"/>
  <c r="V138" i="31"/>
  <c r="V130" i="31"/>
  <c r="BK130" i="31" s="1"/>
  <c r="L104" i="31"/>
  <c r="V134" i="31"/>
  <c r="BK134" i="31" s="1"/>
  <c r="V132" i="31"/>
  <c r="BK132" i="31" s="1"/>
  <c r="V133" i="31"/>
  <c r="BK133" i="31" s="1"/>
  <c r="V129" i="31"/>
  <c r="BK129" i="31" s="1"/>
  <c r="V147" i="31"/>
  <c r="BK147" i="31" s="1"/>
  <c r="BG116" i="31"/>
  <c r="J129" i="31"/>
  <c r="F152" i="31"/>
  <c r="AC152" i="31" s="1"/>
  <c r="AK73" i="31"/>
  <c r="B146" i="31"/>
  <c r="C146" i="31"/>
  <c r="F163" i="31"/>
  <c r="AC163" i="31" s="1"/>
  <c r="AW20" i="31"/>
  <c r="F130" i="31"/>
  <c r="AC130" i="31" s="1"/>
  <c r="AK51" i="31"/>
  <c r="F64" i="31"/>
  <c r="AC64" i="31" s="1"/>
  <c r="F108" i="31"/>
  <c r="AC108" i="31" s="1"/>
  <c r="B141" i="31"/>
  <c r="C141" i="31"/>
  <c r="F86" i="31"/>
  <c r="AC86" i="31" s="1"/>
  <c r="AK29" i="31"/>
  <c r="BM29" i="31" s="1"/>
  <c r="AK18" i="31"/>
  <c r="BM18" i="31" s="1"/>
  <c r="B148" i="31"/>
  <c r="C148" i="31"/>
  <c r="F119" i="31"/>
  <c r="AC119" i="31" s="1"/>
  <c r="B149" i="31"/>
  <c r="C149" i="31"/>
  <c r="AL50" i="31"/>
  <c r="K127" i="31"/>
  <c r="J128" i="31"/>
  <c r="K128" i="31" s="1"/>
  <c r="L94" i="31"/>
  <c r="B143" i="31"/>
  <c r="C143" i="31"/>
  <c r="B150" i="31"/>
  <c r="C150" i="31"/>
  <c r="F97" i="31"/>
  <c r="AC97" i="31" s="1"/>
  <c r="L72" i="31"/>
  <c r="B144" i="31"/>
  <c r="C144" i="31"/>
  <c r="B145" i="31"/>
  <c r="C145" i="31"/>
  <c r="B139" i="31"/>
  <c r="C139" i="31"/>
  <c r="B142" i="31"/>
  <c r="C142" i="31"/>
  <c r="AK106" i="31"/>
  <c r="BM106" i="31" s="1"/>
  <c r="F75" i="31"/>
  <c r="AC75" i="31" s="1"/>
  <c r="AK40" i="31"/>
  <c r="BM40" i="31" s="1"/>
  <c r="AK84" i="31"/>
  <c r="BM84" i="31" s="1"/>
  <c r="B140" i="31"/>
  <c r="AJ140" i="31" s="1"/>
  <c r="BX140" i="31" s="1"/>
  <c r="C140" i="31"/>
  <c r="AK62" i="31"/>
  <c r="BM62" i="31" s="1"/>
  <c r="B159" i="31"/>
  <c r="C159" i="31"/>
  <c r="F53" i="31"/>
  <c r="AC53" i="31" s="1"/>
  <c r="F42" i="31"/>
  <c r="AC42" i="31" s="1"/>
  <c r="AK95" i="31"/>
  <c r="AL72" i="31"/>
  <c r="AL17" i="31"/>
  <c r="BY105" i="31" l="1"/>
  <c r="BY117" i="31"/>
  <c r="AA130" i="31"/>
  <c r="I130" i="31"/>
  <c r="BW130" i="31" s="1"/>
  <c r="AB130" i="31"/>
  <c r="AB97" i="31"/>
  <c r="AA97" i="31"/>
  <c r="I97" i="31"/>
  <c r="BW97" i="31" s="1"/>
  <c r="AB86" i="31"/>
  <c r="AA86" i="31"/>
  <c r="I86" i="31"/>
  <c r="BW86" i="31" s="1"/>
  <c r="AB64" i="31"/>
  <c r="I64" i="31"/>
  <c r="BW64" i="31" s="1"/>
  <c r="AA64" i="31"/>
  <c r="AB163" i="31"/>
  <c r="AA163" i="31"/>
  <c r="I163" i="31"/>
  <c r="BW163" i="31" s="1"/>
  <c r="AA152" i="31"/>
  <c r="AB152" i="31"/>
  <c r="I152" i="31"/>
  <c r="BW152" i="31" s="1"/>
  <c r="AA53" i="31"/>
  <c r="AB53" i="31"/>
  <c r="I53" i="31"/>
  <c r="BW53" i="31" s="1"/>
  <c r="AB75" i="31"/>
  <c r="I75" i="31"/>
  <c r="BW75" i="31" s="1"/>
  <c r="AA75" i="31"/>
  <c r="I42" i="31"/>
  <c r="BW42" i="31" s="1"/>
  <c r="AB42" i="31"/>
  <c r="AA129" i="31"/>
  <c r="AB129" i="31"/>
  <c r="I129" i="31"/>
  <c r="BW129" i="31" s="1"/>
  <c r="AA119" i="31"/>
  <c r="AB119" i="31"/>
  <c r="I119" i="31"/>
  <c r="BW119" i="31" s="1"/>
  <c r="AA108" i="31"/>
  <c r="AB108" i="31"/>
  <c r="I108" i="31"/>
  <c r="BW108" i="31" s="1"/>
  <c r="AA33" i="35"/>
  <c r="BK138" i="31"/>
  <c r="AL105" i="31"/>
  <c r="K74" i="31"/>
  <c r="BG74" i="31" s="1"/>
  <c r="BY74" i="31"/>
  <c r="K107" i="31"/>
  <c r="BG107" i="31" s="1"/>
  <c r="BY107" i="31"/>
  <c r="K85" i="31"/>
  <c r="BG85" i="31" s="1"/>
  <c r="BY85" i="31"/>
  <c r="K52" i="31"/>
  <c r="BG52" i="31" s="1"/>
  <c r="BY52" i="31"/>
  <c r="K118" i="31"/>
  <c r="BG118" i="31" s="1"/>
  <c r="BY118" i="31"/>
  <c r="K30" i="31"/>
  <c r="BG30" i="31" s="1"/>
  <c r="BY30" i="31"/>
  <c r="K41" i="31"/>
  <c r="BG41" i="31" s="1"/>
  <c r="BY41" i="31"/>
  <c r="K96" i="31"/>
  <c r="BG96" i="31" s="1"/>
  <c r="BY96" i="31"/>
  <c r="K63" i="31"/>
  <c r="BG63" i="31" s="1"/>
  <c r="BY63" i="31"/>
  <c r="K117" i="31"/>
  <c r="BG117" i="31" s="1"/>
  <c r="AK117" i="31"/>
  <c r="BM117" i="31" s="1"/>
  <c r="AJ75" i="31"/>
  <c r="BX75" i="31" s="1"/>
  <c r="AJ64" i="31"/>
  <c r="BX64" i="31" s="1"/>
  <c r="AJ130" i="31"/>
  <c r="BX130" i="31" s="1"/>
  <c r="H215" i="31"/>
  <c r="H209" i="31"/>
  <c r="H204" i="31"/>
  <c r="AJ86" i="31"/>
  <c r="BX86" i="31" s="1"/>
  <c r="F141" i="31"/>
  <c r="AC141" i="31" s="1"/>
  <c r="H202" i="31"/>
  <c r="H206" i="31"/>
  <c r="H205" i="31"/>
  <c r="AJ119" i="31"/>
  <c r="BX119" i="31" s="1"/>
  <c r="H200" i="31"/>
  <c r="AJ97" i="31"/>
  <c r="BX97" i="31" s="1"/>
  <c r="H208" i="31"/>
  <c r="H207" i="31"/>
  <c r="AJ129" i="31"/>
  <c r="BX129" i="31" s="1"/>
  <c r="H210" i="31"/>
  <c r="AJ42" i="31"/>
  <c r="BX42" i="31" s="1"/>
  <c r="AJ53" i="31"/>
  <c r="BX53" i="31" s="1"/>
  <c r="AJ108" i="31"/>
  <c r="BX108" i="31" s="1"/>
  <c r="H199" i="31"/>
  <c r="H201" i="31"/>
  <c r="BG127" i="31"/>
  <c r="L127" i="31" s="1"/>
  <c r="BM51" i="31"/>
  <c r="AL51" i="31" s="1"/>
  <c r="BM115" i="31"/>
  <c r="AL115" i="31" s="1"/>
  <c r="BM73" i="31"/>
  <c r="AL73" i="31" s="1"/>
  <c r="BM95" i="31"/>
  <c r="AL95" i="31" s="1"/>
  <c r="V139" i="31"/>
  <c r="BK139" i="31" s="1"/>
  <c r="AJ139" i="31"/>
  <c r="BX139" i="31" s="1"/>
  <c r="AK127" i="31"/>
  <c r="AL116" i="31"/>
  <c r="BY128" i="31"/>
  <c r="J145" i="31"/>
  <c r="J150" i="31"/>
  <c r="J148" i="31"/>
  <c r="J146" i="31"/>
  <c r="BY127" i="31"/>
  <c r="J142" i="31"/>
  <c r="J149" i="31"/>
  <c r="J159" i="31"/>
  <c r="J144" i="31"/>
  <c r="J143" i="31"/>
  <c r="L29" i="31"/>
  <c r="L95" i="31"/>
  <c r="L18" i="31"/>
  <c r="L51" i="31"/>
  <c r="L40" i="31"/>
  <c r="V159" i="31"/>
  <c r="BK159" i="31" s="1"/>
  <c r="V140" i="31"/>
  <c r="BK140" i="31" s="1"/>
  <c r="V145" i="31"/>
  <c r="BK145" i="31" s="1"/>
  <c r="L73" i="31"/>
  <c r="V144" i="31"/>
  <c r="BK144" i="31" s="1"/>
  <c r="V149" i="31"/>
  <c r="BK149" i="31" s="1"/>
  <c r="V148" i="31"/>
  <c r="BK148" i="31" s="1"/>
  <c r="V150" i="31"/>
  <c r="V142" i="31"/>
  <c r="BK142" i="31" s="1"/>
  <c r="V143" i="31"/>
  <c r="BK143" i="31" s="1"/>
  <c r="V141" i="31"/>
  <c r="BK141" i="31" s="1"/>
  <c r="V146" i="31"/>
  <c r="BK146" i="31" s="1"/>
  <c r="L116" i="31"/>
  <c r="BG128" i="31"/>
  <c r="L62" i="31"/>
  <c r="AL84" i="31"/>
  <c r="AL18" i="31"/>
  <c r="J141" i="31"/>
  <c r="AL128" i="31"/>
  <c r="F54" i="31"/>
  <c r="AC54" i="31" s="1"/>
  <c r="AK41" i="31"/>
  <c r="BM41" i="31" s="1"/>
  <c r="B171" i="31"/>
  <c r="C171" i="31"/>
  <c r="B152" i="31"/>
  <c r="AJ152" i="31" s="1"/>
  <c r="BX152" i="31" s="1"/>
  <c r="C152" i="31"/>
  <c r="F87" i="31"/>
  <c r="AC87" i="31" s="1"/>
  <c r="B157" i="31"/>
  <c r="C157" i="31"/>
  <c r="B155" i="31"/>
  <c r="C155" i="31"/>
  <c r="AK74" i="31"/>
  <c r="BM74" i="31" s="1"/>
  <c r="B153" i="31"/>
  <c r="C153" i="31"/>
  <c r="F120" i="31"/>
  <c r="AC120" i="31" s="1"/>
  <c r="AK52" i="31"/>
  <c r="BM52" i="31" s="1"/>
  <c r="F76" i="31"/>
  <c r="AC76" i="31" s="1"/>
  <c r="AK118" i="31"/>
  <c r="BM118" i="31" s="1"/>
  <c r="L106" i="31"/>
  <c r="AW21" i="31"/>
  <c r="B158" i="31"/>
  <c r="C158" i="31"/>
  <c r="F164" i="31"/>
  <c r="AC164" i="31" s="1"/>
  <c r="AL40" i="31"/>
  <c r="AL106" i="31"/>
  <c r="J139" i="31"/>
  <c r="K139" i="31" s="1"/>
  <c r="AL29" i="31"/>
  <c r="AK30" i="31"/>
  <c r="BM30" i="31" s="1"/>
  <c r="F65" i="31"/>
  <c r="AC65" i="31" s="1"/>
  <c r="AK63" i="31"/>
  <c r="BM63" i="31" s="1"/>
  <c r="B154" i="31"/>
  <c r="C154" i="31"/>
  <c r="B151" i="31"/>
  <c r="C151" i="31"/>
  <c r="B156" i="31"/>
  <c r="C156" i="31"/>
  <c r="AK85" i="31"/>
  <c r="BM85" i="31" s="1"/>
  <c r="F109" i="31"/>
  <c r="AC109" i="31" s="1"/>
  <c r="B162" i="31"/>
  <c r="C162" i="31"/>
  <c r="B161" i="31"/>
  <c r="C161" i="31"/>
  <c r="AK107" i="31"/>
  <c r="BM107" i="31" s="1"/>
  <c r="F131" i="31"/>
  <c r="AC131" i="31" s="1"/>
  <c r="B160" i="31"/>
  <c r="C160" i="31"/>
  <c r="F98" i="31"/>
  <c r="AC98" i="31" s="1"/>
  <c r="AK96" i="31"/>
  <c r="BM96" i="31" s="1"/>
  <c r="L84" i="31"/>
  <c r="F142" i="31"/>
  <c r="AC142" i="31" s="1"/>
  <c r="F175" i="31"/>
  <c r="AC175" i="31" s="1"/>
  <c r="AL62" i="31"/>
  <c r="J140" i="31"/>
  <c r="K140" i="31" s="1"/>
  <c r="BY129" i="31" l="1"/>
  <c r="BY130" i="31"/>
  <c r="I131" i="31"/>
  <c r="BW131" i="31" s="1"/>
  <c r="AA131" i="31"/>
  <c r="AB131" i="31"/>
  <c r="AB142" i="31"/>
  <c r="I142" i="31"/>
  <c r="BW142" i="31" s="1"/>
  <c r="AA142" i="31"/>
  <c r="AA109" i="31"/>
  <c r="AB109" i="31"/>
  <c r="I109" i="31"/>
  <c r="BW109" i="31" s="1"/>
  <c r="AA175" i="31"/>
  <c r="I175" i="31"/>
  <c r="BW175" i="31" s="1"/>
  <c r="AB175" i="31"/>
  <c r="AA98" i="31"/>
  <c r="I98" i="31"/>
  <c r="BW98" i="31" s="1"/>
  <c r="AB98" i="31"/>
  <c r="AB164" i="31"/>
  <c r="I164" i="31"/>
  <c r="BW164" i="31" s="1"/>
  <c r="AA164" i="31"/>
  <c r="AA120" i="31"/>
  <c r="AB120" i="31"/>
  <c r="I120" i="31"/>
  <c r="BW120" i="31" s="1"/>
  <c r="AA87" i="31"/>
  <c r="I87" i="31"/>
  <c r="BW87" i="31" s="1"/>
  <c r="AB87" i="31"/>
  <c r="AA65" i="31"/>
  <c r="AB65" i="31"/>
  <c r="I65" i="31"/>
  <c r="BW65" i="31" s="1"/>
  <c r="I76" i="31"/>
  <c r="BW76" i="31" s="1"/>
  <c r="AA76" i="31"/>
  <c r="AB76" i="31"/>
  <c r="I54" i="31"/>
  <c r="BW54" i="31" s="1"/>
  <c r="AB54" i="31"/>
  <c r="I141" i="31"/>
  <c r="BW141" i="31" s="1"/>
  <c r="AA141" i="31"/>
  <c r="AB141" i="31"/>
  <c r="BK150" i="31"/>
  <c r="K108" i="31"/>
  <c r="BG108" i="31" s="1"/>
  <c r="BY108" i="31"/>
  <c r="K42" i="31"/>
  <c r="BY42" i="31"/>
  <c r="K75" i="31"/>
  <c r="BG75" i="31" s="1"/>
  <c r="BY75" i="31"/>
  <c r="K97" i="31"/>
  <c r="BG97" i="31" s="1"/>
  <c r="BY97" i="31"/>
  <c r="K86" i="31"/>
  <c r="BG86" i="31" s="1"/>
  <c r="BY86" i="31"/>
  <c r="K53" i="31"/>
  <c r="BG53" i="31" s="1"/>
  <c r="BY53" i="31"/>
  <c r="K119" i="31"/>
  <c r="BG119" i="31" s="1"/>
  <c r="BY119" i="31"/>
  <c r="K64" i="31"/>
  <c r="BG64" i="31" s="1"/>
  <c r="BY64" i="31"/>
  <c r="K129" i="31"/>
  <c r="BG129" i="31" s="1"/>
  <c r="L129" i="31" s="1"/>
  <c r="K130" i="31"/>
  <c r="BG130" i="31" s="1"/>
  <c r="AL117" i="31"/>
  <c r="L117" i="31"/>
  <c r="AK129" i="31"/>
  <c r="BM129" i="31" s="1"/>
  <c r="AL129" i="31" s="1"/>
  <c r="AJ98" i="31"/>
  <c r="BX98" i="31" s="1"/>
  <c r="AJ142" i="31"/>
  <c r="BX142" i="31" s="1"/>
  <c r="AJ76" i="31"/>
  <c r="BX76" i="31" s="1"/>
  <c r="AJ120" i="31"/>
  <c r="BX120" i="31" s="1"/>
  <c r="AJ54" i="31"/>
  <c r="BX54" i="31" s="1"/>
  <c r="H213" i="31"/>
  <c r="H214" i="31"/>
  <c r="H221" i="31"/>
  <c r="H212" i="31"/>
  <c r="F153" i="31"/>
  <c r="AC153" i="31" s="1"/>
  <c r="AJ87" i="31"/>
  <c r="BX87" i="31" s="1"/>
  <c r="H220" i="31"/>
  <c r="H218" i="31"/>
  <c r="H216" i="31"/>
  <c r="AJ141" i="31"/>
  <c r="H227" i="31"/>
  <c r="AJ131" i="31"/>
  <c r="BX131" i="31" s="1"/>
  <c r="AJ109" i="31"/>
  <c r="BX109" i="31" s="1"/>
  <c r="AJ65" i="31"/>
  <c r="BX65" i="31" s="1"/>
  <c r="H211" i="31"/>
  <c r="H222" i="31"/>
  <c r="H219" i="31"/>
  <c r="H217" i="31"/>
  <c r="BG139" i="31"/>
  <c r="L139" i="31" s="1"/>
  <c r="BM127" i="31"/>
  <c r="AL127" i="31" s="1"/>
  <c r="V151" i="31"/>
  <c r="BK151" i="31" s="1"/>
  <c r="AJ151" i="31"/>
  <c r="AK139" i="31"/>
  <c r="AK140" i="31"/>
  <c r="BM140" i="31" s="1"/>
  <c r="J156" i="31"/>
  <c r="J155" i="31"/>
  <c r="J154" i="31"/>
  <c r="J161" i="31"/>
  <c r="J158" i="31"/>
  <c r="BY140" i="31"/>
  <c r="J160" i="31"/>
  <c r="J162" i="31"/>
  <c r="J157" i="31"/>
  <c r="J171" i="31"/>
  <c r="BY139" i="31"/>
  <c r="L52" i="31"/>
  <c r="L107" i="31"/>
  <c r="L41" i="31"/>
  <c r="AL63" i="31"/>
  <c r="L85" i="31"/>
  <c r="L30" i="31"/>
  <c r="L63" i="31"/>
  <c r="V162" i="31"/>
  <c r="BK162" i="31" s="1"/>
  <c r="L128" i="31"/>
  <c r="V160" i="31"/>
  <c r="BK160" i="31" s="1"/>
  <c r="V156" i="31"/>
  <c r="BK156" i="31" s="1"/>
  <c r="V158" i="31"/>
  <c r="BK158" i="31" s="1"/>
  <c r="V152" i="31"/>
  <c r="BK152" i="31" s="1"/>
  <c r="V161" i="31"/>
  <c r="BK161" i="31" s="1"/>
  <c r="V171" i="31"/>
  <c r="BK171" i="31" s="1"/>
  <c r="V154" i="31"/>
  <c r="BK154" i="31" s="1"/>
  <c r="V153" i="31"/>
  <c r="BK153" i="31" s="1"/>
  <c r="V155" i="31"/>
  <c r="BK155" i="31" s="1"/>
  <c r="V157" i="31"/>
  <c r="BK157" i="31" s="1"/>
  <c r="BG140" i="31"/>
  <c r="AL41" i="31"/>
  <c r="AL85" i="31"/>
  <c r="J153" i="31"/>
  <c r="F154" i="31"/>
  <c r="AC154" i="31" s="1"/>
  <c r="AK86" i="31"/>
  <c r="BM86" i="31" s="1"/>
  <c r="AK119" i="31"/>
  <c r="BM119" i="31" s="1"/>
  <c r="B174" i="31"/>
  <c r="C174" i="31"/>
  <c r="AK97" i="31"/>
  <c r="F121" i="31"/>
  <c r="AC121" i="31" s="1"/>
  <c r="B168" i="31"/>
  <c r="C168" i="31"/>
  <c r="B166" i="31"/>
  <c r="C166" i="31"/>
  <c r="AK53" i="31"/>
  <c r="BM53" i="31" s="1"/>
  <c r="B170" i="31"/>
  <c r="C170" i="31"/>
  <c r="AK64" i="31"/>
  <c r="F132" i="31"/>
  <c r="AC132" i="31" s="1"/>
  <c r="B165" i="31"/>
  <c r="C165" i="31"/>
  <c r="L74" i="31"/>
  <c r="B167" i="31"/>
  <c r="C167" i="31"/>
  <c r="B169" i="31"/>
  <c r="C169" i="31"/>
  <c r="F99" i="31"/>
  <c r="AC99" i="31" s="1"/>
  <c r="B164" i="31"/>
  <c r="AJ164" i="31" s="1"/>
  <c r="BX164" i="31" s="1"/>
  <c r="C164" i="31"/>
  <c r="B183" i="31"/>
  <c r="C183" i="31"/>
  <c r="AK42" i="31"/>
  <c r="BM42" i="31" s="1"/>
  <c r="AL96" i="31"/>
  <c r="AL107" i="31"/>
  <c r="J151" i="31"/>
  <c r="K151" i="31" s="1"/>
  <c r="AL30" i="31"/>
  <c r="AL118" i="31"/>
  <c r="F187" i="31"/>
  <c r="AC187" i="31" s="1"/>
  <c r="AK130" i="31"/>
  <c r="BM130" i="31" s="1"/>
  <c r="L118" i="31"/>
  <c r="F110" i="31"/>
  <c r="AC110" i="31" s="1"/>
  <c r="B172" i="31"/>
  <c r="C172" i="31"/>
  <c r="F143" i="31"/>
  <c r="AC143" i="31" s="1"/>
  <c r="B173" i="31"/>
  <c r="C173" i="31"/>
  <c r="B163" i="31"/>
  <c r="C163" i="31"/>
  <c r="F77" i="31"/>
  <c r="AC77" i="31" s="1"/>
  <c r="F176" i="31"/>
  <c r="AC176" i="31" s="1"/>
  <c r="AW22" i="31"/>
  <c r="F88" i="31"/>
  <c r="AC88" i="31" s="1"/>
  <c r="AK108" i="31"/>
  <c r="L96" i="31"/>
  <c r="AK75" i="31"/>
  <c r="F66" i="31"/>
  <c r="AC66" i="31" s="1"/>
  <c r="AL52" i="31"/>
  <c r="AL74" i="31"/>
  <c r="J152" i="31"/>
  <c r="K152" i="31" s="1"/>
  <c r="BY142" i="31" l="1"/>
  <c r="BG42" i="31"/>
  <c r="L42" i="31" s="1"/>
  <c r="AA42" i="31"/>
  <c r="AA110" i="31"/>
  <c r="I110" i="31"/>
  <c r="BW110" i="31" s="1"/>
  <c r="AB110" i="31"/>
  <c r="I153" i="31"/>
  <c r="BW153" i="31" s="1"/>
  <c r="AA153" i="31"/>
  <c r="AB153" i="31"/>
  <c r="AA187" i="31"/>
  <c r="AB187" i="31"/>
  <c r="I187" i="31"/>
  <c r="BW187" i="31" s="1"/>
  <c r="AA121" i="31"/>
  <c r="AB121" i="31"/>
  <c r="I121" i="31"/>
  <c r="BW121" i="31" s="1"/>
  <c r="AA66" i="31"/>
  <c r="I66" i="31"/>
  <c r="BW66" i="31" s="1"/>
  <c r="AB66" i="31"/>
  <c r="AB88" i="31"/>
  <c r="AA88" i="31"/>
  <c r="I88" i="31"/>
  <c r="BW88" i="31" s="1"/>
  <c r="AB143" i="31"/>
  <c r="AA143" i="31"/>
  <c r="I143" i="31"/>
  <c r="BW143" i="31" s="1"/>
  <c r="AA154" i="31"/>
  <c r="AB154" i="31"/>
  <c r="I154" i="31"/>
  <c r="BW154" i="31" s="1"/>
  <c r="AA77" i="31"/>
  <c r="AB77" i="31"/>
  <c r="I77" i="31"/>
  <c r="BW77" i="31" s="1"/>
  <c r="AB176" i="31"/>
  <c r="I176" i="31"/>
  <c r="BW176" i="31" s="1"/>
  <c r="AA176" i="31"/>
  <c r="AB99" i="31"/>
  <c r="I99" i="31"/>
  <c r="BW99" i="31" s="1"/>
  <c r="AA99" i="31"/>
  <c r="I132" i="31"/>
  <c r="BW132" i="31" s="1"/>
  <c r="AA132" i="31"/>
  <c r="AB132" i="31"/>
  <c r="AK151" i="31"/>
  <c r="BM151" i="31" s="1"/>
  <c r="AL151" i="31" s="1"/>
  <c r="BX151" i="31"/>
  <c r="BY151" i="31" s="1"/>
  <c r="AK141" i="31"/>
  <c r="BM141" i="31" s="1"/>
  <c r="BX141" i="31"/>
  <c r="K87" i="31"/>
  <c r="BG87" i="31" s="1"/>
  <c r="BY87" i="31"/>
  <c r="K54" i="31"/>
  <c r="BY54" i="31"/>
  <c r="K76" i="31"/>
  <c r="BG76" i="31" s="1"/>
  <c r="BY76" i="31"/>
  <c r="K109" i="31"/>
  <c r="BG109" i="31" s="1"/>
  <c r="BY109" i="31"/>
  <c r="K120" i="31"/>
  <c r="BG120" i="31" s="1"/>
  <c r="BY120" i="31"/>
  <c r="K98" i="31"/>
  <c r="BG98" i="31" s="1"/>
  <c r="BY98" i="31"/>
  <c r="K65" i="31"/>
  <c r="BG65" i="31" s="1"/>
  <c r="BY65" i="31"/>
  <c r="K131" i="31"/>
  <c r="BG131" i="31" s="1"/>
  <c r="BY131" i="31"/>
  <c r="K142" i="31"/>
  <c r="BG142" i="31" s="1"/>
  <c r="K141" i="31"/>
  <c r="BG141" i="31" s="1"/>
  <c r="AJ153" i="31"/>
  <c r="BX153" i="31" s="1"/>
  <c r="H233" i="31"/>
  <c r="H230" i="31"/>
  <c r="AJ88" i="31"/>
  <c r="BX88" i="31" s="1"/>
  <c r="H229" i="31"/>
  <c r="H223" i="31"/>
  <c r="H239" i="31"/>
  <c r="H232" i="31"/>
  <c r="H224" i="31"/>
  <c r="AJ66" i="31"/>
  <c r="BX66" i="31" s="1"/>
  <c r="AJ110" i="31"/>
  <c r="BX110" i="31" s="1"/>
  <c r="AJ132" i="31"/>
  <c r="BX132" i="31" s="1"/>
  <c r="H234" i="31"/>
  <c r="H228" i="31"/>
  <c r="F165" i="31"/>
  <c r="H225" i="31"/>
  <c r="AJ99" i="31"/>
  <c r="BX99" i="31" s="1"/>
  <c r="AJ77" i="31"/>
  <c r="BX77" i="31" s="1"/>
  <c r="AJ143" i="31"/>
  <c r="BX143" i="31" s="1"/>
  <c r="AJ121" i="31"/>
  <c r="BX121" i="31" s="1"/>
  <c r="AJ154" i="31"/>
  <c r="BX154" i="31" s="1"/>
  <c r="H231" i="31"/>
  <c r="H226" i="31"/>
  <c r="BG151" i="31"/>
  <c r="L151" i="31" s="1"/>
  <c r="BM75" i="31"/>
  <c r="AL75" i="31" s="1"/>
  <c r="BM64" i="31"/>
  <c r="AL64" i="31" s="1"/>
  <c r="BM97" i="31"/>
  <c r="AL97" i="31" s="1"/>
  <c r="BM108" i="31"/>
  <c r="AL108" i="31" s="1"/>
  <c r="V163" i="31"/>
  <c r="BK163" i="31" s="1"/>
  <c r="AJ163" i="31"/>
  <c r="BM139" i="31"/>
  <c r="AL139" i="31" s="1"/>
  <c r="AK152" i="31"/>
  <c r="BM152" i="31" s="1"/>
  <c r="AL140" i="31"/>
  <c r="J169" i="31"/>
  <c r="J170" i="31"/>
  <c r="J174" i="31"/>
  <c r="J167" i="31"/>
  <c r="J168" i="31"/>
  <c r="J172" i="31"/>
  <c r="BY152" i="31"/>
  <c r="J183" i="31"/>
  <c r="J173" i="31"/>
  <c r="J166" i="31"/>
  <c r="L108" i="31"/>
  <c r="L64" i="31"/>
  <c r="AL86" i="31"/>
  <c r="AL119" i="31"/>
  <c r="AL53" i="31"/>
  <c r="L53" i="31"/>
  <c r="L86" i="31"/>
  <c r="L75" i="31"/>
  <c r="L119" i="31"/>
  <c r="L97" i="31"/>
  <c r="V164" i="31"/>
  <c r="BK164" i="31" s="1"/>
  <c r="V168" i="31"/>
  <c r="BK168" i="31" s="1"/>
  <c r="V173" i="31"/>
  <c r="BK173" i="31" s="1"/>
  <c r="V167" i="31"/>
  <c r="BK167" i="31" s="1"/>
  <c r="V165" i="31"/>
  <c r="BK165" i="31" s="1"/>
  <c r="V174" i="31"/>
  <c r="BK174" i="31" s="1"/>
  <c r="V172" i="31"/>
  <c r="BK172" i="31" s="1"/>
  <c r="V183" i="31"/>
  <c r="BK183" i="31" s="1"/>
  <c r="V169" i="31"/>
  <c r="BK169" i="31" s="1"/>
  <c r="V170" i="31"/>
  <c r="BK170" i="31" s="1"/>
  <c r="V166" i="31"/>
  <c r="BK166" i="31" s="1"/>
  <c r="L140" i="31"/>
  <c r="BG152" i="31"/>
  <c r="F78" i="31"/>
  <c r="AC78" i="31" s="1"/>
  <c r="AK76" i="31"/>
  <c r="BM76" i="31" s="1"/>
  <c r="F188" i="31"/>
  <c r="AC188" i="31" s="1"/>
  <c r="F89" i="31"/>
  <c r="AC89" i="31" s="1"/>
  <c r="B185" i="31"/>
  <c r="C185" i="31"/>
  <c r="AK131" i="31"/>
  <c r="AK98" i="31"/>
  <c r="BM98" i="31" s="1"/>
  <c r="F122" i="31"/>
  <c r="AC122" i="31" s="1"/>
  <c r="B181" i="31"/>
  <c r="C181" i="31"/>
  <c r="B179" i="31"/>
  <c r="C179" i="31"/>
  <c r="AK120" i="31"/>
  <c r="BM120" i="31" s="1"/>
  <c r="B178" i="31"/>
  <c r="C178" i="31"/>
  <c r="B180" i="31"/>
  <c r="C180" i="31"/>
  <c r="AK109" i="31"/>
  <c r="BM109" i="31" s="1"/>
  <c r="B186" i="31"/>
  <c r="C186" i="31"/>
  <c r="AK142" i="31"/>
  <c r="BM142" i="31" s="1"/>
  <c r="L130" i="31"/>
  <c r="AL130" i="31"/>
  <c r="AK54" i="31"/>
  <c r="BM54" i="31" s="1"/>
  <c r="F100" i="31"/>
  <c r="AC100" i="31" s="1"/>
  <c r="AW23" i="31"/>
  <c r="AK65" i="31"/>
  <c r="BM65" i="31" s="1"/>
  <c r="B175" i="31"/>
  <c r="C175" i="31"/>
  <c r="F155" i="31"/>
  <c r="AC155" i="31" s="1"/>
  <c r="B184" i="31"/>
  <c r="C184" i="31"/>
  <c r="F199" i="31"/>
  <c r="AC199" i="31" s="1"/>
  <c r="B195" i="31"/>
  <c r="C195" i="31"/>
  <c r="B176" i="31"/>
  <c r="AJ176" i="31" s="1"/>
  <c r="BX176" i="31" s="1"/>
  <c r="C176" i="31"/>
  <c r="AK87" i="31"/>
  <c r="F111" i="31"/>
  <c r="AC111" i="31" s="1"/>
  <c r="B177" i="31"/>
  <c r="C177" i="31"/>
  <c r="F144" i="31"/>
  <c r="AC144" i="31" s="1"/>
  <c r="B182" i="31"/>
  <c r="C182" i="31"/>
  <c r="F133" i="31"/>
  <c r="AC133" i="31" s="1"/>
  <c r="F166" i="31"/>
  <c r="AC166" i="31" s="1"/>
  <c r="J163" i="31"/>
  <c r="K163" i="31" s="1"/>
  <c r="AL42" i="31"/>
  <c r="J164" i="31"/>
  <c r="K164" i="31" s="1"/>
  <c r="J165" i="31"/>
  <c r="AJ165" i="31" l="1"/>
  <c r="BX165" i="31" s="1"/>
  <c r="AC165" i="31"/>
  <c r="BY141" i="31"/>
  <c r="BY153" i="31"/>
  <c r="BG54" i="31"/>
  <c r="L54" i="31" s="1"/>
  <c r="AA54" i="31"/>
  <c r="AA133" i="31"/>
  <c r="AB133" i="31"/>
  <c r="I133" i="31"/>
  <c r="BW133" i="31" s="1"/>
  <c r="AA100" i="31"/>
  <c r="AB100" i="31"/>
  <c r="I100" i="31"/>
  <c r="BW100" i="31" s="1"/>
  <c r="I144" i="31"/>
  <c r="BW144" i="31" s="1"/>
  <c r="AA144" i="31"/>
  <c r="AB144" i="31"/>
  <c r="AB111" i="31"/>
  <c r="I111" i="31"/>
  <c r="BW111" i="31" s="1"/>
  <c r="AA111" i="31"/>
  <c r="AB89" i="31"/>
  <c r="AA89" i="31"/>
  <c r="I89" i="31"/>
  <c r="BW89" i="31" s="1"/>
  <c r="AB165" i="31"/>
  <c r="I165" i="31"/>
  <c r="BW165" i="31" s="1"/>
  <c r="AA165" i="31"/>
  <c r="AB199" i="31"/>
  <c r="I199" i="31"/>
  <c r="BW199" i="31" s="1"/>
  <c r="AA199" i="31"/>
  <c r="AA166" i="31"/>
  <c r="AB166" i="31"/>
  <c r="I166" i="31"/>
  <c r="BW166" i="31" s="1"/>
  <c r="AA155" i="31"/>
  <c r="I155" i="31"/>
  <c r="BW155" i="31" s="1"/>
  <c r="AB155" i="31"/>
  <c r="AB188" i="31"/>
  <c r="AA188" i="31"/>
  <c r="I188" i="31"/>
  <c r="BW188" i="31" s="1"/>
  <c r="I122" i="31"/>
  <c r="BW122" i="31" s="1"/>
  <c r="AB122" i="31"/>
  <c r="AA122" i="31"/>
  <c r="AB78" i="31"/>
  <c r="AA78" i="31"/>
  <c r="I78" i="31"/>
  <c r="BW78" i="31" s="1"/>
  <c r="AA36" i="35"/>
  <c r="AL141" i="31"/>
  <c r="K143" i="31"/>
  <c r="BG143" i="31" s="1"/>
  <c r="BY143" i="31"/>
  <c r="K99" i="31"/>
  <c r="BG99" i="31" s="1"/>
  <c r="BY99" i="31"/>
  <c r="K110" i="31"/>
  <c r="BG110" i="31" s="1"/>
  <c r="BY110" i="31"/>
  <c r="K154" i="31"/>
  <c r="BG154" i="31" s="1"/>
  <c r="BY154" i="31"/>
  <c r="K66" i="31"/>
  <c r="BG66" i="31" s="1"/>
  <c r="BY66" i="31"/>
  <c r="K77" i="31"/>
  <c r="BG77" i="31" s="1"/>
  <c r="BY77" i="31"/>
  <c r="K132" i="31"/>
  <c r="BG132" i="31" s="1"/>
  <c r="BY132" i="31"/>
  <c r="K88" i="31"/>
  <c r="BG88" i="31" s="1"/>
  <c r="BY88" i="31"/>
  <c r="AK163" i="31"/>
  <c r="BM163" i="31" s="1"/>
  <c r="BX163" i="31"/>
  <c r="BY163" i="31" s="1"/>
  <c r="K121" i="31"/>
  <c r="BG121" i="31" s="1"/>
  <c r="BY121" i="31"/>
  <c r="K153" i="31"/>
  <c r="BG153" i="31" s="1"/>
  <c r="AK153" i="31"/>
  <c r="BM153" i="31" s="1"/>
  <c r="L141" i="31"/>
  <c r="H244" i="31"/>
  <c r="H235" i="31"/>
  <c r="AJ166" i="31"/>
  <c r="BX166" i="31" s="1"/>
  <c r="H246" i="31"/>
  <c r="H236" i="31"/>
  <c r="H242" i="31"/>
  <c r="AJ122" i="31"/>
  <c r="BX122" i="31" s="1"/>
  <c r="H245" i="31"/>
  <c r="AJ133" i="31"/>
  <c r="BX133" i="31" s="1"/>
  <c r="H240" i="31"/>
  <c r="AJ78" i="31"/>
  <c r="BX78" i="31" s="1"/>
  <c r="H238" i="31"/>
  <c r="H237" i="31"/>
  <c r="AJ144" i="31"/>
  <c r="BX144" i="31" s="1"/>
  <c r="AJ89" i="31"/>
  <c r="BX89" i="31" s="1"/>
  <c r="AJ111" i="31"/>
  <c r="BX111" i="31" s="1"/>
  <c r="AJ155" i="31"/>
  <c r="BX155" i="31" s="1"/>
  <c r="AJ100" i="31"/>
  <c r="BX100" i="31" s="1"/>
  <c r="H243" i="31"/>
  <c r="F177" i="31"/>
  <c r="AC177" i="31" s="1"/>
  <c r="H251" i="31"/>
  <c r="H241" i="31"/>
  <c r="BG163" i="31"/>
  <c r="L163" i="31" s="1"/>
  <c r="BM87" i="31"/>
  <c r="AL87" i="31" s="1"/>
  <c r="BM131" i="31"/>
  <c r="AL131" i="31" s="1"/>
  <c r="V175" i="31"/>
  <c r="BK175" i="31" s="1"/>
  <c r="AJ175" i="31"/>
  <c r="AK165" i="31"/>
  <c r="BM165" i="31" s="1"/>
  <c r="AL152" i="31"/>
  <c r="AK164" i="31"/>
  <c r="BM164" i="31" s="1"/>
  <c r="J178" i="31"/>
  <c r="J195" i="31"/>
  <c r="J186" i="31"/>
  <c r="J179" i="31"/>
  <c r="J176" i="31"/>
  <c r="K176" i="31" s="1"/>
  <c r="BY164" i="31"/>
  <c r="J182" i="31"/>
  <c r="J184" i="31"/>
  <c r="J180" i="31"/>
  <c r="J181" i="31"/>
  <c r="J185" i="31"/>
  <c r="AL142" i="31"/>
  <c r="AL65" i="31"/>
  <c r="L131" i="31"/>
  <c r="L87" i="31"/>
  <c r="L76" i="31"/>
  <c r="L65" i="31"/>
  <c r="L109" i="31"/>
  <c r="V182" i="31"/>
  <c r="BK182" i="31" s="1"/>
  <c r="V177" i="31"/>
  <c r="BK177" i="31" s="1"/>
  <c r="V178" i="31"/>
  <c r="BK178" i="31" s="1"/>
  <c r="V185" i="31"/>
  <c r="BK185" i="31" s="1"/>
  <c r="L152" i="31"/>
  <c r="V195" i="31"/>
  <c r="BK195" i="31" s="1"/>
  <c r="V180" i="31"/>
  <c r="BK180" i="31" s="1"/>
  <c r="V186" i="31"/>
  <c r="V179" i="31"/>
  <c r="BK179" i="31" s="1"/>
  <c r="V176" i="31"/>
  <c r="BK176" i="31" s="1"/>
  <c r="V184" i="31"/>
  <c r="BK184" i="31" s="1"/>
  <c r="V181" i="31"/>
  <c r="BK181" i="31" s="1"/>
  <c r="BG164" i="31"/>
  <c r="J177" i="31"/>
  <c r="AL120" i="31"/>
  <c r="AL98" i="31"/>
  <c r="L142" i="31"/>
  <c r="F145" i="31"/>
  <c r="AC145" i="31" s="1"/>
  <c r="F156" i="31"/>
  <c r="AC156" i="31" s="1"/>
  <c r="F123" i="31"/>
  <c r="AC123" i="31" s="1"/>
  <c r="B207" i="31"/>
  <c r="C207" i="31"/>
  <c r="F211" i="31"/>
  <c r="AC211" i="31" s="1"/>
  <c r="AK143" i="31"/>
  <c r="BM143" i="31" s="1"/>
  <c r="F167" i="31"/>
  <c r="AC167" i="31" s="1"/>
  <c r="B187" i="31"/>
  <c r="C187" i="31"/>
  <c r="AK88" i="31"/>
  <c r="BM88" i="31" s="1"/>
  <c r="B190" i="31"/>
  <c r="C190" i="31"/>
  <c r="B191" i="31"/>
  <c r="C191" i="31"/>
  <c r="F101" i="31"/>
  <c r="AC101" i="31" s="1"/>
  <c r="F200" i="31"/>
  <c r="AC200" i="31" s="1"/>
  <c r="F90" i="31"/>
  <c r="AC90" i="31" s="1"/>
  <c r="AK154" i="31"/>
  <c r="F178" i="31"/>
  <c r="AC178" i="31" s="1"/>
  <c r="AK121" i="31"/>
  <c r="B194" i="31"/>
  <c r="C194" i="31"/>
  <c r="AK132" i="31"/>
  <c r="BM132" i="31" s="1"/>
  <c r="L120" i="31"/>
  <c r="B189" i="31"/>
  <c r="C189" i="31"/>
  <c r="AK99" i="31"/>
  <c r="BM99" i="31" s="1"/>
  <c r="B188" i="31"/>
  <c r="C188" i="31"/>
  <c r="L98" i="31"/>
  <c r="B196" i="31"/>
  <c r="C196" i="31"/>
  <c r="AW24" i="31"/>
  <c r="F112" i="31"/>
  <c r="AC112" i="31" s="1"/>
  <c r="B198" i="31"/>
  <c r="C198" i="31"/>
  <c r="B192" i="31"/>
  <c r="C192" i="31"/>
  <c r="B193" i="31"/>
  <c r="C193" i="31"/>
  <c r="AK110" i="31"/>
  <c r="F134" i="31"/>
  <c r="AC134" i="31" s="1"/>
  <c r="B197" i="31"/>
  <c r="C197" i="31"/>
  <c r="AK77" i="31"/>
  <c r="BM77" i="31" s="1"/>
  <c r="AK66" i="31"/>
  <c r="BM66" i="31" s="1"/>
  <c r="J175" i="31"/>
  <c r="K175" i="31" s="1"/>
  <c r="AL54" i="31"/>
  <c r="AL109" i="31"/>
  <c r="AL76" i="31"/>
  <c r="BY166" i="31" l="1"/>
  <c r="AA37" i="35"/>
  <c r="AB145" i="31"/>
  <c r="AA145" i="31"/>
  <c r="I145" i="31"/>
  <c r="BW145" i="31" s="1"/>
  <c r="AB178" i="31"/>
  <c r="I178" i="31"/>
  <c r="BW178" i="31" s="1"/>
  <c r="AA178" i="31"/>
  <c r="AA101" i="31"/>
  <c r="AB101" i="31"/>
  <c r="I101" i="31"/>
  <c r="BW101" i="31" s="1"/>
  <c r="AA167" i="31"/>
  <c r="I167" i="31"/>
  <c r="BW167" i="31" s="1"/>
  <c r="AB167" i="31"/>
  <c r="AA90" i="31"/>
  <c r="I90" i="31"/>
  <c r="BW90" i="31" s="1"/>
  <c r="AB90" i="31"/>
  <c r="I211" i="31"/>
  <c r="BW211" i="31" s="1"/>
  <c r="AA211" i="31"/>
  <c r="AB211" i="31"/>
  <c r="AA156" i="31"/>
  <c r="AB156" i="31"/>
  <c r="I156" i="31"/>
  <c r="BW156" i="31" s="1"/>
  <c r="AB177" i="31"/>
  <c r="I177" i="31"/>
  <c r="BW177" i="31" s="1"/>
  <c r="AA177" i="31"/>
  <c r="I200" i="31"/>
  <c r="BW200" i="31" s="1"/>
  <c r="AB200" i="31"/>
  <c r="AA200" i="31"/>
  <c r="AB134" i="31"/>
  <c r="AA134" i="31"/>
  <c r="I134" i="31"/>
  <c r="BW134" i="31" s="1"/>
  <c r="AA112" i="31"/>
  <c r="AB112" i="31"/>
  <c r="I112" i="31"/>
  <c r="BW112" i="31" s="1"/>
  <c r="AB123" i="31"/>
  <c r="I123" i="31"/>
  <c r="BW123" i="31" s="1"/>
  <c r="AA123" i="31"/>
  <c r="AJ188" i="31"/>
  <c r="BX188" i="31" s="1"/>
  <c r="AL163" i="31"/>
  <c r="AK175" i="31"/>
  <c r="BM175" i="31" s="1"/>
  <c r="AL175" i="31" s="1"/>
  <c r="BX175" i="31"/>
  <c r="BY175" i="31" s="1"/>
  <c r="BY165" i="31"/>
  <c r="K155" i="31"/>
  <c r="BG155" i="31" s="1"/>
  <c r="BY155" i="31"/>
  <c r="K89" i="31"/>
  <c r="BG89" i="31" s="1"/>
  <c r="BY89" i="31"/>
  <c r="K133" i="31"/>
  <c r="BG133" i="31" s="1"/>
  <c r="BY133" i="31"/>
  <c r="K100" i="31"/>
  <c r="BG100" i="31" s="1"/>
  <c r="BY100" i="31"/>
  <c r="K111" i="31"/>
  <c r="BG111" i="31" s="1"/>
  <c r="BY111" i="31"/>
  <c r="K144" i="31"/>
  <c r="BG144" i="31" s="1"/>
  <c r="BY144" i="31"/>
  <c r="K78" i="31"/>
  <c r="BG78" i="31" s="1"/>
  <c r="BY78" i="31"/>
  <c r="K122" i="31"/>
  <c r="BG122" i="31" s="1"/>
  <c r="BY122" i="31"/>
  <c r="K165" i="31"/>
  <c r="BG165" i="31" s="1"/>
  <c r="K166" i="31"/>
  <c r="BG166" i="31" s="1"/>
  <c r="BK186" i="31"/>
  <c r="AL153" i="31"/>
  <c r="AJ177" i="31"/>
  <c r="BX177" i="31" s="1"/>
  <c r="L153" i="31"/>
  <c r="H258" i="31"/>
  <c r="H256" i="31"/>
  <c r="AJ156" i="31"/>
  <c r="BX156" i="31" s="1"/>
  <c r="F189" i="31"/>
  <c r="AC189" i="31" s="1"/>
  <c r="H250" i="31"/>
  <c r="H248" i="31"/>
  <c r="H247" i="31"/>
  <c r="AJ123" i="31"/>
  <c r="BX123" i="31" s="1"/>
  <c r="AJ145" i="31"/>
  <c r="BX145" i="31" s="1"/>
  <c r="H263" i="31"/>
  <c r="H249" i="31"/>
  <c r="H257" i="31"/>
  <c r="H254" i="31"/>
  <c r="AJ134" i="31"/>
  <c r="BX134" i="31" s="1"/>
  <c r="H255" i="31"/>
  <c r="H252" i="31"/>
  <c r="AJ112" i="31"/>
  <c r="BX112" i="31" s="1"/>
  <c r="AJ90" i="31"/>
  <c r="BX90" i="31" s="1"/>
  <c r="AJ101" i="31"/>
  <c r="BX101" i="31" s="1"/>
  <c r="AJ178" i="31"/>
  <c r="BX178" i="31" s="1"/>
  <c r="AJ167" i="31"/>
  <c r="BX167" i="31" s="1"/>
  <c r="H253" i="31"/>
  <c r="BG176" i="31"/>
  <c r="L176" i="31" s="1"/>
  <c r="BG175" i="31"/>
  <c r="L175" i="31" s="1"/>
  <c r="BM121" i="31"/>
  <c r="AL121" i="31" s="1"/>
  <c r="BM154" i="31"/>
  <c r="AL154" i="31" s="1"/>
  <c r="BM110" i="31"/>
  <c r="AL110" i="31" s="1"/>
  <c r="V187" i="31"/>
  <c r="BK187" i="31" s="1"/>
  <c r="AJ187" i="31"/>
  <c r="BX187" i="31" s="1"/>
  <c r="AL165" i="31"/>
  <c r="AL164" i="31"/>
  <c r="J188" i="31"/>
  <c r="K188" i="31" s="1"/>
  <c r="J193" i="31"/>
  <c r="J190" i="31"/>
  <c r="J207" i="31"/>
  <c r="J198" i="31"/>
  <c r="J197" i="31"/>
  <c r="J192" i="31"/>
  <c r="J196" i="31"/>
  <c r="J194" i="31"/>
  <c r="J191" i="31"/>
  <c r="L143" i="31"/>
  <c r="L99" i="31"/>
  <c r="L77" i="31"/>
  <c r="AL132" i="31"/>
  <c r="L66" i="31"/>
  <c r="L110" i="31"/>
  <c r="L121" i="31"/>
  <c r="L88" i="31"/>
  <c r="V193" i="31"/>
  <c r="BK193" i="31" s="1"/>
  <c r="V198" i="31"/>
  <c r="BK198" i="31" s="1"/>
  <c r="V196" i="31"/>
  <c r="BK196" i="31" s="1"/>
  <c r="V188" i="31"/>
  <c r="BK188" i="31" s="1"/>
  <c r="V191" i="31"/>
  <c r="BK191" i="31" s="1"/>
  <c r="V194" i="31"/>
  <c r="BK194" i="31" s="1"/>
  <c r="V207" i="31"/>
  <c r="BK207" i="31" s="1"/>
  <c r="V192" i="31"/>
  <c r="BK192" i="31" s="1"/>
  <c r="V189" i="31"/>
  <c r="BK189" i="31" s="1"/>
  <c r="V190" i="31"/>
  <c r="BK190" i="31" s="1"/>
  <c r="V197" i="31"/>
  <c r="BK197" i="31" s="1"/>
  <c r="L164" i="31"/>
  <c r="BY176" i="31"/>
  <c r="L132" i="31"/>
  <c r="J187" i="31"/>
  <c r="K187" i="31" s="1"/>
  <c r="AK176" i="31"/>
  <c r="BM176" i="31" s="1"/>
  <c r="AL99" i="31"/>
  <c r="B209" i="31"/>
  <c r="C209" i="31"/>
  <c r="AK122" i="31"/>
  <c r="BM122" i="31" s="1"/>
  <c r="B205" i="31"/>
  <c r="C205" i="31"/>
  <c r="B210" i="31"/>
  <c r="C210" i="31"/>
  <c r="AK100" i="31"/>
  <c r="F124" i="31"/>
  <c r="AC124" i="31" s="1"/>
  <c r="AW25" i="31"/>
  <c r="B200" i="31"/>
  <c r="C200" i="31"/>
  <c r="F190" i="31"/>
  <c r="AC190" i="31" s="1"/>
  <c r="F102" i="31"/>
  <c r="AC102" i="31" s="1"/>
  <c r="AK89" i="31"/>
  <c r="BM89" i="31" s="1"/>
  <c r="B202" i="31"/>
  <c r="C202" i="31"/>
  <c r="B199" i="31"/>
  <c r="C199" i="31"/>
  <c r="F135" i="31"/>
  <c r="AC135" i="31" s="1"/>
  <c r="F168" i="31"/>
  <c r="AC168" i="31" s="1"/>
  <c r="AK133" i="31"/>
  <c r="BM133" i="31" s="1"/>
  <c r="L154" i="31"/>
  <c r="AL66" i="31"/>
  <c r="AL77" i="31"/>
  <c r="J189" i="31"/>
  <c r="AL88" i="31"/>
  <c r="AL143" i="31"/>
  <c r="F146" i="31"/>
  <c r="AC146" i="31" s="1"/>
  <c r="B204" i="31"/>
  <c r="C204" i="31"/>
  <c r="B208" i="31"/>
  <c r="C208" i="31"/>
  <c r="B201" i="31"/>
  <c r="C201" i="31"/>
  <c r="B206" i="31"/>
  <c r="C206" i="31"/>
  <c r="AK166" i="31"/>
  <c r="AK78" i="31"/>
  <c r="BM78" i="31" s="1"/>
  <c r="F212" i="31"/>
  <c r="AC212" i="31" s="1"/>
  <c r="F113" i="31"/>
  <c r="AC113" i="31" s="1"/>
  <c r="B203" i="31"/>
  <c r="C203" i="31"/>
  <c r="AK155" i="31"/>
  <c r="BM155" i="31" s="1"/>
  <c r="F179" i="31"/>
  <c r="AC179" i="31" s="1"/>
  <c r="F223" i="31"/>
  <c r="AC223" i="31" s="1"/>
  <c r="B219" i="31"/>
  <c r="C219" i="31"/>
  <c r="AK111" i="31"/>
  <c r="BM111" i="31" s="1"/>
  <c r="AK144" i="31"/>
  <c r="BM144" i="31" s="1"/>
  <c r="F157" i="31"/>
  <c r="AC157" i="31" s="1"/>
  <c r="BY178" i="31" l="1"/>
  <c r="BY177" i="31"/>
  <c r="I157" i="31"/>
  <c r="BW157" i="31" s="1"/>
  <c r="AA157" i="31"/>
  <c r="AB157" i="31"/>
  <c r="AB223" i="31"/>
  <c r="I223" i="31"/>
  <c r="BW223" i="31" s="1"/>
  <c r="AA223" i="31"/>
  <c r="AA102" i="31"/>
  <c r="I102" i="31"/>
  <c r="BW102" i="31" s="1"/>
  <c r="AB102" i="31"/>
  <c r="AA38" i="35"/>
  <c r="AB212" i="31"/>
  <c r="I212" i="31"/>
  <c r="BW212" i="31" s="1"/>
  <c r="AA212" i="31"/>
  <c r="AA135" i="31"/>
  <c r="AB135" i="31"/>
  <c r="I135" i="31"/>
  <c r="BW135" i="31" s="1"/>
  <c r="AB189" i="31"/>
  <c r="I189" i="31"/>
  <c r="BW189" i="31" s="1"/>
  <c r="AA189" i="31"/>
  <c r="AA179" i="31"/>
  <c r="I179" i="31"/>
  <c r="BW179" i="31" s="1"/>
  <c r="AB179" i="31"/>
  <c r="AA113" i="31"/>
  <c r="AB113" i="31"/>
  <c r="I113" i="31"/>
  <c r="BW113" i="31" s="1"/>
  <c r="AA146" i="31"/>
  <c r="AB146" i="31"/>
  <c r="I146" i="31"/>
  <c r="BW146" i="31" s="1"/>
  <c r="AB168" i="31"/>
  <c r="I168" i="31"/>
  <c r="BW168" i="31" s="1"/>
  <c r="AA168" i="31"/>
  <c r="AB190" i="31"/>
  <c r="AA190" i="31"/>
  <c r="I190" i="31"/>
  <c r="BW190" i="31" s="1"/>
  <c r="AA124" i="31"/>
  <c r="AB124" i="31"/>
  <c r="I124" i="31"/>
  <c r="BW124" i="31" s="1"/>
  <c r="AJ200" i="31"/>
  <c r="BX200" i="31" s="1"/>
  <c r="K156" i="31"/>
  <c r="BG156" i="31" s="1"/>
  <c r="BY156" i="31"/>
  <c r="K90" i="31"/>
  <c r="BY90" i="31"/>
  <c r="K145" i="31"/>
  <c r="BG145" i="31" s="1"/>
  <c r="BY145" i="31"/>
  <c r="K167" i="31"/>
  <c r="BG167" i="31" s="1"/>
  <c r="BY167" i="31"/>
  <c r="K101" i="31"/>
  <c r="BG101" i="31" s="1"/>
  <c r="BY101" i="31"/>
  <c r="K112" i="31"/>
  <c r="BG112" i="31" s="1"/>
  <c r="BY112" i="31"/>
  <c r="K134" i="31"/>
  <c r="BG134" i="31" s="1"/>
  <c r="BY134" i="31"/>
  <c r="K123" i="31"/>
  <c r="BG123" i="31" s="1"/>
  <c r="BY123" i="31"/>
  <c r="K178" i="31"/>
  <c r="BG178" i="31" s="1"/>
  <c r="K177" i="31"/>
  <c r="BG177" i="31" s="1"/>
  <c r="L177" i="31" s="1"/>
  <c r="AJ189" i="31"/>
  <c r="BX189" i="31" s="1"/>
  <c r="AK177" i="31"/>
  <c r="BM177" i="31" s="1"/>
  <c r="H267" i="31"/>
  <c r="H269" i="31"/>
  <c r="AJ157" i="31"/>
  <c r="BX157" i="31" s="1"/>
  <c r="H264" i="31"/>
  <c r="H266" i="31"/>
  <c r="H262" i="31"/>
  <c r="H270" i="31"/>
  <c r="AJ146" i="31"/>
  <c r="BX146" i="31" s="1"/>
  <c r="AJ179" i="31"/>
  <c r="BX179" i="31" s="1"/>
  <c r="H275" i="31"/>
  <c r="H260" i="31"/>
  <c r="H268" i="31"/>
  <c r="F201" i="31"/>
  <c r="AC201" i="31" s="1"/>
  <c r="AJ168" i="31"/>
  <c r="BX168" i="31" s="1"/>
  <c r="AJ102" i="31"/>
  <c r="BX102" i="31" s="1"/>
  <c r="AJ190" i="31"/>
  <c r="BX190" i="31" s="1"/>
  <c r="AJ113" i="31"/>
  <c r="BX113" i="31" s="1"/>
  <c r="AJ135" i="31"/>
  <c r="BX135" i="31" s="1"/>
  <c r="AJ124" i="31"/>
  <c r="BX124" i="31" s="1"/>
  <c r="H265" i="31"/>
  <c r="H261" i="31"/>
  <c r="H259" i="31"/>
  <c r="L165" i="31"/>
  <c r="BG188" i="31"/>
  <c r="L188" i="31" s="1"/>
  <c r="BG187" i="31"/>
  <c r="L187" i="31" s="1"/>
  <c r="BM166" i="31"/>
  <c r="AL166" i="31" s="1"/>
  <c r="BM100" i="31"/>
  <c r="AL100" i="31" s="1"/>
  <c r="V199" i="31"/>
  <c r="BK199" i="31" s="1"/>
  <c r="AJ199" i="31"/>
  <c r="BX199" i="31" s="1"/>
  <c r="AK187" i="31"/>
  <c r="J204" i="31"/>
  <c r="J209" i="31"/>
  <c r="J200" i="31"/>
  <c r="K200" i="31" s="1"/>
  <c r="J210" i="31"/>
  <c r="J208" i="31"/>
  <c r="BY187" i="31"/>
  <c r="J219" i="31"/>
  <c r="J203" i="31"/>
  <c r="J206" i="31"/>
  <c r="J202" i="31"/>
  <c r="J205" i="31"/>
  <c r="L89" i="31"/>
  <c r="L100" i="31"/>
  <c r="L144" i="31"/>
  <c r="BY188" i="31"/>
  <c r="AL155" i="31"/>
  <c r="AL144" i="31"/>
  <c r="L133" i="31"/>
  <c r="L78" i="31"/>
  <c r="L111" i="31"/>
  <c r="L155" i="31"/>
  <c r="V203" i="31"/>
  <c r="BK203" i="31" s="1"/>
  <c r="V208" i="31"/>
  <c r="BK208" i="31" s="1"/>
  <c r="V204" i="31"/>
  <c r="BK204" i="31" s="1"/>
  <c r="V210" i="31"/>
  <c r="V219" i="31"/>
  <c r="BK219" i="31" s="1"/>
  <c r="V200" i="31"/>
  <c r="BK200" i="31" s="1"/>
  <c r="V205" i="31"/>
  <c r="BK205" i="31" s="1"/>
  <c r="V206" i="31"/>
  <c r="BK206" i="31" s="1"/>
  <c r="V201" i="31"/>
  <c r="BK201" i="31" s="1"/>
  <c r="V202" i="31"/>
  <c r="BK202" i="31" s="1"/>
  <c r="V209" i="31"/>
  <c r="BK209" i="31" s="1"/>
  <c r="AL176" i="31"/>
  <c r="AK188" i="31"/>
  <c r="BM188" i="31" s="1"/>
  <c r="B231" i="31"/>
  <c r="C231" i="31"/>
  <c r="F235" i="31"/>
  <c r="AC235" i="31" s="1"/>
  <c r="F191" i="31"/>
  <c r="AC191" i="31" s="1"/>
  <c r="B215" i="31"/>
  <c r="C215" i="31"/>
  <c r="B218" i="31"/>
  <c r="C218" i="31"/>
  <c r="B220" i="31"/>
  <c r="C220" i="31"/>
  <c r="B216" i="31"/>
  <c r="C216" i="31"/>
  <c r="L122" i="31"/>
  <c r="F180" i="31"/>
  <c r="AC180" i="31" s="1"/>
  <c r="AK123" i="31"/>
  <c r="BM123" i="31" s="1"/>
  <c r="B214" i="31"/>
  <c r="C214" i="31"/>
  <c r="AK90" i="31"/>
  <c r="BM90" i="31" s="1"/>
  <c r="F114" i="31"/>
  <c r="AC114" i="31" s="1"/>
  <c r="AK178" i="31"/>
  <c r="BM178" i="31" s="1"/>
  <c r="L166" i="31"/>
  <c r="B212" i="31"/>
  <c r="C212" i="31"/>
  <c r="AK112" i="31"/>
  <c r="BM112" i="31" s="1"/>
  <c r="B217" i="31"/>
  <c r="C217" i="31"/>
  <c r="B221" i="31"/>
  <c r="C221" i="31"/>
  <c r="AL111" i="31"/>
  <c r="AL78" i="31"/>
  <c r="J201" i="31"/>
  <c r="AL133" i="31"/>
  <c r="J199" i="31"/>
  <c r="K199" i="31" s="1"/>
  <c r="AL89" i="31"/>
  <c r="AL122" i="31"/>
  <c r="AK145" i="31"/>
  <c r="BM145" i="31" s="1"/>
  <c r="F169" i="31"/>
  <c r="AC169" i="31" s="1"/>
  <c r="AK167" i="31"/>
  <c r="BM167" i="31" s="1"/>
  <c r="AK101" i="31"/>
  <c r="BM101" i="31" s="1"/>
  <c r="F125" i="31"/>
  <c r="AC125" i="31" s="1"/>
  <c r="F224" i="31"/>
  <c r="AC224" i="31" s="1"/>
  <c r="B213" i="31"/>
  <c r="C213" i="31"/>
  <c r="AK134" i="31"/>
  <c r="BM134" i="31" s="1"/>
  <c r="F158" i="31"/>
  <c r="AC158" i="31" s="1"/>
  <c r="AK156" i="31"/>
  <c r="BM156" i="31" s="1"/>
  <c r="F147" i="31"/>
  <c r="AC147" i="31" s="1"/>
  <c r="B211" i="31"/>
  <c r="C211" i="31"/>
  <c r="F202" i="31"/>
  <c r="AC202" i="31" s="1"/>
  <c r="AW26" i="31"/>
  <c r="F136" i="31"/>
  <c r="AC136" i="31" s="1"/>
  <c r="B222" i="31"/>
  <c r="C222" i="31"/>
  <c r="BY189" i="31" l="1"/>
  <c r="AA201" i="31"/>
  <c r="AB201" i="31"/>
  <c r="I201" i="31"/>
  <c r="BW201" i="31" s="1"/>
  <c r="AB191" i="31"/>
  <c r="I191" i="31"/>
  <c r="BW191" i="31" s="1"/>
  <c r="AA191" i="31"/>
  <c r="AA202" i="31"/>
  <c r="I202" i="31"/>
  <c r="BW202" i="31" s="1"/>
  <c r="AB202" i="31"/>
  <c r="AA180" i="31"/>
  <c r="AB180" i="31"/>
  <c r="I180" i="31"/>
  <c r="BW180" i="31" s="1"/>
  <c r="AA147" i="31"/>
  <c r="I147" i="31"/>
  <c r="BW147" i="31" s="1"/>
  <c r="AB147" i="31"/>
  <c r="AB114" i="31"/>
  <c r="I114" i="31"/>
  <c r="BW114" i="31" s="1"/>
  <c r="AA125" i="31"/>
  <c r="AB125" i="31"/>
  <c r="I125" i="31"/>
  <c r="BW125" i="31" s="1"/>
  <c r="AA39" i="35"/>
  <c r="AB235" i="31"/>
  <c r="I235" i="31"/>
  <c r="BW235" i="31" s="1"/>
  <c r="AA235" i="31"/>
  <c r="AA136" i="31"/>
  <c r="AB136" i="31"/>
  <c r="I136" i="31"/>
  <c r="BW136" i="31" s="1"/>
  <c r="AB158" i="31"/>
  <c r="I158" i="31"/>
  <c r="BW158" i="31" s="1"/>
  <c r="AA158" i="31"/>
  <c r="AB224" i="31"/>
  <c r="I224" i="31"/>
  <c r="BW224" i="31" s="1"/>
  <c r="AA224" i="31"/>
  <c r="I169" i="31"/>
  <c r="BW169" i="31" s="1"/>
  <c r="AA169" i="31"/>
  <c r="AB169" i="31"/>
  <c r="BK210" i="31"/>
  <c r="AJ212" i="31"/>
  <c r="BX212" i="31" s="1"/>
  <c r="K124" i="31"/>
  <c r="BG124" i="31" s="1"/>
  <c r="BY124" i="31"/>
  <c r="K113" i="31"/>
  <c r="BG113" i="31" s="1"/>
  <c r="BY113" i="31"/>
  <c r="K102" i="31"/>
  <c r="BG102" i="31" s="1"/>
  <c r="BY102" i="31"/>
  <c r="K146" i="31"/>
  <c r="BG146" i="31" s="1"/>
  <c r="BY146" i="31"/>
  <c r="K135" i="31"/>
  <c r="BG135" i="31" s="1"/>
  <c r="BY135" i="31"/>
  <c r="K190" i="31"/>
  <c r="BG190" i="31" s="1"/>
  <c r="BY190" i="31"/>
  <c r="K168" i="31"/>
  <c r="BG168" i="31" s="1"/>
  <c r="BY168" i="31"/>
  <c r="K179" i="31"/>
  <c r="BG179" i="31" s="1"/>
  <c r="BY179" i="31"/>
  <c r="K157" i="31"/>
  <c r="BG157" i="31" s="1"/>
  <c r="BY157" i="31"/>
  <c r="K189" i="31"/>
  <c r="BG189" i="31" s="1"/>
  <c r="AK189" i="31"/>
  <c r="BM189" i="31" s="1"/>
  <c r="AL177" i="31"/>
  <c r="AJ158" i="31"/>
  <c r="BX158" i="31" s="1"/>
  <c r="AJ114" i="31"/>
  <c r="BX114" i="31" s="1"/>
  <c r="AJ180" i="31"/>
  <c r="BX180" i="31" s="1"/>
  <c r="AJ191" i="31"/>
  <c r="BX191" i="31" s="1"/>
  <c r="H273" i="31"/>
  <c r="F213" i="31"/>
  <c r="AC213" i="31" s="1"/>
  <c r="H274" i="31"/>
  <c r="H281" i="31"/>
  <c r="AJ201" i="31"/>
  <c r="AJ147" i="31"/>
  <c r="BX147" i="31" s="1"/>
  <c r="AJ125" i="31"/>
  <c r="BX125" i="31" s="1"/>
  <c r="H277" i="31"/>
  <c r="H280" i="31"/>
  <c r="H279" i="31"/>
  <c r="H271" i="31"/>
  <c r="H287" i="31"/>
  <c r="H282" i="31"/>
  <c r="H278" i="31"/>
  <c r="AJ136" i="31"/>
  <c r="BX136" i="31" s="1"/>
  <c r="AJ202" i="31"/>
  <c r="BX202" i="31" s="1"/>
  <c r="AJ169" i="31"/>
  <c r="BX169" i="31" s="1"/>
  <c r="H272" i="31"/>
  <c r="H276" i="31"/>
  <c r="BG199" i="31"/>
  <c r="L199" i="31" s="1"/>
  <c r="BG200" i="31"/>
  <c r="L200" i="31" s="1"/>
  <c r="BM187" i="31"/>
  <c r="AL187" i="31" s="1"/>
  <c r="V211" i="31"/>
  <c r="BK211" i="31" s="1"/>
  <c r="AJ211" i="31"/>
  <c r="AK199" i="31"/>
  <c r="BG90" i="31"/>
  <c r="L90" i="31" s="1"/>
  <c r="BY199" i="31"/>
  <c r="J222" i="31"/>
  <c r="J220" i="31"/>
  <c r="J215" i="31"/>
  <c r="J217" i="31"/>
  <c r="J214" i="31"/>
  <c r="J212" i="31"/>
  <c r="K212" i="31" s="1"/>
  <c r="J216" i="31"/>
  <c r="J218" i="31"/>
  <c r="J231" i="31"/>
  <c r="J221" i="31"/>
  <c r="L123" i="31"/>
  <c r="BY200" i="31"/>
  <c r="AL112" i="31"/>
  <c r="L134" i="31"/>
  <c r="L167" i="31"/>
  <c r="L156" i="31"/>
  <c r="L112" i="31"/>
  <c r="L101" i="31"/>
  <c r="V222" i="31"/>
  <c r="BK222" i="31" s="1"/>
  <c r="V221" i="31"/>
  <c r="BK221" i="31" s="1"/>
  <c r="V214" i="31"/>
  <c r="BK214" i="31" s="1"/>
  <c r="V231" i="31"/>
  <c r="BK231" i="31" s="1"/>
  <c r="V216" i="31"/>
  <c r="BK216" i="31" s="1"/>
  <c r="V218" i="31"/>
  <c r="BK218" i="31" s="1"/>
  <c r="V215" i="31"/>
  <c r="BK215" i="31" s="1"/>
  <c r="V213" i="31"/>
  <c r="BK213" i="31" s="1"/>
  <c r="V217" i="31"/>
  <c r="BK217" i="31" s="1"/>
  <c r="V212" i="31"/>
  <c r="BK212" i="31" s="1"/>
  <c r="V220" i="31"/>
  <c r="BK220" i="31" s="1"/>
  <c r="J211" i="31"/>
  <c r="K211" i="31" s="1"/>
  <c r="AL188" i="31"/>
  <c r="AK200" i="31"/>
  <c r="BM200" i="31" s="1"/>
  <c r="AL167" i="31"/>
  <c r="AL134" i="31"/>
  <c r="AL123" i="31"/>
  <c r="B234" i="31"/>
  <c r="C234" i="31"/>
  <c r="AK124" i="31"/>
  <c r="BM124" i="31" s="1"/>
  <c r="F148" i="31"/>
  <c r="AC148" i="31" s="1"/>
  <c r="AW27" i="31"/>
  <c r="F214" i="31"/>
  <c r="AC214" i="31" s="1"/>
  <c r="AK135" i="31"/>
  <c r="F159" i="31"/>
  <c r="AC159" i="31" s="1"/>
  <c r="B225" i="31"/>
  <c r="C225" i="31"/>
  <c r="F236" i="31"/>
  <c r="AC236" i="31" s="1"/>
  <c r="F137" i="31"/>
  <c r="AC137" i="31" s="1"/>
  <c r="F181" i="31"/>
  <c r="AC181" i="31" s="1"/>
  <c r="B229" i="31"/>
  <c r="C229" i="31"/>
  <c r="B224" i="31"/>
  <c r="C224" i="31"/>
  <c r="F192" i="31"/>
  <c r="AC192" i="31" s="1"/>
  <c r="B228" i="31"/>
  <c r="C228" i="31"/>
  <c r="B230" i="31"/>
  <c r="C230" i="31"/>
  <c r="B227" i="31"/>
  <c r="C227" i="31"/>
  <c r="AK179" i="31"/>
  <c r="BM179" i="31" s="1"/>
  <c r="AK190" i="31"/>
  <c r="BM190" i="31" s="1"/>
  <c r="L178" i="31"/>
  <c r="B223" i="31"/>
  <c r="C223" i="31"/>
  <c r="AK146" i="31"/>
  <c r="BM146" i="31" s="1"/>
  <c r="F170" i="31"/>
  <c r="AC170" i="31" s="1"/>
  <c r="AK113" i="31"/>
  <c r="BM113" i="31" s="1"/>
  <c r="AK157" i="31"/>
  <c r="BM157" i="31" s="1"/>
  <c r="B233" i="31"/>
  <c r="C233" i="31"/>
  <c r="AK102" i="31"/>
  <c r="BM102" i="31" s="1"/>
  <c r="F126" i="31"/>
  <c r="AC126" i="31" s="1"/>
  <c r="B226" i="31"/>
  <c r="C226" i="31"/>
  <c r="AK168" i="31"/>
  <c r="BM168" i="31" s="1"/>
  <c r="B232" i="31"/>
  <c r="C232" i="31"/>
  <c r="F203" i="31"/>
  <c r="AC203" i="31" s="1"/>
  <c r="F247" i="31"/>
  <c r="AC247" i="31" s="1"/>
  <c r="B243" i="31"/>
  <c r="C243" i="31"/>
  <c r="L145" i="31"/>
  <c r="AL156" i="31"/>
  <c r="J213" i="31"/>
  <c r="AL101" i="31"/>
  <c r="AL145" i="31"/>
  <c r="AL178" i="31"/>
  <c r="AL90" i="31"/>
  <c r="AA192" i="31" l="1"/>
  <c r="I192" i="31"/>
  <c r="BW192" i="31" s="1"/>
  <c r="AB192" i="31"/>
  <c r="AB214" i="31"/>
  <c r="I214" i="31"/>
  <c r="BW214" i="31" s="1"/>
  <c r="AA214" i="31"/>
  <c r="AB213" i="31"/>
  <c r="AA213" i="31"/>
  <c r="I213" i="31"/>
  <c r="BW213" i="31" s="1"/>
  <c r="AB247" i="31"/>
  <c r="I247" i="31"/>
  <c r="BW247" i="31" s="1"/>
  <c r="AA247" i="31"/>
  <c r="AA137" i="31"/>
  <c r="AB137" i="31"/>
  <c r="I137" i="31"/>
  <c r="BW137" i="31" s="1"/>
  <c r="AB159" i="31"/>
  <c r="AA159" i="31"/>
  <c r="I159" i="31"/>
  <c r="BW159" i="31" s="1"/>
  <c r="AA148" i="31"/>
  <c r="I148" i="31"/>
  <c r="BW148" i="31" s="1"/>
  <c r="AB148" i="31"/>
  <c r="AB203" i="31"/>
  <c r="I203" i="31"/>
  <c r="BW203" i="31" s="1"/>
  <c r="AA203" i="31"/>
  <c r="AA170" i="31"/>
  <c r="AB170" i="31"/>
  <c r="I170" i="31"/>
  <c r="BW170" i="31" s="1"/>
  <c r="AA236" i="31"/>
  <c r="AB236" i="31"/>
  <c r="I236" i="31"/>
  <c r="BW236" i="31" s="1"/>
  <c r="I126" i="31"/>
  <c r="BW126" i="31" s="1"/>
  <c r="AB126" i="31"/>
  <c r="AB181" i="31"/>
  <c r="I181" i="31"/>
  <c r="BW181" i="31" s="1"/>
  <c r="AA181" i="31"/>
  <c r="AJ224" i="31"/>
  <c r="BX224" i="31" s="1"/>
  <c r="K202" i="31"/>
  <c r="BG202" i="31" s="1"/>
  <c r="BY202" i="31"/>
  <c r="K125" i="31"/>
  <c r="BG125" i="31" s="1"/>
  <c r="BY125" i="31"/>
  <c r="AK201" i="31"/>
  <c r="BM201" i="31" s="1"/>
  <c r="BX201" i="31"/>
  <c r="K180" i="31"/>
  <c r="BG180" i="31" s="1"/>
  <c r="BY180" i="31"/>
  <c r="K158" i="31"/>
  <c r="BG158" i="31" s="1"/>
  <c r="BY158" i="31"/>
  <c r="AK211" i="31"/>
  <c r="BM211" i="31" s="1"/>
  <c r="AL211" i="31" s="1"/>
  <c r="BX211" i="31"/>
  <c r="BY211" i="31" s="1"/>
  <c r="K136" i="31"/>
  <c r="BG136" i="31" s="1"/>
  <c r="BY136" i="31"/>
  <c r="K147" i="31"/>
  <c r="BG147" i="31" s="1"/>
  <c r="BY147" i="31"/>
  <c r="K191" i="31"/>
  <c r="BG191" i="31" s="1"/>
  <c r="BY191" i="31"/>
  <c r="K114" i="31"/>
  <c r="BG114" i="31" s="1"/>
  <c r="BY114" i="31"/>
  <c r="K169" i="31"/>
  <c r="BG169" i="31" s="1"/>
  <c r="BY169" i="31"/>
  <c r="K201" i="31"/>
  <c r="BG201" i="31" s="1"/>
  <c r="AJ213" i="31"/>
  <c r="BX213" i="31" s="1"/>
  <c r="L189" i="31"/>
  <c r="AL189" i="31"/>
  <c r="AJ126" i="31"/>
  <c r="BX126" i="31" s="1"/>
  <c r="AJ192" i="31"/>
  <c r="BX192" i="31" s="1"/>
  <c r="H292" i="31"/>
  <c r="H293" i="31"/>
  <c r="H284" i="31"/>
  <c r="H290" i="31"/>
  <c r="H299" i="31"/>
  <c r="H291" i="31"/>
  <c r="H285" i="31"/>
  <c r="AJ203" i="31"/>
  <c r="BX203" i="31" s="1"/>
  <c r="AJ170" i="31"/>
  <c r="BX170" i="31" s="1"/>
  <c r="AJ181" i="31"/>
  <c r="BX181" i="31" s="1"/>
  <c r="H289" i="31"/>
  <c r="H286" i="31"/>
  <c r="AJ137" i="31"/>
  <c r="BX137" i="31" s="1"/>
  <c r="AJ214" i="31"/>
  <c r="BX214" i="31" s="1"/>
  <c r="AJ148" i="31"/>
  <c r="BX148" i="31" s="1"/>
  <c r="H288" i="31"/>
  <c r="AJ159" i="31"/>
  <c r="BX159" i="31" s="1"/>
  <c r="H294" i="31"/>
  <c r="H283" i="31"/>
  <c r="F225" i="31"/>
  <c r="AC225" i="31" s="1"/>
  <c r="BG211" i="31"/>
  <c r="L211" i="31" s="1"/>
  <c r="BG212" i="31"/>
  <c r="L212" i="31" s="1"/>
  <c r="BM135" i="31"/>
  <c r="AL135" i="31" s="1"/>
  <c r="BM199" i="31"/>
  <c r="AL199" i="31" s="1"/>
  <c r="V223" i="31"/>
  <c r="BK223" i="31" s="1"/>
  <c r="AJ223" i="31"/>
  <c r="J226" i="31"/>
  <c r="J229" i="31"/>
  <c r="J227" i="31"/>
  <c r="J234" i="31"/>
  <c r="J232" i="31"/>
  <c r="J228" i="31"/>
  <c r="J243" i="31"/>
  <c r="J233" i="31"/>
  <c r="J230" i="31"/>
  <c r="L102" i="31"/>
  <c r="AL179" i="31"/>
  <c r="AL200" i="31"/>
  <c r="AL146" i="31"/>
  <c r="AL190" i="31"/>
  <c r="L157" i="31"/>
  <c r="L179" i="31"/>
  <c r="L124" i="31"/>
  <c r="L135" i="31"/>
  <c r="L113" i="31"/>
  <c r="L146" i="31"/>
  <c r="V229" i="31"/>
  <c r="BK229" i="31" s="1"/>
  <c r="V243" i="31"/>
  <c r="BK243" i="31" s="1"/>
  <c r="V226" i="31"/>
  <c r="BK226" i="31" s="1"/>
  <c r="V227" i="31"/>
  <c r="BK227" i="31" s="1"/>
  <c r="V228" i="31"/>
  <c r="BK228" i="31" s="1"/>
  <c r="V233" i="31"/>
  <c r="BK233" i="31" s="1"/>
  <c r="V225" i="31"/>
  <c r="BK225" i="31" s="1"/>
  <c r="BY212" i="31"/>
  <c r="V230" i="31"/>
  <c r="BK230" i="31" s="1"/>
  <c r="V224" i="31"/>
  <c r="BK224" i="31" s="1"/>
  <c r="V234" i="31"/>
  <c r="BK234" i="31" s="1"/>
  <c r="V232" i="31"/>
  <c r="BK232" i="31" s="1"/>
  <c r="J224" i="31"/>
  <c r="K224" i="31" s="1"/>
  <c r="AK212" i="31"/>
  <c r="BM212" i="31" s="1"/>
  <c r="J225" i="31"/>
  <c r="AL102" i="31"/>
  <c r="AL157" i="31"/>
  <c r="C255" i="31"/>
  <c r="B255" i="31"/>
  <c r="Q255" i="31" s="1"/>
  <c r="AK191" i="31"/>
  <c r="B238" i="31"/>
  <c r="C238" i="31"/>
  <c r="F182" i="31"/>
  <c r="AC182" i="31" s="1"/>
  <c r="B242" i="31"/>
  <c r="C242" i="31"/>
  <c r="AK180" i="31"/>
  <c r="BM180" i="31" s="1"/>
  <c r="F204" i="31"/>
  <c r="AC204" i="31" s="1"/>
  <c r="B236" i="31"/>
  <c r="C236" i="31"/>
  <c r="B241" i="31"/>
  <c r="C241" i="31"/>
  <c r="AK169" i="31"/>
  <c r="F149" i="31"/>
  <c r="AC149" i="31" s="1"/>
  <c r="F248" i="31"/>
  <c r="AC248" i="31" s="1"/>
  <c r="B237" i="31"/>
  <c r="C237" i="31"/>
  <c r="F171" i="31"/>
  <c r="AC171" i="31" s="1"/>
  <c r="AK202" i="31"/>
  <c r="BM202" i="31" s="1"/>
  <c r="L190" i="31"/>
  <c r="AL168" i="31"/>
  <c r="AL113" i="31"/>
  <c r="J223" i="31"/>
  <c r="K223" i="31" s="1"/>
  <c r="AL124" i="31"/>
  <c r="F259" i="31"/>
  <c r="AC259" i="31" s="1"/>
  <c r="F215" i="31"/>
  <c r="AC215" i="31" s="1"/>
  <c r="B244" i="31"/>
  <c r="C244" i="31"/>
  <c r="AK114" i="31"/>
  <c r="BM114" i="31" s="1"/>
  <c r="F138" i="31"/>
  <c r="AC138" i="31" s="1"/>
  <c r="B245" i="31"/>
  <c r="C245" i="31"/>
  <c r="AK158" i="31"/>
  <c r="BM158" i="31" s="1"/>
  <c r="B235" i="31"/>
  <c r="C235" i="31"/>
  <c r="B239" i="31"/>
  <c r="C239" i="31"/>
  <c r="B240" i="31"/>
  <c r="C240" i="31"/>
  <c r="L168" i="31"/>
  <c r="F193" i="31"/>
  <c r="AC193" i="31" s="1"/>
  <c r="AK125" i="31"/>
  <c r="BM125" i="31" s="1"/>
  <c r="AK147" i="31"/>
  <c r="BM147" i="31" s="1"/>
  <c r="F226" i="31"/>
  <c r="AC226" i="31" s="1"/>
  <c r="AW28" i="31"/>
  <c r="AK136" i="31"/>
  <c r="BM136" i="31" s="1"/>
  <c r="F160" i="31"/>
  <c r="AC160" i="31" s="1"/>
  <c r="B246" i="31"/>
  <c r="C246" i="31"/>
  <c r="BY201" i="31" l="1"/>
  <c r="BY213" i="31"/>
  <c r="BY126" i="31"/>
  <c r="AA114" i="31"/>
  <c r="AB226" i="31"/>
  <c r="I226" i="31"/>
  <c r="BW226" i="31" s="1"/>
  <c r="AA226" i="31"/>
  <c r="AB182" i="31"/>
  <c r="I182" i="31"/>
  <c r="BW182" i="31" s="1"/>
  <c r="AA182" i="31"/>
  <c r="I138" i="31"/>
  <c r="BW138" i="31" s="1"/>
  <c r="AB138" i="31"/>
  <c r="AA149" i="31"/>
  <c r="I149" i="31"/>
  <c r="BW149" i="31" s="1"/>
  <c r="AB149" i="31"/>
  <c r="AB160" i="31"/>
  <c r="I160" i="31"/>
  <c r="BW160" i="31" s="1"/>
  <c r="AA160" i="31"/>
  <c r="I248" i="31"/>
  <c r="BW248" i="31" s="1"/>
  <c r="AA248" i="31"/>
  <c r="AB248" i="31"/>
  <c r="AB225" i="31"/>
  <c r="AA225" i="31"/>
  <c r="I225" i="31"/>
  <c r="BW225" i="31" s="1"/>
  <c r="AB193" i="31"/>
  <c r="I193" i="31"/>
  <c r="BW193" i="31" s="1"/>
  <c r="AA193" i="31"/>
  <c r="AB259" i="31"/>
  <c r="I259" i="31"/>
  <c r="BW259" i="31" s="1"/>
  <c r="AA259" i="31"/>
  <c r="AA204" i="31"/>
  <c r="I204" i="31"/>
  <c r="BW204" i="31" s="1"/>
  <c r="AB204" i="31"/>
  <c r="AB215" i="31"/>
  <c r="I215" i="31"/>
  <c r="BW215" i="31" s="1"/>
  <c r="AA215" i="31"/>
  <c r="AA171" i="31"/>
  <c r="I171" i="31"/>
  <c r="BW171" i="31" s="1"/>
  <c r="AB171" i="31"/>
  <c r="AJ236" i="31"/>
  <c r="BX236" i="31" s="1"/>
  <c r="AL201" i="31"/>
  <c r="AK223" i="31"/>
  <c r="BM223" i="31" s="1"/>
  <c r="AL223" i="31" s="1"/>
  <c r="BX223" i="31"/>
  <c r="BY223" i="31" s="1"/>
  <c r="K214" i="31"/>
  <c r="BG214" i="31" s="1"/>
  <c r="BY214" i="31"/>
  <c r="K192" i="31"/>
  <c r="BG192" i="31" s="1"/>
  <c r="BY192" i="31"/>
  <c r="K159" i="31"/>
  <c r="BG159" i="31" s="1"/>
  <c r="BY159" i="31"/>
  <c r="K181" i="31"/>
  <c r="BG181" i="31" s="1"/>
  <c r="BY181" i="31"/>
  <c r="K203" i="31"/>
  <c r="BG203" i="31" s="1"/>
  <c r="BY203" i="31"/>
  <c r="K148" i="31"/>
  <c r="BG148" i="31" s="1"/>
  <c r="BY148" i="31"/>
  <c r="K137" i="31"/>
  <c r="BG137" i="31" s="1"/>
  <c r="BY137" i="31"/>
  <c r="K170" i="31"/>
  <c r="BG170" i="31" s="1"/>
  <c r="BY170" i="31"/>
  <c r="K213" i="31"/>
  <c r="BG213" i="31" s="1"/>
  <c r="AJ225" i="31"/>
  <c r="K126" i="31"/>
  <c r="AA126" i="31" s="1"/>
  <c r="L201" i="31"/>
  <c r="AK213" i="31"/>
  <c r="BM213" i="31" s="1"/>
  <c r="H305" i="31"/>
  <c r="AJ226" i="31"/>
  <c r="BX226" i="31" s="1"/>
  <c r="AJ138" i="31"/>
  <c r="BX138" i="31" s="1"/>
  <c r="AJ171" i="31"/>
  <c r="BX171" i="31" s="1"/>
  <c r="AJ204" i="31"/>
  <c r="BX204" i="31" s="1"/>
  <c r="F237" i="31"/>
  <c r="AC237" i="31" s="1"/>
  <c r="H300" i="31"/>
  <c r="H298" i="31"/>
  <c r="H311" i="31"/>
  <c r="H302" i="31"/>
  <c r="AJ149" i="31"/>
  <c r="BX149" i="31" s="1"/>
  <c r="H303" i="31"/>
  <c r="H295" i="31"/>
  <c r="H301" i="31"/>
  <c r="AJ160" i="31"/>
  <c r="BX160" i="31" s="1"/>
  <c r="AJ193" i="31"/>
  <c r="BX193" i="31" s="1"/>
  <c r="AJ215" i="31"/>
  <c r="BX215" i="31" s="1"/>
  <c r="AJ182" i="31"/>
  <c r="BX182" i="31" s="1"/>
  <c r="H306" i="31"/>
  <c r="H297" i="31"/>
  <c r="H296" i="31"/>
  <c r="H304" i="31"/>
  <c r="BG223" i="31"/>
  <c r="L223" i="31" s="1"/>
  <c r="BG224" i="31"/>
  <c r="L224" i="31" s="1"/>
  <c r="BM191" i="31"/>
  <c r="AL191" i="31" s="1"/>
  <c r="BM169" i="31"/>
  <c r="AL169" i="31" s="1"/>
  <c r="V235" i="31"/>
  <c r="BK235" i="31" s="1"/>
  <c r="AJ235" i="31"/>
  <c r="BX235" i="31" s="1"/>
  <c r="V238" i="31"/>
  <c r="BK238" i="31" s="1"/>
  <c r="L169" i="31"/>
  <c r="AK224" i="31"/>
  <c r="J246" i="31"/>
  <c r="J236" i="31"/>
  <c r="K236" i="31" s="1"/>
  <c r="J242" i="31"/>
  <c r="J241" i="31"/>
  <c r="J240" i="31"/>
  <c r="J245" i="31"/>
  <c r="BY224" i="31"/>
  <c r="J239" i="31"/>
  <c r="J244" i="31"/>
  <c r="J238" i="31"/>
  <c r="J255" i="31"/>
  <c r="L147" i="31"/>
  <c r="L136" i="31"/>
  <c r="L191" i="31"/>
  <c r="AL212" i="31"/>
  <c r="AL158" i="31"/>
  <c r="AL114" i="31"/>
  <c r="AL202" i="31"/>
  <c r="L158" i="31"/>
  <c r="L125" i="31"/>
  <c r="L114" i="31"/>
  <c r="V237" i="31"/>
  <c r="BK237" i="31" s="1"/>
  <c r="V242" i="31"/>
  <c r="BK242" i="31" s="1"/>
  <c r="V239" i="31"/>
  <c r="BK239" i="31" s="1"/>
  <c r="V245" i="31"/>
  <c r="BK245" i="31" s="1"/>
  <c r="V241" i="31"/>
  <c r="BK241" i="31" s="1"/>
  <c r="V236" i="31"/>
  <c r="BK236" i="31" s="1"/>
  <c r="V255" i="31"/>
  <c r="BK255" i="31" s="1"/>
  <c r="V246" i="31"/>
  <c r="V244" i="31"/>
  <c r="BK244" i="31" s="1"/>
  <c r="V240" i="31"/>
  <c r="BK240" i="31" s="1"/>
  <c r="J237" i="31"/>
  <c r="F172" i="31"/>
  <c r="AC172" i="31" s="1"/>
  <c r="AW29" i="31"/>
  <c r="AK214" i="31"/>
  <c r="BM214" i="31" s="1"/>
  <c r="F238" i="31"/>
  <c r="AC238" i="31" s="1"/>
  <c r="AK181" i="31"/>
  <c r="C252" i="31"/>
  <c r="B252" i="31"/>
  <c r="Q252" i="31" s="1"/>
  <c r="B247" i="31"/>
  <c r="Q247" i="31" s="1"/>
  <c r="C247" i="31"/>
  <c r="AK126" i="31"/>
  <c r="BM126" i="31" s="1"/>
  <c r="AK203" i="31"/>
  <c r="BM203" i="31" s="1"/>
  <c r="F271" i="31"/>
  <c r="AC271" i="31" s="1"/>
  <c r="F183" i="31"/>
  <c r="AC183" i="31" s="1"/>
  <c r="C253" i="31"/>
  <c r="B253" i="31"/>
  <c r="Q253" i="31" s="1"/>
  <c r="AK192" i="31"/>
  <c r="BM192" i="31" s="1"/>
  <c r="F216" i="31"/>
  <c r="AC216" i="31" s="1"/>
  <c r="C254" i="31"/>
  <c r="B254" i="31"/>
  <c r="Q254" i="31" s="1"/>
  <c r="AK170" i="31"/>
  <c r="BM170" i="31" s="1"/>
  <c r="F194" i="31"/>
  <c r="AC194" i="31" s="1"/>
  <c r="C267" i="31"/>
  <c r="B267" i="31"/>
  <c r="Q267" i="31" s="1"/>
  <c r="C258" i="31"/>
  <c r="B258" i="31"/>
  <c r="Q258" i="31" s="1"/>
  <c r="AK148" i="31"/>
  <c r="BM148" i="31" s="1"/>
  <c r="L202" i="31"/>
  <c r="F205" i="31"/>
  <c r="AC205" i="31" s="1"/>
  <c r="L180" i="31"/>
  <c r="C251" i="31"/>
  <c r="B251" i="31"/>
  <c r="Q251" i="31" s="1"/>
  <c r="C257" i="31"/>
  <c r="B257" i="31"/>
  <c r="Q257" i="31" s="1"/>
  <c r="F150" i="31"/>
  <c r="AC150" i="31" s="1"/>
  <c r="C256" i="31"/>
  <c r="B256" i="31"/>
  <c r="Q256" i="31" s="1"/>
  <c r="F227" i="31"/>
  <c r="AC227" i="31" s="1"/>
  <c r="AK159" i="31"/>
  <c r="BM159" i="31" s="1"/>
  <c r="B249" i="31"/>
  <c r="Q249" i="31" s="1"/>
  <c r="C249" i="31"/>
  <c r="F260" i="31"/>
  <c r="AC260" i="31" s="1"/>
  <c r="AK137" i="31"/>
  <c r="BM137" i="31" s="1"/>
  <c r="F161" i="31"/>
  <c r="AC161" i="31" s="1"/>
  <c r="B248" i="31"/>
  <c r="Q248" i="31" s="1"/>
  <c r="C248" i="31"/>
  <c r="C250" i="31"/>
  <c r="B250" i="31"/>
  <c r="Q250" i="31" s="1"/>
  <c r="AL136" i="31"/>
  <c r="AL147" i="31"/>
  <c r="AL125" i="31"/>
  <c r="J235" i="31"/>
  <c r="K235" i="31" s="1"/>
  <c r="AL180" i="31"/>
  <c r="AA161" i="31" l="1"/>
  <c r="AB161" i="31"/>
  <c r="I161" i="31"/>
  <c r="BW161" i="31" s="1"/>
  <c r="AB150" i="31"/>
  <c r="I150" i="31"/>
  <c r="BW150" i="31" s="1"/>
  <c r="AA271" i="31"/>
  <c r="AB271" i="31"/>
  <c r="I271" i="31"/>
  <c r="BW271" i="31" s="1"/>
  <c r="AB238" i="31"/>
  <c r="I238" i="31"/>
  <c r="BW238" i="31" s="1"/>
  <c r="AA238" i="31"/>
  <c r="AB205" i="31"/>
  <c r="I205" i="31"/>
  <c r="BW205" i="31" s="1"/>
  <c r="AA205" i="31"/>
  <c r="AB260" i="31"/>
  <c r="I260" i="31"/>
  <c r="BW260" i="31" s="1"/>
  <c r="AA260" i="31"/>
  <c r="AA227" i="31"/>
  <c r="AB227" i="31"/>
  <c r="I227" i="31"/>
  <c r="BW227" i="31" s="1"/>
  <c r="AA194" i="31"/>
  <c r="AB194" i="31"/>
  <c r="I194" i="31"/>
  <c r="BW194" i="31" s="1"/>
  <c r="AB216" i="31"/>
  <c r="AA216" i="31"/>
  <c r="I216" i="31"/>
  <c r="BW216" i="31" s="1"/>
  <c r="AB183" i="31"/>
  <c r="AA183" i="31"/>
  <c r="I183" i="31"/>
  <c r="BW183" i="31" s="1"/>
  <c r="AA172" i="31"/>
  <c r="AB172" i="31"/>
  <c r="I172" i="31"/>
  <c r="BW172" i="31" s="1"/>
  <c r="I237" i="31"/>
  <c r="BW237" i="31" s="1"/>
  <c r="AA237" i="31"/>
  <c r="AB237" i="31"/>
  <c r="K160" i="31"/>
  <c r="BG160" i="31" s="1"/>
  <c r="BY160" i="31"/>
  <c r="K138" i="31"/>
  <c r="AA138" i="31" s="1"/>
  <c r="BY138" i="31"/>
  <c r="AK225" i="31"/>
  <c r="BM225" i="31" s="1"/>
  <c r="AL225" i="31" s="1"/>
  <c r="BX225" i="31"/>
  <c r="K215" i="31"/>
  <c r="BG215" i="31" s="1"/>
  <c r="BY215" i="31"/>
  <c r="K204" i="31"/>
  <c r="BG204" i="31" s="1"/>
  <c r="BY204" i="31"/>
  <c r="K182" i="31"/>
  <c r="BG182" i="31" s="1"/>
  <c r="BY182" i="31"/>
  <c r="K193" i="31"/>
  <c r="BG193" i="31" s="1"/>
  <c r="BY193" i="31"/>
  <c r="K149" i="31"/>
  <c r="BG149" i="31" s="1"/>
  <c r="BY149" i="31"/>
  <c r="K171" i="31"/>
  <c r="BG171" i="31" s="1"/>
  <c r="BY171" i="31"/>
  <c r="K226" i="31"/>
  <c r="BG226" i="31" s="1"/>
  <c r="BY226" i="31"/>
  <c r="BG126" i="31"/>
  <c r="L126" i="31" s="1"/>
  <c r="K225" i="31"/>
  <c r="BG225" i="31" s="1"/>
  <c r="BK246" i="31"/>
  <c r="AJ248" i="31"/>
  <c r="AJ247" i="31"/>
  <c r="L213" i="31"/>
  <c r="AL213" i="31"/>
  <c r="AJ237" i="31"/>
  <c r="AJ150" i="31"/>
  <c r="BX150" i="31" s="1"/>
  <c r="AJ205" i="31"/>
  <c r="BX205" i="31" s="1"/>
  <c r="H316" i="31"/>
  <c r="H313" i="31"/>
  <c r="H314" i="31"/>
  <c r="H323" i="31"/>
  <c r="H317" i="31"/>
  <c r="AJ194" i="31"/>
  <c r="BX194" i="31" s="1"/>
  <c r="AJ227" i="31"/>
  <c r="BX227" i="31" s="1"/>
  <c r="AJ216" i="31"/>
  <c r="BX216" i="31" s="1"/>
  <c r="AJ172" i="31"/>
  <c r="BX172" i="31" s="1"/>
  <c r="H318" i="31"/>
  <c r="F249" i="31"/>
  <c r="AC249" i="31" s="1"/>
  <c r="AJ183" i="31"/>
  <c r="BX183" i="31" s="1"/>
  <c r="H308" i="31"/>
  <c r="H310" i="31"/>
  <c r="AJ161" i="31"/>
  <c r="BX161" i="31" s="1"/>
  <c r="AJ238" i="31"/>
  <c r="BX238" i="31" s="1"/>
  <c r="H309" i="31"/>
  <c r="H307" i="31"/>
  <c r="H315" i="31"/>
  <c r="H312" i="31"/>
  <c r="BG235" i="31"/>
  <c r="L235" i="31" s="1"/>
  <c r="BG236" i="31"/>
  <c r="L236" i="31" s="1"/>
  <c r="BM181" i="31"/>
  <c r="AL181" i="31" s="1"/>
  <c r="AK235" i="31"/>
  <c r="BM224" i="31"/>
  <c r="AL224" i="31" s="1"/>
  <c r="L148" i="31"/>
  <c r="J250" i="31"/>
  <c r="J256" i="31"/>
  <c r="J257" i="31"/>
  <c r="J267" i="31"/>
  <c r="J253" i="31"/>
  <c r="J252" i="31"/>
  <c r="BY235" i="31"/>
  <c r="J249" i="31"/>
  <c r="J251" i="31"/>
  <c r="J258" i="31"/>
  <c r="J254" i="31"/>
  <c r="V247" i="31"/>
  <c r="BK247" i="31" s="1"/>
  <c r="V249" i="31"/>
  <c r="BK249" i="31" s="1"/>
  <c r="L181" i="31"/>
  <c r="AL170" i="31"/>
  <c r="AL137" i="31"/>
  <c r="AL148" i="31"/>
  <c r="AL126" i="31"/>
  <c r="AL203" i="31"/>
  <c r="BY236" i="31"/>
  <c r="L170" i="31"/>
  <c r="L203" i="31"/>
  <c r="L159" i="31"/>
  <c r="L137" i="31"/>
  <c r="V254" i="31"/>
  <c r="BK254" i="31" s="1"/>
  <c r="V250" i="31"/>
  <c r="BK250" i="31" s="1"/>
  <c r="V256" i="31"/>
  <c r="BK256" i="31" s="1"/>
  <c r="V257" i="31"/>
  <c r="BK257" i="31" s="1"/>
  <c r="V258" i="31"/>
  <c r="V253" i="31"/>
  <c r="BK253" i="31" s="1"/>
  <c r="V248" i="31"/>
  <c r="BK248" i="31" s="1"/>
  <c r="V252" i="31"/>
  <c r="BK252" i="31" s="1"/>
  <c r="V251" i="31"/>
  <c r="BK251" i="31" s="1"/>
  <c r="V267" i="31"/>
  <c r="BK267" i="31" s="1"/>
  <c r="AK236" i="31"/>
  <c r="BM236" i="31" s="1"/>
  <c r="AL192" i="31"/>
  <c r="C262" i="31"/>
  <c r="B262" i="31"/>
  <c r="Q262" i="31" s="1"/>
  <c r="L192" i="31"/>
  <c r="C260" i="31"/>
  <c r="B260" i="31"/>
  <c r="Q260" i="31" s="1"/>
  <c r="F173" i="31"/>
  <c r="AC173" i="31" s="1"/>
  <c r="F272" i="31"/>
  <c r="AC272" i="31" s="1"/>
  <c r="F239" i="31"/>
  <c r="AC239" i="31" s="1"/>
  <c r="C268" i="31"/>
  <c r="B268" i="31"/>
  <c r="Q268" i="31" s="1"/>
  <c r="F162" i="31"/>
  <c r="AC162" i="31" s="1"/>
  <c r="C269" i="31"/>
  <c r="B269" i="31"/>
  <c r="Q269" i="31" s="1"/>
  <c r="AK193" i="31"/>
  <c r="BM193" i="31" s="1"/>
  <c r="L214" i="31"/>
  <c r="C270" i="31"/>
  <c r="B270" i="31"/>
  <c r="Q270" i="31" s="1"/>
  <c r="C279" i="31"/>
  <c r="B279" i="31"/>
  <c r="Q279" i="31" s="1"/>
  <c r="AK182" i="31"/>
  <c r="BM182" i="31" s="1"/>
  <c r="F206" i="31"/>
  <c r="AC206" i="31" s="1"/>
  <c r="C266" i="31"/>
  <c r="B266" i="31"/>
  <c r="Q266" i="31" s="1"/>
  <c r="F228" i="31"/>
  <c r="AC228" i="31" s="1"/>
  <c r="C265" i="31"/>
  <c r="B265" i="31"/>
  <c r="Q265" i="31" s="1"/>
  <c r="F195" i="31"/>
  <c r="AC195" i="31" s="1"/>
  <c r="C264" i="31"/>
  <c r="B264" i="31"/>
  <c r="Q264" i="31" s="1"/>
  <c r="AK226" i="31"/>
  <c r="J248" i="31"/>
  <c r="K248" i="31" s="1"/>
  <c r="AL159" i="31"/>
  <c r="AL214" i="31"/>
  <c r="AK149" i="31"/>
  <c r="BM149" i="31" s="1"/>
  <c r="C261" i="31"/>
  <c r="B261" i="31"/>
  <c r="Q261" i="31" s="1"/>
  <c r="AK215" i="31"/>
  <c r="AK138" i="31"/>
  <c r="BM138" i="31" s="1"/>
  <c r="C263" i="31"/>
  <c r="B263" i="31"/>
  <c r="Q263" i="31" s="1"/>
  <c r="F217" i="31"/>
  <c r="AC217" i="31" s="1"/>
  <c r="AK204" i="31"/>
  <c r="AK171" i="31"/>
  <c r="BM171" i="31" s="1"/>
  <c r="F283" i="31"/>
  <c r="AC283" i="31" s="1"/>
  <c r="C259" i="31"/>
  <c r="B259" i="31"/>
  <c r="Q259" i="31" s="1"/>
  <c r="F250" i="31"/>
  <c r="AC250" i="31" s="1"/>
  <c r="AW30" i="31"/>
  <c r="AK160" i="31"/>
  <c r="BM160" i="31" s="1"/>
  <c r="F184" i="31"/>
  <c r="AC184" i="31" s="1"/>
  <c r="J247" i="31"/>
  <c r="K247" i="31" s="1"/>
  <c r="BY225" i="31" l="1"/>
  <c r="AA250" i="31"/>
  <c r="AB250" i="31"/>
  <c r="I250" i="31"/>
  <c r="BW250" i="31" s="1"/>
  <c r="AA217" i="31"/>
  <c r="I217" i="31"/>
  <c r="BW217" i="31" s="1"/>
  <c r="AB217" i="31"/>
  <c r="AA206" i="31"/>
  <c r="AB206" i="31"/>
  <c r="I206" i="31"/>
  <c r="BW206" i="31" s="1"/>
  <c r="AB195" i="31"/>
  <c r="I195" i="31"/>
  <c r="BW195" i="31" s="1"/>
  <c r="AA195" i="31"/>
  <c r="AA162" i="31"/>
  <c r="AB162" i="31"/>
  <c r="I162" i="31"/>
  <c r="BW162" i="31" s="1"/>
  <c r="AB272" i="31"/>
  <c r="I272" i="31"/>
  <c r="BW272" i="31" s="1"/>
  <c r="AA272" i="31"/>
  <c r="AA184" i="31"/>
  <c r="AB184" i="31"/>
  <c r="I184" i="31"/>
  <c r="BW184" i="31" s="1"/>
  <c r="AA173" i="31"/>
  <c r="AB173" i="31"/>
  <c r="I173" i="31"/>
  <c r="BW173" i="31" s="1"/>
  <c r="AB283" i="31"/>
  <c r="I283" i="31"/>
  <c r="BW283" i="31" s="1"/>
  <c r="AA283" i="31"/>
  <c r="AA228" i="31"/>
  <c r="AB228" i="31"/>
  <c r="I228" i="31"/>
  <c r="BW228" i="31" s="1"/>
  <c r="I239" i="31"/>
  <c r="BW239" i="31" s="1"/>
  <c r="AA239" i="31"/>
  <c r="AB239" i="31"/>
  <c r="AJ249" i="31"/>
  <c r="BX249" i="31" s="1"/>
  <c r="AB249" i="31"/>
  <c r="I249" i="31"/>
  <c r="BW249" i="31" s="1"/>
  <c r="AA249" i="31"/>
  <c r="BK258" i="31"/>
  <c r="BG138" i="31"/>
  <c r="L138" i="31" s="1"/>
  <c r="K161" i="31"/>
  <c r="BG161" i="31" s="1"/>
  <c r="BY161" i="31"/>
  <c r="K183" i="31"/>
  <c r="BG183" i="31" s="1"/>
  <c r="BY183" i="31"/>
  <c r="K216" i="31"/>
  <c r="BG216" i="31" s="1"/>
  <c r="BY216" i="31"/>
  <c r="K194" i="31"/>
  <c r="BG194" i="31" s="1"/>
  <c r="BY194" i="31"/>
  <c r="AK247" i="31"/>
  <c r="BM247" i="31" s="1"/>
  <c r="AL247" i="31" s="1"/>
  <c r="BX247" i="31"/>
  <c r="BY247" i="31" s="1"/>
  <c r="K205" i="31"/>
  <c r="BG205" i="31" s="1"/>
  <c r="BY205" i="31"/>
  <c r="K172" i="31"/>
  <c r="BG172" i="31" s="1"/>
  <c r="BY172" i="31"/>
  <c r="K227" i="31"/>
  <c r="BG227" i="31" s="1"/>
  <c r="BY227" i="31"/>
  <c r="AK237" i="31"/>
  <c r="BM237" i="31" s="1"/>
  <c r="BX237" i="31"/>
  <c r="K238" i="31"/>
  <c r="BG238" i="31" s="1"/>
  <c r="BY238" i="31"/>
  <c r="K150" i="31"/>
  <c r="AA150" i="31" s="1"/>
  <c r="BY150" i="31"/>
  <c r="AK248" i="31"/>
  <c r="BM248" i="31" s="1"/>
  <c r="BX248" i="31"/>
  <c r="BY248" i="31" s="1"/>
  <c r="K237" i="31"/>
  <c r="BG237" i="31" s="1"/>
  <c r="AJ259" i="31"/>
  <c r="BX259" i="31" s="1"/>
  <c r="AJ260" i="31"/>
  <c r="BX260" i="31" s="1"/>
  <c r="L225" i="31"/>
  <c r="AJ195" i="31"/>
  <c r="BX195" i="31" s="1"/>
  <c r="H327" i="31"/>
  <c r="AJ184" i="31"/>
  <c r="BX184" i="31" s="1"/>
  <c r="AJ239" i="31"/>
  <c r="BX239" i="31" s="1"/>
  <c r="AJ173" i="31"/>
  <c r="BX173" i="31" s="1"/>
  <c r="H324" i="31"/>
  <c r="H321" i="31"/>
  <c r="H320" i="31"/>
  <c r="H326" i="31"/>
  <c r="F261" i="31"/>
  <c r="AC261" i="31" s="1"/>
  <c r="H325" i="31"/>
  <c r="AJ217" i="31"/>
  <c r="BX217" i="31" s="1"/>
  <c r="AJ206" i="31"/>
  <c r="BX206" i="31" s="1"/>
  <c r="AJ162" i="31"/>
  <c r="BX162" i="31" s="1"/>
  <c r="H319" i="31"/>
  <c r="H322" i="31"/>
  <c r="H335" i="31"/>
  <c r="AJ250" i="31"/>
  <c r="BX250" i="31" s="1"/>
  <c r="AJ228" i="31"/>
  <c r="BX228" i="31" s="1"/>
  <c r="H330" i="31"/>
  <c r="H329" i="31"/>
  <c r="H328" i="31"/>
  <c r="BG247" i="31"/>
  <c r="L247" i="31" s="1"/>
  <c r="BM215" i="31"/>
  <c r="AL215" i="31" s="1"/>
  <c r="BM226" i="31"/>
  <c r="AL226" i="31" s="1"/>
  <c r="BM235" i="31"/>
  <c r="AL235" i="31" s="1"/>
  <c r="BM204" i="31"/>
  <c r="AL204" i="31" s="1"/>
  <c r="J270" i="31"/>
  <c r="J265" i="31"/>
  <c r="J260" i="31"/>
  <c r="K260" i="31" s="1"/>
  <c r="J269" i="31"/>
  <c r="J261" i="31"/>
  <c r="J264" i="31"/>
  <c r="J279" i="31"/>
  <c r="J262" i="31"/>
  <c r="J266" i="31"/>
  <c r="J263" i="31"/>
  <c r="J268" i="31"/>
  <c r="V259" i="31"/>
  <c r="BK259" i="31" s="1"/>
  <c r="L215" i="31"/>
  <c r="AL171" i="31"/>
  <c r="AL149" i="31"/>
  <c r="AL236" i="31"/>
  <c r="AL160" i="31"/>
  <c r="AL182" i="31"/>
  <c r="L204" i="31"/>
  <c r="L149" i="31"/>
  <c r="L193" i="31"/>
  <c r="L160" i="31"/>
  <c r="V279" i="31"/>
  <c r="BK279" i="31" s="1"/>
  <c r="V263" i="31"/>
  <c r="BK263" i="31" s="1"/>
  <c r="V261" i="31"/>
  <c r="BK261" i="31" s="1"/>
  <c r="V262" i="31"/>
  <c r="BK262" i="31" s="1"/>
  <c r="L171" i="31"/>
  <c r="V270" i="31"/>
  <c r="BK270" i="31" s="1"/>
  <c r="V269" i="31"/>
  <c r="BK269" i="31" s="1"/>
  <c r="V268" i="31"/>
  <c r="BK268" i="31" s="1"/>
  <c r="V264" i="31"/>
  <c r="BK264" i="31" s="1"/>
  <c r="V265" i="31"/>
  <c r="BK265" i="31" s="1"/>
  <c r="V266" i="31"/>
  <c r="BK266" i="31" s="1"/>
  <c r="V260" i="31"/>
  <c r="BK260" i="31" s="1"/>
  <c r="BG248" i="31"/>
  <c r="J259" i="31"/>
  <c r="K259" i="31" s="1"/>
  <c r="AK238" i="31"/>
  <c r="BM238" i="31" s="1"/>
  <c r="L226" i="31"/>
  <c r="C271" i="31"/>
  <c r="B271" i="31"/>
  <c r="Q271" i="31" s="1"/>
  <c r="F295" i="31"/>
  <c r="AC295" i="31" s="1"/>
  <c r="L182" i="31"/>
  <c r="F229" i="31"/>
  <c r="AC229" i="31" s="1"/>
  <c r="C275" i="31"/>
  <c r="B275" i="31"/>
  <c r="Q275" i="31" s="1"/>
  <c r="AK183" i="31"/>
  <c r="BM183" i="31" s="1"/>
  <c r="AK216" i="31"/>
  <c r="BM216" i="31" s="1"/>
  <c r="C282" i="31"/>
  <c r="B282" i="31"/>
  <c r="Q282" i="31" s="1"/>
  <c r="C281" i="31"/>
  <c r="B281" i="31"/>
  <c r="Q281" i="31" s="1"/>
  <c r="F174" i="31"/>
  <c r="AC174" i="31" s="1"/>
  <c r="AK227" i="31"/>
  <c r="BM227" i="31" s="1"/>
  <c r="F284" i="31"/>
  <c r="AC284" i="31" s="1"/>
  <c r="C274" i="31"/>
  <c r="B274" i="31"/>
  <c r="Q274" i="31" s="1"/>
  <c r="AK172" i="31"/>
  <c r="BM172" i="31" s="1"/>
  <c r="F196" i="31"/>
  <c r="AC196" i="31" s="1"/>
  <c r="AW31" i="31"/>
  <c r="F262" i="31"/>
  <c r="AC262" i="31" s="1"/>
  <c r="AK205" i="31"/>
  <c r="BM205" i="31" s="1"/>
  <c r="C273" i="31"/>
  <c r="B273" i="31"/>
  <c r="Q273" i="31" s="1"/>
  <c r="C276" i="31"/>
  <c r="B276" i="31"/>
  <c r="Q276" i="31" s="1"/>
  <c r="F207" i="31"/>
  <c r="AC207" i="31" s="1"/>
  <c r="C277" i="31"/>
  <c r="B277" i="31"/>
  <c r="Q277" i="31" s="1"/>
  <c r="F240" i="31"/>
  <c r="AC240" i="31" s="1"/>
  <c r="C278" i="31"/>
  <c r="B278" i="31"/>
  <c r="Q278" i="31" s="1"/>
  <c r="AK194" i="31"/>
  <c r="F218" i="31"/>
  <c r="AC218" i="31" s="1"/>
  <c r="C291" i="31"/>
  <c r="B291" i="31"/>
  <c r="Q291" i="31" s="1"/>
  <c r="AK150" i="31"/>
  <c r="BM150" i="31" s="1"/>
  <c r="C280" i="31"/>
  <c r="B280" i="31"/>
  <c r="Q280" i="31" s="1"/>
  <c r="F251" i="31"/>
  <c r="AC251" i="31" s="1"/>
  <c r="AK161" i="31"/>
  <c r="BM161" i="31" s="1"/>
  <c r="F185" i="31"/>
  <c r="AC185" i="31" s="1"/>
  <c r="C272" i="31"/>
  <c r="B272" i="31"/>
  <c r="Q272" i="31" s="1"/>
  <c r="AL138" i="31"/>
  <c r="AL193" i="31"/>
  <c r="BY237" i="31" l="1"/>
  <c r="AK249" i="31"/>
  <c r="BM249" i="31" s="1"/>
  <c r="AB251" i="31"/>
  <c r="I251" i="31"/>
  <c r="BW251" i="31" s="1"/>
  <c r="AA251" i="31"/>
  <c r="AB262" i="31"/>
  <c r="I262" i="31"/>
  <c r="BW262" i="31" s="1"/>
  <c r="AA262" i="31"/>
  <c r="AB174" i="31"/>
  <c r="I174" i="31"/>
  <c r="BW174" i="31" s="1"/>
  <c r="AB295" i="31"/>
  <c r="AA295" i="31"/>
  <c r="I295" i="31"/>
  <c r="BW295" i="31" s="1"/>
  <c r="AA44" i="35"/>
  <c r="AA185" i="31"/>
  <c r="I185" i="31"/>
  <c r="BW185" i="31" s="1"/>
  <c r="AB185" i="31"/>
  <c r="AA218" i="31"/>
  <c r="AB218" i="31"/>
  <c r="I218" i="31"/>
  <c r="BW218" i="31" s="1"/>
  <c r="AA240" i="31"/>
  <c r="AB240" i="31"/>
  <c r="I240" i="31"/>
  <c r="BW240" i="31" s="1"/>
  <c r="AA261" i="31"/>
  <c r="AB261" i="31"/>
  <c r="I261" i="31"/>
  <c r="BW261" i="31" s="1"/>
  <c r="AB207" i="31"/>
  <c r="I207" i="31"/>
  <c r="BW207" i="31" s="1"/>
  <c r="AA207" i="31"/>
  <c r="I196" i="31"/>
  <c r="BW196" i="31" s="1"/>
  <c r="AB196" i="31"/>
  <c r="AA196" i="31"/>
  <c r="AA284" i="31"/>
  <c r="AB284" i="31"/>
  <c r="I284" i="31"/>
  <c r="BW284" i="31" s="1"/>
  <c r="AB229" i="31"/>
  <c r="AA229" i="31"/>
  <c r="I229" i="31"/>
  <c r="BW229" i="31" s="1"/>
  <c r="BG150" i="31"/>
  <c r="L150" i="31" s="1"/>
  <c r="AL248" i="31"/>
  <c r="AL237" i="31"/>
  <c r="K250" i="31"/>
  <c r="BG250" i="31" s="1"/>
  <c r="BY250" i="31"/>
  <c r="K162" i="31"/>
  <c r="BG162" i="31" s="1"/>
  <c r="BY162" i="31"/>
  <c r="K217" i="31"/>
  <c r="BG217" i="31" s="1"/>
  <c r="BY217" i="31"/>
  <c r="BY249" i="31"/>
  <c r="K239" i="31"/>
  <c r="BG239" i="31" s="1"/>
  <c r="BY239" i="31"/>
  <c r="K228" i="31"/>
  <c r="BG228" i="31" s="1"/>
  <c r="BY228" i="31"/>
  <c r="K206" i="31"/>
  <c r="BG206" i="31" s="1"/>
  <c r="BY206" i="31"/>
  <c r="K173" i="31"/>
  <c r="BG173" i="31" s="1"/>
  <c r="BY173" i="31"/>
  <c r="K184" i="31"/>
  <c r="BG184" i="31" s="1"/>
  <c r="BY184" i="31"/>
  <c r="K195" i="31"/>
  <c r="BG195" i="31" s="1"/>
  <c r="BY195" i="31"/>
  <c r="K249" i="31"/>
  <c r="BG249" i="31" s="1"/>
  <c r="L249" i="31" s="1"/>
  <c r="AJ271" i="31"/>
  <c r="BX271" i="31" s="1"/>
  <c r="AJ272" i="31"/>
  <c r="H337" i="31"/>
  <c r="H338" i="31"/>
  <c r="AJ174" i="31"/>
  <c r="BX174" i="31" s="1"/>
  <c r="AJ229" i="31"/>
  <c r="BX229" i="31" s="1"/>
  <c r="H336" i="31"/>
  <c r="H339" i="31"/>
  <c r="AJ240" i="31"/>
  <c r="BX240" i="31" s="1"/>
  <c r="H331" i="31"/>
  <c r="H342" i="31"/>
  <c r="AJ185" i="31"/>
  <c r="BX185" i="31" s="1"/>
  <c r="AJ251" i="31"/>
  <c r="BX251" i="31" s="1"/>
  <c r="AJ218" i="31"/>
  <c r="BX218" i="31" s="1"/>
  <c r="AJ262" i="31"/>
  <c r="BX262" i="31" s="1"/>
  <c r="AJ196" i="31"/>
  <c r="BX196" i="31" s="1"/>
  <c r="H341" i="31"/>
  <c r="H334" i="31"/>
  <c r="H333" i="31"/>
  <c r="L237" i="31"/>
  <c r="AJ207" i="31"/>
  <c r="BX207" i="31" s="1"/>
  <c r="H340" i="31"/>
  <c r="H347" i="31"/>
  <c r="F273" i="31"/>
  <c r="AC273" i="31" s="1"/>
  <c r="H332" i="31"/>
  <c r="AJ261" i="31"/>
  <c r="BG259" i="31"/>
  <c r="L259" i="31" s="1"/>
  <c r="BG260" i="31"/>
  <c r="L260" i="31" s="1"/>
  <c r="BM194" i="31"/>
  <c r="AL194" i="31" s="1"/>
  <c r="AK259" i="31"/>
  <c r="J280" i="31"/>
  <c r="J291" i="31"/>
  <c r="J276" i="31"/>
  <c r="J274" i="31"/>
  <c r="J277" i="31"/>
  <c r="J281" i="31"/>
  <c r="J282" i="31"/>
  <c r="J278" i="31"/>
  <c r="J275" i="31"/>
  <c r="BY259" i="31"/>
  <c r="V273" i="31"/>
  <c r="BK273" i="31" s="1"/>
  <c r="V272" i="31"/>
  <c r="BK272" i="31" s="1"/>
  <c r="V271" i="31"/>
  <c r="BK271" i="31" s="1"/>
  <c r="L172" i="31"/>
  <c r="L227" i="31"/>
  <c r="AL150" i="31"/>
  <c r="L216" i="31"/>
  <c r="L161" i="31"/>
  <c r="L194" i="31"/>
  <c r="V291" i="31"/>
  <c r="BK291" i="31" s="1"/>
  <c r="V277" i="31"/>
  <c r="BK277" i="31" s="1"/>
  <c r="V275" i="31"/>
  <c r="BK275" i="31" s="1"/>
  <c r="L183" i="31"/>
  <c r="V278" i="31"/>
  <c r="BK278" i="31" s="1"/>
  <c r="V281" i="31"/>
  <c r="BK281" i="31" s="1"/>
  <c r="L248" i="31"/>
  <c r="V280" i="31"/>
  <c r="BK280" i="31" s="1"/>
  <c r="V276" i="31"/>
  <c r="BK276" i="31" s="1"/>
  <c r="V274" i="31"/>
  <c r="BK274" i="31" s="1"/>
  <c r="V282" i="31"/>
  <c r="BK282" i="31" s="1"/>
  <c r="BY260" i="31"/>
  <c r="J272" i="31"/>
  <c r="K272" i="31" s="1"/>
  <c r="J273" i="31"/>
  <c r="J271" i="31"/>
  <c r="K271" i="31" s="1"/>
  <c r="C284" i="31"/>
  <c r="B284" i="31"/>
  <c r="Q284" i="31" s="1"/>
  <c r="F197" i="31"/>
  <c r="AC197" i="31" s="1"/>
  <c r="C292" i="31"/>
  <c r="B292" i="31"/>
  <c r="Q292" i="31" s="1"/>
  <c r="B303" i="31"/>
  <c r="Q303" i="31" s="1"/>
  <c r="C303" i="31"/>
  <c r="AK206" i="31"/>
  <c r="AK195" i="31"/>
  <c r="BM195" i="31" s="1"/>
  <c r="C288" i="31"/>
  <c r="B288" i="31"/>
  <c r="Q288" i="31" s="1"/>
  <c r="AK260" i="31"/>
  <c r="BM260" i="31" s="1"/>
  <c r="C286" i="31"/>
  <c r="B286" i="31"/>
  <c r="Q286" i="31" s="1"/>
  <c r="F186" i="31"/>
  <c r="B294" i="31"/>
  <c r="Q294" i="31" s="1"/>
  <c r="C294" i="31"/>
  <c r="C287" i="31"/>
  <c r="B287" i="31"/>
  <c r="Q287" i="31" s="1"/>
  <c r="F241" i="31"/>
  <c r="AC241" i="31" s="1"/>
  <c r="F307" i="31"/>
  <c r="AC307" i="31" s="1"/>
  <c r="C283" i="31"/>
  <c r="B283" i="31"/>
  <c r="Q283" i="31" s="1"/>
  <c r="L238" i="31"/>
  <c r="AL205" i="31"/>
  <c r="AL172" i="31"/>
  <c r="AL227" i="31"/>
  <c r="AL216" i="31"/>
  <c r="AL183" i="31"/>
  <c r="AK173" i="31"/>
  <c r="BM173" i="31" s="1"/>
  <c r="AK239" i="31"/>
  <c r="F263" i="31"/>
  <c r="AC263" i="31" s="1"/>
  <c r="F230" i="31"/>
  <c r="AC230" i="31" s="1"/>
  <c r="C290" i="31"/>
  <c r="B290" i="31"/>
  <c r="Q290" i="31" s="1"/>
  <c r="AK228" i="31"/>
  <c r="BM228" i="31" s="1"/>
  <c r="F252" i="31"/>
  <c r="AC252" i="31" s="1"/>
  <c r="C289" i="31"/>
  <c r="B289" i="31"/>
  <c r="Q289" i="31" s="1"/>
  <c r="F219" i="31"/>
  <c r="AC219" i="31" s="1"/>
  <c r="C285" i="31"/>
  <c r="B285" i="31"/>
  <c r="Q285" i="31" s="1"/>
  <c r="AK250" i="31"/>
  <c r="BM250" i="31" s="1"/>
  <c r="F274" i="31"/>
  <c r="AC274" i="31" s="1"/>
  <c r="AW32" i="31"/>
  <c r="AK184" i="31"/>
  <c r="BM184" i="31" s="1"/>
  <c r="F208" i="31"/>
  <c r="AC208" i="31" s="1"/>
  <c r="F296" i="31"/>
  <c r="AC296" i="31" s="1"/>
  <c r="AK162" i="31"/>
  <c r="BM162" i="31" s="1"/>
  <c r="B293" i="31"/>
  <c r="Q293" i="31" s="1"/>
  <c r="C293" i="31"/>
  <c r="AK217" i="31"/>
  <c r="BM217" i="31" s="1"/>
  <c r="L205" i="31"/>
  <c r="AL161" i="31"/>
  <c r="AL238" i="31"/>
  <c r="BY262" i="31" l="1"/>
  <c r="AL249" i="31"/>
  <c r="AA230" i="31"/>
  <c r="AB230" i="31"/>
  <c r="I230" i="31"/>
  <c r="BW230" i="31" s="1"/>
  <c r="AB307" i="31"/>
  <c r="I307" i="31"/>
  <c r="BW307" i="31" s="1"/>
  <c r="AA307" i="31"/>
  <c r="AA208" i="31"/>
  <c r="I208" i="31"/>
  <c r="BW208" i="31" s="1"/>
  <c r="AB208" i="31"/>
  <c r="I186" i="31"/>
  <c r="BW186" i="31" s="1"/>
  <c r="AB186" i="31"/>
  <c r="AB197" i="31"/>
  <c r="AA197" i="31"/>
  <c r="I197" i="31"/>
  <c r="BW197" i="31" s="1"/>
  <c r="AA252" i="31"/>
  <c r="AB252" i="31"/>
  <c r="I252" i="31"/>
  <c r="BW252" i="31" s="1"/>
  <c r="AB296" i="31"/>
  <c r="I296" i="31"/>
  <c r="BW296" i="31" s="1"/>
  <c r="AA296" i="31"/>
  <c r="AB274" i="31"/>
  <c r="I274" i="31"/>
  <c r="BW274" i="31" s="1"/>
  <c r="AA274" i="31"/>
  <c r="AB219" i="31"/>
  <c r="I219" i="31"/>
  <c r="BW219" i="31" s="1"/>
  <c r="AA219" i="31"/>
  <c r="AB263" i="31"/>
  <c r="I263" i="31"/>
  <c r="BW263" i="31" s="1"/>
  <c r="AA263" i="31"/>
  <c r="AB241" i="31"/>
  <c r="AA241" i="31"/>
  <c r="I241" i="31"/>
  <c r="BW241" i="31" s="1"/>
  <c r="AB273" i="31"/>
  <c r="I273" i="31"/>
  <c r="BW273" i="31" s="1"/>
  <c r="AA273" i="31"/>
  <c r="K207" i="31"/>
  <c r="BG207" i="31" s="1"/>
  <c r="BY207" i="31"/>
  <c r="K240" i="31"/>
  <c r="BG240" i="31" s="1"/>
  <c r="BY240" i="31"/>
  <c r="K229" i="31"/>
  <c r="BG229" i="31" s="1"/>
  <c r="BY229" i="31"/>
  <c r="K196" i="31"/>
  <c r="BG196" i="31" s="1"/>
  <c r="BY196" i="31"/>
  <c r="K218" i="31"/>
  <c r="BG218" i="31" s="1"/>
  <c r="BY218" i="31"/>
  <c r="K185" i="31"/>
  <c r="BG185" i="31" s="1"/>
  <c r="BY185" i="31"/>
  <c r="K174" i="31"/>
  <c r="BG174" i="31" s="1"/>
  <c r="BY174" i="31"/>
  <c r="AK261" i="31"/>
  <c r="BM261" i="31" s="1"/>
  <c r="BX261" i="31"/>
  <c r="K251" i="31"/>
  <c r="BG251" i="31" s="1"/>
  <c r="BY251" i="31"/>
  <c r="AK272" i="31"/>
  <c r="BM272" i="31" s="1"/>
  <c r="BX272" i="31"/>
  <c r="BY272" i="31" s="1"/>
  <c r="K261" i="31"/>
  <c r="BG261" i="31" s="1"/>
  <c r="L261" i="31" s="1"/>
  <c r="K262" i="31"/>
  <c r="BG262" i="31" s="1"/>
  <c r="AJ284" i="31"/>
  <c r="BX284" i="31" s="1"/>
  <c r="AJ283" i="31"/>
  <c r="BX283" i="31" s="1"/>
  <c r="AJ273" i="31"/>
  <c r="BX273" i="31" s="1"/>
  <c r="AJ197" i="31"/>
  <c r="BX197" i="31" s="1"/>
  <c r="AJ263" i="31"/>
  <c r="BX263" i="31" s="1"/>
  <c r="AJ241" i="31"/>
  <c r="BX241" i="31" s="1"/>
  <c r="F285" i="31"/>
  <c r="AC285" i="31" s="1"/>
  <c r="H353" i="31"/>
  <c r="H343" i="31"/>
  <c r="H348" i="31"/>
  <c r="H349" i="31"/>
  <c r="H344" i="31"/>
  <c r="H346" i="31"/>
  <c r="H351" i="31"/>
  <c r="H350" i="31"/>
  <c r="AJ230" i="31"/>
  <c r="BX230" i="31" s="1"/>
  <c r="H359" i="31"/>
  <c r="AJ274" i="31"/>
  <c r="BX274" i="31" s="1"/>
  <c r="AJ252" i="31"/>
  <c r="BX252" i="31" s="1"/>
  <c r="AJ186" i="31"/>
  <c r="BX186" i="31" s="1"/>
  <c r="AJ208" i="31"/>
  <c r="BX208" i="31" s="1"/>
  <c r="AJ219" i="31"/>
  <c r="BX219" i="31" s="1"/>
  <c r="H352" i="31"/>
  <c r="H345" i="31"/>
  <c r="H354" i="31"/>
  <c r="BG271" i="31"/>
  <c r="L271" i="31" s="1"/>
  <c r="BG272" i="31"/>
  <c r="L272" i="31" s="1"/>
  <c r="BM239" i="31"/>
  <c r="AL239" i="31" s="1"/>
  <c r="BM259" i="31"/>
  <c r="AL259" i="31" s="1"/>
  <c r="BM206" i="31"/>
  <c r="AL206" i="31" s="1"/>
  <c r="L239" i="31"/>
  <c r="L173" i="31"/>
  <c r="AK271" i="31"/>
  <c r="BY271" i="31"/>
  <c r="J289" i="31"/>
  <c r="J294" i="31"/>
  <c r="J303" i="31"/>
  <c r="J287" i="31"/>
  <c r="J292" i="31"/>
  <c r="J288" i="31"/>
  <c r="J293" i="31"/>
  <c r="J290" i="31"/>
  <c r="J286" i="31"/>
  <c r="V283" i="31"/>
  <c r="BK283" i="31" s="1"/>
  <c r="V285" i="31"/>
  <c r="BK285" i="31" s="1"/>
  <c r="L206" i="31"/>
  <c r="L217" i="31"/>
  <c r="AL173" i="31"/>
  <c r="AL228" i="31"/>
  <c r="AL217" i="31"/>
  <c r="L228" i="31"/>
  <c r="L184" i="31"/>
  <c r="L195" i="31"/>
  <c r="L162" i="31"/>
  <c r="V294" i="31"/>
  <c r="BK294" i="31" s="1"/>
  <c r="V284" i="31"/>
  <c r="BK284" i="31" s="1"/>
  <c r="V289" i="31"/>
  <c r="BK289" i="31" s="1"/>
  <c r="V286" i="31"/>
  <c r="BK286" i="31" s="1"/>
  <c r="V290" i="31"/>
  <c r="BK290" i="31" s="1"/>
  <c r="V288" i="31"/>
  <c r="BK288" i="31" s="1"/>
  <c r="V292" i="31"/>
  <c r="BK292" i="31" s="1"/>
  <c r="V293" i="31"/>
  <c r="BK293" i="31" s="1"/>
  <c r="V287" i="31"/>
  <c r="BK287" i="31" s="1"/>
  <c r="V303" i="31"/>
  <c r="BK303" i="31" s="1"/>
  <c r="J284" i="31"/>
  <c r="K284" i="31" s="1"/>
  <c r="J283" i="31"/>
  <c r="K283" i="31" s="1"/>
  <c r="B305" i="31"/>
  <c r="Q305" i="31" s="1"/>
  <c r="C305" i="31"/>
  <c r="AK262" i="31"/>
  <c r="BM262" i="31" s="1"/>
  <c r="F286" i="31"/>
  <c r="AC286" i="31" s="1"/>
  <c r="B297" i="31"/>
  <c r="Q297" i="31" s="1"/>
  <c r="C297" i="31"/>
  <c r="F231" i="31"/>
  <c r="AC231" i="31" s="1"/>
  <c r="F264" i="31"/>
  <c r="AC264" i="31" s="1"/>
  <c r="F242" i="31"/>
  <c r="AC242" i="31" s="1"/>
  <c r="AK251" i="31"/>
  <c r="F275" i="31"/>
  <c r="AC275" i="31" s="1"/>
  <c r="F319" i="31"/>
  <c r="AC319" i="31" s="1"/>
  <c r="F253" i="31"/>
  <c r="AC253" i="31" s="1"/>
  <c r="B299" i="31"/>
  <c r="Q299" i="31" s="1"/>
  <c r="C299" i="31"/>
  <c r="AK174" i="31"/>
  <c r="BM174" i="31" s="1"/>
  <c r="B298" i="31"/>
  <c r="Q298" i="31" s="1"/>
  <c r="C298" i="31"/>
  <c r="B300" i="31"/>
  <c r="Q300" i="31" s="1"/>
  <c r="C300" i="31"/>
  <c r="B304" i="31"/>
  <c r="Q304" i="31" s="1"/>
  <c r="C304" i="31"/>
  <c r="AK185" i="31"/>
  <c r="BM185" i="31" s="1"/>
  <c r="AL162" i="31"/>
  <c r="AL184" i="31"/>
  <c r="AL250" i="31"/>
  <c r="J285" i="31"/>
  <c r="AL195" i="31"/>
  <c r="F308" i="31"/>
  <c r="AC308" i="31" s="1"/>
  <c r="AK196" i="31"/>
  <c r="BM196" i="31" s="1"/>
  <c r="F220" i="31"/>
  <c r="AC220" i="31" s="1"/>
  <c r="AW33" i="31"/>
  <c r="L250" i="31"/>
  <c r="AK207" i="31"/>
  <c r="BM207" i="31" s="1"/>
  <c r="B301" i="31"/>
  <c r="Q301" i="31" s="1"/>
  <c r="C301" i="31"/>
  <c r="AK240" i="31"/>
  <c r="BM240" i="31" s="1"/>
  <c r="B302" i="31"/>
  <c r="Q302" i="31" s="1"/>
  <c r="C302" i="31"/>
  <c r="AK218" i="31"/>
  <c r="B295" i="31"/>
  <c r="Q295" i="31" s="1"/>
  <c r="C295" i="31"/>
  <c r="AK229" i="31"/>
  <c r="B306" i="31"/>
  <c r="Q306" i="31" s="1"/>
  <c r="C306" i="31"/>
  <c r="F198" i="31"/>
  <c r="AC198" i="31" s="1"/>
  <c r="B315" i="31"/>
  <c r="Q315" i="31" s="1"/>
  <c r="C315" i="31"/>
  <c r="F209" i="31"/>
  <c r="AC209" i="31" s="1"/>
  <c r="B296" i="31"/>
  <c r="Q296" i="31" s="1"/>
  <c r="C296" i="31"/>
  <c r="AL260" i="31"/>
  <c r="AA174" i="31" l="1"/>
  <c r="BY261" i="31"/>
  <c r="BY186" i="31"/>
  <c r="BY273" i="31"/>
  <c r="I198" i="31"/>
  <c r="BW198" i="31" s="1"/>
  <c r="AB198" i="31"/>
  <c r="AB319" i="31"/>
  <c r="AA319" i="31"/>
  <c r="I319" i="31"/>
  <c r="BW319" i="31" s="1"/>
  <c r="AA264" i="31"/>
  <c r="AB264" i="31"/>
  <c r="I264" i="31"/>
  <c r="BW264" i="31" s="1"/>
  <c r="AA286" i="31"/>
  <c r="AB286" i="31"/>
  <c r="I286" i="31"/>
  <c r="BW286" i="31" s="1"/>
  <c r="AA209" i="31"/>
  <c r="AB209" i="31"/>
  <c r="I209" i="31"/>
  <c r="BW209" i="31" s="1"/>
  <c r="AA308" i="31"/>
  <c r="AB308" i="31"/>
  <c r="I308" i="31"/>
  <c r="BW308" i="31" s="1"/>
  <c r="AA253" i="31"/>
  <c r="I253" i="31"/>
  <c r="BW253" i="31" s="1"/>
  <c r="AB253" i="31"/>
  <c r="AA242" i="31"/>
  <c r="AB242" i="31"/>
  <c r="I242" i="31"/>
  <c r="BW242" i="31" s="1"/>
  <c r="AA220" i="31"/>
  <c r="AB220" i="31"/>
  <c r="I220" i="31"/>
  <c r="BW220" i="31" s="1"/>
  <c r="AB275" i="31"/>
  <c r="I275" i="31"/>
  <c r="BW275" i="31" s="1"/>
  <c r="AA275" i="31"/>
  <c r="I231" i="31"/>
  <c r="BW231" i="31" s="1"/>
  <c r="AA231" i="31"/>
  <c r="AB231" i="31"/>
  <c r="AA285" i="31"/>
  <c r="AB285" i="31"/>
  <c r="I285" i="31"/>
  <c r="BW285" i="31" s="1"/>
  <c r="AL272" i="31"/>
  <c r="AL261" i="31"/>
  <c r="K274" i="31"/>
  <c r="BG274" i="31" s="1"/>
  <c r="BY274" i="31"/>
  <c r="K219" i="31"/>
  <c r="BG219" i="31" s="1"/>
  <c r="BY219" i="31"/>
  <c r="K230" i="31"/>
  <c r="BG230" i="31" s="1"/>
  <c r="BY230" i="31"/>
  <c r="K263" i="31"/>
  <c r="BG263" i="31" s="1"/>
  <c r="BY263" i="31"/>
  <c r="K252" i="31"/>
  <c r="BG252" i="31" s="1"/>
  <c r="BY252" i="31"/>
  <c r="K208" i="31"/>
  <c r="BG208" i="31" s="1"/>
  <c r="BY208" i="31"/>
  <c r="K241" i="31"/>
  <c r="BG241" i="31" s="1"/>
  <c r="BY241" i="31"/>
  <c r="K197" i="31"/>
  <c r="BG197" i="31" s="1"/>
  <c r="BY197" i="31"/>
  <c r="K273" i="31"/>
  <c r="BG273" i="31" s="1"/>
  <c r="K186" i="31"/>
  <c r="AA186" i="31" s="1"/>
  <c r="AJ295" i="31"/>
  <c r="BX295" i="31" s="1"/>
  <c r="AJ296" i="31"/>
  <c r="BX296" i="31" s="1"/>
  <c r="AK273" i="31"/>
  <c r="BM273" i="31" s="1"/>
  <c r="AJ285" i="31"/>
  <c r="H363" i="31"/>
  <c r="H364" i="31"/>
  <c r="H362" i="31"/>
  <c r="H355" i="31"/>
  <c r="AJ220" i="31"/>
  <c r="BX220" i="31" s="1"/>
  <c r="AJ231" i="31"/>
  <c r="BX231" i="31" s="1"/>
  <c r="H365" i="31"/>
  <c r="AJ275" i="31"/>
  <c r="BX275" i="31" s="1"/>
  <c r="AJ242" i="31"/>
  <c r="BX242" i="31" s="1"/>
  <c r="AJ286" i="31"/>
  <c r="BX286" i="31" s="1"/>
  <c r="H357" i="31"/>
  <c r="H356" i="31"/>
  <c r="H361" i="31"/>
  <c r="AJ198" i="31"/>
  <c r="BX198" i="31" s="1"/>
  <c r="AJ209" i="31"/>
  <c r="BX209" i="31" s="1"/>
  <c r="AJ253" i="31"/>
  <c r="BX253" i="31" s="1"/>
  <c r="AJ264" i="31"/>
  <c r="BX264" i="31" s="1"/>
  <c r="H366" i="31"/>
  <c r="H358" i="31"/>
  <c r="H360" i="31"/>
  <c r="F297" i="31"/>
  <c r="AC297" i="31" s="1"/>
  <c r="BG283" i="31"/>
  <c r="L283" i="31" s="1"/>
  <c r="BG284" i="31"/>
  <c r="L284" i="31" s="1"/>
  <c r="BM229" i="31"/>
  <c r="AL229" i="31" s="1"/>
  <c r="BM218" i="31"/>
  <c r="AL218" i="31" s="1"/>
  <c r="BM251" i="31"/>
  <c r="AL251" i="31" s="1"/>
  <c r="L174" i="31"/>
  <c r="BM271" i="31"/>
  <c r="AL271" i="31" s="1"/>
  <c r="AK283" i="31"/>
  <c r="AK284" i="31"/>
  <c r="BM284" i="31" s="1"/>
  <c r="J306" i="31"/>
  <c r="J305" i="31"/>
  <c r="J302" i="31"/>
  <c r="J304" i="31"/>
  <c r="J298" i="31"/>
  <c r="BY284" i="31"/>
  <c r="BY283" i="31"/>
  <c r="J300" i="31"/>
  <c r="J315" i="31"/>
  <c r="J301" i="31"/>
  <c r="J299" i="31"/>
  <c r="V295" i="31"/>
  <c r="BK295" i="31" s="1"/>
  <c r="AL174" i="31"/>
  <c r="L207" i="31"/>
  <c r="L185" i="31"/>
  <c r="L218" i="31"/>
  <c r="L251" i="31"/>
  <c r="L196" i="31"/>
  <c r="V315" i="31"/>
  <c r="BK315" i="31" s="1"/>
  <c r="V306" i="31"/>
  <c r="V301" i="31"/>
  <c r="BK301" i="31" s="1"/>
  <c r="V299" i="31"/>
  <c r="BK299" i="31" s="1"/>
  <c r="V305" i="31"/>
  <c r="BK305" i="31" s="1"/>
  <c r="V300" i="31"/>
  <c r="BK300" i="31" s="1"/>
  <c r="V296" i="31"/>
  <c r="BK296" i="31" s="1"/>
  <c r="V302" i="31"/>
  <c r="BK302" i="31" s="1"/>
  <c r="V304" i="31"/>
  <c r="BK304" i="31" s="1"/>
  <c r="V298" i="31"/>
  <c r="BK298" i="31" s="1"/>
  <c r="V297" i="31"/>
  <c r="BK297" i="31" s="1"/>
  <c r="J296" i="31"/>
  <c r="K296" i="31" s="1"/>
  <c r="J295" i="31"/>
  <c r="K295" i="31" s="1"/>
  <c r="AL207" i="31"/>
  <c r="AL196" i="31"/>
  <c r="J297" i="31"/>
  <c r="AK197" i="31"/>
  <c r="BM197" i="31" s="1"/>
  <c r="C327" i="31"/>
  <c r="B327" i="31"/>
  <c r="Q327" i="31" s="1"/>
  <c r="AK186" i="31"/>
  <c r="BM186" i="31" s="1"/>
  <c r="F210" i="31"/>
  <c r="AC210" i="31" s="1"/>
  <c r="AW34" i="31"/>
  <c r="F232" i="31"/>
  <c r="AC232" i="31" s="1"/>
  <c r="B312" i="31"/>
  <c r="Q312" i="31" s="1"/>
  <c r="C312" i="31"/>
  <c r="B311" i="31"/>
  <c r="Q311" i="31" s="1"/>
  <c r="C311" i="31"/>
  <c r="F265" i="31"/>
  <c r="AC265" i="31" s="1"/>
  <c r="F331" i="31"/>
  <c r="AC331" i="31" s="1"/>
  <c r="AK263" i="31"/>
  <c r="BM263" i="31" s="1"/>
  <c r="F287" i="31"/>
  <c r="AC287" i="31" s="1"/>
  <c r="AK230" i="31"/>
  <c r="BM230" i="31" s="1"/>
  <c r="AK219" i="31"/>
  <c r="BM219" i="31" s="1"/>
  <c r="B309" i="31"/>
  <c r="Q309" i="31" s="1"/>
  <c r="C309" i="31"/>
  <c r="L262" i="31"/>
  <c r="B317" i="31"/>
  <c r="Q317" i="31" s="1"/>
  <c r="C317" i="31"/>
  <c r="AL240" i="31"/>
  <c r="AL185" i="31"/>
  <c r="B308" i="31"/>
  <c r="Q308" i="31" s="1"/>
  <c r="C308" i="31"/>
  <c r="F221" i="31"/>
  <c r="AC221" i="31" s="1"/>
  <c r="B318" i="31"/>
  <c r="Q318" i="31" s="1"/>
  <c r="C318" i="31"/>
  <c r="B307" i="31"/>
  <c r="Q307" i="31" s="1"/>
  <c r="C307" i="31"/>
  <c r="B314" i="31"/>
  <c r="Q314" i="31" s="1"/>
  <c r="C314" i="31"/>
  <c r="B313" i="31"/>
  <c r="Q313" i="31" s="1"/>
  <c r="C313" i="31"/>
  <c r="AK208" i="31"/>
  <c r="F320" i="31"/>
  <c r="AC320" i="31" s="1"/>
  <c r="B316" i="31"/>
  <c r="Q316" i="31" s="1"/>
  <c r="C316" i="31"/>
  <c r="B310" i="31"/>
  <c r="Q310" i="31" s="1"/>
  <c r="C310" i="31"/>
  <c r="AK241" i="31"/>
  <c r="L229" i="31"/>
  <c r="F254" i="31"/>
  <c r="AC254" i="31" s="1"/>
  <c r="AK252" i="31"/>
  <c r="BM252" i="31" s="1"/>
  <c r="F276" i="31"/>
  <c r="AC276" i="31" s="1"/>
  <c r="L240" i="31"/>
  <c r="F243" i="31"/>
  <c r="AC243" i="31" s="1"/>
  <c r="AK274" i="31"/>
  <c r="BM274" i="31" s="1"/>
  <c r="F298" i="31"/>
  <c r="AC298" i="31" s="1"/>
  <c r="AL262" i="31"/>
  <c r="BY286" i="31" l="1"/>
  <c r="AA265" i="31"/>
  <c r="AB265" i="31"/>
  <c r="I265" i="31"/>
  <c r="BW265" i="31" s="1"/>
  <c r="AB320" i="31"/>
  <c r="I320" i="31"/>
  <c r="BW320" i="31" s="1"/>
  <c r="AA320" i="31"/>
  <c r="I331" i="31"/>
  <c r="BW331" i="31" s="1"/>
  <c r="AA331" i="31"/>
  <c r="AB331" i="31"/>
  <c r="I210" i="31"/>
  <c r="BW210" i="31" s="1"/>
  <c r="AB210" i="31"/>
  <c r="AB297" i="31"/>
  <c r="AA297" i="31"/>
  <c r="I297" i="31"/>
  <c r="BW297" i="31" s="1"/>
  <c r="AA243" i="31"/>
  <c r="AB243" i="31"/>
  <c r="I243" i="31"/>
  <c r="BW243" i="31" s="1"/>
  <c r="I254" i="31"/>
  <c r="BW254" i="31" s="1"/>
  <c r="AA254" i="31"/>
  <c r="AB254" i="31"/>
  <c r="AB298" i="31"/>
  <c r="I298" i="31"/>
  <c r="BW298" i="31" s="1"/>
  <c r="AA298" i="31"/>
  <c r="AA276" i="31"/>
  <c r="AB276" i="31"/>
  <c r="I276" i="31"/>
  <c r="BW276" i="31" s="1"/>
  <c r="AA221" i="31"/>
  <c r="I221" i="31"/>
  <c r="BW221" i="31" s="1"/>
  <c r="AB221" i="31"/>
  <c r="AB287" i="31"/>
  <c r="I287" i="31"/>
  <c r="BW287" i="31" s="1"/>
  <c r="AA287" i="31"/>
  <c r="AA232" i="31"/>
  <c r="AB232" i="31"/>
  <c r="I232" i="31"/>
  <c r="BW232" i="31" s="1"/>
  <c r="BG186" i="31"/>
  <c r="L186" i="31" s="1"/>
  <c r="K253" i="31"/>
  <c r="BG253" i="31" s="1"/>
  <c r="BY253" i="31"/>
  <c r="K242" i="31"/>
  <c r="BG242" i="31" s="1"/>
  <c r="BY242" i="31"/>
  <c r="K220" i="31"/>
  <c r="BG220" i="31" s="1"/>
  <c r="BY220" i="31"/>
  <c r="K264" i="31"/>
  <c r="BG264" i="31" s="1"/>
  <c r="BY264" i="31"/>
  <c r="K209" i="31"/>
  <c r="BG209" i="31" s="1"/>
  <c r="BY209" i="31"/>
  <c r="K275" i="31"/>
  <c r="BG275" i="31" s="1"/>
  <c r="BY275" i="31"/>
  <c r="K231" i="31"/>
  <c r="BG231" i="31" s="1"/>
  <c r="BY231" i="31"/>
  <c r="AK285" i="31"/>
  <c r="BM285" i="31" s="1"/>
  <c r="BX285" i="31"/>
  <c r="K198" i="31"/>
  <c r="BG198" i="31" s="1"/>
  <c r="BY198" i="31"/>
  <c r="K285" i="31"/>
  <c r="BG285" i="31" s="1"/>
  <c r="L285" i="31" s="1"/>
  <c r="BK306" i="31"/>
  <c r="K286" i="31"/>
  <c r="BG286" i="31" s="1"/>
  <c r="AJ307" i="31"/>
  <c r="AJ308" i="31"/>
  <c r="BX308" i="31" s="1"/>
  <c r="AL273" i="31"/>
  <c r="L273" i="31"/>
  <c r="AJ298" i="31"/>
  <c r="BX298" i="31" s="1"/>
  <c r="AJ276" i="31"/>
  <c r="BX276" i="31" s="1"/>
  <c r="AJ254" i="31"/>
  <c r="BX254" i="31" s="1"/>
  <c r="H367" i="31"/>
  <c r="AJ265" i="31"/>
  <c r="BX265" i="31" s="1"/>
  <c r="AJ287" i="31"/>
  <c r="BX287" i="31" s="1"/>
  <c r="AJ243" i="31"/>
  <c r="BX243" i="31" s="1"/>
  <c r="AJ232" i="31"/>
  <c r="BX232" i="31" s="1"/>
  <c r="AJ210" i="31"/>
  <c r="BX210" i="31" s="1"/>
  <c r="AJ221" i="31"/>
  <c r="BX221" i="31" s="1"/>
  <c r="F309" i="31"/>
  <c r="AC309" i="31" s="1"/>
  <c r="AJ297" i="31"/>
  <c r="BX297" i="31" s="1"/>
  <c r="BG295" i="31"/>
  <c r="L295" i="31" s="1"/>
  <c r="BM283" i="31"/>
  <c r="AL283" i="31" s="1"/>
  <c r="BM241" i="31"/>
  <c r="AL241" i="31" s="1"/>
  <c r="BM208" i="31"/>
  <c r="AL208" i="31" s="1"/>
  <c r="AK296" i="31"/>
  <c r="BM296" i="31" s="1"/>
  <c r="AL284" i="31"/>
  <c r="AK295" i="31"/>
  <c r="J317" i="31"/>
  <c r="J311" i="31"/>
  <c r="BY296" i="31"/>
  <c r="J316" i="31"/>
  <c r="J318" i="31"/>
  <c r="J312" i="31"/>
  <c r="J327" i="31"/>
  <c r="BY295" i="31"/>
  <c r="J313" i="31"/>
  <c r="J310" i="31"/>
  <c r="J314" i="31"/>
  <c r="L241" i="31"/>
  <c r="V307" i="31"/>
  <c r="BK307" i="31" s="1"/>
  <c r="L230" i="31"/>
  <c r="L208" i="31"/>
  <c r="AL219" i="31"/>
  <c r="L197" i="31"/>
  <c r="L263" i="31"/>
  <c r="L219" i="31"/>
  <c r="V312" i="31"/>
  <c r="BK312" i="31" s="1"/>
  <c r="V327" i="31"/>
  <c r="BK327" i="31" s="1"/>
  <c r="V310" i="31"/>
  <c r="BK310" i="31" s="1"/>
  <c r="V314" i="31"/>
  <c r="BK314" i="31" s="1"/>
  <c r="V317" i="31"/>
  <c r="BK317" i="31" s="1"/>
  <c r="V309" i="31"/>
  <c r="BK309" i="31" s="1"/>
  <c r="V308" i="31"/>
  <c r="BK308" i="31" s="1"/>
  <c r="V311" i="31"/>
  <c r="BK311" i="31" s="1"/>
  <c r="V316" i="31"/>
  <c r="BK316" i="31" s="1"/>
  <c r="V313" i="31"/>
  <c r="BK313" i="31" s="1"/>
  <c r="V318" i="31"/>
  <c r="BK318" i="31" s="1"/>
  <c r="BG296" i="31"/>
  <c r="J309" i="31"/>
  <c r="AL197" i="31"/>
  <c r="AK286" i="31"/>
  <c r="BM286" i="31" s="1"/>
  <c r="F255" i="31"/>
  <c r="AC255" i="31" s="1"/>
  <c r="AK264" i="31"/>
  <c r="F288" i="31"/>
  <c r="AC288" i="31" s="1"/>
  <c r="AK242" i="31"/>
  <c r="BM242" i="31" s="1"/>
  <c r="C328" i="31"/>
  <c r="B328" i="31"/>
  <c r="Q328" i="31" s="1"/>
  <c r="C326" i="31"/>
  <c r="B326" i="31"/>
  <c r="Q326" i="31" s="1"/>
  <c r="B330" i="31"/>
  <c r="Q330" i="31" s="1"/>
  <c r="C330" i="31"/>
  <c r="AK209" i="31"/>
  <c r="BM209" i="31" s="1"/>
  <c r="B320" i="31"/>
  <c r="Q320" i="31" s="1"/>
  <c r="C320" i="31"/>
  <c r="C329" i="31"/>
  <c r="B329" i="31"/>
  <c r="Q329" i="31" s="1"/>
  <c r="AK275" i="31"/>
  <c r="F299" i="31"/>
  <c r="AC299" i="31" s="1"/>
  <c r="F343" i="31"/>
  <c r="AC343" i="31" s="1"/>
  <c r="C323" i="31"/>
  <c r="B323" i="31"/>
  <c r="Q323" i="31" s="1"/>
  <c r="AK220" i="31"/>
  <c r="BM220" i="31" s="1"/>
  <c r="F244" i="31"/>
  <c r="AC244" i="31" s="1"/>
  <c r="AW35" i="31"/>
  <c r="AK198" i="31"/>
  <c r="BM198" i="31" s="1"/>
  <c r="AL274" i="31"/>
  <c r="AL252" i="31"/>
  <c r="J307" i="31"/>
  <c r="K307" i="31" s="1"/>
  <c r="AL263" i="31"/>
  <c r="AL186" i="31"/>
  <c r="F310" i="31"/>
  <c r="AC310" i="31" s="1"/>
  <c r="L274" i="31"/>
  <c r="AK231" i="31"/>
  <c r="BM231" i="31" s="1"/>
  <c r="L252" i="31"/>
  <c r="F266" i="31"/>
  <c r="AC266" i="31" s="1"/>
  <c r="C322" i="31"/>
  <c r="B322" i="31"/>
  <c r="Q322" i="31" s="1"/>
  <c r="F332" i="31"/>
  <c r="AC332" i="31" s="1"/>
  <c r="C325" i="31"/>
  <c r="B325" i="31"/>
  <c r="Q325" i="31" s="1"/>
  <c r="B319" i="31"/>
  <c r="Q319" i="31" s="1"/>
  <c r="C319" i="31"/>
  <c r="F233" i="31"/>
  <c r="AC233" i="31" s="1"/>
  <c r="B321" i="31"/>
  <c r="Q321" i="31" s="1"/>
  <c r="C321" i="31"/>
  <c r="AK253" i="31"/>
  <c r="F277" i="31"/>
  <c r="AC277" i="31" s="1"/>
  <c r="C324" i="31"/>
  <c r="B324" i="31"/>
  <c r="Q324" i="31" s="1"/>
  <c r="F222" i="31"/>
  <c r="AC222" i="31" s="1"/>
  <c r="C339" i="31"/>
  <c r="B339" i="31"/>
  <c r="Q339" i="31" s="1"/>
  <c r="J308" i="31"/>
  <c r="K308" i="31" s="1"/>
  <c r="AL230" i="31"/>
  <c r="BY285" i="31" l="1"/>
  <c r="BY298" i="31"/>
  <c r="BY297" i="31"/>
  <c r="AA198" i="31"/>
  <c r="AB244" i="31"/>
  <c r="I244" i="31"/>
  <c r="BW244" i="31" s="1"/>
  <c r="AA244" i="31"/>
  <c r="I343" i="31"/>
  <c r="BW343" i="31" s="1"/>
  <c r="AA343" i="31"/>
  <c r="AB343" i="31"/>
  <c r="I222" i="31"/>
  <c r="BW222" i="31" s="1"/>
  <c r="AB222" i="31"/>
  <c r="AB332" i="31"/>
  <c r="AA332" i="31"/>
  <c r="I332" i="31"/>
  <c r="BW332" i="31" s="1"/>
  <c r="AA299" i="31"/>
  <c r="AB299" i="31"/>
  <c r="I299" i="31"/>
  <c r="BW299" i="31" s="1"/>
  <c r="AB255" i="31"/>
  <c r="I255" i="31"/>
  <c r="BW255" i="31" s="1"/>
  <c r="AA255" i="31"/>
  <c r="I309" i="31"/>
  <c r="BW309" i="31" s="1"/>
  <c r="AA309" i="31"/>
  <c r="AB309" i="31"/>
  <c r="AA233" i="31"/>
  <c r="I233" i="31"/>
  <c r="BW233" i="31" s="1"/>
  <c r="AB233" i="31"/>
  <c r="AB266" i="31"/>
  <c r="I266" i="31"/>
  <c r="BW266" i="31" s="1"/>
  <c r="AA266" i="31"/>
  <c r="AB288" i="31"/>
  <c r="I288" i="31"/>
  <c r="BW288" i="31" s="1"/>
  <c r="AA288" i="31"/>
  <c r="I277" i="31"/>
  <c r="BW277" i="31" s="1"/>
  <c r="AA277" i="31"/>
  <c r="AB277" i="31"/>
  <c r="AA310" i="31"/>
  <c r="AB310" i="31"/>
  <c r="I310" i="31"/>
  <c r="BW310" i="31" s="1"/>
  <c r="AL285" i="31"/>
  <c r="K221" i="31"/>
  <c r="BG221" i="31" s="1"/>
  <c r="BY221" i="31"/>
  <c r="K232" i="31"/>
  <c r="BG232" i="31" s="1"/>
  <c r="BY232" i="31"/>
  <c r="K287" i="31"/>
  <c r="BG287" i="31" s="1"/>
  <c r="BY287" i="31"/>
  <c r="K254" i="31"/>
  <c r="BG254" i="31" s="1"/>
  <c r="BY254" i="31"/>
  <c r="K265" i="31"/>
  <c r="BG265" i="31" s="1"/>
  <c r="BY265" i="31"/>
  <c r="K210" i="31"/>
  <c r="BY210" i="31"/>
  <c r="K243" i="31"/>
  <c r="BG243" i="31" s="1"/>
  <c r="BY243" i="31"/>
  <c r="K276" i="31"/>
  <c r="BG276" i="31" s="1"/>
  <c r="BY276" i="31"/>
  <c r="AK307" i="31"/>
  <c r="BM307" i="31" s="1"/>
  <c r="AL307" i="31" s="1"/>
  <c r="BX307" i="31"/>
  <c r="BY307" i="31" s="1"/>
  <c r="K297" i="31"/>
  <c r="BG297" i="31" s="1"/>
  <c r="K298" i="31"/>
  <c r="BG298" i="31" s="1"/>
  <c r="BB31" i="31"/>
  <c r="AJ320" i="31"/>
  <c r="BX320" i="31" s="1"/>
  <c r="AJ319" i="31"/>
  <c r="BX319" i="31" s="1"/>
  <c r="BB25" i="31"/>
  <c r="X50" i="35" s="1"/>
  <c r="AK297" i="31"/>
  <c r="BM297" i="31" s="1"/>
  <c r="AJ309" i="31"/>
  <c r="BX309" i="31" s="1"/>
  <c r="BB27" i="31"/>
  <c r="BB28" i="31"/>
  <c r="BB29" i="31"/>
  <c r="AJ222" i="31"/>
  <c r="BX222" i="31" s="1"/>
  <c r="AJ266" i="31"/>
  <c r="BX266" i="31" s="1"/>
  <c r="AJ244" i="31"/>
  <c r="BX244" i="31" s="1"/>
  <c r="AJ255" i="31"/>
  <c r="BX255" i="31" s="1"/>
  <c r="AJ299" i="31"/>
  <c r="BX299" i="31" s="1"/>
  <c r="AJ233" i="31"/>
  <c r="BX233" i="31" s="1"/>
  <c r="AJ288" i="31"/>
  <c r="BX288" i="31" s="1"/>
  <c r="AJ310" i="31"/>
  <c r="BX310" i="31" s="1"/>
  <c r="AJ277" i="31"/>
  <c r="BX277" i="31" s="1"/>
  <c r="F321" i="31"/>
  <c r="AC321" i="31" s="1"/>
  <c r="BB9" i="31"/>
  <c r="X34" i="35" s="1"/>
  <c r="BB10" i="31"/>
  <c r="X35" i="35" s="1"/>
  <c r="BB11" i="31"/>
  <c r="X36" i="35" s="1"/>
  <c r="BB8" i="31"/>
  <c r="X33" i="35" s="1"/>
  <c r="BB13" i="31"/>
  <c r="X38" i="35" s="1"/>
  <c r="BB15" i="31"/>
  <c r="X40" i="35" s="1"/>
  <c r="BB12" i="31"/>
  <c r="X37" i="35" s="1"/>
  <c r="BB14" i="31"/>
  <c r="X39" i="35" s="1"/>
  <c r="BB17" i="31"/>
  <c r="X42" i="35" s="1"/>
  <c r="BB18" i="31"/>
  <c r="X43" i="35" s="1"/>
  <c r="BB16" i="31"/>
  <c r="X41" i="35" s="1"/>
  <c r="BB21" i="31"/>
  <c r="X46" i="35" s="1"/>
  <c r="BB19" i="31"/>
  <c r="X44" i="35" s="1"/>
  <c r="BB20" i="31"/>
  <c r="X45" i="35" s="1"/>
  <c r="BB23" i="31"/>
  <c r="X48" i="35" s="1"/>
  <c r="BB22" i="31"/>
  <c r="X47" i="35" s="1"/>
  <c r="BB24" i="31"/>
  <c r="X49" i="35" s="1"/>
  <c r="BB26" i="31"/>
  <c r="X51" i="35" s="1"/>
  <c r="BB30" i="31"/>
  <c r="BG307" i="31"/>
  <c r="L307" i="31" s="1"/>
  <c r="BM264" i="31"/>
  <c r="AL264" i="31" s="1"/>
  <c r="BM295" i="31"/>
  <c r="AL295" i="31" s="1"/>
  <c r="BM253" i="31"/>
  <c r="AL253" i="31" s="1"/>
  <c r="BM275" i="31"/>
  <c r="AL275" i="31" s="1"/>
  <c r="AL296" i="31"/>
  <c r="AK308" i="31"/>
  <c r="BM308" i="31" s="1"/>
  <c r="J339" i="31"/>
  <c r="J325" i="31"/>
  <c r="J330" i="31"/>
  <c r="J324" i="31"/>
  <c r="J328" i="31"/>
  <c r="J322" i="31"/>
  <c r="J323" i="31"/>
  <c r="J329" i="31"/>
  <c r="J326" i="31"/>
  <c r="BY308" i="31"/>
  <c r="L220" i="31"/>
  <c r="V319" i="31"/>
  <c r="BK319" i="31" s="1"/>
  <c r="L242" i="31"/>
  <c r="L275" i="31"/>
  <c r="L209" i="31"/>
  <c r="BB32" i="31"/>
  <c r="AL209" i="31"/>
  <c r="L231" i="31"/>
  <c r="L253" i="31"/>
  <c r="L198" i="31"/>
  <c r="V321" i="31"/>
  <c r="BK321" i="31" s="1"/>
  <c r="V322" i="31"/>
  <c r="BK322" i="31" s="1"/>
  <c r="V326" i="31"/>
  <c r="BK326" i="31" s="1"/>
  <c r="V328" i="31"/>
  <c r="BK328" i="31" s="1"/>
  <c r="V339" i="31"/>
  <c r="BK339" i="31" s="1"/>
  <c r="V323" i="31"/>
  <c r="BK323" i="31" s="1"/>
  <c r="V329" i="31"/>
  <c r="BK329" i="31" s="1"/>
  <c r="V320" i="31"/>
  <c r="BK320" i="31" s="1"/>
  <c r="V330" i="31"/>
  <c r="BK330" i="31" s="1"/>
  <c r="V324" i="31"/>
  <c r="BK324" i="31" s="1"/>
  <c r="V325" i="31"/>
  <c r="BK325" i="31" s="1"/>
  <c r="L296" i="31"/>
  <c r="BG308" i="31"/>
  <c r="AL242" i="31"/>
  <c r="AK265" i="31"/>
  <c r="BM265" i="31" s="1"/>
  <c r="F289" i="31"/>
  <c r="AC289" i="31" s="1"/>
  <c r="B333" i="31"/>
  <c r="Q333" i="31" s="1"/>
  <c r="C333" i="31"/>
  <c r="F245" i="31"/>
  <c r="AC245" i="31" s="1"/>
  <c r="C337" i="31"/>
  <c r="B337" i="31"/>
  <c r="Q337" i="31" s="1"/>
  <c r="C334" i="31"/>
  <c r="B334" i="31"/>
  <c r="Q334" i="31" s="1"/>
  <c r="AK254" i="31"/>
  <c r="BM254" i="31" s="1"/>
  <c r="F278" i="31"/>
  <c r="AC278" i="31" s="1"/>
  <c r="F322" i="31"/>
  <c r="AC322" i="31" s="1"/>
  <c r="AK232" i="31"/>
  <c r="BM232" i="31" s="1"/>
  <c r="C335" i="31"/>
  <c r="B335" i="31"/>
  <c r="Q335" i="31" s="1"/>
  <c r="AK287" i="31"/>
  <c r="B332" i="31"/>
  <c r="Q332" i="31" s="1"/>
  <c r="C332" i="31"/>
  <c r="C342" i="31"/>
  <c r="B342" i="31"/>
  <c r="Q342" i="31" s="1"/>
  <c r="C340" i="31"/>
  <c r="B340" i="31"/>
  <c r="Q340" i="31" s="1"/>
  <c r="AK276" i="31"/>
  <c r="BM276" i="31" s="1"/>
  <c r="F300" i="31"/>
  <c r="AC300" i="31" s="1"/>
  <c r="AK243" i="31"/>
  <c r="BM243" i="31" s="1"/>
  <c r="J321" i="31"/>
  <c r="AL231" i="31"/>
  <c r="AL198" i="31"/>
  <c r="AL220" i="31"/>
  <c r="J320" i="31"/>
  <c r="K320" i="31" s="1"/>
  <c r="AL286" i="31"/>
  <c r="B351" i="31"/>
  <c r="Q351" i="31" s="1"/>
  <c r="C351" i="31"/>
  <c r="AK210" i="31"/>
  <c r="BM210" i="31" s="1"/>
  <c r="F234" i="31"/>
  <c r="AC234" i="31" s="1"/>
  <c r="C336" i="31"/>
  <c r="B336" i="31"/>
  <c r="Q336" i="31" s="1"/>
  <c r="AK221" i="31"/>
  <c r="BM221" i="31" s="1"/>
  <c r="B331" i="31"/>
  <c r="Q331" i="31" s="1"/>
  <c r="C331" i="31"/>
  <c r="F344" i="31"/>
  <c r="AC344" i="31" s="1"/>
  <c r="AK298" i="31"/>
  <c r="BM298" i="31" s="1"/>
  <c r="AW36" i="31"/>
  <c r="F256" i="31"/>
  <c r="AC256" i="31" s="1"/>
  <c r="F355" i="31"/>
  <c r="AC355" i="31" s="1"/>
  <c r="F311" i="31"/>
  <c r="AC311" i="31" s="1"/>
  <c r="C341" i="31"/>
  <c r="B341" i="31"/>
  <c r="Q341" i="31" s="1"/>
  <c r="C338" i="31"/>
  <c r="B338" i="31"/>
  <c r="Q338" i="31" s="1"/>
  <c r="L264" i="31"/>
  <c r="F267" i="31"/>
  <c r="AC267" i="31" s="1"/>
  <c r="L286" i="31"/>
  <c r="J319" i="31"/>
  <c r="K319" i="31" s="1"/>
  <c r="BY309" i="31" l="1"/>
  <c r="I267" i="31"/>
  <c r="BW267" i="31" s="1"/>
  <c r="AA267" i="31"/>
  <c r="AB267" i="31"/>
  <c r="AB256" i="31"/>
  <c r="AA256" i="31"/>
  <c r="I256" i="31"/>
  <c r="BW256" i="31" s="1"/>
  <c r="AA300" i="31"/>
  <c r="AB300" i="31"/>
  <c r="I300" i="31"/>
  <c r="BW300" i="31" s="1"/>
  <c r="AA322" i="31"/>
  <c r="AB322" i="31"/>
  <c r="I322" i="31"/>
  <c r="BW322" i="31" s="1"/>
  <c r="AB344" i="31"/>
  <c r="I344" i="31"/>
  <c r="BW344" i="31" s="1"/>
  <c r="AA344" i="31"/>
  <c r="AB311" i="31"/>
  <c r="I311" i="31"/>
  <c r="BW311" i="31" s="1"/>
  <c r="AA311" i="31"/>
  <c r="AA289" i="31"/>
  <c r="AB289" i="31"/>
  <c r="I289" i="31"/>
  <c r="BW289" i="31" s="1"/>
  <c r="AA355" i="31"/>
  <c r="AB355" i="31"/>
  <c r="I355" i="31"/>
  <c r="BW355" i="31" s="1"/>
  <c r="AA245" i="31"/>
  <c r="I245" i="31"/>
  <c r="BW245" i="31" s="1"/>
  <c r="AB245" i="31"/>
  <c r="AB234" i="31"/>
  <c r="I234" i="31"/>
  <c r="BW234" i="31" s="1"/>
  <c r="AA278" i="31"/>
  <c r="AB278" i="31"/>
  <c r="I278" i="31"/>
  <c r="BW278" i="31" s="1"/>
  <c r="AA321" i="31"/>
  <c r="AB321" i="31"/>
  <c r="I321" i="31"/>
  <c r="BW321" i="31" s="1"/>
  <c r="BG210" i="31"/>
  <c r="L210" i="31" s="1"/>
  <c r="AA210" i="31"/>
  <c r="AK319" i="31"/>
  <c r="BM319" i="31" s="1"/>
  <c r="AL319" i="31" s="1"/>
  <c r="K233" i="31"/>
  <c r="BG233" i="31" s="1"/>
  <c r="BY233" i="31"/>
  <c r="K244" i="31"/>
  <c r="BG244" i="31" s="1"/>
  <c r="BY244" i="31"/>
  <c r="K222" i="31"/>
  <c r="BG222" i="31" s="1"/>
  <c r="BY222" i="31"/>
  <c r="K310" i="31"/>
  <c r="BG310" i="31" s="1"/>
  <c r="BY310" i="31"/>
  <c r="K299" i="31"/>
  <c r="BG299" i="31" s="1"/>
  <c r="BY299" i="31"/>
  <c r="K288" i="31"/>
  <c r="BG288" i="31" s="1"/>
  <c r="BY288" i="31"/>
  <c r="K266" i="31"/>
  <c r="BG266" i="31" s="1"/>
  <c r="BY266" i="31"/>
  <c r="K277" i="31"/>
  <c r="BG277" i="31" s="1"/>
  <c r="BY277" i="31"/>
  <c r="K255" i="31"/>
  <c r="BG255" i="31" s="1"/>
  <c r="BY255" i="31"/>
  <c r="K309" i="31"/>
  <c r="BG309" i="31" s="1"/>
  <c r="L297" i="31"/>
  <c r="AJ332" i="31"/>
  <c r="BX332" i="31" s="1"/>
  <c r="AJ331" i="31"/>
  <c r="BX331" i="31" s="1"/>
  <c r="AL297" i="31"/>
  <c r="AK309" i="31"/>
  <c r="BM309" i="31" s="1"/>
  <c r="F333" i="31"/>
  <c r="AC333" i="31" s="1"/>
  <c r="AJ321" i="31"/>
  <c r="BX321" i="31" s="1"/>
  <c r="AJ234" i="31"/>
  <c r="BX234" i="31" s="1"/>
  <c r="AJ322" i="31"/>
  <c r="BX322" i="31" s="1"/>
  <c r="AJ267" i="31"/>
  <c r="BX267" i="31" s="1"/>
  <c r="AJ311" i="31"/>
  <c r="BX311" i="31" s="1"/>
  <c r="AJ256" i="31"/>
  <c r="BX256" i="31" s="1"/>
  <c r="AJ278" i="31"/>
  <c r="BX278" i="31" s="1"/>
  <c r="AJ245" i="31"/>
  <c r="BX245" i="31" s="1"/>
  <c r="AJ300" i="31"/>
  <c r="BX300" i="31" s="1"/>
  <c r="AJ289" i="31"/>
  <c r="BX289" i="31" s="1"/>
  <c r="BG319" i="31"/>
  <c r="L319" i="31" s="1"/>
  <c r="BM287" i="31"/>
  <c r="AL287" i="31" s="1"/>
  <c r="AL308" i="31"/>
  <c r="BY319" i="31"/>
  <c r="AK320" i="31"/>
  <c r="BM320" i="31" s="1"/>
  <c r="J337" i="31"/>
  <c r="J351" i="31"/>
  <c r="J336" i="31"/>
  <c r="J334" i="31"/>
  <c r="J338" i="31"/>
  <c r="J340" i="31"/>
  <c r="J335" i="31"/>
  <c r="J341" i="31"/>
  <c r="J342" i="31"/>
  <c r="BY320" i="31"/>
  <c r="L265" i="31"/>
  <c r="V334" i="31"/>
  <c r="BK334" i="31" s="1"/>
  <c r="V331" i="31"/>
  <c r="BK331" i="31" s="1"/>
  <c r="L221" i="31"/>
  <c r="BB33" i="31"/>
  <c r="L243" i="31"/>
  <c r="AL210" i="31"/>
  <c r="AL298" i="31"/>
  <c r="L232" i="31"/>
  <c r="V342" i="31"/>
  <c r="BK342" i="31" s="1"/>
  <c r="V332" i="31"/>
  <c r="BK332" i="31" s="1"/>
  <c r="V335" i="31"/>
  <c r="BK335" i="31" s="1"/>
  <c r="V336" i="31"/>
  <c r="BK336" i="31" s="1"/>
  <c r="V351" i="31"/>
  <c r="BK351" i="31" s="1"/>
  <c r="V340" i="31"/>
  <c r="BK340" i="31" s="1"/>
  <c r="V337" i="31"/>
  <c r="BK337" i="31" s="1"/>
  <c r="V333" i="31"/>
  <c r="BK333" i="31" s="1"/>
  <c r="L254" i="31"/>
  <c r="V338" i="31"/>
  <c r="BK338" i="31" s="1"/>
  <c r="L308" i="31"/>
  <c r="L287" i="31"/>
  <c r="V341" i="31"/>
  <c r="BK341" i="31" s="1"/>
  <c r="BG320" i="31"/>
  <c r="AK255" i="31"/>
  <c r="BM255" i="31" s="1"/>
  <c r="F279" i="31"/>
  <c r="AC279" i="31" s="1"/>
  <c r="B353" i="31"/>
  <c r="Q353" i="31" s="1"/>
  <c r="C353" i="31"/>
  <c r="AK299" i="31"/>
  <c r="BM299" i="31" s="1"/>
  <c r="F323" i="31"/>
  <c r="AC323" i="31" s="1"/>
  <c r="F367" i="31"/>
  <c r="AC367" i="31" s="1"/>
  <c r="F356" i="31"/>
  <c r="AC356" i="31" s="1"/>
  <c r="C348" i="31"/>
  <c r="B348" i="31"/>
  <c r="Q348" i="31" s="1"/>
  <c r="F246" i="31"/>
  <c r="AC246" i="31" s="1"/>
  <c r="AK288" i="31"/>
  <c r="BM288" i="31" s="1"/>
  <c r="B352" i="31"/>
  <c r="Q352" i="31" s="1"/>
  <c r="C352" i="31"/>
  <c r="C344" i="31"/>
  <c r="B344" i="31"/>
  <c r="Q344" i="31" s="1"/>
  <c r="C347" i="31"/>
  <c r="B347" i="31"/>
  <c r="Q347" i="31" s="1"/>
  <c r="L298" i="31"/>
  <c r="C349" i="31"/>
  <c r="B349" i="31"/>
  <c r="Q349" i="31" s="1"/>
  <c r="F257" i="31"/>
  <c r="AC257" i="31" s="1"/>
  <c r="AK277" i="31"/>
  <c r="BM277" i="31" s="1"/>
  <c r="F301" i="31"/>
  <c r="AC301" i="31" s="1"/>
  <c r="AL276" i="31"/>
  <c r="J332" i="31"/>
  <c r="K332" i="31" s="1"/>
  <c r="AL265" i="31"/>
  <c r="C350" i="31"/>
  <c r="B350" i="31"/>
  <c r="Q350" i="31" s="1"/>
  <c r="AK244" i="31"/>
  <c r="F268" i="31"/>
  <c r="AC268" i="31" s="1"/>
  <c r="C343" i="31"/>
  <c r="B343" i="31"/>
  <c r="Q343" i="31" s="1"/>
  <c r="AK222" i="31"/>
  <c r="BM222" i="31" s="1"/>
  <c r="C363" i="31"/>
  <c r="B363" i="31"/>
  <c r="Q363" i="31" s="1"/>
  <c r="F312" i="31"/>
  <c r="AC312" i="31" s="1"/>
  <c r="L276" i="31"/>
  <c r="B354" i="31"/>
  <c r="Q354" i="31" s="1"/>
  <c r="C354" i="31"/>
  <c r="AK310" i="31"/>
  <c r="BM310" i="31" s="1"/>
  <c r="F334" i="31"/>
  <c r="AC334" i="31" s="1"/>
  <c r="AK266" i="31"/>
  <c r="BM266" i="31" s="1"/>
  <c r="F290" i="31"/>
  <c r="AC290" i="31" s="1"/>
  <c r="C346" i="31"/>
  <c r="B346" i="31"/>
  <c r="Q346" i="31" s="1"/>
  <c r="AK233" i="31"/>
  <c r="BM233" i="31" s="1"/>
  <c r="C345" i="31"/>
  <c r="B345" i="31"/>
  <c r="Q345" i="31" s="1"/>
  <c r="J331" i="31"/>
  <c r="K331" i="31" s="1"/>
  <c r="AL221" i="31"/>
  <c r="AL243" i="31"/>
  <c r="AL232" i="31"/>
  <c r="AL254" i="31"/>
  <c r="J333" i="31"/>
  <c r="BY321" i="31" l="1"/>
  <c r="AA222" i="31"/>
  <c r="AB334" i="31"/>
  <c r="I334" i="31"/>
  <c r="BW334" i="31" s="1"/>
  <c r="AA334" i="31"/>
  <c r="AB257" i="31"/>
  <c r="I257" i="31"/>
  <c r="BW257" i="31" s="1"/>
  <c r="AA257" i="31"/>
  <c r="AA323" i="31"/>
  <c r="AB323" i="31"/>
  <c r="I323" i="31"/>
  <c r="BW323" i="31" s="1"/>
  <c r="AA279" i="31"/>
  <c r="AB279" i="31"/>
  <c r="I279" i="31"/>
  <c r="BW279" i="31" s="1"/>
  <c r="I246" i="31"/>
  <c r="BW246" i="31" s="1"/>
  <c r="AB246" i="31"/>
  <c r="AB367" i="31"/>
  <c r="I367" i="31"/>
  <c r="BW367" i="31" s="1"/>
  <c r="AA367" i="31"/>
  <c r="AB333" i="31"/>
  <c r="AA333" i="31"/>
  <c r="I333" i="31"/>
  <c r="BW333" i="31" s="1"/>
  <c r="AB312" i="31"/>
  <c r="I312" i="31"/>
  <c r="BW312" i="31" s="1"/>
  <c r="AA312" i="31"/>
  <c r="AB268" i="31"/>
  <c r="I268" i="31"/>
  <c r="BW268" i="31" s="1"/>
  <c r="AA268" i="31"/>
  <c r="AB290" i="31"/>
  <c r="I290" i="31"/>
  <c r="BW290" i="31" s="1"/>
  <c r="AA290" i="31"/>
  <c r="AB301" i="31"/>
  <c r="I301" i="31"/>
  <c r="BW301" i="31" s="1"/>
  <c r="AA301" i="31"/>
  <c r="AB356" i="31"/>
  <c r="I356" i="31"/>
  <c r="BW356" i="31" s="1"/>
  <c r="AA356" i="31"/>
  <c r="K245" i="31"/>
  <c r="BG245" i="31" s="1"/>
  <c r="BY245" i="31"/>
  <c r="K300" i="31"/>
  <c r="BG300" i="31" s="1"/>
  <c r="BY300" i="31"/>
  <c r="K311" i="31"/>
  <c r="BG311" i="31" s="1"/>
  <c r="BY311" i="31"/>
  <c r="K322" i="31"/>
  <c r="BG322" i="31" s="1"/>
  <c r="BY322" i="31"/>
  <c r="K278" i="31"/>
  <c r="BG278" i="31" s="1"/>
  <c r="BY278" i="31"/>
  <c r="K289" i="31"/>
  <c r="BG289" i="31" s="1"/>
  <c r="BY289" i="31"/>
  <c r="K256" i="31"/>
  <c r="BG256" i="31" s="1"/>
  <c r="BY256" i="31"/>
  <c r="K267" i="31"/>
  <c r="BG267" i="31" s="1"/>
  <c r="BY267" i="31"/>
  <c r="K234" i="31"/>
  <c r="BG234" i="31" s="1"/>
  <c r="BY234" i="31"/>
  <c r="AL309" i="31"/>
  <c r="K321" i="31"/>
  <c r="BG321" i="31" s="1"/>
  <c r="AJ344" i="31"/>
  <c r="BX344" i="31" s="1"/>
  <c r="AJ343" i="31"/>
  <c r="AK321" i="31"/>
  <c r="BM321" i="31" s="1"/>
  <c r="L309" i="31"/>
  <c r="AJ301" i="31"/>
  <c r="BX301" i="31" s="1"/>
  <c r="F345" i="31"/>
  <c r="AC345" i="31" s="1"/>
  <c r="AJ268" i="31"/>
  <c r="BX268" i="31" s="1"/>
  <c r="AJ279" i="31"/>
  <c r="BX279" i="31" s="1"/>
  <c r="AJ257" i="31"/>
  <c r="BX257" i="31" s="1"/>
  <c r="AJ290" i="31"/>
  <c r="BX290" i="31" s="1"/>
  <c r="AJ334" i="31"/>
  <c r="BX334" i="31" s="1"/>
  <c r="AJ246" i="31"/>
  <c r="BX246" i="31" s="1"/>
  <c r="AJ333" i="31"/>
  <c r="BX333" i="31" s="1"/>
  <c r="AJ312" i="31"/>
  <c r="BX312" i="31" s="1"/>
  <c r="AJ323" i="31"/>
  <c r="BX323" i="31" s="1"/>
  <c r="BG331" i="31"/>
  <c r="L331" i="31" s="1"/>
  <c r="BM244" i="31"/>
  <c r="AL244" i="31" s="1"/>
  <c r="AL320" i="31"/>
  <c r="AK331" i="31"/>
  <c r="AK332" i="31"/>
  <c r="BM332" i="31" s="1"/>
  <c r="BB34" i="31"/>
  <c r="BY331" i="31"/>
  <c r="J347" i="31"/>
  <c r="J348" i="31"/>
  <c r="BY332" i="31"/>
  <c r="J354" i="31"/>
  <c r="J352" i="31"/>
  <c r="J346" i="31"/>
  <c r="J363" i="31"/>
  <c r="J350" i="31"/>
  <c r="J353" i="31"/>
  <c r="J349" i="31"/>
  <c r="L233" i="31"/>
  <c r="V345" i="31"/>
  <c r="BK345" i="31" s="1"/>
  <c r="V343" i="31"/>
  <c r="BK343" i="31" s="1"/>
  <c r="L299" i="31"/>
  <c r="L244" i="31"/>
  <c r="L255" i="31"/>
  <c r="L277" i="31"/>
  <c r="L222" i="31"/>
  <c r="V354" i="31"/>
  <c r="BK354" i="31" s="1"/>
  <c r="L266" i="31"/>
  <c r="V349" i="31"/>
  <c r="BK349" i="31" s="1"/>
  <c r="V347" i="31"/>
  <c r="BK347" i="31" s="1"/>
  <c r="V344" i="31"/>
  <c r="BK344" i="31" s="1"/>
  <c r="V346" i="31"/>
  <c r="BK346" i="31" s="1"/>
  <c r="V352" i="31"/>
  <c r="BK352" i="31" s="1"/>
  <c r="V363" i="31"/>
  <c r="BK363" i="31" s="1"/>
  <c r="V350" i="31"/>
  <c r="BK350" i="31" s="1"/>
  <c r="V348" i="31"/>
  <c r="BK348" i="31" s="1"/>
  <c r="V353" i="31"/>
  <c r="BK353" i="31" s="1"/>
  <c r="L320" i="31"/>
  <c r="BG332" i="31"/>
  <c r="B357" i="31"/>
  <c r="Q357" i="31" s="1"/>
  <c r="C357" i="31"/>
  <c r="AK278" i="31"/>
  <c r="BM278" i="31" s="1"/>
  <c r="F302" i="31"/>
  <c r="AC302" i="31" s="1"/>
  <c r="AK322" i="31"/>
  <c r="B355" i="31"/>
  <c r="Q355" i="31" s="1"/>
  <c r="C355" i="31"/>
  <c r="AK256" i="31"/>
  <c r="BM256" i="31" s="1"/>
  <c r="F280" i="31"/>
  <c r="AC280" i="31" s="1"/>
  <c r="AK289" i="31"/>
  <c r="BM289" i="31" s="1"/>
  <c r="F313" i="31"/>
  <c r="AC313" i="31" s="1"/>
  <c r="AK245" i="31"/>
  <c r="BM245" i="31" s="1"/>
  <c r="F269" i="31"/>
  <c r="AC269" i="31" s="1"/>
  <c r="L310" i="31"/>
  <c r="B356" i="31"/>
  <c r="Q356" i="31" s="1"/>
  <c r="C356" i="31"/>
  <c r="B360" i="31"/>
  <c r="Q360" i="31" s="1"/>
  <c r="C360" i="31"/>
  <c r="AK311" i="31"/>
  <c r="BM311" i="31" s="1"/>
  <c r="AK267" i="31"/>
  <c r="BM267" i="31" s="1"/>
  <c r="F291" i="31"/>
  <c r="AC291" i="31" s="1"/>
  <c r="J345" i="31"/>
  <c r="AL233" i="31"/>
  <c r="AL266" i="31"/>
  <c r="AL310" i="31"/>
  <c r="AL222" i="31"/>
  <c r="J343" i="31"/>
  <c r="K343" i="31" s="1"/>
  <c r="J344" i="31"/>
  <c r="K344" i="31" s="1"/>
  <c r="AL288" i="31"/>
  <c r="AL299" i="31"/>
  <c r="AL255" i="31"/>
  <c r="B358" i="31"/>
  <c r="Q358" i="31" s="1"/>
  <c r="C358" i="31"/>
  <c r="F346" i="31"/>
  <c r="AC346" i="31" s="1"/>
  <c r="C366" i="31"/>
  <c r="B366" i="31"/>
  <c r="Q366" i="31" s="1"/>
  <c r="AK300" i="31"/>
  <c r="F324" i="31"/>
  <c r="AC324" i="31" s="1"/>
  <c r="B362" i="31"/>
  <c r="Q362" i="31" s="1"/>
  <c r="C362" i="31"/>
  <c r="B361" i="31"/>
  <c r="Q361" i="31" s="1"/>
  <c r="C361" i="31"/>
  <c r="B359" i="31"/>
  <c r="Q359" i="31" s="1"/>
  <c r="C359" i="31"/>
  <c r="C364" i="31"/>
  <c r="B364" i="31"/>
  <c r="Q364" i="31" s="1"/>
  <c r="L288" i="31"/>
  <c r="AK234" i="31"/>
  <c r="BM234" i="31" s="1"/>
  <c r="F258" i="31"/>
  <c r="AC258" i="31" s="1"/>
  <c r="F335" i="31"/>
  <c r="AC335" i="31" s="1"/>
  <c r="C365" i="31"/>
  <c r="B365" i="31"/>
  <c r="Q365" i="31" s="1"/>
  <c r="AL277" i="31"/>
  <c r="BY333" i="31" l="1"/>
  <c r="AA234" i="31"/>
  <c r="AA302" i="31"/>
  <c r="AB302" i="31"/>
  <c r="I302" i="31"/>
  <c r="BW302" i="31" s="1"/>
  <c r="I258" i="31"/>
  <c r="BW258" i="31" s="1"/>
  <c r="AB258" i="31"/>
  <c r="I291" i="31"/>
  <c r="BW291" i="31" s="1"/>
  <c r="AB291" i="31"/>
  <c r="AA291" i="31"/>
  <c r="I269" i="31"/>
  <c r="BW269" i="31" s="1"/>
  <c r="AA269" i="31"/>
  <c r="AB269" i="31"/>
  <c r="AA280" i="31"/>
  <c r="AB280" i="31"/>
  <c r="I280" i="31"/>
  <c r="BW280" i="31" s="1"/>
  <c r="I345" i="31"/>
  <c r="BW345" i="31" s="1"/>
  <c r="AA345" i="31"/>
  <c r="AB345" i="31"/>
  <c r="I335" i="31"/>
  <c r="BW335" i="31" s="1"/>
  <c r="AA335" i="31"/>
  <c r="AB335" i="31"/>
  <c r="AB324" i="31"/>
  <c r="I324" i="31"/>
  <c r="BW324" i="31" s="1"/>
  <c r="AA324" i="31"/>
  <c r="AB346" i="31"/>
  <c r="I346" i="31"/>
  <c r="BW346" i="31" s="1"/>
  <c r="AA346" i="31"/>
  <c r="AB313" i="31"/>
  <c r="I313" i="31"/>
  <c r="BW313" i="31" s="1"/>
  <c r="AA313" i="31"/>
  <c r="K268" i="31"/>
  <c r="BG268" i="31" s="1"/>
  <c r="BY268" i="31"/>
  <c r="K301" i="31"/>
  <c r="BG301" i="31" s="1"/>
  <c r="BY301" i="31"/>
  <c r="AK343" i="31"/>
  <c r="BM343" i="31" s="1"/>
  <c r="AL343" i="31" s="1"/>
  <c r="BX343" i="31"/>
  <c r="BY343" i="31" s="1"/>
  <c r="K334" i="31"/>
  <c r="BG334" i="31" s="1"/>
  <c r="BY334" i="31"/>
  <c r="K257" i="31"/>
  <c r="BG257" i="31" s="1"/>
  <c r="BY257" i="31"/>
  <c r="K323" i="31"/>
  <c r="BG323" i="31" s="1"/>
  <c r="BY323" i="31"/>
  <c r="K279" i="31"/>
  <c r="BG279" i="31" s="1"/>
  <c r="BY279" i="31"/>
  <c r="K312" i="31"/>
  <c r="BG312" i="31" s="1"/>
  <c r="BY312" i="31"/>
  <c r="K246" i="31"/>
  <c r="AA246" i="31" s="1"/>
  <c r="BY246" i="31"/>
  <c r="K290" i="31"/>
  <c r="BG290" i="31" s="1"/>
  <c r="BY290" i="31"/>
  <c r="K333" i="31"/>
  <c r="BG333" i="31" s="1"/>
  <c r="AJ355" i="31"/>
  <c r="BX355" i="31" s="1"/>
  <c r="AJ356" i="31"/>
  <c r="BX356" i="31" s="1"/>
  <c r="AL321" i="31"/>
  <c r="AJ345" i="31"/>
  <c r="BX345" i="31" s="1"/>
  <c r="L321" i="31"/>
  <c r="AJ335" i="31"/>
  <c r="BX335" i="31" s="1"/>
  <c r="AJ346" i="31"/>
  <c r="BX346" i="31" s="1"/>
  <c r="AJ269" i="31"/>
  <c r="BX269" i="31" s="1"/>
  <c r="AJ313" i="31"/>
  <c r="BX313" i="31" s="1"/>
  <c r="AJ280" i="31"/>
  <c r="BX280" i="31" s="1"/>
  <c r="AJ302" i="31"/>
  <c r="BX302" i="31" s="1"/>
  <c r="F357" i="31"/>
  <c r="AC357" i="31" s="1"/>
  <c r="AJ258" i="31"/>
  <c r="BX258" i="31" s="1"/>
  <c r="AJ291" i="31"/>
  <c r="BX291" i="31" s="1"/>
  <c r="AK333" i="31"/>
  <c r="AJ324" i="31"/>
  <c r="BX324" i="31" s="1"/>
  <c r="BG343" i="31"/>
  <c r="L343" i="31" s="1"/>
  <c r="BM322" i="31"/>
  <c r="AL322" i="31" s="1"/>
  <c r="BM300" i="31"/>
  <c r="AL300" i="31" s="1"/>
  <c r="AL332" i="31"/>
  <c r="BM331" i="31"/>
  <c r="AL331" i="31" s="1"/>
  <c r="AK344" i="31"/>
  <c r="BM344" i="31" s="1"/>
  <c r="BY344" i="31"/>
  <c r="J365" i="31"/>
  <c r="J359" i="31"/>
  <c r="J362" i="31"/>
  <c r="J360" i="31"/>
  <c r="J364" i="31"/>
  <c r="J366" i="31"/>
  <c r="J358" i="31"/>
  <c r="J361" i="31"/>
  <c r="J356" i="31"/>
  <c r="K356" i="31" s="1"/>
  <c r="L245" i="31"/>
  <c r="V355" i="31"/>
  <c r="BK355" i="31" s="1"/>
  <c r="L300" i="31"/>
  <c r="L289" i="31"/>
  <c r="L267" i="31"/>
  <c r="AL234" i="31"/>
  <c r="AL311" i="31"/>
  <c r="L256" i="31"/>
  <c r="L311" i="31"/>
  <c r="V359" i="31"/>
  <c r="BK359" i="31" s="1"/>
  <c r="V360" i="31"/>
  <c r="BK360" i="31" s="1"/>
  <c r="V356" i="31"/>
  <c r="BK356" i="31" s="1"/>
  <c r="V357" i="31"/>
  <c r="BK357" i="31" s="1"/>
  <c r="L234" i="31"/>
  <c r="V364" i="31"/>
  <c r="BK364" i="31" s="1"/>
  <c r="V362" i="31"/>
  <c r="BK362" i="31" s="1"/>
  <c r="L332" i="31"/>
  <c r="V366" i="31"/>
  <c r="V365" i="31"/>
  <c r="BK365" i="31" s="1"/>
  <c r="V361" i="31"/>
  <c r="BK361" i="31" s="1"/>
  <c r="V358" i="31"/>
  <c r="BK358" i="31" s="1"/>
  <c r="BG344" i="31"/>
  <c r="BB35" i="31"/>
  <c r="J355" i="31"/>
  <c r="K355" i="31" s="1"/>
  <c r="J357" i="31"/>
  <c r="F347" i="31"/>
  <c r="AC347" i="31" s="1"/>
  <c r="AK279" i="31"/>
  <c r="BM279" i="31" s="1"/>
  <c r="AK257" i="31"/>
  <c r="BM257" i="31" s="1"/>
  <c r="F281" i="31"/>
  <c r="AC281" i="31" s="1"/>
  <c r="F325" i="31"/>
  <c r="AC325" i="31" s="1"/>
  <c r="AK268" i="31"/>
  <c r="BM268" i="31" s="1"/>
  <c r="F292" i="31"/>
  <c r="AC292" i="31" s="1"/>
  <c r="C367" i="31"/>
  <c r="B367" i="31"/>
  <c r="Q367" i="31" s="1"/>
  <c r="AL267" i="31"/>
  <c r="AL245" i="31"/>
  <c r="AL256" i="31"/>
  <c r="AL278" i="31"/>
  <c r="AK323" i="31"/>
  <c r="BM323" i="31" s="1"/>
  <c r="AK246" i="31"/>
  <c r="BM246" i="31" s="1"/>
  <c r="F270" i="31"/>
  <c r="AC270" i="31" s="1"/>
  <c r="AK312" i="31"/>
  <c r="F336" i="31"/>
  <c r="AC336" i="31" s="1"/>
  <c r="AK334" i="31"/>
  <c r="BM334" i="31" s="1"/>
  <c r="F358" i="31"/>
  <c r="AC358" i="31" s="1"/>
  <c r="F303" i="31"/>
  <c r="AC303" i="31" s="1"/>
  <c r="AK301" i="31"/>
  <c r="BM301" i="31" s="1"/>
  <c r="L322" i="31"/>
  <c r="AK290" i="31"/>
  <c r="BM290" i="31" s="1"/>
  <c r="F314" i="31"/>
  <c r="AC314" i="31" s="1"/>
  <c r="L278" i="31"/>
  <c r="AL289" i="31"/>
  <c r="BY345" i="31" l="1"/>
  <c r="AB292" i="31"/>
  <c r="I292" i="31"/>
  <c r="BW292" i="31" s="1"/>
  <c r="AA292" i="31"/>
  <c r="AB358" i="31"/>
  <c r="I358" i="31"/>
  <c r="BW358" i="31" s="1"/>
  <c r="AA358" i="31"/>
  <c r="AB270" i="31"/>
  <c r="I270" i="31"/>
  <c r="BW270" i="31" s="1"/>
  <c r="AA270" i="31"/>
  <c r="AA314" i="31"/>
  <c r="AB314" i="31"/>
  <c r="I314" i="31"/>
  <c r="BW314" i="31" s="1"/>
  <c r="AA303" i="31"/>
  <c r="AB303" i="31"/>
  <c r="I303" i="31"/>
  <c r="BW303" i="31" s="1"/>
  <c r="AA281" i="31"/>
  <c r="AB281" i="31"/>
  <c r="I281" i="31"/>
  <c r="BW281" i="31" s="1"/>
  <c r="I357" i="31"/>
  <c r="BW357" i="31" s="1"/>
  <c r="AB357" i="31"/>
  <c r="AA357" i="31"/>
  <c r="I336" i="31"/>
  <c r="BW336" i="31" s="1"/>
  <c r="AA336" i="31"/>
  <c r="AB336" i="31"/>
  <c r="I325" i="31"/>
  <c r="BW325" i="31" s="1"/>
  <c r="AA325" i="31"/>
  <c r="AB325" i="31"/>
  <c r="AB347" i="31"/>
  <c r="AA347" i="31"/>
  <c r="I347" i="31"/>
  <c r="BW347" i="31" s="1"/>
  <c r="AJ357" i="31"/>
  <c r="BX357" i="31" s="1"/>
  <c r="BG246" i="31"/>
  <c r="L246" i="31" s="1"/>
  <c r="K324" i="31"/>
  <c r="BG324" i="31" s="1"/>
  <c r="BY324" i="31"/>
  <c r="K302" i="31"/>
  <c r="BG302" i="31" s="1"/>
  <c r="BY302" i="31"/>
  <c r="K313" i="31"/>
  <c r="BG313" i="31" s="1"/>
  <c r="BY313" i="31"/>
  <c r="K346" i="31"/>
  <c r="BG346" i="31" s="1"/>
  <c r="BY346" i="31"/>
  <c r="K258" i="31"/>
  <c r="AA258" i="31" s="1"/>
  <c r="BY258" i="31"/>
  <c r="K280" i="31"/>
  <c r="BG280" i="31" s="1"/>
  <c r="BY280" i="31"/>
  <c r="K269" i="31"/>
  <c r="BG269" i="31" s="1"/>
  <c r="BY269" i="31"/>
  <c r="K335" i="31"/>
  <c r="BG335" i="31" s="1"/>
  <c r="BY335" i="31"/>
  <c r="K291" i="31"/>
  <c r="BG291" i="31" s="1"/>
  <c r="BY291" i="31"/>
  <c r="BK366" i="31"/>
  <c r="K345" i="31"/>
  <c r="BG345" i="31" s="1"/>
  <c r="AJ367" i="31"/>
  <c r="BX367" i="31" s="1"/>
  <c r="AK345" i="31"/>
  <c r="BM345" i="31" s="1"/>
  <c r="L333" i="31"/>
  <c r="AJ303" i="31"/>
  <c r="BX303" i="31" s="1"/>
  <c r="AJ358" i="31"/>
  <c r="BX358" i="31" s="1"/>
  <c r="AJ336" i="31"/>
  <c r="BX336" i="31" s="1"/>
  <c r="AJ270" i="31"/>
  <c r="BX270" i="31" s="1"/>
  <c r="AJ292" i="31"/>
  <c r="BX292" i="31" s="1"/>
  <c r="AJ325" i="31"/>
  <c r="BX325" i="31" s="1"/>
  <c r="AJ347" i="31"/>
  <c r="BX347" i="31" s="1"/>
  <c r="BM333" i="31"/>
  <c r="AL333" i="31" s="1"/>
  <c r="AJ314" i="31"/>
  <c r="BX314" i="31" s="1"/>
  <c r="AJ281" i="31"/>
  <c r="BX281" i="31" s="1"/>
  <c r="BG355" i="31"/>
  <c r="L355" i="31" s="1"/>
  <c r="BG356" i="31"/>
  <c r="L356" i="31" s="1"/>
  <c r="BM312" i="31"/>
  <c r="AL312" i="31" s="1"/>
  <c r="AL344" i="31"/>
  <c r="AK355" i="31"/>
  <c r="L279" i="31"/>
  <c r="L312" i="31"/>
  <c r="BY355" i="31"/>
  <c r="V367" i="31"/>
  <c r="BK367" i="31" s="1"/>
  <c r="L268" i="31"/>
  <c r="BB36" i="31"/>
  <c r="AL246" i="31"/>
  <c r="L323" i="31"/>
  <c r="L257" i="31"/>
  <c r="L344" i="31"/>
  <c r="BY356" i="31"/>
  <c r="F326" i="31"/>
  <c r="AC326" i="31" s="1"/>
  <c r="F315" i="31"/>
  <c r="AC315" i="31" s="1"/>
  <c r="L334" i="31"/>
  <c r="F348" i="31"/>
  <c r="AC348" i="31" s="1"/>
  <c r="AK356" i="31"/>
  <c r="BM356" i="31" s="1"/>
  <c r="AK280" i="31"/>
  <c r="BM280" i="31" s="1"/>
  <c r="L301" i="31"/>
  <c r="AK335" i="31"/>
  <c r="F359" i="31"/>
  <c r="AC359" i="31" s="1"/>
  <c r="AL301" i="31"/>
  <c r="AL323" i="31"/>
  <c r="J367" i="31"/>
  <c r="K367" i="31" s="1"/>
  <c r="AX8" i="31" s="1"/>
  <c r="AL268" i="31"/>
  <c r="AK302" i="31"/>
  <c r="BM302" i="31" s="1"/>
  <c r="AK291" i="31"/>
  <c r="BM291" i="31" s="1"/>
  <c r="AK346" i="31"/>
  <c r="BM346" i="31" s="1"/>
  <c r="AK324" i="31"/>
  <c r="BM324" i="31" s="1"/>
  <c r="AK258" i="31"/>
  <c r="BM258" i="31" s="1"/>
  <c r="F282" i="31"/>
  <c r="AC282" i="31" s="1"/>
  <c r="L290" i="31"/>
  <c r="F304" i="31"/>
  <c r="AC304" i="31" s="1"/>
  <c r="AK313" i="31"/>
  <c r="BM313" i="31" s="1"/>
  <c r="F337" i="31"/>
  <c r="AC337" i="31" s="1"/>
  <c r="AK269" i="31"/>
  <c r="BM269" i="31" s="1"/>
  <c r="F293" i="31"/>
  <c r="AC293" i="31" s="1"/>
  <c r="AL290" i="31"/>
  <c r="AL334" i="31"/>
  <c r="AL257" i="31"/>
  <c r="AL279" i="31"/>
  <c r="BY358" i="31" l="1"/>
  <c r="AK357" i="31"/>
  <c r="BM357" i="31" s="1"/>
  <c r="AL357" i="31" s="1"/>
  <c r="AB348" i="31"/>
  <c r="I348" i="31"/>
  <c r="BW348" i="31" s="1"/>
  <c r="AA348" i="31"/>
  <c r="AA337" i="31"/>
  <c r="AB337" i="31"/>
  <c r="I337" i="31"/>
  <c r="BW337" i="31" s="1"/>
  <c r="AA282" i="31"/>
  <c r="AB282" i="31"/>
  <c r="I282" i="31"/>
  <c r="BW282" i="31" s="1"/>
  <c r="AA293" i="31"/>
  <c r="AB293" i="31"/>
  <c r="I293" i="31"/>
  <c r="BW293" i="31" s="1"/>
  <c r="AA304" i="31"/>
  <c r="AB304" i="31"/>
  <c r="I304" i="31"/>
  <c r="BW304" i="31" s="1"/>
  <c r="AA359" i="31"/>
  <c r="AB359" i="31"/>
  <c r="I359" i="31"/>
  <c r="BW359" i="31" s="1"/>
  <c r="AA326" i="31"/>
  <c r="AB326" i="31"/>
  <c r="I326" i="31"/>
  <c r="BW326" i="31" s="1"/>
  <c r="AA315" i="31"/>
  <c r="AB315" i="31"/>
  <c r="I315" i="31"/>
  <c r="BW315" i="31" s="1"/>
  <c r="BG258" i="31"/>
  <c r="L258" i="31" s="1"/>
  <c r="K281" i="31"/>
  <c r="BG281" i="31" s="1"/>
  <c r="BY281" i="31"/>
  <c r="BY357" i="31"/>
  <c r="K325" i="31"/>
  <c r="BG325" i="31" s="1"/>
  <c r="BY325" i="31"/>
  <c r="K270" i="31"/>
  <c r="BG270" i="31" s="1"/>
  <c r="BY270" i="31"/>
  <c r="K314" i="31"/>
  <c r="BG314" i="31" s="1"/>
  <c r="BY314" i="31"/>
  <c r="K347" i="31"/>
  <c r="BG347" i="31" s="1"/>
  <c r="BY347" i="31"/>
  <c r="K292" i="31"/>
  <c r="BG292" i="31" s="1"/>
  <c r="BY292" i="31"/>
  <c r="K336" i="31"/>
  <c r="BG336" i="31" s="1"/>
  <c r="BY336" i="31"/>
  <c r="K303" i="31"/>
  <c r="BG303" i="31" s="1"/>
  <c r="BY303" i="31"/>
  <c r="K357" i="31"/>
  <c r="BG357" i="31" s="1"/>
  <c r="K358" i="31"/>
  <c r="BG358" i="31" s="1"/>
  <c r="AL345" i="31"/>
  <c r="L345" i="31"/>
  <c r="AJ348" i="31"/>
  <c r="BX348" i="31" s="1"/>
  <c r="AJ315" i="31"/>
  <c r="BX315" i="31" s="1"/>
  <c r="AJ293" i="31"/>
  <c r="BX293" i="31" s="1"/>
  <c r="AJ337" i="31"/>
  <c r="BX337" i="31" s="1"/>
  <c r="AJ304" i="31"/>
  <c r="BX304" i="31" s="1"/>
  <c r="AJ282" i="31"/>
  <c r="BX282" i="31" s="1"/>
  <c r="AJ359" i="31"/>
  <c r="BX359" i="31" s="1"/>
  <c r="AJ326" i="31"/>
  <c r="BX326" i="31" s="1"/>
  <c r="BM335" i="31"/>
  <c r="AL335" i="31" s="1"/>
  <c r="BM355" i="31"/>
  <c r="AL355" i="31" s="1"/>
  <c r="L335" i="31"/>
  <c r="AK367" i="31"/>
  <c r="BY367" i="31"/>
  <c r="L269" i="31"/>
  <c r="AL356" i="31"/>
  <c r="L280" i="31"/>
  <c r="L291" i="31"/>
  <c r="L313" i="31"/>
  <c r="L302" i="31"/>
  <c r="BB7" i="31"/>
  <c r="BE8" i="31"/>
  <c r="BE9" i="31"/>
  <c r="BE11" i="31"/>
  <c r="BE10" i="31"/>
  <c r="BE12" i="31"/>
  <c r="BE13" i="31"/>
  <c r="BE14" i="31"/>
  <c r="BE16" i="31"/>
  <c r="BE15" i="31"/>
  <c r="BE17" i="31"/>
  <c r="BE18" i="31"/>
  <c r="BE20" i="31"/>
  <c r="BE19" i="31"/>
  <c r="BE21" i="31"/>
  <c r="BE22" i="31"/>
  <c r="BE23" i="31"/>
  <c r="BE24" i="31"/>
  <c r="BE25" i="31"/>
  <c r="BE26" i="31"/>
  <c r="BE27" i="31"/>
  <c r="AK281" i="31"/>
  <c r="BM281" i="31" s="1"/>
  <c r="AK325" i="31"/>
  <c r="BM325" i="31" s="1"/>
  <c r="F316" i="31"/>
  <c r="AC316" i="31" s="1"/>
  <c r="AK336" i="31"/>
  <c r="BM336" i="31" s="1"/>
  <c r="F360" i="31"/>
  <c r="AC360" i="31" s="1"/>
  <c r="AK358" i="31"/>
  <c r="BM358" i="31" s="1"/>
  <c r="F327" i="31"/>
  <c r="AC327" i="31" s="1"/>
  <c r="F338" i="31"/>
  <c r="AC338" i="31" s="1"/>
  <c r="AL269" i="31"/>
  <c r="AL313" i="31"/>
  <c r="AL258" i="31"/>
  <c r="AL324" i="31"/>
  <c r="AL346" i="31"/>
  <c r="AL291" i="31"/>
  <c r="AL302" i="31"/>
  <c r="AL280" i="31"/>
  <c r="F305" i="31"/>
  <c r="AC305" i="31" s="1"/>
  <c r="F349" i="31"/>
  <c r="AC349" i="31" s="1"/>
  <c r="AK292" i="31"/>
  <c r="BM292" i="31" s="1"/>
  <c r="AK270" i="31"/>
  <c r="BM270" i="31" s="1"/>
  <c r="F294" i="31"/>
  <c r="AC294" i="31" s="1"/>
  <c r="L324" i="31"/>
  <c r="L346" i="31"/>
  <c r="AK347" i="31"/>
  <c r="BM347" i="31" s="1"/>
  <c r="AK303" i="31"/>
  <c r="AK314" i="31"/>
  <c r="BM314" i="31" s="1"/>
  <c r="AA349" i="31" l="1"/>
  <c r="AB349" i="31"/>
  <c r="I349" i="31"/>
  <c r="BW349" i="31" s="1"/>
  <c r="AB327" i="31"/>
  <c r="AA327" i="31"/>
  <c r="I327" i="31"/>
  <c r="BW327" i="31" s="1"/>
  <c r="AB316" i="31"/>
  <c r="I316" i="31"/>
  <c r="BW316" i="31" s="1"/>
  <c r="AA316" i="31"/>
  <c r="AA338" i="31"/>
  <c r="AB338" i="31"/>
  <c r="I338" i="31"/>
  <c r="BW338" i="31" s="1"/>
  <c r="AB294" i="31"/>
  <c r="I294" i="31"/>
  <c r="BW294" i="31" s="1"/>
  <c r="AA294" i="31"/>
  <c r="AA305" i="31"/>
  <c r="AB305" i="31"/>
  <c r="I305" i="31"/>
  <c r="BW305" i="31" s="1"/>
  <c r="AA360" i="31"/>
  <c r="AB360" i="31"/>
  <c r="I360" i="31"/>
  <c r="BW360" i="31" s="1"/>
  <c r="K326" i="31"/>
  <c r="BG326" i="31" s="1"/>
  <c r="BY326" i="31"/>
  <c r="K282" i="31"/>
  <c r="BG282" i="31" s="1"/>
  <c r="BY282" i="31"/>
  <c r="K337" i="31"/>
  <c r="BG337" i="31" s="1"/>
  <c r="BY337" i="31"/>
  <c r="K315" i="31"/>
  <c r="BG315" i="31" s="1"/>
  <c r="BY315" i="31"/>
  <c r="K359" i="31"/>
  <c r="BG359" i="31" s="1"/>
  <c r="BY359" i="31"/>
  <c r="K304" i="31"/>
  <c r="BG304" i="31" s="1"/>
  <c r="BY304" i="31"/>
  <c r="K293" i="31"/>
  <c r="BG293" i="31" s="1"/>
  <c r="BY293" i="31"/>
  <c r="K348" i="31"/>
  <c r="BG348" i="31" s="1"/>
  <c r="BY348" i="31"/>
  <c r="L357" i="31"/>
  <c r="AJ294" i="31"/>
  <c r="BX294" i="31" s="1"/>
  <c r="AJ305" i="31"/>
  <c r="BX305" i="31" s="1"/>
  <c r="AJ316" i="31"/>
  <c r="BX316" i="31" s="1"/>
  <c r="AJ327" i="31"/>
  <c r="BX327" i="31" s="1"/>
  <c r="AJ360" i="31"/>
  <c r="BX360" i="31" s="1"/>
  <c r="BG367" i="31"/>
  <c r="L367" i="31" s="1"/>
  <c r="AX7" i="31"/>
  <c r="AJ338" i="31"/>
  <c r="BX338" i="31" s="1"/>
  <c r="AJ349" i="31"/>
  <c r="BX349" i="31" s="1"/>
  <c r="BM367" i="31"/>
  <c r="AL367" i="31" s="1"/>
  <c r="AX10" i="31"/>
  <c r="AX9" i="31"/>
  <c r="AX11" i="31"/>
  <c r="AX13" i="31"/>
  <c r="AX12" i="31"/>
  <c r="AX18" i="31"/>
  <c r="AX14" i="31"/>
  <c r="AX15" i="31"/>
  <c r="AX19" i="31"/>
  <c r="AX17" i="31"/>
  <c r="AX20" i="31"/>
  <c r="AX21" i="31"/>
  <c r="AX22" i="31"/>
  <c r="AX24" i="31"/>
  <c r="AX23" i="31"/>
  <c r="AX25" i="31"/>
  <c r="AX27" i="31"/>
  <c r="AX26" i="31"/>
  <c r="AX28" i="31"/>
  <c r="BM303" i="31"/>
  <c r="AL303" i="31" s="1"/>
  <c r="X32" i="35"/>
  <c r="L325" i="31"/>
  <c r="L292" i="31"/>
  <c r="L270" i="31"/>
  <c r="L314" i="31"/>
  <c r="L303" i="31"/>
  <c r="L336" i="31"/>
  <c r="AL358" i="31"/>
  <c r="L281" i="31"/>
  <c r="L347" i="31"/>
  <c r="BE28" i="31"/>
  <c r="L358" i="31"/>
  <c r="F306" i="31"/>
  <c r="AC306" i="31" s="1"/>
  <c r="AK337" i="31"/>
  <c r="F361" i="31"/>
  <c r="AC361" i="31" s="1"/>
  <c r="F350" i="31"/>
  <c r="AC350" i="31" s="1"/>
  <c r="AK315" i="31"/>
  <c r="BM315" i="31" s="1"/>
  <c r="AK348" i="31"/>
  <c r="BM348" i="31" s="1"/>
  <c r="F328" i="31"/>
  <c r="AC328" i="31" s="1"/>
  <c r="AL314" i="31"/>
  <c r="AL347" i="31"/>
  <c r="AL270" i="31"/>
  <c r="AL336" i="31"/>
  <c r="AK282" i="31"/>
  <c r="BM282" i="31" s="1"/>
  <c r="AK293" i="31"/>
  <c r="BM293" i="31" s="1"/>
  <c r="F317" i="31"/>
  <c r="AC317" i="31" s="1"/>
  <c r="AK326" i="31"/>
  <c r="BM326" i="31" s="1"/>
  <c r="F339" i="31"/>
  <c r="AC339" i="31" s="1"/>
  <c r="AK359" i="31"/>
  <c r="BM359" i="31" s="1"/>
  <c r="AK304" i="31"/>
  <c r="BM304" i="31" s="1"/>
  <c r="AL292" i="31"/>
  <c r="AL325" i="31"/>
  <c r="AL281" i="31"/>
  <c r="AA306" i="31" l="1"/>
  <c r="AB306" i="31"/>
  <c r="I306" i="31"/>
  <c r="BW306" i="31" s="1"/>
  <c r="AA339" i="31"/>
  <c r="AB339" i="31"/>
  <c r="I339" i="31"/>
  <c r="BW339" i="31" s="1"/>
  <c r="AA350" i="31"/>
  <c r="AB350" i="31"/>
  <c r="I350" i="31"/>
  <c r="BW350" i="31" s="1"/>
  <c r="AA317" i="31"/>
  <c r="AB317" i="31"/>
  <c r="I317" i="31"/>
  <c r="BW317" i="31" s="1"/>
  <c r="AA328" i="31"/>
  <c r="AB328" i="31"/>
  <c r="I328" i="31"/>
  <c r="BW328" i="31" s="1"/>
  <c r="AA361" i="31"/>
  <c r="AB361" i="31"/>
  <c r="I361" i="31"/>
  <c r="BW361" i="31" s="1"/>
  <c r="K338" i="31"/>
  <c r="BG338" i="31" s="1"/>
  <c r="BY338" i="31"/>
  <c r="K327" i="31"/>
  <c r="BG327" i="31" s="1"/>
  <c r="BY327" i="31"/>
  <c r="K305" i="31"/>
  <c r="BG305" i="31" s="1"/>
  <c r="BY305" i="31"/>
  <c r="K349" i="31"/>
  <c r="BG349" i="31" s="1"/>
  <c r="BY349" i="31"/>
  <c r="K360" i="31"/>
  <c r="BG360" i="31" s="1"/>
  <c r="BY360" i="31"/>
  <c r="K316" i="31"/>
  <c r="BG316" i="31" s="1"/>
  <c r="BY316" i="31"/>
  <c r="K294" i="31"/>
  <c r="BG294" i="31" s="1"/>
  <c r="BY294" i="31"/>
  <c r="AJ328" i="31"/>
  <c r="BX328" i="31" s="1"/>
  <c r="AJ361" i="31"/>
  <c r="BX361" i="31" s="1"/>
  <c r="AJ306" i="31"/>
  <c r="BX306" i="31" s="1"/>
  <c r="AJ339" i="31"/>
  <c r="BX339" i="31" s="1"/>
  <c r="AJ317" i="31"/>
  <c r="BX317" i="31" s="1"/>
  <c r="AJ350" i="31"/>
  <c r="BX350" i="31" s="1"/>
  <c r="AX29" i="31"/>
  <c r="BM337" i="31"/>
  <c r="AL337" i="31" s="1"/>
  <c r="AL359" i="31"/>
  <c r="L359" i="31"/>
  <c r="L293" i="31"/>
  <c r="L348" i="31"/>
  <c r="L326" i="31"/>
  <c r="L337" i="31"/>
  <c r="BE29" i="31"/>
  <c r="AL315" i="31"/>
  <c r="F351" i="31"/>
  <c r="AC351" i="31" s="1"/>
  <c r="F340" i="31"/>
  <c r="AC340" i="31" s="1"/>
  <c r="AK338" i="31"/>
  <c r="BM338" i="31" s="1"/>
  <c r="F362" i="31"/>
  <c r="AC362" i="31" s="1"/>
  <c r="F318" i="31"/>
  <c r="AC318" i="31" s="1"/>
  <c r="AL304" i="31"/>
  <c r="AL326" i="31"/>
  <c r="AL293" i="31"/>
  <c r="AL282" i="31"/>
  <c r="AK360" i="31"/>
  <c r="BM360" i="31" s="1"/>
  <c r="AK327" i="31"/>
  <c r="BM327" i="31" s="1"/>
  <c r="L315" i="31"/>
  <c r="AK305" i="31"/>
  <c r="BM305" i="31" s="1"/>
  <c r="F329" i="31"/>
  <c r="AC329" i="31" s="1"/>
  <c r="L282" i="31"/>
  <c r="AK316" i="31"/>
  <c r="BM316" i="31" s="1"/>
  <c r="L304" i="31"/>
  <c r="AK349" i="31"/>
  <c r="AK294" i="31"/>
  <c r="AL348" i="31"/>
  <c r="AA318" i="31" l="1"/>
  <c r="AB318" i="31"/>
  <c r="I318" i="31"/>
  <c r="BW318" i="31" s="1"/>
  <c r="AA351" i="31"/>
  <c r="AB351" i="31"/>
  <c r="I351" i="31"/>
  <c r="BW351" i="31" s="1"/>
  <c r="AA329" i="31"/>
  <c r="I329" i="31"/>
  <c r="BW329" i="31" s="1"/>
  <c r="AB329" i="31"/>
  <c r="AA340" i="31"/>
  <c r="AB340" i="31"/>
  <c r="I340" i="31"/>
  <c r="BW340" i="31" s="1"/>
  <c r="AB362" i="31"/>
  <c r="I362" i="31"/>
  <c r="BW362" i="31" s="1"/>
  <c r="AA362" i="31"/>
  <c r="K350" i="31"/>
  <c r="BG350" i="31" s="1"/>
  <c r="BY350" i="31"/>
  <c r="K339" i="31"/>
  <c r="BG339" i="31" s="1"/>
  <c r="BY339" i="31"/>
  <c r="K361" i="31"/>
  <c r="BG361" i="31" s="1"/>
  <c r="BY361" i="31"/>
  <c r="K317" i="31"/>
  <c r="BG317" i="31" s="1"/>
  <c r="BY317" i="31"/>
  <c r="K306" i="31"/>
  <c r="BG306" i="31" s="1"/>
  <c r="BY306" i="31"/>
  <c r="K328" i="31"/>
  <c r="BG328" i="31" s="1"/>
  <c r="BY328" i="31"/>
  <c r="AJ318" i="31"/>
  <c r="BX318" i="31" s="1"/>
  <c r="AJ351" i="31"/>
  <c r="BX351" i="31" s="1"/>
  <c r="AJ329" i="31"/>
  <c r="BX329" i="31" s="1"/>
  <c r="AJ362" i="31"/>
  <c r="BX362" i="31" s="1"/>
  <c r="AJ340" i="31"/>
  <c r="BX340" i="31" s="1"/>
  <c r="BM349" i="31"/>
  <c r="AL349" i="31" s="1"/>
  <c r="BM294" i="31"/>
  <c r="AL294" i="31" s="1"/>
  <c r="AX30" i="31"/>
  <c r="L327" i="31"/>
  <c r="L338" i="31"/>
  <c r="L294" i="31"/>
  <c r="L360" i="31"/>
  <c r="L316" i="31"/>
  <c r="L305" i="31"/>
  <c r="F341" i="31"/>
  <c r="AC341" i="31" s="1"/>
  <c r="F330" i="31"/>
  <c r="AC330" i="31" s="1"/>
  <c r="F352" i="31"/>
  <c r="AC352" i="31" s="1"/>
  <c r="AK339" i="31"/>
  <c r="BM339" i="31" s="1"/>
  <c r="AL316" i="31"/>
  <c r="AL327" i="31"/>
  <c r="AL360" i="31"/>
  <c r="L349" i="31"/>
  <c r="AK317" i="31"/>
  <c r="BM317" i="31" s="1"/>
  <c r="AK306" i="31"/>
  <c r="BM306" i="31" s="1"/>
  <c r="AK361" i="31"/>
  <c r="BM361" i="31" s="1"/>
  <c r="AK350" i="31"/>
  <c r="BM350" i="31" s="1"/>
  <c r="AK328" i="31"/>
  <c r="BM328" i="31" s="1"/>
  <c r="F363" i="31"/>
  <c r="AC363" i="31" s="1"/>
  <c r="AL305" i="31"/>
  <c r="AL338" i="31"/>
  <c r="AA363" i="31" l="1"/>
  <c r="AB363" i="31"/>
  <c r="I363" i="31"/>
  <c r="BW363" i="31" s="1"/>
  <c r="AA352" i="31"/>
  <c r="AB352" i="31"/>
  <c r="I352" i="31"/>
  <c r="BW352" i="31" s="1"/>
  <c r="I341" i="31"/>
  <c r="BW341" i="31" s="1"/>
  <c r="AB341" i="31"/>
  <c r="AA341" i="31"/>
  <c r="AB330" i="31"/>
  <c r="I330" i="31"/>
  <c r="BW330" i="31" s="1"/>
  <c r="AA330" i="31"/>
  <c r="K340" i="31"/>
  <c r="BG340" i="31" s="1"/>
  <c r="BY340" i="31"/>
  <c r="K329" i="31"/>
  <c r="BG329" i="31" s="1"/>
  <c r="BY329" i="31"/>
  <c r="K318" i="31"/>
  <c r="BG318" i="31" s="1"/>
  <c r="BY318" i="31"/>
  <c r="K362" i="31"/>
  <c r="BG362" i="31" s="1"/>
  <c r="BY362" i="31"/>
  <c r="K351" i="31"/>
  <c r="BG351" i="31" s="1"/>
  <c r="BY351" i="31"/>
  <c r="AJ352" i="31"/>
  <c r="BX352" i="31" s="1"/>
  <c r="AJ341" i="31"/>
  <c r="BX341" i="31" s="1"/>
  <c r="AJ363" i="31"/>
  <c r="BX363" i="31" s="1"/>
  <c r="AJ330" i="31"/>
  <c r="BX330" i="31" s="1"/>
  <c r="AL361" i="31"/>
  <c r="AL306" i="31"/>
  <c r="L361" i="31"/>
  <c r="L350" i="31"/>
  <c r="L328" i="31"/>
  <c r="L339" i="31"/>
  <c r="AL350" i="31"/>
  <c r="AK351" i="31"/>
  <c r="BM351" i="31" s="1"/>
  <c r="F364" i="31"/>
  <c r="AC364" i="31" s="1"/>
  <c r="F342" i="31"/>
  <c r="AC342" i="31" s="1"/>
  <c r="L317" i="31"/>
  <c r="AL317" i="31"/>
  <c r="AL339" i="31"/>
  <c r="AK340" i="31"/>
  <c r="BM340" i="31" s="1"/>
  <c r="AK362" i="31"/>
  <c r="AK318" i="31"/>
  <c r="BM318" i="31" s="1"/>
  <c r="L306" i="31"/>
  <c r="AK329" i="31"/>
  <c r="BM329" i="31" s="1"/>
  <c r="F353" i="31"/>
  <c r="AC353" i="31" s="1"/>
  <c r="AL328" i="31"/>
  <c r="AB342" i="31" l="1"/>
  <c r="I342" i="31"/>
  <c r="BW342" i="31" s="1"/>
  <c r="AA342" i="31"/>
  <c r="I353" i="31"/>
  <c r="BW353" i="31" s="1"/>
  <c r="AA353" i="31"/>
  <c r="AB353" i="31"/>
  <c r="AA364" i="31"/>
  <c r="AB364" i="31"/>
  <c r="I364" i="31"/>
  <c r="BW364" i="31" s="1"/>
  <c r="K341" i="31"/>
  <c r="BG341" i="31" s="1"/>
  <c r="BY341" i="31"/>
  <c r="K330" i="31"/>
  <c r="BG330" i="31" s="1"/>
  <c r="BY330" i="31"/>
  <c r="K363" i="31"/>
  <c r="BG363" i="31" s="1"/>
  <c r="BY363" i="31"/>
  <c r="K352" i="31"/>
  <c r="BG352" i="31" s="1"/>
  <c r="BY352" i="31"/>
  <c r="AJ353" i="31"/>
  <c r="BX353" i="31" s="1"/>
  <c r="AJ342" i="31"/>
  <c r="BX342" i="31" s="1"/>
  <c r="AJ364" i="31"/>
  <c r="BX364" i="31" s="1"/>
  <c r="AX32" i="31"/>
  <c r="BM362" i="31"/>
  <c r="AL362" i="31" s="1"/>
  <c r="AL318" i="31"/>
  <c r="L362" i="31"/>
  <c r="L329" i="31"/>
  <c r="L351" i="31"/>
  <c r="L340" i="31"/>
  <c r="L318" i="31"/>
  <c r="F365" i="31"/>
  <c r="AC365" i="31" s="1"/>
  <c r="AK330" i="31"/>
  <c r="BM330" i="31" s="1"/>
  <c r="AK352" i="31"/>
  <c r="BM352" i="31" s="1"/>
  <c r="AK363" i="31"/>
  <c r="BM363" i="31" s="1"/>
  <c r="AL340" i="31"/>
  <c r="AK341" i="31"/>
  <c r="BM341" i="31" s="1"/>
  <c r="F354" i="31"/>
  <c r="AC354" i="31" s="1"/>
  <c r="AL329" i="31"/>
  <c r="AL351" i="31"/>
  <c r="AB365" i="31" l="1"/>
  <c r="I365" i="31"/>
  <c r="BW365" i="31" s="1"/>
  <c r="AA365" i="31"/>
  <c r="AA354" i="31"/>
  <c r="AB354" i="31"/>
  <c r="I354" i="31"/>
  <c r="BW354" i="31" s="1"/>
  <c r="K342" i="31"/>
  <c r="BG342" i="31" s="1"/>
  <c r="BY342" i="31"/>
  <c r="K364" i="31"/>
  <c r="BG364" i="31" s="1"/>
  <c r="BY364" i="31"/>
  <c r="K353" i="31"/>
  <c r="BG353" i="31" s="1"/>
  <c r="BY353" i="31"/>
  <c r="AJ365" i="31"/>
  <c r="BX365" i="31" s="1"/>
  <c r="AJ354" i="31"/>
  <c r="BX354" i="31" s="1"/>
  <c r="L330" i="31"/>
  <c r="L352" i="31"/>
  <c r="L341" i="31"/>
  <c r="L363" i="31"/>
  <c r="F366" i="31"/>
  <c r="AC366" i="31" s="1"/>
  <c r="AK364" i="31"/>
  <c r="BM364" i="31" s="1"/>
  <c r="AL341" i="31"/>
  <c r="AL363" i="31"/>
  <c r="AK342" i="31"/>
  <c r="BM342" i="31" s="1"/>
  <c r="AK353" i="31"/>
  <c r="BM353" i="31" s="1"/>
  <c r="AL352" i="31"/>
  <c r="AL330" i="31"/>
  <c r="AB366" i="31" l="1"/>
  <c r="I366" i="31"/>
  <c r="BW366" i="31" s="1"/>
  <c r="AA366" i="31"/>
  <c r="K354" i="31"/>
  <c r="BG354" i="31" s="1"/>
  <c r="BY354" i="31"/>
  <c r="K365" i="31"/>
  <c r="BG365" i="31" s="1"/>
  <c r="BY365" i="31"/>
  <c r="AJ366" i="31"/>
  <c r="BX366" i="31" s="1"/>
  <c r="L364" i="31"/>
  <c r="L353" i="31"/>
  <c r="L342" i="31"/>
  <c r="AK354" i="31"/>
  <c r="BM354" i="31" s="1"/>
  <c r="AL353" i="31"/>
  <c r="AL342" i="31"/>
  <c r="AK365" i="31"/>
  <c r="BM365" i="31" s="1"/>
  <c r="AL364" i="31"/>
  <c r="K366" i="31" l="1"/>
  <c r="BG366" i="31" s="1"/>
  <c r="BY366" i="31"/>
  <c r="BE7" i="31" s="1"/>
  <c r="L365" i="31"/>
  <c r="L354" i="31"/>
  <c r="AK366" i="31"/>
  <c r="AL365" i="31"/>
  <c r="AL354" i="31"/>
  <c r="BM366" i="31" l="1"/>
  <c r="AL366" i="31" s="1"/>
  <c r="AX33" i="31"/>
  <c r="AX31" i="31"/>
  <c r="AX35" i="31"/>
  <c r="AX34" i="31"/>
  <c r="AX36" i="31"/>
  <c r="BE34" i="31"/>
  <c r="BE35" i="31"/>
  <c r="BE36" i="31"/>
  <c r="BE33" i="31"/>
  <c r="BE32" i="31"/>
  <c r="BE30" i="31"/>
  <c r="BE31" i="31"/>
  <c r="L366" i="31"/>
  <c r="G57" i="2" l="1"/>
  <c r="F9" i="2" s="1"/>
  <c r="C31" i="1" l="1"/>
  <c r="AS7" i="43" l="1"/>
  <c r="AT7" i="43" s="1"/>
  <c r="AS7" i="42"/>
  <c r="AS7" i="31"/>
  <c r="C14" i="2"/>
  <c r="AS8" i="42" l="1"/>
  <c r="AS9" i="42" s="1"/>
  <c r="AS10" i="42" s="1"/>
  <c r="AS11" i="42" s="1"/>
  <c r="AS12" i="42" s="1"/>
  <c r="AS13" i="42" s="1"/>
  <c r="AS14" i="42" s="1"/>
  <c r="AS15" i="42" s="1"/>
  <c r="AS16" i="42" s="1"/>
  <c r="AS17" i="42" s="1"/>
  <c r="AS18" i="42" s="1"/>
  <c r="AS19" i="42" s="1"/>
  <c r="AS20" i="42" s="1"/>
  <c r="AS21" i="42" s="1"/>
  <c r="AS22" i="42" s="1"/>
  <c r="AS23" i="42" s="1"/>
  <c r="AS24" i="42" s="1"/>
  <c r="AS25" i="42" s="1"/>
  <c r="AS26" i="42" s="1"/>
  <c r="AS27" i="42" s="1"/>
  <c r="AS28" i="42" s="1"/>
  <c r="AS29" i="42" s="1"/>
  <c r="AS30" i="42" s="1"/>
  <c r="AS31" i="42" s="1"/>
  <c r="AS32" i="42" s="1"/>
  <c r="AS33" i="42" s="1"/>
  <c r="AS34" i="42" s="1"/>
  <c r="AS35" i="42" s="1"/>
  <c r="AS36" i="42" s="1"/>
  <c r="AS37" i="42" s="1"/>
  <c r="AS38" i="42" s="1"/>
  <c r="AS39" i="42" s="1"/>
  <c r="AS40" i="42" s="1"/>
  <c r="AS41" i="42" s="1"/>
  <c r="AS42" i="42" s="1"/>
  <c r="AS43" i="42" s="1"/>
  <c r="AS44" i="42" s="1"/>
  <c r="AS45" i="42" s="1"/>
  <c r="AS46" i="42" s="1"/>
  <c r="AS47" i="42" s="1"/>
  <c r="AS48" i="42" s="1"/>
  <c r="AS49" i="42" s="1"/>
  <c r="AS50" i="42" s="1"/>
  <c r="AS51" i="42" s="1"/>
  <c r="AS52" i="42" s="1"/>
  <c r="AS53" i="42" s="1"/>
  <c r="AS54" i="42" s="1"/>
  <c r="AS55" i="42" s="1"/>
  <c r="AS56" i="42" s="1"/>
  <c r="AS57" i="42" s="1"/>
  <c r="AS58" i="42" s="1"/>
  <c r="AS59" i="42" s="1"/>
  <c r="AS60" i="42" s="1"/>
  <c r="AS61" i="42" s="1"/>
  <c r="AS62" i="42" s="1"/>
  <c r="AS63" i="42" s="1"/>
  <c r="AS64" i="42" s="1"/>
  <c r="AS65" i="42" s="1"/>
  <c r="AS66" i="42" s="1"/>
  <c r="AS67" i="42" s="1"/>
  <c r="AS68" i="42" s="1"/>
  <c r="AS69" i="42" s="1"/>
  <c r="AS70" i="42" s="1"/>
  <c r="AS71" i="42" s="1"/>
  <c r="AS72" i="42" s="1"/>
  <c r="AS73" i="42" s="1"/>
  <c r="AS74" i="42" s="1"/>
  <c r="AS75" i="42" s="1"/>
  <c r="AS76" i="42" s="1"/>
  <c r="AS77" i="42" s="1"/>
  <c r="AS78" i="42" s="1"/>
  <c r="AS79" i="42" s="1"/>
  <c r="AS80" i="42" s="1"/>
  <c r="AS81" i="42" s="1"/>
  <c r="AS82" i="42" s="1"/>
  <c r="AS83" i="42" s="1"/>
  <c r="AS84" i="42" s="1"/>
  <c r="AS85" i="42" s="1"/>
  <c r="AS86" i="42" s="1"/>
  <c r="AS87" i="42" s="1"/>
  <c r="AS88" i="42" s="1"/>
  <c r="AS89" i="42" s="1"/>
  <c r="AS90" i="42" s="1"/>
  <c r="AS91" i="42" s="1"/>
  <c r="AS92" i="42" s="1"/>
  <c r="AS93" i="42" s="1"/>
  <c r="AS94" i="42" s="1"/>
  <c r="AS95" i="42" s="1"/>
  <c r="AS96" i="42" s="1"/>
  <c r="AS97" i="42" s="1"/>
  <c r="AS98" i="42" s="1"/>
  <c r="AS99" i="42" s="1"/>
  <c r="AS100" i="42" s="1"/>
  <c r="AT7" i="42"/>
  <c r="AS8" i="43"/>
  <c r="AS9" i="43" s="1"/>
  <c r="AS10" i="43" s="1"/>
  <c r="AS11" i="43" s="1"/>
  <c r="AS12" i="43" s="1"/>
  <c r="AS13" i="43" s="1"/>
  <c r="AS14" i="43" s="1"/>
  <c r="AS15" i="43" s="1"/>
  <c r="AS16" i="43" s="1"/>
  <c r="AS17" i="43" s="1"/>
  <c r="AS18" i="43" s="1"/>
  <c r="AS19" i="43" s="1"/>
  <c r="AS20" i="43" s="1"/>
  <c r="AS21" i="43" s="1"/>
  <c r="AS22" i="43" s="1"/>
  <c r="AS23" i="43" s="1"/>
  <c r="AS24" i="43" s="1"/>
  <c r="AS25" i="43" s="1"/>
  <c r="AS26" i="43" s="1"/>
  <c r="AS27" i="43" s="1"/>
  <c r="AS28" i="43" s="1"/>
  <c r="AS29" i="43" s="1"/>
  <c r="AS30" i="43" s="1"/>
  <c r="AS31" i="43" s="1"/>
  <c r="AS32" i="43" s="1"/>
  <c r="AS33" i="43" s="1"/>
  <c r="AS34" i="43" s="1"/>
  <c r="AS35" i="43" s="1"/>
  <c r="AS36" i="43" s="1"/>
  <c r="AS37" i="43" s="1"/>
  <c r="AS38" i="43" s="1"/>
  <c r="AS39" i="43" s="1"/>
  <c r="AS40" i="43" s="1"/>
  <c r="AS41" i="43" s="1"/>
  <c r="AS42" i="43" s="1"/>
  <c r="AS43" i="43" s="1"/>
  <c r="AS44" i="43" s="1"/>
  <c r="AS45" i="43" s="1"/>
  <c r="AS46" i="43" s="1"/>
  <c r="AS47" i="43" s="1"/>
  <c r="AS48" i="43" s="1"/>
  <c r="AS49" i="43" s="1"/>
  <c r="AS50" i="43" s="1"/>
  <c r="AS51" i="43" s="1"/>
  <c r="AS52" i="43" s="1"/>
  <c r="AS53" i="43" s="1"/>
  <c r="AS54" i="43" s="1"/>
  <c r="AS55" i="43" s="1"/>
  <c r="AS56" i="43" s="1"/>
  <c r="AS57" i="43" s="1"/>
  <c r="AS58" i="43" s="1"/>
  <c r="AS59" i="43" s="1"/>
  <c r="AS60" i="43" s="1"/>
  <c r="AS61" i="43" s="1"/>
  <c r="AS62" i="43" s="1"/>
  <c r="AS63" i="43" s="1"/>
  <c r="AS64" i="43" s="1"/>
  <c r="AS65" i="43" s="1"/>
  <c r="AS66" i="43" s="1"/>
  <c r="AS67" i="43" s="1"/>
  <c r="AS68" i="43" s="1"/>
  <c r="AS69" i="43" s="1"/>
  <c r="AS70" i="43" s="1"/>
  <c r="AS71" i="43" s="1"/>
  <c r="AS72" i="43" s="1"/>
  <c r="AS73" i="43" s="1"/>
  <c r="AS74" i="43" s="1"/>
  <c r="AS75" i="43" s="1"/>
  <c r="AS76" i="43" s="1"/>
  <c r="AS77" i="43" s="1"/>
  <c r="AS78" i="43" s="1"/>
  <c r="AS79" i="43" s="1"/>
  <c r="AS80" i="43" s="1"/>
  <c r="AS81" i="43" s="1"/>
  <c r="AS82" i="43" s="1"/>
  <c r="AS83" i="43" s="1"/>
  <c r="AS84" i="43" s="1"/>
  <c r="AS85" i="43" s="1"/>
  <c r="AS86" i="43" s="1"/>
  <c r="AS87" i="43" s="1"/>
  <c r="AS88" i="43" s="1"/>
  <c r="AS89" i="43" s="1"/>
  <c r="AS90" i="43" s="1"/>
  <c r="AS91" i="43" s="1"/>
  <c r="AS92" i="43" s="1"/>
  <c r="AS93" i="43" s="1"/>
  <c r="AS94" i="43" s="1"/>
  <c r="AS95" i="43" s="1"/>
  <c r="AS96" i="43" s="1"/>
  <c r="AS97" i="43" s="1"/>
  <c r="AS98" i="43" s="1"/>
  <c r="AS99" i="43" s="1"/>
  <c r="AS8" i="31"/>
  <c r="AS9" i="31" s="1"/>
  <c r="AS10" i="31" s="1"/>
  <c r="AS11" i="31" s="1"/>
  <c r="AS12" i="31" s="1"/>
  <c r="AS13" i="31" s="1"/>
  <c r="AS14" i="31" s="1"/>
  <c r="AS15" i="31" s="1"/>
  <c r="AS16" i="31" s="1"/>
  <c r="AS17" i="31" s="1"/>
  <c r="AS18" i="31" s="1"/>
  <c r="AS19" i="31" s="1"/>
  <c r="AS20" i="31" s="1"/>
  <c r="AS21" i="31" s="1"/>
  <c r="AS22" i="31" s="1"/>
  <c r="AS23" i="31" s="1"/>
  <c r="AS24" i="31" s="1"/>
  <c r="AS25" i="31" s="1"/>
  <c r="AS26" i="31" s="1"/>
  <c r="AS27" i="31" s="1"/>
  <c r="AS28" i="31" s="1"/>
  <c r="AS29" i="31" s="1"/>
  <c r="AS30" i="31" s="1"/>
  <c r="AS31" i="31" s="1"/>
  <c r="AS32" i="31" s="1"/>
  <c r="AS33" i="31" s="1"/>
  <c r="AS34" i="31" s="1"/>
  <c r="AS35" i="31" s="1"/>
  <c r="AS36" i="31" s="1"/>
  <c r="AS37" i="31" s="1"/>
  <c r="AS38" i="31" s="1"/>
  <c r="AS39" i="31" s="1"/>
  <c r="AS40" i="31" s="1"/>
  <c r="AS41" i="31" s="1"/>
  <c r="AS42" i="31" s="1"/>
  <c r="AS43" i="31" s="1"/>
  <c r="AS44" i="31" s="1"/>
  <c r="AS45" i="31" s="1"/>
  <c r="AS46" i="31" s="1"/>
  <c r="AS47" i="31" s="1"/>
  <c r="AS48" i="31" s="1"/>
  <c r="AS49" i="31" s="1"/>
  <c r="AS50" i="31" s="1"/>
  <c r="AS51" i="31" s="1"/>
  <c r="AS52" i="31" s="1"/>
  <c r="AS53" i="31" s="1"/>
  <c r="AS54" i="31" s="1"/>
  <c r="AS55" i="31" s="1"/>
  <c r="AS56" i="31" s="1"/>
  <c r="AS57" i="31" s="1"/>
  <c r="AS58" i="31" s="1"/>
  <c r="AS59" i="31" s="1"/>
  <c r="AS60" i="31" s="1"/>
  <c r="AS61" i="31" s="1"/>
  <c r="AS62" i="31" s="1"/>
  <c r="AS63" i="31" s="1"/>
  <c r="AS64" i="31" s="1"/>
  <c r="AS65" i="31" s="1"/>
  <c r="AS66" i="31" s="1"/>
  <c r="AS67" i="31" s="1"/>
  <c r="AS68" i="31" s="1"/>
  <c r="AS69" i="31" s="1"/>
  <c r="AS70" i="31" s="1"/>
  <c r="AS71" i="31" s="1"/>
  <c r="AS72" i="31" s="1"/>
  <c r="AS73" i="31" s="1"/>
  <c r="AS74" i="31" s="1"/>
  <c r="AS75" i="31" s="1"/>
  <c r="AS76" i="31" s="1"/>
  <c r="AS77" i="31" s="1"/>
  <c r="AS78" i="31" s="1"/>
  <c r="AS79" i="31" s="1"/>
  <c r="AS80" i="31" s="1"/>
  <c r="AS81" i="31" s="1"/>
  <c r="AS82" i="31" s="1"/>
  <c r="AS83" i="31" s="1"/>
  <c r="AS84" i="31" s="1"/>
  <c r="AS85" i="31" s="1"/>
  <c r="AS86" i="31" s="1"/>
  <c r="AS87" i="31" s="1"/>
  <c r="AS88" i="31" s="1"/>
  <c r="AS89" i="31" s="1"/>
  <c r="AS90" i="31" s="1"/>
  <c r="AS91" i="31" s="1"/>
  <c r="AS92" i="31" s="1"/>
  <c r="AS93" i="31" s="1"/>
  <c r="AS94" i="31" s="1"/>
  <c r="AS95" i="31" s="1"/>
  <c r="AS96" i="31" s="1"/>
  <c r="AS97" i="31" s="1"/>
  <c r="AS98" i="31" s="1"/>
  <c r="AS99" i="31" s="1"/>
  <c r="AS100" i="31" s="1"/>
  <c r="AS101" i="31" s="1"/>
  <c r="AS102" i="31" s="1"/>
  <c r="AS103" i="31" s="1"/>
  <c r="AS104" i="31" s="1"/>
  <c r="AS105" i="31" s="1"/>
  <c r="AS106" i="31" s="1"/>
  <c r="AS107" i="31" s="1"/>
  <c r="AS108" i="31" s="1"/>
  <c r="AS109" i="31" s="1"/>
  <c r="AS110" i="31" s="1"/>
  <c r="AS111" i="31" s="1"/>
  <c r="AS112" i="31" s="1"/>
  <c r="AS113" i="31" s="1"/>
  <c r="AS114" i="31" s="1"/>
  <c r="AS115" i="31" s="1"/>
  <c r="AS116" i="31" s="1"/>
  <c r="AS117" i="31" s="1"/>
  <c r="AS118" i="31" s="1"/>
  <c r="AS119" i="31" s="1"/>
  <c r="AS120" i="31" s="1"/>
  <c r="AS121" i="31" s="1"/>
  <c r="AS122" i="31" s="1"/>
  <c r="AS123" i="31" s="1"/>
  <c r="AS124" i="31" s="1"/>
  <c r="AS125" i="31" s="1"/>
  <c r="AS126" i="31" s="1"/>
  <c r="AS127" i="31" s="1"/>
  <c r="AS128" i="31" s="1"/>
  <c r="AS129" i="31" s="1"/>
  <c r="AS130" i="31" s="1"/>
  <c r="AS131" i="31" s="1"/>
  <c r="AS132" i="31" s="1"/>
  <c r="AS133" i="31" s="1"/>
  <c r="AS134" i="31" s="1"/>
  <c r="AS135" i="31" s="1"/>
  <c r="AS136" i="31" s="1"/>
  <c r="AS137" i="31" s="1"/>
  <c r="AS138" i="31" s="1"/>
  <c r="AS139" i="31" s="1"/>
  <c r="AS140" i="31" s="1"/>
  <c r="AS141" i="31" s="1"/>
  <c r="AS142" i="31" s="1"/>
  <c r="AS143" i="31" s="1"/>
  <c r="AS144" i="31" s="1"/>
  <c r="AS145" i="31" s="1"/>
  <c r="AS146" i="31" s="1"/>
  <c r="AS147" i="31" s="1"/>
  <c r="AS148" i="31" s="1"/>
  <c r="AS149" i="31" s="1"/>
  <c r="AS150" i="31" s="1"/>
  <c r="AS151" i="31" s="1"/>
  <c r="AS152" i="31" s="1"/>
  <c r="AS153" i="31" s="1"/>
  <c r="AS154" i="31" s="1"/>
  <c r="AS155" i="31" s="1"/>
  <c r="AS156" i="31" s="1"/>
  <c r="AS157" i="31" s="1"/>
  <c r="AS158" i="31" s="1"/>
  <c r="AS159" i="31" s="1"/>
  <c r="AS160" i="31" s="1"/>
  <c r="AS161" i="31" s="1"/>
  <c r="AS162" i="31" s="1"/>
  <c r="AS163" i="31" s="1"/>
  <c r="AS164" i="31" s="1"/>
  <c r="AS165" i="31" s="1"/>
  <c r="AS166" i="31" s="1"/>
  <c r="AS167" i="31" s="1"/>
  <c r="AS168" i="31" s="1"/>
  <c r="AS169" i="31" s="1"/>
  <c r="AS170" i="31" s="1"/>
  <c r="AS171" i="31" s="1"/>
  <c r="AS172" i="31" s="1"/>
  <c r="AS173" i="31" s="1"/>
  <c r="AS174" i="31" s="1"/>
  <c r="AS175" i="31" s="1"/>
  <c r="AS176" i="31" s="1"/>
  <c r="AS177" i="31" s="1"/>
  <c r="AS178" i="31" s="1"/>
  <c r="AS179" i="31" s="1"/>
  <c r="AS180" i="31" s="1"/>
  <c r="AS181" i="31" s="1"/>
  <c r="AS182" i="31" s="1"/>
  <c r="AS183" i="31" s="1"/>
  <c r="AS184" i="31" s="1"/>
  <c r="AS185" i="31" s="1"/>
  <c r="AS186" i="31" s="1"/>
  <c r="AS187" i="31" s="1"/>
  <c r="AS188" i="31" s="1"/>
  <c r="AS189" i="31" s="1"/>
  <c r="AS190" i="31" s="1"/>
  <c r="AS191" i="31" s="1"/>
  <c r="AS192" i="31" s="1"/>
  <c r="AS193" i="31" s="1"/>
  <c r="AS194" i="31" s="1"/>
  <c r="AS195" i="31" s="1"/>
  <c r="AS196" i="31" s="1"/>
  <c r="AS197" i="31" s="1"/>
  <c r="AS198" i="31" s="1"/>
  <c r="AS199" i="31" s="1"/>
  <c r="AS200" i="31" s="1"/>
  <c r="AS201" i="31" s="1"/>
  <c r="AS202" i="31" s="1"/>
  <c r="AS203" i="31" s="1"/>
  <c r="AS204" i="31" s="1"/>
  <c r="AS205" i="31" s="1"/>
  <c r="AS206" i="31" s="1"/>
  <c r="AS207" i="31" s="1"/>
  <c r="AS208" i="31" s="1"/>
  <c r="AS209" i="31" s="1"/>
  <c r="AS210" i="31" s="1"/>
  <c r="AS211" i="31" s="1"/>
  <c r="AS212" i="31" s="1"/>
  <c r="AS213" i="31" s="1"/>
  <c r="AS214" i="31" s="1"/>
  <c r="AS215" i="31" s="1"/>
  <c r="AS216" i="31" s="1"/>
  <c r="AS217" i="31" s="1"/>
  <c r="AS218" i="31" s="1"/>
  <c r="AS219" i="31" s="1"/>
  <c r="AS220" i="31" s="1"/>
  <c r="AS221" i="31" s="1"/>
  <c r="AS222" i="31" s="1"/>
  <c r="AS223" i="31" s="1"/>
  <c r="AS224" i="31" s="1"/>
  <c r="AS225" i="31" s="1"/>
  <c r="AS226" i="31" s="1"/>
  <c r="AS227" i="31" s="1"/>
  <c r="AS228" i="31" s="1"/>
  <c r="AS229" i="31" s="1"/>
  <c r="AS230" i="31" s="1"/>
  <c r="AS231" i="31" s="1"/>
  <c r="AS232" i="31" s="1"/>
  <c r="AS233" i="31" s="1"/>
  <c r="AS234" i="31" s="1"/>
  <c r="AS235" i="31" s="1"/>
  <c r="AS236" i="31" s="1"/>
  <c r="AS237" i="31" s="1"/>
  <c r="AS238" i="31" s="1"/>
  <c r="AS239" i="31" s="1"/>
  <c r="AS240" i="31" s="1"/>
  <c r="AS241" i="31" s="1"/>
  <c r="AS242" i="31" s="1"/>
  <c r="AS243" i="31" s="1"/>
  <c r="AS244" i="31" s="1"/>
  <c r="AS245" i="31" s="1"/>
  <c r="AS246" i="31" s="1"/>
  <c r="AS247" i="31" s="1"/>
  <c r="AS248" i="31" s="1"/>
  <c r="AS249" i="31" s="1"/>
  <c r="AS250" i="31" s="1"/>
  <c r="AS251" i="31" s="1"/>
  <c r="AS252" i="31" s="1"/>
  <c r="AS253" i="31" s="1"/>
  <c r="AS254" i="31" s="1"/>
  <c r="AS255" i="31" s="1"/>
  <c r="AS256" i="31" s="1"/>
  <c r="AS257" i="31" s="1"/>
  <c r="AS258" i="31" s="1"/>
  <c r="AS259" i="31" s="1"/>
  <c r="AS260" i="31" s="1"/>
  <c r="AS261" i="31" s="1"/>
  <c r="AS262" i="31" s="1"/>
  <c r="AS263" i="31" s="1"/>
  <c r="AS264" i="31" s="1"/>
  <c r="AS265" i="31" s="1"/>
  <c r="AS266" i="31" s="1"/>
  <c r="AS267" i="31" s="1"/>
  <c r="AS268" i="31" s="1"/>
  <c r="AS269" i="31" s="1"/>
  <c r="AS270" i="31" s="1"/>
  <c r="AS271" i="31" s="1"/>
  <c r="AS272" i="31" s="1"/>
  <c r="AS273" i="31" s="1"/>
  <c r="AS274" i="31" s="1"/>
  <c r="AS275" i="31" s="1"/>
  <c r="AS276" i="31" s="1"/>
  <c r="AS277" i="31" s="1"/>
  <c r="AS278" i="31" s="1"/>
  <c r="AS279" i="31" s="1"/>
  <c r="AS280" i="31" s="1"/>
  <c r="AS281" i="31" s="1"/>
  <c r="AS282" i="31" s="1"/>
  <c r="AS283" i="31" s="1"/>
  <c r="AS284" i="31" s="1"/>
  <c r="AS285" i="31" s="1"/>
  <c r="AS286" i="31" s="1"/>
  <c r="AS287" i="31" s="1"/>
  <c r="AS288" i="31" s="1"/>
  <c r="AS289" i="31" s="1"/>
  <c r="AS290" i="31" s="1"/>
  <c r="AS291" i="31" s="1"/>
  <c r="AS292" i="31" s="1"/>
  <c r="AS293" i="31" s="1"/>
  <c r="AS294" i="31" s="1"/>
  <c r="AS295" i="31" s="1"/>
  <c r="AS296" i="31" s="1"/>
  <c r="AS297" i="31" s="1"/>
  <c r="AS298" i="31" s="1"/>
  <c r="AS299" i="31" s="1"/>
  <c r="AS300" i="31" s="1"/>
  <c r="AS301" i="31" s="1"/>
  <c r="AS302" i="31" s="1"/>
  <c r="AS303" i="31" s="1"/>
  <c r="AS304" i="31" s="1"/>
  <c r="AS305" i="31" s="1"/>
  <c r="AS306" i="31" s="1"/>
  <c r="AS307" i="31" s="1"/>
  <c r="AS308" i="31" s="1"/>
  <c r="AS309" i="31" s="1"/>
  <c r="AS310" i="31" s="1"/>
  <c r="AS311" i="31" s="1"/>
  <c r="AS312" i="31" s="1"/>
  <c r="AS313" i="31" s="1"/>
  <c r="AS314" i="31" s="1"/>
  <c r="AS315" i="31" s="1"/>
  <c r="AS316" i="31" s="1"/>
  <c r="AS317" i="31" s="1"/>
  <c r="AS318" i="31" s="1"/>
  <c r="AS319" i="31" s="1"/>
  <c r="AS320" i="31" s="1"/>
  <c r="AS321" i="31" s="1"/>
  <c r="AS322" i="31" s="1"/>
  <c r="AS323" i="31" s="1"/>
  <c r="AS324" i="31" s="1"/>
  <c r="AS325" i="31" s="1"/>
  <c r="AS326" i="31" s="1"/>
  <c r="AS327" i="31" s="1"/>
  <c r="AS328" i="31" s="1"/>
  <c r="AS329" i="31" s="1"/>
  <c r="AS330" i="31" s="1"/>
  <c r="AS331" i="31" s="1"/>
  <c r="AS332" i="31" s="1"/>
  <c r="AS333" i="31" s="1"/>
  <c r="AS334" i="31" s="1"/>
  <c r="AS335" i="31" s="1"/>
  <c r="AS336" i="31" s="1"/>
  <c r="AS337" i="31" s="1"/>
  <c r="AS338" i="31" s="1"/>
  <c r="AS339" i="31" s="1"/>
  <c r="AS340" i="31" s="1"/>
  <c r="AS341" i="31" s="1"/>
  <c r="AS342" i="31" s="1"/>
  <c r="AS343" i="31" s="1"/>
  <c r="AS344" i="31" s="1"/>
  <c r="AS345" i="31" s="1"/>
  <c r="AS346" i="31" s="1"/>
  <c r="AS347" i="31" s="1"/>
  <c r="AS348" i="31" s="1"/>
  <c r="AS349" i="31" s="1"/>
  <c r="AS350" i="31" s="1"/>
  <c r="AS351" i="31" s="1"/>
  <c r="AS352" i="31" s="1"/>
  <c r="AS353" i="31" s="1"/>
  <c r="AS354" i="31" s="1"/>
  <c r="AS355" i="31" s="1"/>
  <c r="AS356" i="31" s="1"/>
  <c r="AS357" i="31" s="1"/>
  <c r="AS358" i="31" s="1"/>
  <c r="AS359" i="31" s="1"/>
  <c r="AS360" i="31" s="1"/>
  <c r="AS361" i="31" s="1"/>
  <c r="AS362" i="31" s="1"/>
  <c r="AS363" i="31" s="1"/>
  <c r="AS364" i="31" s="1"/>
  <c r="AS365" i="31" s="1"/>
  <c r="AS366" i="31" s="1"/>
  <c r="AS367" i="31" s="1"/>
  <c r="AT7" i="31"/>
  <c r="AS100" i="43" l="1"/>
  <c r="AS101" i="42"/>
  <c r="C8" i="2"/>
  <c r="D18" i="2" l="1"/>
  <c r="C18" i="2"/>
  <c r="D4" i="35" s="1"/>
  <c r="AS101" i="43"/>
  <c r="AS102" i="42"/>
  <c r="C11" i="2"/>
  <c r="C9" i="2"/>
  <c r="C10" i="2"/>
  <c r="D6" i="35" l="1"/>
  <c r="U8" i="43"/>
  <c r="U16" i="43"/>
  <c r="U24" i="43"/>
  <c r="U32" i="43"/>
  <c r="U40" i="43"/>
  <c r="U48" i="43"/>
  <c r="U64" i="43"/>
  <c r="U72" i="43"/>
  <c r="U80" i="43"/>
  <c r="U88" i="43"/>
  <c r="U96" i="43"/>
  <c r="U112" i="43"/>
  <c r="U120" i="43"/>
  <c r="U136" i="43"/>
  <c r="U152" i="43"/>
  <c r="U176" i="43"/>
  <c r="U192" i="43"/>
  <c r="U208" i="43"/>
  <c r="U224" i="43"/>
  <c r="U240" i="43"/>
  <c r="U256" i="43"/>
  <c r="U272" i="43"/>
  <c r="U288" i="43"/>
  <c r="U304" i="43"/>
  <c r="U328" i="43"/>
  <c r="U344" i="43"/>
  <c r="U360" i="43"/>
  <c r="U301" i="43"/>
  <c r="U349" i="43"/>
  <c r="U30" i="43"/>
  <c r="U86" i="43"/>
  <c r="U110" i="43"/>
  <c r="U150" i="43"/>
  <c r="U214" i="43"/>
  <c r="U262" i="43"/>
  <c r="U302" i="43"/>
  <c r="U342" i="43"/>
  <c r="U9" i="43"/>
  <c r="U17" i="43"/>
  <c r="U25" i="43"/>
  <c r="U33" i="43"/>
  <c r="U41" i="43"/>
  <c r="U49" i="43"/>
  <c r="U57" i="43"/>
  <c r="U65" i="43"/>
  <c r="U73" i="43"/>
  <c r="U81" i="43"/>
  <c r="U89" i="43"/>
  <c r="U97" i="43"/>
  <c r="U105" i="43"/>
  <c r="U113" i="43"/>
  <c r="U121" i="43"/>
  <c r="U129" i="43"/>
  <c r="U137" i="43"/>
  <c r="U145" i="43"/>
  <c r="U153" i="43"/>
  <c r="U161" i="43"/>
  <c r="U169" i="43"/>
  <c r="U177" i="43"/>
  <c r="U185" i="43"/>
  <c r="U193" i="43"/>
  <c r="U201" i="43"/>
  <c r="U209" i="43"/>
  <c r="U217" i="43"/>
  <c r="U225" i="43"/>
  <c r="U233" i="43"/>
  <c r="U241" i="43"/>
  <c r="U249" i="43"/>
  <c r="U257" i="43"/>
  <c r="U265" i="43"/>
  <c r="U273" i="43"/>
  <c r="U281" i="43"/>
  <c r="U289" i="43"/>
  <c r="U297" i="43"/>
  <c r="U305" i="43"/>
  <c r="U313" i="43"/>
  <c r="U321" i="43"/>
  <c r="U329" i="43"/>
  <c r="U337" i="43"/>
  <c r="U345" i="43"/>
  <c r="U353" i="43"/>
  <c r="U361" i="43"/>
  <c r="U84" i="43"/>
  <c r="U108" i="43"/>
  <c r="U140" i="43"/>
  <c r="U172" i="43"/>
  <c r="U196" i="43"/>
  <c r="U220" i="43"/>
  <c r="U244" i="43"/>
  <c r="U276" i="43"/>
  <c r="U300" i="43"/>
  <c r="U332" i="43"/>
  <c r="U364" i="43"/>
  <c r="U21" i="43"/>
  <c r="U45" i="43"/>
  <c r="U61" i="43"/>
  <c r="U93" i="43"/>
  <c r="U125" i="43"/>
  <c r="U165" i="43"/>
  <c r="U197" i="43"/>
  <c r="U229" i="43"/>
  <c r="U269" i="43"/>
  <c r="U309" i="43"/>
  <c r="U357" i="43"/>
  <c r="U46" i="43"/>
  <c r="U70" i="43"/>
  <c r="U118" i="43"/>
  <c r="U166" i="43"/>
  <c r="U206" i="43"/>
  <c r="U254" i="43"/>
  <c r="U310" i="43"/>
  <c r="U350" i="43"/>
  <c r="U10" i="43"/>
  <c r="U18" i="43"/>
  <c r="U26" i="43"/>
  <c r="U34" i="43"/>
  <c r="U42" i="43"/>
  <c r="U50" i="43"/>
  <c r="U58" i="43"/>
  <c r="U66" i="43"/>
  <c r="U74" i="43"/>
  <c r="U82" i="43"/>
  <c r="U90" i="43"/>
  <c r="U98" i="43"/>
  <c r="U106" i="43"/>
  <c r="U114" i="43"/>
  <c r="U122" i="43"/>
  <c r="U130" i="43"/>
  <c r="U138" i="43"/>
  <c r="U146" i="43"/>
  <c r="U154" i="43"/>
  <c r="U162" i="43"/>
  <c r="U170" i="43"/>
  <c r="U178" i="43"/>
  <c r="U186" i="43"/>
  <c r="U194" i="43"/>
  <c r="U202" i="43"/>
  <c r="U210" i="43"/>
  <c r="U218" i="43"/>
  <c r="U226" i="43"/>
  <c r="U234" i="43"/>
  <c r="U242" i="43"/>
  <c r="U250" i="43"/>
  <c r="U258" i="43"/>
  <c r="U266" i="43"/>
  <c r="U274" i="43"/>
  <c r="U282" i="43"/>
  <c r="U290" i="43"/>
  <c r="U298" i="43"/>
  <c r="U306" i="43"/>
  <c r="U314" i="43"/>
  <c r="U322" i="43"/>
  <c r="U330" i="43"/>
  <c r="U338" i="43"/>
  <c r="U346" i="43"/>
  <c r="U354" i="43"/>
  <c r="U362" i="43"/>
  <c r="U68" i="43"/>
  <c r="U116" i="43"/>
  <c r="U148" i="43"/>
  <c r="U180" i="43"/>
  <c r="U204" i="43"/>
  <c r="U236" i="43"/>
  <c r="U252" i="43"/>
  <c r="U284" i="43"/>
  <c r="U316" i="43"/>
  <c r="U340" i="43"/>
  <c r="U13" i="43"/>
  <c r="U53" i="43"/>
  <c r="U69" i="43"/>
  <c r="U101" i="43"/>
  <c r="U133" i="43"/>
  <c r="U157" i="43"/>
  <c r="U181" i="43"/>
  <c r="U213" i="43"/>
  <c r="U245" i="43"/>
  <c r="U285" i="43"/>
  <c r="U325" i="43"/>
  <c r="U14" i="43"/>
  <c r="U62" i="43"/>
  <c r="U94" i="43"/>
  <c r="U142" i="43"/>
  <c r="U190" i="43"/>
  <c r="U230" i="43"/>
  <c r="U278" i="43"/>
  <c r="U326" i="43"/>
  <c r="U366" i="43"/>
  <c r="U11" i="43"/>
  <c r="U19" i="43"/>
  <c r="U27" i="43"/>
  <c r="U35" i="43"/>
  <c r="U43" i="43"/>
  <c r="U51" i="43"/>
  <c r="U59" i="43"/>
  <c r="U67" i="43"/>
  <c r="U75" i="43"/>
  <c r="U83" i="43"/>
  <c r="U91" i="43"/>
  <c r="U99" i="43"/>
  <c r="U107" i="43"/>
  <c r="U115" i="43"/>
  <c r="U123" i="43"/>
  <c r="U131" i="43"/>
  <c r="U139" i="43"/>
  <c r="U147" i="43"/>
  <c r="U155" i="43"/>
  <c r="U163" i="43"/>
  <c r="U171" i="43"/>
  <c r="U179" i="43"/>
  <c r="U187" i="43"/>
  <c r="U195" i="43"/>
  <c r="U203" i="43"/>
  <c r="U211" i="43"/>
  <c r="U219" i="43"/>
  <c r="U227" i="43"/>
  <c r="U235" i="43"/>
  <c r="U243" i="43"/>
  <c r="U251" i="43"/>
  <c r="U259" i="43"/>
  <c r="U267" i="43"/>
  <c r="U275" i="43"/>
  <c r="U283" i="43"/>
  <c r="U291" i="43"/>
  <c r="U299" i="43"/>
  <c r="U307" i="43"/>
  <c r="U315" i="43"/>
  <c r="U323" i="43"/>
  <c r="U331" i="43"/>
  <c r="U339" i="43"/>
  <c r="U347" i="43"/>
  <c r="U355" i="43"/>
  <c r="U363" i="43"/>
  <c r="U60" i="43"/>
  <c r="U124" i="43"/>
  <c r="U156" i="43"/>
  <c r="U188" i="43"/>
  <c r="U228" i="43"/>
  <c r="U260" i="43"/>
  <c r="U292" i="43"/>
  <c r="U324" i="43"/>
  <c r="U356" i="43"/>
  <c r="U29" i="43"/>
  <c r="U77" i="43"/>
  <c r="U117" i="43"/>
  <c r="U149" i="43"/>
  <c r="U189" i="43"/>
  <c r="U221" i="43"/>
  <c r="U261" i="43"/>
  <c r="U317" i="43"/>
  <c r="U365" i="43"/>
  <c r="U54" i="43"/>
  <c r="U134" i="43"/>
  <c r="U182" i="43"/>
  <c r="U222" i="43"/>
  <c r="U270" i="43"/>
  <c r="U318" i="43"/>
  <c r="U12" i="43"/>
  <c r="U20" i="43"/>
  <c r="U28" i="43"/>
  <c r="U36" i="43"/>
  <c r="U44" i="43"/>
  <c r="U52" i="43"/>
  <c r="U76" i="43"/>
  <c r="U92" i="43"/>
  <c r="U100" i="43"/>
  <c r="U132" i="43"/>
  <c r="U164" i="43"/>
  <c r="U212" i="43"/>
  <c r="U268" i="43"/>
  <c r="U308" i="43"/>
  <c r="U348" i="43"/>
  <c r="U37" i="43"/>
  <c r="U85" i="43"/>
  <c r="U109" i="43"/>
  <c r="U141" i="43"/>
  <c r="U173" i="43"/>
  <c r="U205" i="43"/>
  <c r="U237" i="43"/>
  <c r="U253" i="43"/>
  <c r="U293" i="43"/>
  <c r="U341" i="43"/>
  <c r="U38" i="43"/>
  <c r="U78" i="43"/>
  <c r="U102" i="43"/>
  <c r="U158" i="43"/>
  <c r="U198" i="43"/>
  <c r="U246" i="43"/>
  <c r="U294" i="43"/>
  <c r="U334" i="43"/>
  <c r="U15" i="43"/>
  <c r="U23" i="43"/>
  <c r="U31" i="43"/>
  <c r="U39" i="43"/>
  <c r="U47" i="43"/>
  <c r="U55" i="43"/>
  <c r="U63" i="43"/>
  <c r="U71" i="43"/>
  <c r="U79" i="43"/>
  <c r="U87" i="43"/>
  <c r="U95" i="43"/>
  <c r="U103" i="43"/>
  <c r="U111" i="43"/>
  <c r="U119" i="43"/>
  <c r="U127" i="43"/>
  <c r="U135" i="43"/>
  <c r="U143" i="43"/>
  <c r="U151" i="43"/>
  <c r="U159" i="43"/>
  <c r="U167" i="43"/>
  <c r="U175" i="43"/>
  <c r="U183" i="43"/>
  <c r="U191" i="43"/>
  <c r="U199" i="43"/>
  <c r="U207" i="43"/>
  <c r="U215" i="43"/>
  <c r="U223" i="43"/>
  <c r="U231" i="43"/>
  <c r="U239" i="43"/>
  <c r="U247" i="43"/>
  <c r="U255" i="43"/>
  <c r="U263" i="43"/>
  <c r="U271" i="43"/>
  <c r="U279" i="43"/>
  <c r="U287" i="43"/>
  <c r="U295" i="43"/>
  <c r="U303" i="43"/>
  <c r="U311" i="43"/>
  <c r="U319" i="43"/>
  <c r="U327" i="43"/>
  <c r="U335" i="43"/>
  <c r="U343" i="43"/>
  <c r="U351" i="43"/>
  <c r="U359" i="43"/>
  <c r="U367" i="43"/>
  <c r="U56" i="43"/>
  <c r="U104" i="43"/>
  <c r="U128" i="43"/>
  <c r="U144" i="43"/>
  <c r="U160" i="43"/>
  <c r="U168" i="43"/>
  <c r="U184" i="43"/>
  <c r="U200" i="43"/>
  <c r="U216" i="43"/>
  <c r="U232" i="43"/>
  <c r="U248" i="43"/>
  <c r="U264" i="43"/>
  <c r="U280" i="43"/>
  <c r="U296" i="43"/>
  <c r="U312" i="43"/>
  <c r="U320" i="43"/>
  <c r="U336" i="43"/>
  <c r="U352" i="43"/>
  <c r="U277" i="43"/>
  <c r="U333" i="43"/>
  <c r="U22" i="43"/>
  <c r="U126" i="43"/>
  <c r="U174" i="43"/>
  <c r="U238" i="43"/>
  <c r="U286" i="43"/>
  <c r="U358" i="43"/>
  <c r="U7" i="42"/>
  <c r="U7" i="43"/>
  <c r="U7" i="31"/>
  <c r="U8" i="31"/>
  <c r="U16" i="31"/>
  <c r="U24" i="31"/>
  <c r="U32" i="31"/>
  <c r="U40" i="31"/>
  <c r="U48" i="31"/>
  <c r="U56" i="31"/>
  <c r="U64" i="31"/>
  <c r="U72" i="31"/>
  <c r="U80" i="31"/>
  <c r="U88" i="31"/>
  <c r="U96" i="31"/>
  <c r="U104" i="31"/>
  <c r="U112" i="31"/>
  <c r="U120" i="31"/>
  <c r="U128" i="31"/>
  <c r="U136" i="31"/>
  <c r="U144" i="31"/>
  <c r="U152" i="31"/>
  <c r="U160" i="31"/>
  <c r="U168" i="31"/>
  <c r="U176" i="31"/>
  <c r="U184" i="31"/>
  <c r="U192" i="31"/>
  <c r="U200" i="31"/>
  <c r="U208" i="31"/>
  <c r="U216" i="31"/>
  <c r="U224" i="31"/>
  <c r="U232" i="31"/>
  <c r="U240" i="31"/>
  <c r="U248" i="31"/>
  <c r="U256" i="31"/>
  <c r="U264" i="31"/>
  <c r="U272" i="31"/>
  <c r="U280" i="31"/>
  <c r="U288" i="31"/>
  <c r="U296" i="31"/>
  <c r="U304" i="31"/>
  <c r="U312" i="31"/>
  <c r="U320" i="31"/>
  <c r="U328" i="31"/>
  <c r="U336" i="31"/>
  <c r="U344" i="31"/>
  <c r="U352" i="31"/>
  <c r="U360" i="31"/>
  <c r="U23" i="31"/>
  <c r="U95" i="31"/>
  <c r="U151" i="31"/>
  <c r="U207" i="31"/>
  <c r="U263" i="31"/>
  <c r="U319" i="31"/>
  <c r="U9" i="31"/>
  <c r="U17" i="31"/>
  <c r="U25" i="31"/>
  <c r="U33" i="31"/>
  <c r="U41" i="31"/>
  <c r="U49" i="31"/>
  <c r="U57" i="31"/>
  <c r="U65" i="31"/>
  <c r="U73" i="31"/>
  <c r="U81" i="31"/>
  <c r="U89" i="31"/>
  <c r="U97" i="31"/>
  <c r="U105" i="31"/>
  <c r="U113" i="31"/>
  <c r="U121" i="31"/>
  <c r="U129" i="31"/>
  <c r="U137" i="31"/>
  <c r="U145" i="31"/>
  <c r="U153" i="31"/>
  <c r="U161" i="31"/>
  <c r="U169" i="31"/>
  <c r="U177" i="31"/>
  <c r="U185" i="31"/>
  <c r="U193" i="31"/>
  <c r="U201" i="31"/>
  <c r="U209" i="31"/>
  <c r="U217" i="31"/>
  <c r="U225" i="31"/>
  <c r="U233" i="31"/>
  <c r="U241" i="31"/>
  <c r="U249" i="31"/>
  <c r="U257" i="31"/>
  <c r="U265" i="31"/>
  <c r="U273" i="31"/>
  <c r="U281" i="31"/>
  <c r="U289" i="31"/>
  <c r="U297" i="31"/>
  <c r="U305" i="31"/>
  <c r="U313" i="31"/>
  <c r="U321" i="31"/>
  <c r="U329" i="31"/>
  <c r="U337" i="31"/>
  <c r="U345" i="31"/>
  <c r="U353" i="31"/>
  <c r="U361" i="31"/>
  <c r="U47" i="31"/>
  <c r="U111" i="31"/>
  <c r="U167" i="31"/>
  <c r="U223" i="31"/>
  <c r="U271" i="31"/>
  <c r="U335" i="31"/>
  <c r="U10" i="31"/>
  <c r="U18" i="31"/>
  <c r="U26" i="31"/>
  <c r="U34" i="31"/>
  <c r="U42" i="31"/>
  <c r="U50" i="31"/>
  <c r="U58" i="31"/>
  <c r="U66" i="31"/>
  <c r="U74" i="31"/>
  <c r="U82" i="31"/>
  <c r="U90" i="31"/>
  <c r="U98" i="31"/>
  <c r="U106" i="31"/>
  <c r="U114" i="31"/>
  <c r="U122" i="31"/>
  <c r="U130" i="31"/>
  <c r="U138" i="31"/>
  <c r="U146" i="31"/>
  <c r="U154" i="31"/>
  <c r="U162" i="31"/>
  <c r="U170" i="31"/>
  <c r="U178" i="31"/>
  <c r="U186" i="31"/>
  <c r="U194" i="31"/>
  <c r="U202" i="31"/>
  <c r="U210" i="31"/>
  <c r="U218" i="31"/>
  <c r="U226" i="31"/>
  <c r="U234" i="31"/>
  <c r="U242" i="31"/>
  <c r="U250" i="31"/>
  <c r="U258" i="31"/>
  <c r="U266" i="31"/>
  <c r="U274" i="31"/>
  <c r="U282" i="31"/>
  <c r="U290" i="31"/>
  <c r="U298" i="31"/>
  <c r="U306" i="31"/>
  <c r="U314" i="31"/>
  <c r="U322" i="31"/>
  <c r="U330" i="31"/>
  <c r="U338" i="31"/>
  <c r="U346" i="31"/>
  <c r="U354" i="31"/>
  <c r="U362" i="31"/>
  <c r="U31" i="31"/>
  <c r="U79" i="31"/>
  <c r="U135" i="31"/>
  <c r="U191" i="31"/>
  <c r="U239" i="31"/>
  <c r="U303" i="31"/>
  <c r="U367" i="31"/>
  <c r="U11" i="31"/>
  <c r="U19" i="31"/>
  <c r="U27" i="31"/>
  <c r="U35" i="31"/>
  <c r="U43" i="31"/>
  <c r="U51" i="31"/>
  <c r="U59" i="31"/>
  <c r="U67" i="31"/>
  <c r="U75" i="31"/>
  <c r="U83" i="31"/>
  <c r="U91" i="31"/>
  <c r="U99" i="31"/>
  <c r="U107" i="31"/>
  <c r="U115" i="31"/>
  <c r="U123" i="31"/>
  <c r="U131" i="31"/>
  <c r="U139" i="31"/>
  <c r="U147" i="31"/>
  <c r="U155" i="31"/>
  <c r="U163" i="31"/>
  <c r="U171" i="31"/>
  <c r="U179" i="31"/>
  <c r="U187" i="31"/>
  <c r="U195" i="31"/>
  <c r="U203" i="31"/>
  <c r="U211" i="31"/>
  <c r="U219" i="31"/>
  <c r="U227" i="31"/>
  <c r="U235" i="31"/>
  <c r="U243" i="31"/>
  <c r="U251" i="31"/>
  <c r="U259" i="31"/>
  <c r="U267" i="31"/>
  <c r="U275" i="31"/>
  <c r="U283" i="31"/>
  <c r="U291" i="31"/>
  <c r="U299" i="31"/>
  <c r="U307" i="31"/>
  <c r="U315" i="31"/>
  <c r="U323" i="31"/>
  <c r="U331" i="31"/>
  <c r="U339" i="31"/>
  <c r="U347" i="31"/>
  <c r="U355" i="31"/>
  <c r="U363" i="31"/>
  <c r="U55" i="31"/>
  <c r="U119" i="31"/>
  <c r="U183" i="31"/>
  <c r="U247" i="31"/>
  <c r="U287" i="31"/>
  <c r="U343" i="31"/>
  <c r="U12" i="31"/>
  <c r="U20" i="31"/>
  <c r="U28" i="31"/>
  <c r="U36" i="31"/>
  <c r="U44" i="31"/>
  <c r="U52" i="31"/>
  <c r="U60" i="31"/>
  <c r="U68" i="31"/>
  <c r="U76" i="31"/>
  <c r="U84" i="31"/>
  <c r="U92" i="31"/>
  <c r="U100" i="31"/>
  <c r="U108" i="31"/>
  <c r="U116" i="31"/>
  <c r="U124" i="31"/>
  <c r="U132" i="31"/>
  <c r="U140" i="31"/>
  <c r="U148" i="31"/>
  <c r="U156" i="31"/>
  <c r="U164" i="31"/>
  <c r="U172" i="31"/>
  <c r="U180" i="31"/>
  <c r="U188" i="31"/>
  <c r="U196" i="31"/>
  <c r="U204" i="31"/>
  <c r="U212" i="31"/>
  <c r="U220" i="31"/>
  <c r="U228" i="31"/>
  <c r="U236" i="31"/>
  <c r="U244" i="31"/>
  <c r="U252" i="31"/>
  <c r="U260" i="31"/>
  <c r="U268" i="31"/>
  <c r="U276" i="31"/>
  <c r="U284" i="31"/>
  <c r="U292" i="31"/>
  <c r="U300" i="31"/>
  <c r="U308" i="31"/>
  <c r="U316" i="31"/>
  <c r="U324" i="31"/>
  <c r="U332" i="31"/>
  <c r="U340" i="31"/>
  <c r="U348" i="31"/>
  <c r="U356" i="31"/>
  <c r="U364" i="31"/>
  <c r="U63" i="31"/>
  <c r="U71" i="31"/>
  <c r="U127" i="31"/>
  <c r="U175" i="31"/>
  <c r="U231" i="31"/>
  <c r="U279" i="31"/>
  <c r="U327" i="31"/>
  <c r="U13" i="31"/>
  <c r="U21" i="31"/>
  <c r="U29" i="31"/>
  <c r="U37" i="31"/>
  <c r="U45" i="31"/>
  <c r="U53" i="31"/>
  <c r="U61" i="31"/>
  <c r="U69" i="31"/>
  <c r="U77" i="31"/>
  <c r="U85" i="31"/>
  <c r="U93" i="31"/>
  <c r="U101" i="31"/>
  <c r="U109" i="31"/>
  <c r="U117" i="31"/>
  <c r="U125" i="31"/>
  <c r="U133" i="31"/>
  <c r="U141" i="31"/>
  <c r="U149" i="31"/>
  <c r="U157" i="31"/>
  <c r="U165" i="31"/>
  <c r="U173" i="31"/>
  <c r="U181" i="31"/>
  <c r="U189" i="31"/>
  <c r="U197" i="31"/>
  <c r="U205" i="31"/>
  <c r="U213" i="31"/>
  <c r="U221" i="31"/>
  <c r="U229" i="31"/>
  <c r="U237" i="31"/>
  <c r="U245" i="31"/>
  <c r="U253" i="31"/>
  <c r="U261" i="31"/>
  <c r="U269" i="31"/>
  <c r="U277" i="31"/>
  <c r="U285" i="31"/>
  <c r="U293" i="31"/>
  <c r="U301" i="31"/>
  <c r="U309" i="31"/>
  <c r="U317" i="31"/>
  <c r="U325" i="31"/>
  <c r="U333" i="31"/>
  <c r="U341" i="31"/>
  <c r="U349" i="31"/>
  <c r="U357" i="31"/>
  <c r="U365" i="31"/>
  <c r="U39" i="31"/>
  <c r="U103" i="31"/>
  <c r="U159" i="31"/>
  <c r="U215" i="31"/>
  <c r="U295" i="31"/>
  <c r="U351" i="31"/>
  <c r="U14" i="31"/>
  <c r="U22" i="31"/>
  <c r="U30" i="31"/>
  <c r="U38" i="31"/>
  <c r="U46" i="31"/>
  <c r="U54" i="31"/>
  <c r="U62" i="31"/>
  <c r="U70" i="31"/>
  <c r="U78" i="31"/>
  <c r="U86" i="31"/>
  <c r="U94" i="31"/>
  <c r="U102" i="31"/>
  <c r="U110" i="31"/>
  <c r="U118" i="31"/>
  <c r="U126" i="31"/>
  <c r="U134" i="31"/>
  <c r="U142" i="31"/>
  <c r="U150" i="31"/>
  <c r="U158" i="31"/>
  <c r="U166" i="31"/>
  <c r="U174" i="31"/>
  <c r="U182" i="31"/>
  <c r="U190" i="31"/>
  <c r="U198" i="31"/>
  <c r="U206" i="31"/>
  <c r="U214" i="31"/>
  <c r="U222" i="31"/>
  <c r="U230" i="31"/>
  <c r="U238" i="31"/>
  <c r="U246" i="31"/>
  <c r="U254" i="31"/>
  <c r="U262" i="31"/>
  <c r="U270" i="31"/>
  <c r="U278" i="31"/>
  <c r="U286" i="31"/>
  <c r="U294" i="31"/>
  <c r="U302" i="31"/>
  <c r="U310" i="31"/>
  <c r="U318" i="31"/>
  <c r="U326" i="31"/>
  <c r="U334" i="31"/>
  <c r="U342" i="31"/>
  <c r="U350" i="31"/>
  <c r="U358" i="31"/>
  <c r="U366" i="31"/>
  <c r="U15" i="31"/>
  <c r="U87" i="31"/>
  <c r="U143" i="31"/>
  <c r="U199" i="31"/>
  <c r="U255" i="31"/>
  <c r="U311" i="31"/>
  <c r="U359" i="31"/>
  <c r="G11" i="2"/>
  <c r="U8" i="42"/>
  <c r="U16" i="42"/>
  <c r="U24" i="42"/>
  <c r="U32" i="42"/>
  <c r="U40" i="42"/>
  <c r="U48" i="42"/>
  <c r="U56" i="42"/>
  <c r="U64" i="42"/>
  <c r="U72" i="42"/>
  <c r="U80" i="42"/>
  <c r="U88" i="42"/>
  <c r="U96" i="42"/>
  <c r="U104" i="42"/>
  <c r="U112" i="42"/>
  <c r="U120" i="42"/>
  <c r="U128" i="42"/>
  <c r="U136" i="42"/>
  <c r="U144" i="42"/>
  <c r="U152" i="42"/>
  <c r="U160" i="42"/>
  <c r="U168" i="42"/>
  <c r="U176" i="42"/>
  <c r="U184" i="42"/>
  <c r="U192" i="42"/>
  <c r="U200" i="42"/>
  <c r="U208" i="42"/>
  <c r="U216" i="42"/>
  <c r="U224" i="42"/>
  <c r="U232" i="42"/>
  <c r="U240" i="42"/>
  <c r="U248" i="42"/>
  <c r="U256" i="42"/>
  <c r="U264" i="42"/>
  <c r="U272" i="42"/>
  <c r="U280" i="42"/>
  <c r="U288" i="42"/>
  <c r="U296" i="42"/>
  <c r="U304" i="42"/>
  <c r="U312" i="42"/>
  <c r="U320" i="42"/>
  <c r="U328" i="42"/>
  <c r="U336" i="42"/>
  <c r="U344" i="42"/>
  <c r="U352" i="42"/>
  <c r="U54" i="42"/>
  <c r="U118" i="42"/>
  <c r="U166" i="42"/>
  <c r="U246" i="42"/>
  <c r="U302" i="42"/>
  <c r="U334" i="42"/>
  <c r="U9" i="42"/>
  <c r="U17" i="42"/>
  <c r="U25" i="42"/>
  <c r="U33" i="42"/>
  <c r="U41" i="42"/>
  <c r="U49" i="42"/>
  <c r="U57" i="42"/>
  <c r="U65" i="42"/>
  <c r="U73" i="42"/>
  <c r="U81" i="42"/>
  <c r="U89" i="42"/>
  <c r="U97" i="42"/>
  <c r="U105" i="42"/>
  <c r="U113" i="42"/>
  <c r="U121" i="42"/>
  <c r="U129" i="42"/>
  <c r="U137" i="42"/>
  <c r="U145" i="42"/>
  <c r="U153" i="42"/>
  <c r="U161" i="42"/>
  <c r="U169" i="42"/>
  <c r="U177" i="42"/>
  <c r="U185" i="42"/>
  <c r="U193" i="42"/>
  <c r="U201" i="42"/>
  <c r="U209" i="42"/>
  <c r="U217" i="42"/>
  <c r="U225" i="42"/>
  <c r="U233" i="42"/>
  <c r="U241" i="42"/>
  <c r="U249" i="42"/>
  <c r="U257" i="42"/>
  <c r="U265" i="42"/>
  <c r="U273" i="42"/>
  <c r="U281" i="42"/>
  <c r="U289" i="42"/>
  <c r="U297" i="42"/>
  <c r="U305" i="42"/>
  <c r="U313" i="42"/>
  <c r="U321" i="42"/>
  <c r="U329" i="42"/>
  <c r="U337" i="42"/>
  <c r="U345" i="42"/>
  <c r="U353" i="42"/>
  <c r="U361" i="42"/>
  <c r="U354" i="42"/>
  <c r="U38" i="42"/>
  <c r="U70" i="42"/>
  <c r="U126" i="42"/>
  <c r="U182" i="42"/>
  <c r="U230" i="42"/>
  <c r="U286" i="42"/>
  <c r="U350" i="42"/>
  <c r="U10" i="42"/>
  <c r="U18" i="42"/>
  <c r="U26" i="42"/>
  <c r="U34" i="42"/>
  <c r="U42" i="42"/>
  <c r="U50" i="42"/>
  <c r="U58" i="42"/>
  <c r="U66" i="42"/>
  <c r="U74" i="42"/>
  <c r="U82" i="42"/>
  <c r="U90" i="42"/>
  <c r="U98" i="42"/>
  <c r="U106" i="42"/>
  <c r="U114" i="42"/>
  <c r="U122" i="42"/>
  <c r="U130" i="42"/>
  <c r="U138" i="42"/>
  <c r="U146" i="42"/>
  <c r="U154" i="42"/>
  <c r="U162" i="42"/>
  <c r="U170" i="42"/>
  <c r="U178" i="42"/>
  <c r="U186" i="42"/>
  <c r="U194" i="42"/>
  <c r="U202" i="42"/>
  <c r="U210" i="42"/>
  <c r="U218" i="42"/>
  <c r="U226" i="42"/>
  <c r="U234" i="42"/>
  <c r="U242" i="42"/>
  <c r="U250" i="42"/>
  <c r="U258" i="42"/>
  <c r="U266" i="42"/>
  <c r="U274" i="42"/>
  <c r="U282" i="42"/>
  <c r="U290" i="42"/>
  <c r="U298" i="42"/>
  <c r="U306" i="42"/>
  <c r="U314" i="42"/>
  <c r="U322" i="42"/>
  <c r="U330" i="42"/>
  <c r="U338" i="42"/>
  <c r="U346" i="42"/>
  <c r="U362" i="42"/>
  <c r="U62" i="42"/>
  <c r="U110" i="42"/>
  <c r="U158" i="42"/>
  <c r="U206" i="42"/>
  <c r="U262" i="42"/>
  <c r="U318" i="42"/>
  <c r="U366" i="42"/>
  <c r="U11" i="42"/>
  <c r="U19" i="42"/>
  <c r="U27" i="42"/>
  <c r="U35" i="42"/>
  <c r="U43" i="42"/>
  <c r="U51" i="42"/>
  <c r="U59" i="42"/>
  <c r="U67" i="42"/>
  <c r="U75" i="42"/>
  <c r="U83" i="42"/>
  <c r="U91" i="42"/>
  <c r="U99" i="42"/>
  <c r="U107" i="42"/>
  <c r="U115" i="42"/>
  <c r="U123" i="42"/>
  <c r="U131" i="42"/>
  <c r="U139" i="42"/>
  <c r="U147" i="42"/>
  <c r="U155" i="42"/>
  <c r="U163" i="42"/>
  <c r="U171" i="42"/>
  <c r="U179" i="42"/>
  <c r="U187" i="42"/>
  <c r="U195" i="42"/>
  <c r="U203" i="42"/>
  <c r="U211" i="42"/>
  <c r="U219" i="42"/>
  <c r="U227" i="42"/>
  <c r="U235" i="42"/>
  <c r="U243" i="42"/>
  <c r="U251" i="42"/>
  <c r="U259" i="42"/>
  <c r="U267" i="42"/>
  <c r="U275" i="42"/>
  <c r="U283" i="42"/>
  <c r="U291" i="42"/>
  <c r="U299" i="42"/>
  <c r="U307" i="42"/>
  <c r="U315" i="42"/>
  <c r="U323" i="42"/>
  <c r="U331" i="42"/>
  <c r="U339" i="42"/>
  <c r="U347" i="42"/>
  <c r="U355" i="42"/>
  <c r="U363" i="42"/>
  <c r="U14" i="42"/>
  <c r="U94" i="42"/>
  <c r="U150" i="42"/>
  <c r="U214" i="42"/>
  <c r="U270" i="42"/>
  <c r="U326" i="42"/>
  <c r="U12" i="42"/>
  <c r="U20" i="42"/>
  <c r="U28" i="42"/>
  <c r="U36" i="42"/>
  <c r="U44" i="42"/>
  <c r="U52" i="42"/>
  <c r="U60" i="42"/>
  <c r="U68" i="42"/>
  <c r="U76" i="42"/>
  <c r="U84" i="42"/>
  <c r="U92" i="42"/>
  <c r="U100" i="42"/>
  <c r="U108" i="42"/>
  <c r="U116" i="42"/>
  <c r="U124" i="42"/>
  <c r="U132" i="42"/>
  <c r="U140" i="42"/>
  <c r="U148" i="42"/>
  <c r="U156" i="42"/>
  <c r="U164" i="42"/>
  <c r="U172" i="42"/>
  <c r="U180" i="42"/>
  <c r="U188" i="42"/>
  <c r="U196" i="42"/>
  <c r="U204" i="42"/>
  <c r="U212" i="42"/>
  <c r="U220" i="42"/>
  <c r="U228" i="42"/>
  <c r="U236" i="42"/>
  <c r="U244" i="42"/>
  <c r="U252" i="42"/>
  <c r="U260" i="42"/>
  <c r="U268" i="42"/>
  <c r="U276" i="42"/>
  <c r="U284" i="42"/>
  <c r="U292" i="42"/>
  <c r="U300" i="42"/>
  <c r="U308" i="42"/>
  <c r="U316" i="42"/>
  <c r="U324" i="42"/>
  <c r="U332" i="42"/>
  <c r="U340" i="42"/>
  <c r="U348" i="42"/>
  <c r="U356" i="42"/>
  <c r="U364" i="42"/>
  <c r="U22" i="42"/>
  <c r="U102" i="42"/>
  <c r="U174" i="42"/>
  <c r="U222" i="42"/>
  <c r="U278" i="42"/>
  <c r="U342" i="42"/>
  <c r="U13" i="42"/>
  <c r="U21" i="42"/>
  <c r="U29" i="42"/>
  <c r="U37" i="42"/>
  <c r="U45" i="42"/>
  <c r="U53" i="42"/>
  <c r="U61" i="42"/>
  <c r="U69" i="42"/>
  <c r="U77" i="42"/>
  <c r="U85" i="42"/>
  <c r="U93" i="42"/>
  <c r="U101" i="42"/>
  <c r="U109" i="42"/>
  <c r="U117" i="42"/>
  <c r="U125" i="42"/>
  <c r="U133" i="42"/>
  <c r="U141" i="42"/>
  <c r="U149" i="42"/>
  <c r="U157" i="42"/>
  <c r="U165" i="42"/>
  <c r="U173" i="42"/>
  <c r="U181" i="42"/>
  <c r="U189" i="42"/>
  <c r="U197" i="42"/>
  <c r="U205" i="42"/>
  <c r="U213" i="42"/>
  <c r="U221" i="42"/>
  <c r="U229" i="42"/>
  <c r="U237" i="42"/>
  <c r="U245" i="42"/>
  <c r="U253" i="42"/>
  <c r="U261" i="42"/>
  <c r="U269" i="42"/>
  <c r="U277" i="42"/>
  <c r="U285" i="42"/>
  <c r="U293" i="42"/>
  <c r="U301" i="42"/>
  <c r="U309" i="42"/>
  <c r="U317" i="42"/>
  <c r="U325" i="42"/>
  <c r="U333" i="42"/>
  <c r="U341" i="42"/>
  <c r="U349" i="42"/>
  <c r="U357" i="42"/>
  <c r="U365" i="42"/>
  <c r="U30" i="42"/>
  <c r="U86" i="42"/>
  <c r="U142" i="42"/>
  <c r="U198" i="42"/>
  <c r="U254" i="42"/>
  <c r="U310" i="42"/>
  <c r="U15" i="42"/>
  <c r="U23" i="42"/>
  <c r="U31" i="42"/>
  <c r="U39" i="42"/>
  <c r="U47" i="42"/>
  <c r="U55" i="42"/>
  <c r="U63" i="42"/>
  <c r="U71" i="42"/>
  <c r="U79" i="42"/>
  <c r="U87" i="42"/>
  <c r="U95" i="42"/>
  <c r="U103" i="42"/>
  <c r="U111" i="42"/>
  <c r="U119" i="42"/>
  <c r="U127" i="42"/>
  <c r="U135" i="42"/>
  <c r="U143" i="42"/>
  <c r="U151" i="42"/>
  <c r="U159" i="42"/>
  <c r="U167" i="42"/>
  <c r="U175" i="42"/>
  <c r="U183" i="42"/>
  <c r="U191" i="42"/>
  <c r="U199" i="42"/>
  <c r="U207" i="42"/>
  <c r="U215" i="42"/>
  <c r="U223" i="42"/>
  <c r="U231" i="42"/>
  <c r="U239" i="42"/>
  <c r="U247" i="42"/>
  <c r="U255" i="42"/>
  <c r="U263" i="42"/>
  <c r="U271" i="42"/>
  <c r="U279" i="42"/>
  <c r="U287" i="42"/>
  <c r="U295" i="42"/>
  <c r="U303" i="42"/>
  <c r="U311" i="42"/>
  <c r="U319" i="42"/>
  <c r="U327" i="42"/>
  <c r="U335" i="42"/>
  <c r="U343" i="42"/>
  <c r="U351" i="42"/>
  <c r="U359" i="42"/>
  <c r="U367" i="42"/>
  <c r="U360" i="42"/>
  <c r="U46" i="42"/>
  <c r="U78" i="42"/>
  <c r="U134" i="42"/>
  <c r="U190" i="42"/>
  <c r="U238" i="42"/>
  <c r="U294" i="42"/>
  <c r="U358" i="42"/>
  <c r="Z9" i="1"/>
  <c r="F32" i="2" s="1"/>
  <c r="C33" i="2" s="1"/>
  <c r="C26" i="2" s="1"/>
  <c r="D7" i="35" s="1"/>
  <c r="F14" i="2"/>
  <c r="G14" i="2" s="1"/>
  <c r="F11" i="2"/>
  <c r="AS102" i="43"/>
  <c r="E364" i="43"/>
  <c r="R364" i="43" s="1"/>
  <c r="E360" i="43"/>
  <c r="R360" i="43" s="1"/>
  <c r="E356" i="43"/>
  <c r="R356" i="43" s="1"/>
  <c r="E352" i="43"/>
  <c r="R352" i="43" s="1"/>
  <c r="E367" i="43"/>
  <c r="R367" i="43" s="1"/>
  <c r="E363" i="43"/>
  <c r="R363" i="43" s="1"/>
  <c r="E359" i="43"/>
  <c r="R359" i="43" s="1"/>
  <c r="E355" i="43"/>
  <c r="R355" i="43" s="1"/>
  <c r="E351" i="43"/>
  <c r="R351" i="43" s="1"/>
  <c r="E366" i="43"/>
  <c r="R366" i="43" s="1"/>
  <c r="E362" i="43"/>
  <c r="R362" i="43" s="1"/>
  <c r="E358" i="43"/>
  <c r="R358" i="43" s="1"/>
  <c r="E354" i="43"/>
  <c r="R354" i="43" s="1"/>
  <c r="E365" i="43"/>
  <c r="R365" i="43" s="1"/>
  <c r="E361" i="43"/>
  <c r="R361" i="43" s="1"/>
  <c r="E357" i="43"/>
  <c r="R357" i="43" s="1"/>
  <c r="E353" i="43"/>
  <c r="R353" i="43" s="1"/>
  <c r="E350" i="43"/>
  <c r="R350" i="43" s="1"/>
  <c r="E346" i="43"/>
  <c r="R346" i="43" s="1"/>
  <c r="E342" i="43"/>
  <c r="R342" i="43" s="1"/>
  <c r="E338" i="43"/>
  <c r="R338" i="43" s="1"/>
  <c r="E334" i="43"/>
  <c r="R334" i="43" s="1"/>
  <c r="E349" i="43"/>
  <c r="R349" i="43" s="1"/>
  <c r="E345" i="43"/>
  <c r="R345" i="43" s="1"/>
  <c r="E341" i="43"/>
  <c r="R341" i="43" s="1"/>
  <c r="E337" i="43"/>
  <c r="R337" i="43" s="1"/>
  <c r="E348" i="43"/>
  <c r="R348" i="43" s="1"/>
  <c r="E344" i="43"/>
  <c r="R344" i="43" s="1"/>
  <c r="E340" i="43"/>
  <c r="R340" i="43" s="1"/>
  <c r="E336" i="43"/>
  <c r="R336" i="43" s="1"/>
  <c r="E347" i="43"/>
  <c r="R347" i="43" s="1"/>
  <c r="E343" i="43"/>
  <c r="R343" i="43" s="1"/>
  <c r="E339" i="43"/>
  <c r="R339" i="43" s="1"/>
  <c r="E335" i="43"/>
  <c r="R335" i="43" s="1"/>
  <c r="E331" i="43"/>
  <c r="R331" i="43" s="1"/>
  <c r="E327" i="43"/>
  <c r="R327" i="43" s="1"/>
  <c r="E323" i="43"/>
  <c r="R323" i="43" s="1"/>
  <c r="E319" i="43"/>
  <c r="R319" i="43" s="1"/>
  <c r="E330" i="43"/>
  <c r="R330" i="43" s="1"/>
  <c r="E326" i="43"/>
  <c r="R326" i="43" s="1"/>
  <c r="E322" i="43"/>
  <c r="R322" i="43" s="1"/>
  <c r="E318" i="43"/>
  <c r="R318" i="43" s="1"/>
  <c r="E333" i="43"/>
  <c r="R333" i="43" s="1"/>
  <c r="E329" i="43"/>
  <c r="R329" i="43" s="1"/>
  <c r="E325" i="43"/>
  <c r="R325" i="43" s="1"/>
  <c r="E321" i="43"/>
  <c r="R321" i="43" s="1"/>
  <c r="E317" i="43"/>
  <c r="R317" i="43" s="1"/>
  <c r="E332" i="43"/>
  <c r="R332" i="43" s="1"/>
  <c r="E328" i="43"/>
  <c r="R328" i="43" s="1"/>
  <c r="E324" i="43"/>
  <c r="R324" i="43" s="1"/>
  <c r="E320" i="43"/>
  <c r="R320" i="43" s="1"/>
  <c r="E316" i="43"/>
  <c r="R316" i="43" s="1"/>
  <c r="E312" i="43"/>
  <c r="R312" i="43" s="1"/>
  <c r="E308" i="43"/>
  <c r="R308" i="43" s="1"/>
  <c r="E304" i="43"/>
  <c r="R304" i="43" s="1"/>
  <c r="E300" i="43"/>
  <c r="R300" i="43" s="1"/>
  <c r="E296" i="43"/>
  <c r="R296" i="43" s="1"/>
  <c r="E292" i="43"/>
  <c r="R292" i="43" s="1"/>
  <c r="E288" i="43"/>
  <c r="R288" i="43" s="1"/>
  <c r="E284" i="43"/>
  <c r="R284" i="43" s="1"/>
  <c r="E315" i="43"/>
  <c r="R315" i="43" s="1"/>
  <c r="E311" i="43"/>
  <c r="R311" i="43" s="1"/>
  <c r="E307" i="43"/>
  <c r="R307" i="43" s="1"/>
  <c r="E303" i="43"/>
  <c r="R303" i="43" s="1"/>
  <c r="E299" i="43"/>
  <c r="R299" i="43" s="1"/>
  <c r="E295" i="43"/>
  <c r="R295" i="43" s="1"/>
  <c r="E291" i="43"/>
  <c r="R291" i="43" s="1"/>
  <c r="E287" i="43"/>
  <c r="R287" i="43" s="1"/>
  <c r="E283" i="43"/>
  <c r="R283" i="43" s="1"/>
  <c r="E314" i="43"/>
  <c r="R314" i="43" s="1"/>
  <c r="E310" i="43"/>
  <c r="R310" i="43" s="1"/>
  <c r="E306" i="43"/>
  <c r="R306" i="43" s="1"/>
  <c r="E302" i="43"/>
  <c r="R302" i="43" s="1"/>
  <c r="E298" i="43"/>
  <c r="R298" i="43" s="1"/>
  <c r="E294" i="43"/>
  <c r="R294" i="43" s="1"/>
  <c r="E290" i="43"/>
  <c r="R290" i="43" s="1"/>
  <c r="E286" i="43"/>
  <c r="R286" i="43" s="1"/>
  <c r="E282" i="43"/>
  <c r="R282" i="43" s="1"/>
  <c r="E313" i="43"/>
  <c r="R313" i="43" s="1"/>
  <c r="E309" i="43"/>
  <c r="R309" i="43" s="1"/>
  <c r="E305" i="43"/>
  <c r="R305" i="43" s="1"/>
  <c r="E301" i="43"/>
  <c r="R301" i="43" s="1"/>
  <c r="E297" i="43"/>
  <c r="R297" i="43" s="1"/>
  <c r="E293" i="43"/>
  <c r="R293" i="43" s="1"/>
  <c r="E289" i="43"/>
  <c r="R289" i="43" s="1"/>
  <c r="E285" i="43"/>
  <c r="R285" i="43" s="1"/>
  <c r="E279" i="43"/>
  <c r="R279" i="43" s="1"/>
  <c r="E275" i="43"/>
  <c r="R275" i="43" s="1"/>
  <c r="E271" i="43"/>
  <c r="R271" i="43" s="1"/>
  <c r="E267" i="43"/>
  <c r="R267" i="43" s="1"/>
  <c r="E263" i="43"/>
  <c r="R263" i="43" s="1"/>
  <c r="E259" i="43"/>
  <c r="R259" i="43" s="1"/>
  <c r="E255" i="43"/>
  <c r="R255" i="43" s="1"/>
  <c r="E251" i="43"/>
  <c r="R251" i="43" s="1"/>
  <c r="E278" i="43"/>
  <c r="R278" i="43" s="1"/>
  <c r="E274" i="43"/>
  <c r="R274" i="43" s="1"/>
  <c r="E270" i="43"/>
  <c r="R270" i="43" s="1"/>
  <c r="E266" i="43"/>
  <c r="R266" i="43" s="1"/>
  <c r="E262" i="43"/>
  <c r="R262" i="43" s="1"/>
  <c r="E258" i="43"/>
  <c r="R258" i="43" s="1"/>
  <c r="E254" i="43"/>
  <c r="R254" i="43" s="1"/>
  <c r="E250" i="43"/>
  <c r="R250" i="43" s="1"/>
  <c r="E281" i="43"/>
  <c r="R281" i="43" s="1"/>
  <c r="E277" i="43"/>
  <c r="R277" i="43" s="1"/>
  <c r="E273" i="43"/>
  <c r="R273" i="43" s="1"/>
  <c r="E269" i="43"/>
  <c r="R269" i="43" s="1"/>
  <c r="E265" i="43"/>
  <c r="R265" i="43" s="1"/>
  <c r="E261" i="43"/>
  <c r="R261" i="43" s="1"/>
  <c r="E257" i="43"/>
  <c r="R257" i="43" s="1"/>
  <c r="E253" i="43"/>
  <c r="R253" i="43" s="1"/>
  <c r="E249" i="43"/>
  <c r="R249" i="43" s="1"/>
  <c r="E280" i="43"/>
  <c r="R280" i="43" s="1"/>
  <c r="E276" i="43"/>
  <c r="R276" i="43" s="1"/>
  <c r="E272" i="43"/>
  <c r="R272" i="43" s="1"/>
  <c r="E268" i="43"/>
  <c r="R268" i="43" s="1"/>
  <c r="E264" i="43"/>
  <c r="R264" i="43" s="1"/>
  <c r="E260" i="43"/>
  <c r="R260" i="43" s="1"/>
  <c r="E256" i="43"/>
  <c r="R256" i="43" s="1"/>
  <c r="E252" i="43"/>
  <c r="R252" i="43" s="1"/>
  <c r="E248" i="43"/>
  <c r="R248" i="43" s="1"/>
  <c r="E247" i="43"/>
  <c r="R247" i="43" s="1"/>
  <c r="E243" i="43"/>
  <c r="R243" i="43" s="1"/>
  <c r="E239" i="43"/>
  <c r="R239" i="43" s="1"/>
  <c r="E235" i="43"/>
  <c r="R235" i="43" s="1"/>
  <c r="E231" i="43"/>
  <c r="R231" i="43" s="1"/>
  <c r="E227" i="43"/>
  <c r="R227" i="43" s="1"/>
  <c r="E223" i="43"/>
  <c r="R223" i="43" s="1"/>
  <c r="E219" i="43"/>
  <c r="R219" i="43" s="1"/>
  <c r="E215" i="43"/>
  <c r="R215" i="43" s="1"/>
  <c r="E211" i="43"/>
  <c r="R211" i="43" s="1"/>
  <c r="E207" i="43"/>
  <c r="R207" i="43" s="1"/>
  <c r="E203" i="43"/>
  <c r="R203" i="43" s="1"/>
  <c r="E199" i="43"/>
  <c r="R199" i="43" s="1"/>
  <c r="E195" i="43"/>
  <c r="R195" i="43" s="1"/>
  <c r="E191" i="43"/>
  <c r="R191" i="43" s="1"/>
  <c r="E187" i="43"/>
  <c r="R187" i="43" s="1"/>
  <c r="E183" i="43"/>
  <c r="R183" i="43" s="1"/>
  <c r="E179" i="43"/>
  <c r="R179" i="43" s="1"/>
  <c r="E246" i="43"/>
  <c r="R246" i="43" s="1"/>
  <c r="E242" i="43"/>
  <c r="R242" i="43" s="1"/>
  <c r="E238" i="43"/>
  <c r="R238" i="43" s="1"/>
  <c r="E234" i="43"/>
  <c r="R234" i="43" s="1"/>
  <c r="E230" i="43"/>
  <c r="R230" i="43" s="1"/>
  <c r="E226" i="43"/>
  <c r="R226" i="43" s="1"/>
  <c r="E222" i="43"/>
  <c r="R222" i="43" s="1"/>
  <c r="E218" i="43"/>
  <c r="R218" i="43" s="1"/>
  <c r="E214" i="43"/>
  <c r="R214" i="43" s="1"/>
  <c r="E210" i="43"/>
  <c r="R210" i="43" s="1"/>
  <c r="E206" i="43"/>
  <c r="R206" i="43" s="1"/>
  <c r="E202" i="43"/>
  <c r="R202" i="43" s="1"/>
  <c r="E198" i="43"/>
  <c r="R198" i="43" s="1"/>
  <c r="E194" i="43"/>
  <c r="R194" i="43" s="1"/>
  <c r="E190" i="43"/>
  <c r="R190" i="43" s="1"/>
  <c r="E186" i="43"/>
  <c r="R186" i="43" s="1"/>
  <c r="E182" i="43"/>
  <c r="R182" i="43" s="1"/>
  <c r="E178" i="43"/>
  <c r="R178" i="43" s="1"/>
  <c r="E245" i="43"/>
  <c r="R245" i="43" s="1"/>
  <c r="E241" i="43"/>
  <c r="R241" i="43" s="1"/>
  <c r="E237" i="43"/>
  <c r="R237" i="43" s="1"/>
  <c r="E233" i="43"/>
  <c r="R233" i="43" s="1"/>
  <c r="E229" i="43"/>
  <c r="R229" i="43" s="1"/>
  <c r="E225" i="43"/>
  <c r="R225" i="43" s="1"/>
  <c r="E221" i="43"/>
  <c r="R221" i="43" s="1"/>
  <c r="E217" i="43"/>
  <c r="R217" i="43" s="1"/>
  <c r="E213" i="43"/>
  <c r="R213" i="43" s="1"/>
  <c r="E209" i="43"/>
  <c r="R209" i="43" s="1"/>
  <c r="E205" i="43"/>
  <c r="R205" i="43" s="1"/>
  <c r="E201" i="43"/>
  <c r="R201" i="43" s="1"/>
  <c r="E197" i="43"/>
  <c r="R197" i="43" s="1"/>
  <c r="E193" i="43"/>
  <c r="R193" i="43" s="1"/>
  <c r="E189" i="43"/>
  <c r="R189" i="43" s="1"/>
  <c r="E185" i="43"/>
  <c r="R185" i="43" s="1"/>
  <c r="E181" i="43"/>
  <c r="R181" i="43" s="1"/>
  <c r="E244" i="43"/>
  <c r="R244" i="43" s="1"/>
  <c r="E240" i="43"/>
  <c r="R240" i="43" s="1"/>
  <c r="E236" i="43"/>
  <c r="R236" i="43" s="1"/>
  <c r="E232" i="43"/>
  <c r="R232" i="43" s="1"/>
  <c r="E228" i="43"/>
  <c r="R228" i="43" s="1"/>
  <c r="E224" i="43"/>
  <c r="R224" i="43" s="1"/>
  <c r="E220" i="43"/>
  <c r="R220" i="43" s="1"/>
  <c r="E216" i="43"/>
  <c r="R216" i="43" s="1"/>
  <c r="E212" i="43"/>
  <c r="R212" i="43" s="1"/>
  <c r="E208" i="43"/>
  <c r="R208" i="43" s="1"/>
  <c r="E204" i="43"/>
  <c r="R204" i="43" s="1"/>
  <c r="E200" i="43"/>
  <c r="R200" i="43" s="1"/>
  <c r="E196" i="43"/>
  <c r="R196" i="43" s="1"/>
  <c r="E192" i="43"/>
  <c r="R192" i="43" s="1"/>
  <c r="E188" i="43"/>
  <c r="R188" i="43" s="1"/>
  <c r="E184" i="43"/>
  <c r="R184" i="43" s="1"/>
  <c r="E180" i="43"/>
  <c r="R180" i="43" s="1"/>
  <c r="E177" i="43"/>
  <c r="R177" i="43" s="1"/>
  <c r="E173" i="43"/>
  <c r="R173" i="43" s="1"/>
  <c r="E169" i="43"/>
  <c r="R169" i="43" s="1"/>
  <c r="E165" i="43"/>
  <c r="R165" i="43" s="1"/>
  <c r="E161" i="43"/>
  <c r="R161" i="43" s="1"/>
  <c r="E157" i="43"/>
  <c r="R157" i="43" s="1"/>
  <c r="E153" i="43"/>
  <c r="R153" i="43" s="1"/>
  <c r="E149" i="43"/>
  <c r="R149" i="43" s="1"/>
  <c r="E145" i="43"/>
  <c r="R145" i="43" s="1"/>
  <c r="E141" i="43"/>
  <c r="R141" i="43" s="1"/>
  <c r="E137" i="43"/>
  <c r="R137" i="43" s="1"/>
  <c r="E133" i="43"/>
  <c r="R133" i="43" s="1"/>
  <c r="E129" i="43"/>
  <c r="R129" i="43" s="1"/>
  <c r="E125" i="43"/>
  <c r="R125" i="43" s="1"/>
  <c r="E121" i="43"/>
  <c r="R121" i="43" s="1"/>
  <c r="E117" i="43"/>
  <c r="R117" i="43" s="1"/>
  <c r="E113" i="43"/>
  <c r="R113" i="43" s="1"/>
  <c r="E109" i="43"/>
  <c r="R109" i="43" s="1"/>
  <c r="E176" i="43"/>
  <c r="R176" i="43" s="1"/>
  <c r="E172" i="43"/>
  <c r="R172" i="43" s="1"/>
  <c r="E168" i="43"/>
  <c r="R168" i="43" s="1"/>
  <c r="E164" i="43"/>
  <c r="R164" i="43" s="1"/>
  <c r="E160" i="43"/>
  <c r="R160" i="43" s="1"/>
  <c r="E156" i="43"/>
  <c r="R156" i="43" s="1"/>
  <c r="E152" i="43"/>
  <c r="R152" i="43" s="1"/>
  <c r="E148" i="43"/>
  <c r="R148" i="43" s="1"/>
  <c r="E144" i="43"/>
  <c r="R144" i="43" s="1"/>
  <c r="E140" i="43"/>
  <c r="R140" i="43" s="1"/>
  <c r="E136" i="43"/>
  <c r="R136" i="43" s="1"/>
  <c r="E132" i="43"/>
  <c r="R132" i="43" s="1"/>
  <c r="E128" i="43"/>
  <c r="R128" i="43" s="1"/>
  <c r="E124" i="43"/>
  <c r="R124" i="43" s="1"/>
  <c r="E120" i="43"/>
  <c r="R120" i="43" s="1"/>
  <c r="E116" i="43"/>
  <c r="R116" i="43" s="1"/>
  <c r="E112" i="43"/>
  <c r="R112" i="43" s="1"/>
  <c r="E175" i="43"/>
  <c r="R175" i="43" s="1"/>
  <c r="E171" i="43"/>
  <c r="R171" i="43" s="1"/>
  <c r="E167" i="43"/>
  <c r="R167" i="43" s="1"/>
  <c r="E163" i="43"/>
  <c r="R163" i="43" s="1"/>
  <c r="E159" i="43"/>
  <c r="R159" i="43" s="1"/>
  <c r="E155" i="43"/>
  <c r="R155" i="43" s="1"/>
  <c r="E151" i="43"/>
  <c r="R151" i="43" s="1"/>
  <c r="E147" i="43"/>
  <c r="R147" i="43" s="1"/>
  <c r="E143" i="43"/>
  <c r="R143" i="43" s="1"/>
  <c r="E139" i="43"/>
  <c r="R139" i="43" s="1"/>
  <c r="E135" i="43"/>
  <c r="R135" i="43" s="1"/>
  <c r="E131" i="43"/>
  <c r="R131" i="43" s="1"/>
  <c r="E127" i="43"/>
  <c r="R127" i="43" s="1"/>
  <c r="E123" i="43"/>
  <c r="R123" i="43" s="1"/>
  <c r="E119" i="43"/>
  <c r="R119" i="43" s="1"/>
  <c r="E115" i="43"/>
  <c r="R115" i="43" s="1"/>
  <c r="E111" i="43"/>
  <c r="R111" i="43" s="1"/>
  <c r="E174" i="43"/>
  <c r="R174" i="43" s="1"/>
  <c r="E170" i="43"/>
  <c r="R170" i="43" s="1"/>
  <c r="E166" i="43"/>
  <c r="R166" i="43" s="1"/>
  <c r="E162" i="43"/>
  <c r="R162" i="43" s="1"/>
  <c r="E158" i="43"/>
  <c r="R158" i="43" s="1"/>
  <c r="E154" i="43"/>
  <c r="R154" i="43" s="1"/>
  <c r="E150" i="43"/>
  <c r="R150" i="43" s="1"/>
  <c r="E146" i="43"/>
  <c r="R146" i="43" s="1"/>
  <c r="E142" i="43"/>
  <c r="R142" i="43" s="1"/>
  <c r="E138" i="43"/>
  <c r="R138" i="43" s="1"/>
  <c r="E134" i="43"/>
  <c r="R134" i="43" s="1"/>
  <c r="E130" i="43"/>
  <c r="R130" i="43" s="1"/>
  <c r="E126" i="43"/>
  <c r="R126" i="43" s="1"/>
  <c r="E122" i="43"/>
  <c r="R122" i="43" s="1"/>
  <c r="E118" i="43"/>
  <c r="R118" i="43" s="1"/>
  <c r="E114" i="43"/>
  <c r="R114" i="43" s="1"/>
  <c r="E110" i="43"/>
  <c r="R110" i="43" s="1"/>
  <c r="E108" i="43"/>
  <c r="R108" i="43" s="1"/>
  <c r="E104" i="43"/>
  <c r="R104" i="43" s="1"/>
  <c r="E100" i="43"/>
  <c r="R100" i="43" s="1"/>
  <c r="E96" i="43"/>
  <c r="R96" i="43" s="1"/>
  <c r="E92" i="43"/>
  <c r="R92" i="43" s="1"/>
  <c r="E88" i="43"/>
  <c r="R88" i="43" s="1"/>
  <c r="E84" i="43"/>
  <c r="R84" i="43" s="1"/>
  <c r="E80" i="43"/>
  <c r="R80" i="43" s="1"/>
  <c r="E76" i="43"/>
  <c r="R76" i="43" s="1"/>
  <c r="E72" i="43"/>
  <c r="R72" i="43" s="1"/>
  <c r="E68" i="43"/>
  <c r="R68" i="43" s="1"/>
  <c r="E64" i="43"/>
  <c r="R64" i="43" s="1"/>
  <c r="E60" i="43"/>
  <c r="R60" i="43" s="1"/>
  <c r="E56" i="43"/>
  <c r="R56" i="43" s="1"/>
  <c r="E52" i="43"/>
  <c r="R52" i="43" s="1"/>
  <c r="E48" i="43"/>
  <c r="R48" i="43" s="1"/>
  <c r="E44" i="43"/>
  <c r="R44" i="43" s="1"/>
  <c r="E40" i="43"/>
  <c r="R40" i="43" s="1"/>
  <c r="E18" i="43"/>
  <c r="R18" i="43" s="1"/>
  <c r="E14" i="43"/>
  <c r="R14" i="43" s="1"/>
  <c r="E10" i="43"/>
  <c r="R10" i="43" s="1"/>
  <c r="E107" i="43"/>
  <c r="R107" i="43" s="1"/>
  <c r="E103" i="43"/>
  <c r="R103" i="43" s="1"/>
  <c r="E99" i="43"/>
  <c r="R99" i="43" s="1"/>
  <c r="E95" i="43"/>
  <c r="R95" i="43" s="1"/>
  <c r="E91" i="43"/>
  <c r="R91" i="43" s="1"/>
  <c r="E87" i="43"/>
  <c r="R87" i="43" s="1"/>
  <c r="E83" i="43"/>
  <c r="R83" i="43" s="1"/>
  <c r="E79" i="43"/>
  <c r="R79" i="43" s="1"/>
  <c r="E75" i="43"/>
  <c r="R75" i="43" s="1"/>
  <c r="E71" i="43"/>
  <c r="R71" i="43" s="1"/>
  <c r="E67" i="43"/>
  <c r="R67" i="43" s="1"/>
  <c r="E63" i="43"/>
  <c r="R63" i="43" s="1"/>
  <c r="E59" i="43"/>
  <c r="R59" i="43" s="1"/>
  <c r="E55" i="43"/>
  <c r="R55" i="43" s="1"/>
  <c r="E51" i="43"/>
  <c r="R51" i="43" s="1"/>
  <c r="E47" i="43"/>
  <c r="R47" i="43" s="1"/>
  <c r="E43" i="43"/>
  <c r="R43" i="43" s="1"/>
  <c r="E39" i="43"/>
  <c r="R39" i="43" s="1"/>
  <c r="E17" i="43"/>
  <c r="R17" i="43" s="1"/>
  <c r="E13" i="43"/>
  <c r="R13" i="43" s="1"/>
  <c r="E9" i="43"/>
  <c r="R9" i="43" s="1"/>
  <c r="E106" i="43"/>
  <c r="R106" i="43" s="1"/>
  <c r="E102" i="43"/>
  <c r="R102" i="43" s="1"/>
  <c r="E98" i="43"/>
  <c r="R98" i="43" s="1"/>
  <c r="E94" i="43"/>
  <c r="R94" i="43" s="1"/>
  <c r="E90" i="43"/>
  <c r="R90" i="43" s="1"/>
  <c r="E86" i="43"/>
  <c r="R86" i="43" s="1"/>
  <c r="E82" i="43"/>
  <c r="R82" i="43" s="1"/>
  <c r="E78" i="43"/>
  <c r="R78" i="43" s="1"/>
  <c r="E74" i="43"/>
  <c r="R74" i="43" s="1"/>
  <c r="E70" i="43"/>
  <c r="R70" i="43" s="1"/>
  <c r="E66" i="43"/>
  <c r="R66" i="43" s="1"/>
  <c r="E62" i="43"/>
  <c r="R62" i="43" s="1"/>
  <c r="E58" i="43"/>
  <c r="R58" i="43" s="1"/>
  <c r="E54" i="43"/>
  <c r="R54" i="43" s="1"/>
  <c r="E50" i="43"/>
  <c r="R50" i="43" s="1"/>
  <c r="E46" i="43"/>
  <c r="R46" i="43" s="1"/>
  <c r="E42" i="43"/>
  <c r="R42" i="43" s="1"/>
  <c r="E38" i="43"/>
  <c r="R38" i="43" s="1"/>
  <c r="E16" i="43"/>
  <c r="R16" i="43" s="1"/>
  <c r="E12" i="43"/>
  <c r="R12" i="43" s="1"/>
  <c r="E8" i="43"/>
  <c r="R8" i="43" s="1"/>
  <c r="E7" i="43"/>
  <c r="R7" i="43" s="1"/>
  <c r="E105" i="43"/>
  <c r="R105" i="43" s="1"/>
  <c r="E101" i="43"/>
  <c r="R101" i="43" s="1"/>
  <c r="E97" i="43"/>
  <c r="R97" i="43" s="1"/>
  <c r="E93" i="43"/>
  <c r="R93" i="43" s="1"/>
  <c r="E89" i="43"/>
  <c r="R89" i="43" s="1"/>
  <c r="E85" i="43"/>
  <c r="R85" i="43" s="1"/>
  <c r="E81" i="43"/>
  <c r="R81" i="43" s="1"/>
  <c r="E77" i="43"/>
  <c r="R77" i="43" s="1"/>
  <c r="E73" i="43"/>
  <c r="R73" i="43" s="1"/>
  <c r="E69" i="43"/>
  <c r="R69" i="43" s="1"/>
  <c r="E65" i="43"/>
  <c r="R65" i="43" s="1"/>
  <c r="E61" i="43"/>
  <c r="R61" i="43" s="1"/>
  <c r="E57" i="43"/>
  <c r="R57" i="43" s="1"/>
  <c r="E53" i="43"/>
  <c r="R53" i="43" s="1"/>
  <c r="E49" i="43"/>
  <c r="R49" i="43" s="1"/>
  <c r="E45" i="43"/>
  <c r="R45" i="43" s="1"/>
  <c r="E41" i="43"/>
  <c r="R41" i="43" s="1"/>
  <c r="E37" i="43"/>
  <c r="R37" i="43" s="1"/>
  <c r="E36" i="43"/>
  <c r="R36" i="43" s="1"/>
  <c r="E35" i="43"/>
  <c r="R35" i="43" s="1"/>
  <c r="E34" i="43"/>
  <c r="R34" i="43" s="1"/>
  <c r="E33" i="43"/>
  <c r="R33" i="43" s="1"/>
  <c r="E32" i="43"/>
  <c r="R32" i="43" s="1"/>
  <c r="E31" i="43"/>
  <c r="R31" i="43" s="1"/>
  <c r="E30" i="43"/>
  <c r="R30" i="43" s="1"/>
  <c r="E29" i="43"/>
  <c r="R29" i="43" s="1"/>
  <c r="E28" i="43"/>
  <c r="R28" i="43" s="1"/>
  <c r="E27" i="43"/>
  <c r="R27" i="43" s="1"/>
  <c r="E26" i="43"/>
  <c r="R26" i="43" s="1"/>
  <c r="E25" i="43"/>
  <c r="R25" i="43" s="1"/>
  <c r="E24" i="43"/>
  <c r="R24" i="43" s="1"/>
  <c r="E23" i="43"/>
  <c r="R23" i="43" s="1"/>
  <c r="E22" i="43"/>
  <c r="R22" i="43" s="1"/>
  <c r="E21" i="43"/>
  <c r="R21" i="43" s="1"/>
  <c r="E20" i="43"/>
  <c r="R20" i="43" s="1"/>
  <c r="E19" i="43"/>
  <c r="R19" i="43" s="1"/>
  <c r="E15" i="43"/>
  <c r="R15" i="43" s="1"/>
  <c r="E11" i="43"/>
  <c r="R11" i="43" s="1"/>
  <c r="AS103" i="42"/>
  <c r="E367" i="42"/>
  <c r="R367" i="42" s="1"/>
  <c r="E363" i="42"/>
  <c r="E359" i="42"/>
  <c r="R359" i="42" s="1"/>
  <c r="E355" i="42"/>
  <c r="E351" i="42"/>
  <c r="E366" i="42"/>
  <c r="E362" i="42"/>
  <c r="E358" i="42"/>
  <c r="R358" i="42" s="1"/>
  <c r="E354" i="42"/>
  <c r="E365" i="42"/>
  <c r="R365" i="42" s="1"/>
  <c r="E361" i="42"/>
  <c r="R361" i="42" s="1"/>
  <c r="E357" i="42"/>
  <c r="E353" i="42"/>
  <c r="E360" i="42"/>
  <c r="E349" i="42"/>
  <c r="E345" i="42"/>
  <c r="R345" i="42" s="1"/>
  <c r="E341" i="42"/>
  <c r="E356" i="42"/>
  <c r="R356" i="42" s="1"/>
  <c r="E348" i="42"/>
  <c r="R348" i="42" s="1"/>
  <c r="E344" i="42"/>
  <c r="E340" i="42"/>
  <c r="E352" i="42"/>
  <c r="E347" i="42"/>
  <c r="E343" i="42"/>
  <c r="R343" i="42" s="1"/>
  <c r="E339" i="42"/>
  <c r="R339" i="42" s="1"/>
  <c r="E350" i="42"/>
  <c r="R350" i="42" s="1"/>
  <c r="E334" i="42"/>
  <c r="E330" i="42"/>
  <c r="R330" i="42" s="1"/>
  <c r="E326" i="42"/>
  <c r="E346" i="42"/>
  <c r="E337" i="42"/>
  <c r="E333" i="42"/>
  <c r="E329" i="42"/>
  <c r="E342" i="42"/>
  <c r="E336" i="42"/>
  <c r="E332" i="42"/>
  <c r="E328" i="42"/>
  <c r="E327" i="42"/>
  <c r="E324" i="42"/>
  <c r="E320" i="42"/>
  <c r="R320" i="42" s="1"/>
  <c r="E316" i="42"/>
  <c r="R316" i="42" s="1"/>
  <c r="E312" i="42"/>
  <c r="R312" i="42" s="1"/>
  <c r="E308" i="42"/>
  <c r="E304" i="42"/>
  <c r="E300" i="42"/>
  <c r="E296" i="42"/>
  <c r="E325" i="42"/>
  <c r="E323" i="42"/>
  <c r="R323" i="42" s="1"/>
  <c r="E319" i="42"/>
  <c r="E315" i="42"/>
  <c r="R315" i="42" s="1"/>
  <c r="E311" i="42"/>
  <c r="E307" i="42"/>
  <c r="E303" i="42"/>
  <c r="R303" i="42" s="1"/>
  <c r="E299" i="42"/>
  <c r="E295" i="42"/>
  <c r="E364" i="42"/>
  <c r="R364" i="42" s="1"/>
  <c r="E335" i="42"/>
  <c r="R335" i="42" s="1"/>
  <c r="E322" i="42"/>
  <c r="R322" i="42" s="1"/>
  <c r="E318" i="42"/>
  <c r="R318" i="42" s="1"/>
  <c r="E314" i="42"/>
  <c r="E310" i="42"/>
  <c r="R310" i="42" s="1"/>
  <c r="E306" i="42"/>
  <c r="E302" i="42"/>
  <c r="E298" i="42"/>
  <c r="R298" i="42" s="1"/>
  <c r="E313" i="42"/>
  <c r="R313" i="42" s="1"/>
  <c r="E297" i="42"/>
  <c r="R297" i="42" s="1"/>
  <c r="E291" i="42"/>
  <c r="E287" i="42"/>
  <c r="R287" i="42" s="1"/>
  <c r="E283" i="42"/>
  <c r="R283" i="42" s="1"/>
  <c r="E279" i="42"/>
  <c r="E275" i="42"/>
  <c r="E271" i="42"/>
  <c r="R271" i="42" s="1"/>
  <c r="E331" i="42"/>
  <c r="R331" i="42" s="1"/>
  <c r="E309" i="42"/>
  <c r="R309" i="42" s="1"/>
  <c r="E294" i="42"/>
  <c r="R294" i="42" s="1"/>
  <c r="E290" i="42"/>
  <c r="E286" i="42"/>
  <c r="E282" i="42"/>
  <c r="E278" i="42"/>
  <c r="E274" i="42"/>
  <c r="R274" i="42" s="1"/>
  <c r="E270" i="42"/>
  <c r="E301" i="42"/>
  <c r="R301" i="42" s="1"/>
  <c r="E288" i="42"/>
  <c r="R288" i="42" s="1"/>
  <c r="E280" i="42"/>
  <c r="R280" i="42" s="1"/>
  <c r="E272" i="42"/>
  <c r="E267" i="42"/>
  <c r="E263" i="42"/>
  <c r="E259" i="42"/>
  <c r="R259" i="42" s="1"/>
  <c r="E255" i="42"/>
  <c r="E251" i="42"/>
  <c r="R251" i="42" s="1"/>
  <c r="E247" i="42"/>
  <c r="E243" i="42"/>
  <c r="E239" i="42"/>
  <c r="R239" i="42" s="1"/>
  <c r="E235" i="42"/>
  <c r="E231" i="42"/>
  <c r="E227" i="42"/>
  <c r="E223" i="42"/>
  <c r="R223" i="42" s="1"/>
  <c r="E219" i="42"/>
  <c r="R219" i="42" s="1"/>
  <c r="E305" i="42"/>
  <c r="R305" i="42" s="1"/>
  <c r="E289" i="42"/>
  <c r="E281" i="42"/>
  <c r="E273" i="42"/>
  <c r="E266" i="42"/>
  <c r="E262" i="42"/>
  <c r="E258" i="42"/>
  <c r="R258" i="42" s="1"/>
  <c r="E254" i="42"/>
  <c r="R254" i="42" s="1"/>
  <c r="E250" i="42"/>
  <c r="R250" i="42" s="1"/>
  <c r="E246" i="42"/>
  <c r="E242" i="42"/>
  <c r="E238" i="42"/>
  <c r="E234" i="42"/>
  <c r="E230" i="42"/>
  <c r="R230" i="42" s="1"/>
  <c r="E226" i="42"/>
  <c r="E222" i="42"/>
  <c r="R222" i="42" s="1"/>
  <c r="E218" i="42"/>
  <c r="E317" i="42"/>
  <c r="E292" i="42"/>
  <c r="R292" i="42" s="1"/>
  <c r="E284" i="42"/>
  <c r="E276" i="42"/>
  <c r="E265" i="42"/>
  <c r="E261" i="42"/>
  <c r="R261" i="42" s="1"/>
  <c r="E257" i="42"/>
  <c r="R257" i="42" s="1"/>
  <c r="E253" i="42"/>
  <c r="R253" i="42" s="1"/>
  <c r="E249" i="42"/>
  <c r="E245" i="42"/>
  <c r="E241" i="42"/>
  <c r="E237" i="42"/>
  <c r="E233" i="42"/>
  <c r="E229" i="42"/>
  <c r="R229" i="42" s="1"/>
  <c r="E225" i="42"/>
  <c r="R225" i="42" s="1"/>
  <c r="E221" i="42"/>
  <c r="E217" i="42"/>
  <c r="E293" i="42"/>
  <c r="E264" i="42"/>
  <c r="E248" i="42"/>
  <c r="E232" i="42"/>
  <c r="E215" i="42"/>
  <c r="R215" i="42" s="1"/>
  <c r="E211" i="42"/>
  <c r="R211" i="42" s="1"/>
  <c r="E207" i="42"/>
  <c r="E203" i="42"/>
  <c r="E199" i="42"/>
  <c r="E195" i="42"/>
  <c r="E191" i="42"/>
  <c r="E187" i="42"/>
  <c r="E183" i="42"/>
  <c r="E179" i="42"/>
  <c r="E175" i="42"/>
  <c r="R175" i="42" s="1"/>
  <c r="E171" i="42"/>
  <c r="E167" i="42"/>
  <c r="R167" i="42" s="1"/>
  <c r="E163" i="42"/>
  <c r="E159" i="42"/>
  <c r="E155" i="42"/>
  <c r="E151" i="42"/>
  <c r="R151" i="42" s="1"/>
  <c r="E147" i="42"/>
  <c r="R147" i="42" s="1"/>
  <c r="E143" i="42"/>
  <c r="E139" i="42"/>
  <c r="E135" i="42"/>
  <c r="E131" i="42"/>
  <c r="E127" i="42"/>
  <c r="E123" i="42"/>
  <c r="E119" i="42"/>
  <c r="E115" i="42"/>
  <c r="E111" i="42"/>
  <c r="R111" i="42" s="1"/>
  <c r="E107" i="42"/>
  <c r="E103" i="42"/>
  <c r="R103" i="42" s="1"/>
  <c r="E99" i="42"/>
  <c r="E95" i="42"/>
  <c r="E338" i="42"/>
  <c r="E321" i="42"/>
  <c r="R321" i="42" s="1"/>
  <c r="E285" i="42"/>
  <c r="E260" i="42"/>
  <c r="E244" i="42"/>
  <c r="E228" i="42"/>
  <c r="R228" i="42" s="1"/>
  <c r="E214" i="42"/>
  <c r="E210" i="42"/>
  <c r="E206" i="42"/>
  <c r="E202" i="42"/>
  <c r="R202" i="42" s="1"/>
  <c r="E198" i="42"/>
  <c r="E194" i="42"/>
  <c r="R194" i="42" s="1"/>
  <c r="E190" i="42"/>
  <c r="E186" i="42"/>
  <c r="E182" i="42"/>
  <c r="E178" i="42"/>
  <c r="E174" i="42"/>
  <c r="E170" i="42"/>
  <c r="R170" i="42" s="1"/>
  <c r="E166" i="42"/>
  <c r="R166" i="42" s="1"/>
  <c r="E162" i="42"/>
  <c r="E158" i="42"/>
  <c r="E154" i="42"/>
  <c r="E150" i="42"/>
  <c r="E146" i="42"/>
  <c r="E142" i="42"/>
  <c r="E138" i="42"/>
  <c r="R138" i="42" s="1"/>
  <c r="E134" i="42"/>
  <c r="E130" i="42"/>
  <c r="R130" i="42" s="1"/>
  <c r="E126" i="42"/>
  <c r="E122" i="42"/>
  <c r="E118" i="42"/>
  <c r="E114" i="42"/>
  <c r="E110" i="42"/>
  <c r="E106" i="42"/>
  <c r="R106" i="42" s="1"/>
  <c r="E102" i="42"/>
  <c r="R102" i="42" s="1"/>
  <c r="E98" i="42"/>
  <c r="E277" i="42"/>
  <c r="E256" i="42"/>
  <c r="E240" i="42"/>
  <c r="E224" i="42"/>
  <c r="E213" i="42"/>
  <c r="E209" i="42"/>
  <c r="E205" i="42"/>
  <c r="E201" i="42"/>
  <c r="E197" i="42"/>
  <c r="E193" i="42"/>
  <c r="R193" i="42" s="1"/>
  <c r="E189" i="42"/>
  <c r="E185" i="42"/>
  <c r="E181" i="42"/>
  <c r="E177" i="42"/>
  <c r="R177" i="42" s="1"/>
  <c r="E173" i="42"/>
  <c r="R173" i="42" s="1"/>
  <c r="E169" i="42"/>
  <c r="R169" i="42" s="1"/>
  <c r="E165" i="42"/>
  <c r="E161" i="42"/>
  <c r="E157" i="42"/>
  <c r="E153" i="42"/>
  <c r="E149" i="42"/>
  <c r="E145" i="42"/>
  <c r="E141" i="42"/>
  <c r="E137" i="42"/>
  <c r="E133" i="42"/>
  <c r="E129" i="42"/>
  <c r="R129" i="42" s="1"/>
  <c r="E125" i="42"/>
  <c r="E121" i="42"/>
  <c r="E117" i="42"/>
  <c r="E113" i="42"/>
  <c r="R113" i="42" s="1"/>
  <c r="E109" i="42"/>
  <c r="R109" i="42" s="1"/>
  <c r="E105" i="42"/>
  <c r="R105" i="42" s="1"/>
  <c r="E101" i="42"/>
  <c r="E97" i="42"/>
  <c r="E268" i="42"/>
  <c r="E216" i="42"/>
  <c r="E200" i="42"/>
  <c r="E184" i="42"/>
  <c r="E168" i="42"/>
  <c r="E152" i="42"/>
  <c r="E136" i="42"/>
  <c r="E120" i="42"/>
  <c r="E104" i="42"/>
  <c r="E94" i="42"/>
  <c r="E90" i="42"/>
  <c r="E252" i="42"/>
  <c r="R252" i="42" s="1"/>
  <c r="E212" i="42"/>
  <c r="R212" i="42" s="1"/>
  <c r="E196" i="42"/>
  <c r="E180" i="42"/>
  <c r="E164" i="42"/>
  <c r="R164" i="42" s="1"/>
  <c r="E269" i="42"/>
  <c r="E220" i="42"/>
  <c r="E204" i="42"/>
  <c r="E188" i="42"/>
  <c r="R188" i="42" s="1"/>
  <c r="E172" i="42"/>
  <c r="E156" i="42"/>
  <c r="R156" i="42" s="1"/>
  <c r="E140" i="42"/>
  <c r="E124" i="42"/>
  <c r="E108" i="42"/>
  <c r="E208" i="42"/>
  <c r="E148" i="42"/>
  <c r="E116" i="42"/>
  <c r="E93" i="42"/>
  <c r="E92" i="42"/>
  <c r="R92" i="42" s="1"/>
  <c r="E91" i="42"/>
  <c r="E86" i="42"/>
  <c r="E82" i="42"/>
  <c r="R82" i="42" s="1"/>
  <c r="E78" i="42"/>
  <c r="E74" i="42"/>
  <c r="E70" i="42"/>
  <c r="E66" i="42"/>
  <c r="R66" i="42" s="1"/>
  <c r="E62" i="42"/>
  <c r="R62" i="42" s="1"/>
  <c r="E58" i="42"/>
  <c r="E54" i="42"/>
  <c r="E50" i="42"/>
  <c r="E46" i="42"/>
  <c r="E42" i="42"/>
  <c r="E38" i="42"/>
  <c r="R38" i="42" s="1"/>
  <c r="E16" i="42"/>
  <c r="E12" i="42"/>
  <c r="E8" i="42"/>
  <c r="E7" i="42"/>
  <c r="E144" i="42"/>
  <c r="E75" i="42"/>
  <c r="E71" i="42"/>
  <c r="E51" i="42"/>
  <c r="R51" i="42" s="1"/>
  <c r="E236" i="42"/>
  <c r="E192" i="42"/>
  <c r="E160" i="42"/>
  <c r="E128" i="42"/>
  <c r="E96" i="42"/>
  <c r="E85" i="42"/>
  <c r="E81" i="42"/>
  <c r="E77" i="42"/>
  <c r="E73" i="42"/>
  <c r="E69" i="42"/>
  <c r="E65" i="42"/>
  <c r="E61" i="42"/>
  <c r="E57" i="42"/>
  <c r="E53" i="42"/>
  <c r="E49" i="42"/>
  <c r="E45" i="42"/>
  <c r="R45" i="42" s="1"/>
  <c r="E41" i="42"/>
  <c r="E37" i="42"/>
  <c r="E36" i="42"/>
  <c r="E35" i="42"/>
  <c r="E34" i="42"/>
  <c r="E33" i="42"/>
  <c r="E32" i="42"/>
  <c r="E31" i="42"/>
  <c r="R31" i="42" s="1"/>
  <c r="E30" i="42"/>
  <c r="E29" i="42"/>
  <c r="E28" i="42"/>
  <c r="E27" i="42"/>
  <c r="E26" i="42"/>
  <c r="E25" i="42"/>
  <c r="E24" i="42"/>
  <c r="E23" i="42"/>
  <c r="E22" i="42"/>
  <c r="E21" i="42"/>
  <c r="E20" i="42"/>
  <c r="E19" i="42"/>
  <c r="E15" i="42"/>
  <c r="E11" i="42"/>
  <c r="E112" i="42"/>
  <c r="E88" i="42"/>
  <c r="E83" i="42"/>
  <c r="E79" i="42"/>
  <c r="E67" i="42"/>
  <c r="E63" i="42"/>
  <c r="E39" i="42"/>
  <c r="E9" i="42"/>
  <c r="E176" i="42"/>
  <c r="E132" i="42"/>
  <c r="E100" i="42"/>
  <c r="E84" i="42"/>
  <c r="E80" i="42"/>
  <c r="E76" i="42"/>
  <c r="E72" i="42"/>
  <c r="E68" i="42"/>
  <c r="E64" i="42"/>
  <c r="E60" i="42"/>
  <c r="E56" i="42"/>
  <c r="E52" i="42"/>
  <c r="E48" i="42"/>
  <c r="E44" i="42"/>
  <c r="E40" i="42"/>
  <c r="E18" i="42"/>
  <c r="E14" i="42"/>
  <c r="E10" i="42"/>
  <c r="E89" i="42"/>
  <c r="E87" i="42"/>
  <c r="E59" i="42"/>
  <c r="E55" i="42"/>
  <c r="E47" i="42"/>
  <c r="E43" i="42"/>
  <c r="E17" i="42"/>
  <c r="E13" i="42"/>
  <c r="F12" i="2"/>
  <c r="G12" i="2" s="1"/>
  <c r="Y2" i="31"/>
  <c r="E116" i="31"/>
  <c r="R116" i="31" s="1"/>
  <c r="S116" i="31" s="1"/>
  <c r="E287" i="31"/>
  <c r="R287" i="31" s="1"/>
  <c r="S287" i="31" s="1"/>
  <c r="E204" i="31"/>
  <c r="R204" i="31" s="1"/>
  <c r="S204" i="31" s="1"/>
  <c r="E137" i="31"/>
  <c r="R137" i="31" s="1"/>
  <c r="S137" i="31" s="1"/>
  <c r="E38" i="31"/>
  <c r="R38" i="31" s="1"/>
  <c r="S38" i="31" s="1"/>
  <c r="F5" i="2"/>
  <c r="G5" i="2" s="1"/>
  <c r="E361" i="31"/>
  <c r="R361" i="31" s="1"/>
  <c r="S361" i="31" s="1"/>
  <c r="E270" i="31"/>
  <c r="R270" i="31" s="1"/>
  <c r="S270" i="31" s="1"/>
  <c r="E175" i="31"/>
  <c r="R175" i="31" s="1"/>
  <c r="S175" i="31" s="1"/>
  <c r="E21" i="31"/>
  <c r="R21" i="31" s="1"/>
  <c r="S21" i="31" s="1"/>
  <c r="E288" i="31"/>
  <c r="R288" i="31" s="1"/>
  <c r="S288" i="31" s="1"/>
  <c r="E249" i="31"/>
  <c r="R249" i="31" s="1"/>
  <c r="S249" i="31" s="1"/>
  <c r="E158" i="31"/>
  <c r="R158" i="31" s="1"/>
  <c r="S158" i="31" s="1"/>
  <c r="E59" i="31"/>
  <c r="R59" i="31" s="1"/>
  <c r="S59" i="31" s="1"/>
  <c r="E224" i="31"/>
  <c r="R224" i="31" s="1"/>
  <c r="S224" i="31" s="1"/>
  <c r="E32" i="31"/>
  <c r="R32" i="31" s="1"/>
  <c r="S32" i="31" s="1"/>
  <c r="E53" i="31"/>
  <c r="R53" i="31" s="1"/>
  <c r="S53" i="31" s="1"/>
  <c r="E182" i="31"/>
  <c r="R182" i="31" s="1"/>
  <c r="S182" i="31" s="1"/>
  <c r="E315" i="31"/>
  <c r="R315" i="31" s="1"/>
  <c r="S315" i="31" s="1"/>
  <c r="E91" i="31"/>
  <c r="R91" i="31" s="1"/>
  <c r="S91" i="31" s="1"/>
  <c r="E160" i="31"/>
  <c r="R160" i="31" s="1"/>
  <c r="S160" i="31" s="1"/>
  <c r="E189" i="31"/>
  <c r="R189" i="31" s="1"/>
  <c r="S189" i="31" s="1"/>
  <c r="E326" i="31"/>
  <c r="R326" i="31" s="1"/>
  <c r="S326" i="31" s="1"/>
  <c r="E98" i="31"/>
  <c r="R98" i="31" s="1"/>
  <c r="S98" i="31" s="1"/>
  <c r="E347" i="31"/>
  <c r="R347" i="31" s="1"/>
  <c r="S347" i="31" s="1"/>
  <c r="E231" i="31"/>
  <c r="R231" i="31" s="1"/>
  <c r="S231" i="31" s="1"/>
  <c r="E119" i="31"/>
  <c r="R119" i="31" s="1"/>
  <c r="S119" i="31" s="1"/>
  <c r="E312" i="31"/>
  <c r="R312" i="31" s="1"/>
  <c r="S312" i="31" s="1"/>
  <c r="E140" i="31"/>
  <c r="R140" i="31" s="1"/>
  <c r="S140" i="31" s="1"/>
  <c r="E277" i="31"/>
  <c r="R277" i="31" s="1"/>
  <c r="S277" i="31" s="1"/>
  <c r="E165" i="31"/>
  <c r="R165" i="31" s="1"/>
  <c r="S165" i="31" s="1"/>
  <c r="E294" i="31"/>
  <c r="R294" i="31" s="1"/>
  <c r="S294" i="31" s="1"/>
  <c r="E70" i="31"/>
  <c r="R70" i="31" s="1"/>
  <c r="S70" i="31" s="1"/>
  <c r="E203" i="31"/>
  <c r="R203" i="31" s="1"/>
  <c r="S203" i="31" s="1"/>
  <c r="E332" i="31"/>
  <c r="R332" i="31" s="1"/>
  <c r="S332" i="31" s="1"/>
  <c r="E248" i="31"/>
  <c r="R248" i="31" s="1"/>
  <c r="S248" i="31" s="1"/>
  <c r="E60" i="31"/>
  <c r="R60" i="31" s="1"/>
  <c r="S60" i="31" s="1"/>
  <c r="E309" i="31"/>
  <c r="R309" i="31" s="1"/>
  <c r="S309" i="31" s="1"/>
  <c r="E77" i="31"/>
  <c r="R77" i="31" s="1"/>
  <c r="S77" i="31" s="1"/>
  <c r="E210" i="31"/>
  <c r="R210" i="31" s="1"/>
  <c r="S210" i="31" s="1"/>
  <c r="E352" i="31"/>
  <c r="R352" i="31" s="1"/>
  <c r="S352" i="31" s="1"/>
  <c r="E268" i="31"/>
  <c r="R268" i="31" s="1"/>
  <c r="S268" i="31" s="1"/>
  <c r="E184" i="31"/>
  <c r="R184" i="31" s="1"/>
  <c r="S184" i="31" s="1"/>
  <c r="E84" i="31"/>
  <c r="R84" i="31" s="1"/>
  <c r="S84" i="31" s="1"/>
  <c r="E333" i="31"/>
  <c r="R333" i="31" s="1"/>
  <c r="S333" i="31" s="1"/>
  <c r="E221" i="31"/>
  <c r="R221" i="31" s="1"/>
  <c r="S221" i="31" s="1"/>
  <c r="E105" i="31"/>
  <c r="R105" i="31" s="1"/>
  <c r="S105" i="31" s="1"/>
  <c r="E354" i="31"/>
  <c r="R354" i="31" s="1"/>
  <c r="S354" i="31" s="1"/>
  <c r="E242" i="31"/>
  <c r="R242" i="31" s="1"/>
  <c r="S242" i="31" s="1"/>
  <c r="E126" i="31"/>
  <c r="R126" i="31" s="1"/>
  <c r="S126" i="31" s="1"/>
  <c r="E14" i="31"/>
  <c r="R14" i="31" s="1"/>
  <c r="S14" i="31" s="1"/>
  <c r="E263" i="31"/>
  <c r="R263" i="31" s="1"/>
  <c r="S263" i="31" s="1"/>
  <c r="E143" i="31"/>
  <c r="R143" i="31" s="1"/>
  <c r="S143" i="31" s="1"/>
  <c r="E31" i="31"/>
  <c r="R31" i="31" s="1"/>
  <c r="S31" i="31" s="1"/>
  <c r="E360" i="31"/>
  <c r="R360" i="31" s="1"/>
  <c r="S360" i="31" s="1"/>
  <c r="E316" i="31"/>
  <c r="R316" i="31" s="1"/>
  <c r="S316" i="31" s="1"/>
  <c r="E272" i="31"/>
  <c r="R272" i="31" s="1"/>
  <c r="S272" i="31" s="1"/>
  <c r="E252" i="31"/>
  <c r="R252" i="31" s="1"/>
  <c r="S252" i="31" s="1"/>
  <c r="E208" i="31"/>
  <c r="R208" i="31" s="1"/>
  <c r="S208" i="31" s="1"/>
  <c r="E168" i="31"/>
  <c r="R168" i="31" s="1"/>
  <c r="S168" i="31" s="1"/>
  <c r="E124" i="31"/>
  <c r="R124" i="31" s="1"/>
  <c r="S124" i="31" s="1"/>
  <c r="E64" i="31"/>
  <c r="R64" i="31" s="1"/>
  <c r="S64" i="31" s="1"/>
  <c r="E341" i="31"/>
  <c r="R341" i="31" s="1"/>
  <c r="S341" i="31" s="1"/>
  <c r="E285" i="31"/>
  <c r="R285" i="31" s="1"/>
  <c r="S285" i="31" s="1"/>
  <c r="E229" i="31"/>
  <c r="R229" i="31" s="1"/>
  <c r="S229" i="31" s="1"/>
  <c r="E169" i="31"/>
  <c r="R169" i="31" s="1"/>
  <c r="S169" i="31" s="1"/>
  <c r="E117" i="31"/>
  <c r="R117" i="31" s="1"/>
  <c r="S117" i="31" s="1"/>
  <c r="E57" i="31"/>
  <c r="R57" i="31" s="1"/>
  <c r="S57" i="31" s="1"/>
  <c r="E358" i="31"/>
  <c r="R358" i="31" s="1"/>
  <c r="S358" i="31" s="1"/>
  <c r="E306" i="31"/>
  <c r="R306" i="31" s="1"/>
  <c r="S306" i="31" s="1"/>
  <c r="E246" i="31"/>
  <c r="R246" i="31" s="1"/>
  <c r="S246" i="31" s="1"/>
  <c r="E190" i="31"/>
  <c r="R190" i="31" s="1"/>
  <c r="S190" i="31" s="1"/>
  <c r="E134" i="31"/>
  <c r="R134" i="31" s="1"/>
  <c r="S134" i="31" s="1"/>
  <c r="E78" i="31"/>
  <c r="R78" i="31" s="1"/>
  <c r="S78" i="31" s="1"/>
  <c r="E18" i="31"/>
  <c r="R18" i="31" s="1"/>
  <c r="S18" i="31" s="1"/>
  <c r="E327" i="31"/>
  <c r="R327" i="31" s="1"/>
  <c r="S327" i="31" s="1"/>
  <c r="E267" i="31"/>
  <c r="R267" i="31" s="1"/>
  <c r="S267" i="31" s="1"/>
  <c r="E207" i="31"/>
  <c r="R207" i="31" s="1"/>
  <c r="S207" i="31" s="1"/>
  <c r="E155" i="31"/>
  <c r="R155" i="31" s="1"/>
  <c r="S155" i="31" s="1"/>
  <c r="E95" i="31"/>
  <c r="R95" i="31" s="1"/>
  <c r="S95" i="31" s="1"/>
  <c r="E39" i="31"/>
  <c r="R39" i="31" s="1"/>
  <c r="S39" i="31" s="1"/>
  <c r="E364" i="31"/>
  <c r="R364" i="31" s="1"/>
  <c r="S364" i="31" s="1"/>
  <c r="E344" i="31"/>
  <c r="R344" i="31" s="1"/>
  <c r="S344" i="31" s="1"/>
  <c r="E320" i="31"/>
  <c r="R320" i="31" s="1"/>
  <c r="S320" i="31" s="1"/>
  <c r="E300" i="31"/>
  <c r="R300" i="31" s="1"/>
  <c r="S300" i="31" s="1"/>
  <c r="E280" i="31"/>
  <c r="R280" i="31" s="1"/>
  <c r="S280" i="31" s="1"/>
  <c r="E256" i="31"/>
  <c r="R256" i="31" s="1"/>
  <c r="S256" i="31" s="1"/>
  <c r="E236" i="31"/>
  <c r="R236" i="31" s="1"/>
  <c r="S236" i="31" s="1"/>
  <c r="E216" i="31"/>
  <c r="R216" i="31" s="1"/>
  <c r="S216" i="31" s="1"/>
  <c r="E192" i="31"/>
  <c r="R192" i="31" s="1"/>
  <c r="S192" i="31" s="1"/>
  <c r="E172" i="31"/>
  <c r="R172" i="31" s="1"/>
  <c r="S172" i="31" s="1"/>
  <c r="E152" i="31"/>
  <c r="R152" i="31" s="1"/>
  <c r="S152" i="31" s="1"/>
  <c r="E128" i="31"/>
  <c r="R128" i="31" s="1"/>
  <c r="S128" i="31" s="1"/>
  <c r="E100" i="31"/>
  <c r="R100" i="31" s="1"/>
  <c r="S100" i="31" s="1"/>
  <c r="E76" i="31"/>
  <c r="R76" i="31" s="1"/>
  <c r="S76" i="31" s="1"/>
  <c r="E44" i="31"/>
  <c r="R44" i="31" s="1"/>
  <c r="S44" i="31" s="1"/>
  <c r="E16" i="31"/>
  <c r="R16" i="31" s="1"/>
  <c r="S16" i="31" s="1"/>
  <c r="E349" i="31"/>
  <c r="R349" i="31" s="1"/>
  <c r="S349" i="31" s="1"/>
  <c r="E317" i="31"/>
  <c r="R317" i="31" s="1"/>
  <c r="S317" i="31" s="1"/>
  <c r="E293" i="31"/>
  <c r="R293" i="31" s="1"/>
  <c r="S293" i="31" s="1"/>
  <c r="E265" i="31"/>
  <c r="R265" i="31" s="1"/>
  <c r="S265" i="31" s="1"/>
  <c r="E233" i="31"/>
  <c r="R233" i="31" s="1"/>
  <c r="S233" i="31" s="1"/>
  <c r="E205" i="31"/>
  <c r="R205" i="31" s="1"/>
  <c r="S205" i="31" s="1"/>
  <c r="E181" i="31"/>
  <c r="R181" i="31" s="1"/>
  <c r="S181" i="31" s="1"/>
  <c r="E149" i="31"/>
  <c r="R149" i="31" s="1"/>
  <c r="S149" i="31" s="1"/>
  <c r="E121" i="31"/>
  <c r="R121" i="31" s="1"/>
  <c r="S121" i="31" s="1"/>
  <c r="E93" i="31"/>
  <c r="R93" i="31" s="1"/>
  <c r="S93" i="31" s="1"/>
  <c r="E61" i="31"/>
  <c r="R61" i="31" s="1"/>
  <c r="S61" i="31" s="1"/>
  <c r="E37" i="31"/>
  <c r="R37" i="31" s="1"/>
  <c r="S37" i="31" s="1"/>
  <c r="E9" i="31"/>
  <c r="R9" i="31" s="1"/>
  <c r="S9" i="31" s="1"/>
  <c r="E338" i="31"/>
  <c r="R338" i="31" s="1"/>
  <c r="S338" i="31" s="1"/>
  <c r="E310" i="31"/>
  <c r="R310" i="31" s="1"/>
  <c r="S310" i="31" s="1"/>
  <c r="E286" i="31"/>
  <c r="R286" i="31" s="1"/>
  <c r="S286" i="31" s="1"/>
  <c r="E254" i="31"/>
  <c r="R254" i="31" s="1"/>
  <c r="S254" i="31" s="1"/>
  <c r="E226" i="31"/>
  <c r="R226" i="31" s="1"/>
  <c r="S226" i="31" s="1"/>
  <c r="E198" i="31"/>
  <c r="R198" i="31" s="1"/>
  <c r="S198" i="31" s="1"/>
  <c r="E166" i="31"/>
  <c r="R166" i="31" s="1"/>
  <c r="S166" i="31" s="1"/>
  <c r="E142" i="31"/>
  <c r="R142" i="31" s="1"/>
  <c r="S142" i="31" s="1"/>
  <c r="E114" i="31"/>
  <c r="R114" i="31" s="1"/>
  <c r="S114" i="31" s="1"/>
  <c r="E82" i="31"/>
  <c r="R82" i="31" s="1"/>
  <c r="S82" i="31" s="1"/>
  <c r="E54" i="31"/>
  <c r="R54" i="31" s="1"/>
  <c r="S54" i="31" s="1"/>
  <c r="E30" i="31"/>
  <c r="R30" i="31" s="1"/>
  <c r="S30" i="31" s="1"/>
  <c r="E359" i="31"/>
  <c r="R359" i="31" s="1"/>
  <c r="S359" i="31" s="1"/>
  <c r="E331" i="31"/>
  <c r="R331" i="31" s="1"/>
  <c r="S331" i="31" s="1"/>
  <c r="E303" i="31"/>
  <c r="R303" i="31" s="1"/>
  <c r="S303" i="31" s="1"/>
  <c r="E271" i="31"/>
  <c r="R271" i="31" s="1"/>
  <c r="S271" i="31" s="1"/>
  <c r="E247" i="31"/>
  <c r="R247" i="31" s="1"/>
  <c r="S247" i="31" s="1"/>
  <c r="E219" i="31"/>
  <c r="R219" i="31" s="1"/>
  <c r="S219" i="31" s="1"/>
  <c r="E187" i="31"/>
  <c r="R187" i="31" s="1"/>
  <c r="S187" i="31" s="1"/>
  <c r="E159" i="31"/>
  <c r="R159" i="31" s="1"/>
  <c r="S159" i="31" s="1"/>
  <c r="E135" i="31"/>
  <c r="R135" i="31" s="1"/>
  <c r="S135" i="31" s="1"/>
  <c r="E103" i="31"/>
  <c r="R103" i="31" s="1"/>
  <c r="S103" i="31" s="1"/>
  <c r="E75" i="31"/>
  <c r="R75" i="31" s="1"/>
  <c r="S75" i="31" s="1"/>
  <c r="E47" i="31"/>
  <c r="R47" i="31" s="1"/>
  <c r="S47" i="31" s="1"/>
  <c r="E15" i="31"/>
  <c r="R15" i="31" s="1"/>
  <c r="S15" i="31" s="1"/>
  <c r="E336" i="31"/>
  <c r="R336" i="31" s="1"/>
  <c r="S336" i="31" s="1"/>
  <c r="E296" i="31"/>
  <c r="R296" i="31" s="1"/>
  <c r="S296" i="31" s="1"/>
  <c r="E232" i="31"/>
  <c r="R232" i="31" s="1"/>
  <c r="S232" i="31" s="1"/>
  <c r="E188" i="31"/>
  <c r="R188" i="31" s="1"/>
  <c r="S188" i="31" s="1"/>
  <c r="E144" i="31"/>
  <c r="R144" i="31" s="1"/>
  <c r="S144" i="31" s="1"/>
  <c r="E96" i="31"/>
  <c r="R96" i="31" s="1"/>
  <c r="S96" i="31" s="1"/>
  <c r="E36" i="31"/>
  <c r="R36" i="31" s="1"/>
  <c r="S36" i="31" s="1"/>
  <c r="E12" i="31"/>
  <c r="R12" i="31" s="1"/>
  <c r="S12" i="31" s="1"/>
  <c r="E313" i="31"/>
  <c r="R313" i="31" s="1"/>
  <c r="S313" i="31" s="1"/>
  <c r="E253" i="31"/>
  <c r="R253" i="31" s="1"/>
  <c r="S253" i="31" s="1"/>
  <c r="E201" i="31"/>
  <c r="R201" i="31" s="1"/>
  <c r="S201" i="31" s="1"/>
  <c r="E141" i="31"/>
  <c r="R141" i="31" s="1"/>
  <c r="S141" i="31" s="1"/>
  <c r="E85" i="31"/>
  <c r="R85" i="31" s="1"/>
  <c r="S85" i="31" s="1"/>
  <c r="E29" i="31"/>
  <c r="R29" i="31" s="1"/>
  <c r="S29" i="31" s="1"/>
  <c r="E334" i="31"/>
  <c r="R334" i="31" s="1"/>
  <c r="S334" i="31" s="1"/>
  <c r="E274" i="31"/>
  <c r="R274" i="31" s="1"/>
  <c r="S274" i="31" s="1"/>
  <c r="E222" i="31"/>
  <c r="R222" i="31" s="1"/>
  <c r="S222" i="31" s="1"/>
  <c r="E162" i="31"/>
  <c r="R162" i="31" s="1"/>
  <c r="S162" i="31" s="1"/>
  <c r="E102" i="31"/>
  <c r="R102" i="31" s="1"/>
  <c r="S102" i="31" s="1"/>
  <c r="E50" i="31"/>
  <c r="R50" i="31" s="1"/>
  <c r="S50" i="31" s="1"/>
  <c r="E351" i="31"/>
  <c r="R351" i="31" s="1"/>
  <c r="S351" i="31" s="1"/>
  <c r="E295" i="31"/>
  <c r="R295" i="31" s="1"/>
  <c r="S295" i="31" s="1"/>
  <c r="E239" i="31"/>
  <c r="R239" i="31" s="1"/>
  <c r="S239" i="31" s="1"/>
  <c r="E183" i="31"/>
  <c r="R183" i="31" s="1"/>
  <c r="S183" i="31" s="1"/>
  <c r="E123" i="31"/>
  <c r="R123" i="31" s="1"/>
  <c r="S123" i="31" s="1"/>
  <c r="E71" i="31"/>
  <c r="R71" i="31" s="1"/>
  <c r="S71" i="31" s="1"/>
  <c r="E11" i="31"/>
  <c r="R11" i="31" s="1"/>
  <c r="S11" i="31" s="1"/>
  <c r="E348" i="31"/>
  <c r="R348" i="31" s="1"/>
  <c r="S348" i="31" s="1"/>
  <c r="E328" i="31"/>
  <c r="R328" i="31" s="1"/>
  <c r="S328" i="31" s="1"/>
  <c r="E304" i="31"/>
  <c r="R304" i="31" s="1"/>
  <c r="S304" i="31" s="1"/>
  <c r="E284" i="31"/>
  <c r="R284" i="31" s="1"/>
  <c r="S284" i="31" s="1"/>
  <c r="E264" i="31"/>
  <c r="R264" i="31" s="1"/>
  <c r="S264" i="31" s="1"/>
  <c r="E240" i="31"/>
  <c r="R240" i="31" s="1"/>
  <c r="S240" i="31" s="1"/>
  <c r="E220" i="31"/>
  <c r="R220" i="31" s="1"/>
  <c r="S220" i="31" s="1"/>
  <c r="E200" i="31"/>
  <c r="R200" i="31" s="1"/>
  <c r="S200" i="31" s="1"/>
  <c r="E176" i="31"/>
  <c r="R176" i="31" s="1"/>
  <c r="S176" i="31" s="1"/>
  <c r="E156" i="31"/>
  <c r="R156" i="31" s="1"/>
  <c r="S156" i="31" s="1"/>
  <c r="E136" i="31"/>
  <c r="R136" i="31" s="1"/>
  <c r="S136" i="31" s="1"/>
  <c r="E108" i="31"/>
  <c r="R108" i="31" s="1"/>
  <c r="S108" i="31" s="1"/>
  <c r="E80" i="31"/>
  <c r="R80" i="31" s="1"/>
  <c r="S80" i="31" s="1"/>
  <c r="E52" i="31"/>
  <c r="R52" i="31" s="1"/>
  <c r="S52" i="31" s="1"/>
  <c r="E20" i="31"/>
  <c r="R20" i="31" s="1"/>
  <c r="S20" i="31" s="1"/>
  <c r="E357" i="31"/>
  <c r="R357" i="31" s="1"/>
  <c r="S357" i="31" s="1"/>
  <c r="E329" i="31"/>
  <c r="R329" i="31" s="1"/>
  <c r="S329" i="31" s="1"/>
  <c r="E297" i="31"/>
  <c r="R297" i="31" s="1"/>
  <c r="S297" i="31" s="1"/>
  <c r="E269" i="31"/>
  <c r="R269" i="31" s="1"/>
  <c r="S269" i="31" s="1"/>
  <c r="E245" i="31"/>
  <c r="R245" i="31" s="1"/>
  <c r="S245" i="31" s="1"/>
  <c r="E213" i="31"/>
  <c r="R213" i="31" s="1"/>
  <c r="S213" i="31" s="1"/>
  <c r="E185" i="31"/>
  <c r="R185" i="31" s="1"/>
  <c r="S185" i="31" s="1"/>
  <c r="E157" i="31"/>
  <c r="R157" i="31" s="1"/>
  <c r="S157" i="31" s="1"/>
  <c r="E125" i="31"/>
  <c r="R125" i="31" s="1"/>
  <c r="S125" i="31" s="1"/>
  <c r="E101" i="31"/>
  <c r="R101" i="31" s="1"/>
  <c r="S101" i="31" s="1"/>
  <c r="E73" i="31"/>
  <c r="R73" i="31" s="1"/>
  <c r="S73" i="31" s="1"/>
  <c r="E41" i="31"/>
  <c r="R41" i="31" s="1"/>
  <c r="S41" i="31" s="1"/>
  <c r="E13" i="31"/>
  <c r="R13" i="31" s="1"/>
  <c r="S13" i="31" s="1"/>
  <c r="E350" i="31"/>
  <c r="R350" i="31" s="1"/>
  <c r="S350" i="31" s="1"/>
  <c r="E318" i="31"/>
  <c r="R318" i="31" s="1"/>
  <c r="S318" i="31" s="1"/>
  <c r="E290" i="31"/>
  <c r="R290" i="31" s="1"/>
  <c r="S290" i="31" s="1"/>
  <c r="E262" i="31"/>
  <c r="R262" i="31" s="1"/>
  <c r="S262" i="31" s="1"/>
  <c r="E230" i="31"/>
  <c r="R230" i="31" s="1"/>
  <c r="S230" i="31" s="1"/>
  <c r="E206" i="31"/>
  <c r="R206" i="31" s="1"/>
  <c r="S206" i="31" s="1"/>
  <c r="E178" i="31"/>
  <c r="R178" i="31" s="1"/>
  <c r="S178" i="31" s="1"/>
  <c r="E146" i="31"/>
  <c r="R146" i="31" s="1"/>
  <c r="S146" i="31" s="1"/>
  <c r="E118" i="31"/>
  <c r="R118" i="31" s="1"/>
  <c r="S118" i="31" s="1"/>
  <c r="E94" i="31"/>
  <c r="R94" i="31" s="1"/>
  <c r="S94" i="31" s="1"/>
  <c r="E62" i="31"/>
  <c r="R62" i="31" s="1"/>
  <c r="S62" i="31" s="1"/>
  <c r="E34" i="31"/>
  <c r="R34" i="31" s="1"/>
  <c r="S34" i="31" s="1"/>
  <c r="E367" i="31"/>
  <c r="R367" i="31" s="1"/>
  <c r="S367" i="31" s="1"/>
  <c r="E335" i="31"/>
  <c r="R335" i="31" s="1"/>
  <c r="S335" i="31" s="1"/>
  <c r="E311" i="31"/>
  <c r="R311" i="31" s="1"/>
  <c r="S311" i="31" s="1"/>
  <c r="E283" i="31"/>
  <c r="R283" i="31" s="1"/>
  <c r="S283" i="31" s="1"/>
  <c r="E251" i="31"/>
  <c r="R251" i="31" s="1"/>
  <c r="S251" i="31" s="1"/>
  <c r="E223" i="31"/>
  <c r="R223" i="31" s="1"/>
  <c r="S223" i="31" s="1"/>
  <c r="E199" i="31"/>
  <c r="R199" i="31" s="1"/>
  <c r="S199" i="31" s="1"/>
  <c r="E167" i="31"/>
  <c r="R167" i="31" s="1"/>
  <c r="S167" i="31" s="1"/>
  <c r="E139" i="31"/>
  <c r="R139" i="31" s="1"/>
  <c r="S139" i="31" s="1"/>
  <c r="E111" i="31"/>
  <c r="R111" i="31" s="1"/>
  <c r="S111" i="31" s="1"/>
  <c r="E79" i="31"/>
  <c r="R79" i="31" s="1"/>
  <c r="S79" i="31" s="1"/>
  <c r="E55" i="31"/>
  <c r="R55" i="31" s="1"/>
  <c r="S55" i="31" s="1"/>
  <c r="E27" i="31"/>
  <c r="R27" i="31" s="1"/>
  <c r="S27" i="31" s="1"/>
  <c r="E19" i="31"/>
  <c r="R19" i="31" s="1"/>
  <c r="S19" i="31" s="1"/>
  <c r="E35" i="31"/>
  <c r="R35" i="31" s="1"/>
  <c r="S35" i="31" s="1"/>
  <c r="E51" i="31"/>
  <c r="R51" i="31" s="1"/>
  <c r="S51" i="31" s="1"/>
  <c r="E67" i="31"/>
  <c r="R67" i="31" s="1"/>
  <c r="S67" i="31" s="1"/>
  <c r="E83" i="31"/>
  <c r="R83" i="31" s="1"/>
  <c r="S83" i="31" s="1"/>
  <c r="E99" i="31"/>
  <c r="R99" i="31" s="1"/>
  <c r="S99" i="31" s="1"/>
  <c r="E115" i="31"/>
  <c r="R115" i="31" s="1"/>
  <c r="S115" i="31" s="1"/>
  <c r="E131" i="31"/>
  <c r="R131" i="31" s="1"/>
  <c r="S131" i="31" s="1"/>
  <c r="E147" i="31"/>
  <c r="R147" i="31" s="1"/>
  <c r="S147" i="31" s="1"/>
  <c r="E163" i="31"/>
  <c r="R163" i="31" s="1"/>
  <c r="S163" i="31" s="1"/>
  <c r="E179" i="31"/>
  <c r="R179" i="31" s="1"/>
  <c r="S179" i="31" s="1"/>
  <c r="E195" i="31"/>
  <c r="R195" i="31" s="1"/>
  <c r="S195" i="31" s="1"/>
  <c r="E211" i="31"/>
  <c r="R211" i="31" s="1"/>
  <c r="S211" i="31" s="1"/>
  <c r="E227" i="31"/>
  <c r="R227" i="31" s="1"/>
  <c r="S227" i="31" s="1"/>
  <c r="E243" i="31"/>
  <c r="R243" i="31" s="1"/>
  <c r="S243" i="31" s="1"/>
  <c r="E259" i="31"/>
  <c r="R259" i="31" s="1"/>
  <c r="S259" i="31" s="1"/>
  <c r="E275" i="31"/>
  <c r="R275" i="31" s="1"/>
  <c r="S275" i="31" s="1"/>
  <c r="E291" i="31"/>
  <c r="R291" i="31" s="1"/>
  <c r="S291" i="31" s="1"/>
  <c r="E307" i="31"/>
  <c r="R307" i="31" s="1"/>
  <c r="S307" i="31" s="1"/>
  <c r="E323" i="31"/>
  <c r="R323" i="31" s="1"/>
  <c r="S323" i="31" s="1"/>
  <c r="E339" i="31"/>
  <c r="R339" i="31" s="1"/>
  <c r="S339" i="31" s="1"/>
  <c r="E355" i="31"/>
  <c r="R355" i="31" s="1"/>
  <c r="S355" i="31" s="1"/>
  <c r="E10" i="31"/>
  <c r="R10" i="31" s="1"/>
  <c r="S10" i="31" s="1"/>
  <c r="E26" i="31"/>
  <c r="R26" i="31" s="1"/>
  <c r="S26" i="31" s="1"/>
  <c r="E42" i="31"/>
  <c r="R42" i="31" s="1"/>
  <c r="S42" i="31" s="1"/>
  <c r="E58" i="31"/>
  <c r="R58" i="31" s="1"/>
  <c r="S58" i="31" s="1"/>
  <c r="E74" i="31"/>
  <c r="R74" i="31" s="1"/>
  <c r="S74" i="31" s="1"/>
  <c r="E90" i="31"/>
  <c r="R90" i="31" s="1"/>
  <c r="S90" i="31" s="1"/>
  <c r="E106" i="31"/>
  <c r="R106" i="31" s="1"/>
  <c r="S106" i="31" s="1"/>
  <c r="E122" i="31"/>
  <c r="R122" i="31" s="1"/>
  <c r="S122" i="31" s="1"/>
  <c r="E138" i="31"/>
  <c r="R138" i="31" s="1"/>
  <c r="S138" i="31" s="1"/>
  <c r="E154" i="31"/>
  <c r="R154" i="31" s="1"/>
  <c r="S154" i="31" s="1"/>
  <c r="E170" i="31"/>
  <c r="R170" i="31" s="1"/>
  <c r="S170" i="31" s="1"/>
  <c r="E186" i="31"/>
  <c r="R186" i="31" s="1"/>
  <c r="S186" i="31" s="1"/>
  <c r="E202" i="31"/>
  <c r="R202" i="31" s="1"/>
  <c r="S202" i="31" s="1"/>
  <c r="E218" i="31"/>
  <c r="R218" i="31" s="1"/>
  <c r="S218" i="31" s="1"/>
  <c r="E234" i="31"/>
  <c r="R234" i="31" s="1"/>
  <c r="S234" i="31" s="1"/>
  <c r="E250" i="31"/>
  <c r="R250" i="31" s="1"/>
  <c r="S250" i="31" s="1"/>
  <c r="E266" i="31"/>
  <c r="R266" i="31" s="1"/>
  <c r="S266" i="31" s="1"/>
  <c r="E282" i="31"/>
  <c r="R282" i="31" s="1"/>
  <c r="S282" i="31" s="1"/>
  <c r="E298" i="31"/>
  <c r="R298" i="31" s="1"/>
  <c r="S298" i="31" s="1"/>
  <c r="E314" i="31"/>
  <c r="R314" i="31" s="1"/>
  <c r="S314" i="31" s="1"/>
  <c r="E330" i="31"/>
  <c r="R330" i="31" s="1"/>
  <c r="S330" i="31" s="1"/>
  <c r="E346" i="31"/>
  <c r="R346" i="31" s="1"/>
  <c r="S346" i="31" s="1"/>
  <c r="E362" i="31"/>
  <c r="R362" i="31" s="1"/>
  <c r="S362" i="31" s="1"/>
  <c r="E17" i="31"/>
  <c r="R17" i="31" s="1"/>
  <c r="S17" i="31" s="1"/>
  <c r="E33" i="31"/>
  <c r="R33" i="31" s="1"/>
  <c r="S33" i="31" s="1"/>
  <c r="E49" i="31"/>
  <c r="R49" i="31" s="1"/>
  <c r="S49" i="31" s="1"/>
  <c r="E65" i="31"/>
  <c r="R65" i="31" s="1"/>
  <c r="S65" i="31" s="1"/>
  <c r="E81" i="31"/>
  <c r="R81" i="31" s="1"/>
  <c r="S81" i="31" s="1"/>
  <c r="E97" i="31"/>
  <c r="R97" i="31" s="1"/>
  <c r="S97" i="31" s="1"/>
  <c r="E113" i="31"/>
  <c r="R113" i="31" s="1"/>
  <c r="S113" i="31" s="1"/>
  <c r="E129" i="31"/>
  <c r="R129" i="31" s="1"/>
  <c r="S129" i="31" s="1"/>
  <c r="E145" i="31"/>
  <c r="R145" i="31" s="1"/>
  <c r="S145" i="31" s="1"/>
  <c r="E161" i="31"/>
  <c r="R161" i="31" s="1"/>
  <c r="S161" i="31" s="1"/>
  <c r="E177" i="31"/>
  <c r="R177" i="31" s="1"/>
  <c r="S177" i="31" s="1"/>
  <c r="E193" i="31"/>
  <c r="R193" i="31" s="1"/>
  <c r="S193" i="31" s="1"/>
  <c r="E209" i="31"/>
  <c r="R209" i="31" s="1"/>
  <c r="S209" i="31" s="1"/>
  <c r="E225" i="31"/>
  <c r="R225" i="31" s="1"/>
  <c r="S225" i="31" s="1"/>
  <c r="E241" i="31"/>
  <c r="R241" i="31" s="1"/>
  <c r="S241" i="31" s="1"/>
  <c r="E257" i="31"/>
  <c r="R257" i="31" s="1"/>
  <c r="S257" i="31" s="1"/>
  <c r="E273" i="31"/>
  <c r="R273" i="31" s="1"/>
  <c r="S273" i="31" s="1"/>
  <c r="E289" i="31"/>
  <c r="R289" i="31" s="1"/>
  <c r="S289" i="31" s="1"/>
  <c r="E305" i="31"/>
  <c r="R305" i="31" s="1"/>
  <c r="S305" i="31" s="1"/>
  <c r="E321" i="31"/>
  <c r="R321" i="31" s="1"/>
  <c r="S321" i="31" s="1"/>
  <c r="E337" i="31"/>
  <c r="R337" i="31" s="1"/>
  <c r="S337" i="31" s="1"/>
  <c r="E353" i="31"/>
  <c r="R353" i="31" s="1"/>
  <c r="S353" i="31" s="1"/>
  <c r="E8" i="31"/>
  <c r="R8" i="31" s="1"/>
  <c r="S8" i="31" s="1"/>
  <c r="E24" i="31"/>
  <c r="R24" i="31" s="1"/>
  <c r="S24" i="31" s="1"/>
  <c r="E40" i="31"/>
  <c r="R40" i="31" s="1"/>
  <c r="S40" i="31" s="1"/>
  <c r="E56" i="31"/>
  <c r="R56" i="31" s="1"/>
  <c r="S56" i="31" s="1"/>
  <c r="E72" i="31"/>
  <c r="R72" i="31" s="1"/>
  <c r="S72" i="31" s="1"/>
  <c r="E88" i="31"/>
  <c r="R88" i="31" s="1"/>
  <c r="S88" i="31" s="1"/>
  <c r="E104" i="31"/>
  <c r="R104" i="31" s="1"/>
  <c r="S104" i="31" s="1"/>
  <c r="E120" i="31"/>
  <c r="R120" i="31" s="1"/>
  <c r="S120" i="31" s="1"/>
  <c r="E7" i="31"/>
  <c r="R7" i="31" s="1"/>
  <c r="S7" i="31" s="1"/>
  <c r="E356" i="31"/>
  <c r="R356" i="31" s="1"/>
  <c r="S356" i="31" s="1"/>
  <c r="E340" i="31"/>
  <c r="R340" i="31" s="1"/>
  <c r="S340" i="31" s="1"/>
  <c r="E324" i="31"/>
  <c r="R324" i="31" s="1"/>
  <c r="S324" i="31" s="1"/>
  <c r="E308" i="31"/>
  <c r="R308" i="31" s="1"/>
  <c r="S308" i="31" s="1"/>
  <c r="E292" i="31"/>
  <c r="R292" i="31" s="1"/>
  <c r="S292" i="31" s="1"/>
  <c r="E276" i="31"/>
  <c r="R276" i="31" s="1"/>
  <c r="S276" i="31" s="1"/>
  <c r="E260" i="31"/>
  <c r="R260" i="31" s="1"/>
  <c r="S260" i="31" s="1"/>
  <c r="E244" i="31"/>
  <c r="R244" i="31" s="1"/>
  <c r="S244" i="31" s="1"/>
  <c r="E228" i="31"/>
  <c r="R228" i="31" s="1"/>
  <c r="S228" i="31" s="1"/>
  <c r="E212" i="31"/>
  <c r="R212" i="31" s="1"/>
  <c r="S212" i="31" s="1"/>
  <c r="E196" i="31"/>
  <c r="R196" i="31" s="1"/>
  <c r="S196" i="31" s="1"/>
  <c r="E180" i="31"/>
  <c r="R180" i="31" s="1"/>
  <c r="S180" i="31" s="1"/>
  <c r="E164" i="31"/>
  <c r="R164" i="31" s="1"/>
  <c r="S164" i="31" s="1"/>
  <c r="E148" i="31"/>
  <c r="R148" i="31" s="1"/>
  <c r="S148" i="31" s="1"/>
  <c r="E132" i="31"/>
  <c r="R132" i="31" s="1"/>
  <c r="S132" i="31" s="1"/>
  <c r="E112" i="31"/>
  <c r="R112" i="31" s="1"/>
  <c r="S112" i="31" s="1"/>
  <c r="E92" i="31"/>
  <c r="R92" i="31" s="1"/>
  <c r="S92" i="31" s="1"/>
  <c r="E68" i="31"/>
  <c r="R68" i="31" s="1"/>
  <c r="S68" i="31" s="1"/>
  <c r="E48" i="31"/>
  <c r="R48" i="31" s="1"/>
  <c r="S48" i="31" s="1"/>
  <c r="E28" i="31"/>
  <c r="R28" i="31" s="1"/>
  <c r="S28" i="31" s="1"/>
  <c r="E365" i="31"/>
  <c r="R365" i="31" s="1"/>
  <c r="S365" i="31" s="1"/>
  <c r="E345" i="31"/>
  <c r="R345" i="31" s="1"/>
  <c r="S345" i="31" s="1"/>
  <c r="E325" i="31"/>
  <c r="R325" i="31" s="1"/>
  <c r="S325" i="31" s="1"/>
  <c r="E301" i="31"/>
  <c r="R301" i="31" s="1"/>
  <c r="S301" i="31" s="1"/>
  <c r="E281" i="31"/>
  <c r="R281" i="31" s="1"/>
  <c r="S281" i="31" s="1"/>
  <c r="E261" i="31"/>
  <c r="R261" i="31" s="1"/>
  <c r="S261" i="31" s="1"/>
  <c r="E237" i="31"/>
  <c r="R237" i="31" s="1"/>
  <c r="S237" i="31" s="1"/>
  <c r="E217" i="31"/>
  <c r="R217" i="31" s="1"/>
  <c r="S217" i="31" s="1"/>
  <c r="E197" i="31"/>
  <c r="R197" i="31" s="1"/>
  <c r="S197" i="31" s="1"/>
  <c r="E173" i="31"/>
  <c r="R173" i="31" s="1"/>
  <c r="S173" i="31" s="1"/>
  <c r="E153" i="31"/>
  <c r="R153" i="31" s="1"/>
  <c r="S153" i="31" s="1"/>
  <c r="E133" i="31"/>
  <c r="R133" i="31" s="1"/>
  <c r="S133" i="31" s="1"/>
  <c r="E109" i="31"/>
  <c r="R109" i="31" s="1"/>
  <c r="S109" i="31" s="1"/>
  <c r="E89" i="31"/>
  <c r="R89" i="31" s="1"/>
  <c r="S89" i="31" s="1"/>
  <c r="E69" i="31"/>
  <c r="R69" i="31" s="1"/>
  <c r="S69" i="31" s="1"/>
  <c r="E45" i="31"/>
  <c r="R45" i="31" s="1"/>
  <c r="S45" i="31" s="1"/>
  <c r="E25" i="31"/>
  <c r="R25" i="31" s="1"/>
  <c r="S25" i="31" s="1"/>
  <c r="E366" i="31"/>
  <c r="R366" i="31" s="1"/>
  <c r="S366" i="31" s="1"/>
  <c r="E342" i="31"/>
  <c r="R342" i="31" s="1"/>
  <c r="S342" i="31" s="1"/>
  <c r="E322" i="31"/>
  <c r="R322" i="31" s="1"/>
  <c r="S322" i="31" s="1"/>
  <c r="E302" i="31"/>
  <c r="R302" i="31" s="1"/>
  <c r="S302" i="31" s="1"/>
  <c r="E278" i="31"/>
  <c r="R278" i="31" s="1"/>
  <c r="S278" i="31" s="1"/>
  <c r="E258" i="31"/>
  <c r="R258" i="31" s="1"/>
  <c r="S258" i="31" s="1"/>
  <c r="E238" i="31"/>
  <c r="R238" i="31" s="1"/>
  <c r="S238" i="31" s="1"/>
  <c r="E214" i="31"/>
  <c r="R214" i="31" s="1"/>
  <c r="S214" i="31" s="1"/>
  <c r="E194" i="31"/>
  <c r="R194" i="31" s="1"/>
  <c r="S194" i="31" s="1"/>
  <c r="E174" i="31"/>
  <c r="R174" i="31" s="1"/>
  <c r="S174" i="31" s="1"/>
  <c r="E150" i="31"/>
  <c r="R150" i="31" s="1"/>
  <c r="S150" i="31" s="1"/>
  <c r="E130" i="31"/>
  <c r="R130" i="31" s="1"/>
  <c r="S130" i="31" s="1"/>
  <c r="E110" i="31"/>
  <c r="R110" i="31" s="1"/>
  <c r="S110" i="31" s="1"/>
  <c r="E86" i="31"/>
  <c r="R86" i="31" s="1"/>
  <c r="S86" i="31" s="1"/>
  <c r="E66" i="31"/>
  <c r="R66" i="31" s="1"/>
  <c r="S66" i="31" s="1"/>
  <c r="E46" i="31"/>
  <c r="R46" i="31" s="1"/>
  <c r="S46" i="31" s="1"/>
  <c r="E22" i="31"/>
  <c r="R22" i="31" s="1"/>
  <c r="S22" i="31" s="1"/>
  <c r="E363" i="31"/>
  <c r="R363" i="31" s="1"/>
  <c r="S363" i="31" s="1"/>
  <c r="E343" i="31"/>
  <c r="R343" i="31" s="1"/>
  <c r="S343" i="31" s="1"/>
  <c r="E319" i="31"/>
  <c r="R319" i="31" s="1"/>
  <c r="S319" i="31" s="1"/>
  <c r="E299" i="31"/>
  <c r="R299" i="31" s="1"/>
  <c r="S299" i="31" s="1"/>
  <c r="E279" i="31"/>
  <c r="R279" i="31" s="1"/>
  <c r="S279" i="31" s="1"/>
  <c r="E255" i="31"/>
  <c r="R255" i="31" s="1"/>
  <c r="S255" i="31" s="1"/>
  <c r="E235" i="31"/>
  <c r="R235" i="31" s="1"/>
  <c r="S235" i="31" s="1"/>
  <c r="E215" i="31"/>
  <c r="R215" i="31" s="1"/>
  <c r="S215" i="31" s="1"/>
  <c r="E191" i="31"/>
  <c r="R191" i="31" s="1"/>
  <c r="S191" i="31" s="1"/>
  <c r="E171" i="31"/>
  <c r="R171" i="31" s="1"/>
  <c r="S171" i="31" s="1"/>
  <c r="E151" i="31"/>
  <c r="R151" i="31" s="1"/>
  <c r="S151" i="31" s="1"/>
  <c r="E127" i="31"/>
  <c r="R127" i="31" s="1"/>
  <c r="S127" i="31" s="1"/>
  <c r="E107" i="31"/>
  <c r="R107" i="31" s="1"/>
  <c r="S107" i="31" s="1"/>
  <c r="E87" i="31"/>
  <c r="R87" i="31" s="1"/>
  <c r="S87" i="31" s="1"/>
  <c r="E63" i="31"/>
  <c r="R63" i="31" s="1"/>
  <c r="S63" i="31" s="1"/>
  <c r="E43" i="31"/>
  <c r="R43" i="31" s="1"/>
  <c r="S43" i="31" s="1"/>
  <c r="E23" i="31"/>
  <c r="R23" i="31" s="1"/>
  <c r="S23" i="31" s="1"/>
  <c r="C47" i="2"/>
  <c r="R47" i="42" l="1"/>
  <c r="S47" i="42" s="1"/>
  <c r="R40" i="42"/>
  <c r="S40" i="42" s="1"/>
  <c r="R72" i="42"/>
  <c r="S72" i="42" s="1"/>
  <c r="R39" i="42"/>
  <c r="S39" i="42" s="1"/>
  <c r="R15" i="42"/>
  <c r="S15" i="42" s="1"/>
  <c r="R55" i="42"/>
  <c r="S55" i="42" s="1"/>
  <c r="R44" i="42"/>
  <c r="S44" i="42" s="1"/>
  <c r="R76" i="42"/>
  <c r="S76" i="42" s="1"/>
  <c r="R63" i="42"/>
  <c r="S63" i="42" s="1"/>
  <c r="R19" i="42"/>
  <c r="S19" i="42" s="1"/>
  <c r="R27" i="42"/>
  <c r="S27" i="42" s="1"/>
  <c r="R35" i="42"/>
  <c r="S35" i="42" s="1"/>
  <c r="R61" i="42"/>
  <c r="S61" i="42" s="1"/>
  <c r="R128" i="42"/>
  <c r="S128" i="42" s="1"/>
  <c r="R54" i="42"/>
  <c r="S54" i="42" s="1"/>
  <c r="R59" i="42"/>
  <c r="S59" i="42" s="1"/>
  <c r="R48" i="42"/>
  <c r="S48" i="42" s="1"/>
  <c r="R80" i="42"/>
  <c r="S80" i="42" s="1"/>
  <c r="R67" i="42"/>
  <c r="S67" i="42" s="1"/>
  <c r="R20" i="42"/>
  <c r="S20" i="42" s="1"/>
  <c r="R28" i="42"/>
  <c r="S28" i="42" s="1"/>
  <c r="R36" i="42"/>
  <c r="S36" i="42" s="1"/>
  <c r="R65" i="42"/>
  <c r="S65" i="42" s="1"/>
  <c r="R160" i="42"/>
  <c r="S160" i="42" s="1"/>
  <c r="R58" i="42"/>
  <c r="S58" i="42" s="1"/>
  <c r="R91" i="42"/>
  <c r="S91" i="42" s="1"/>
  <c r="R140" i="42"/>
  <c r="S140" i="42" s="1"/>
  <c r="R180" i="42"/>
  <c r="S180" i="42" s="1"/>
  <c r="R136" i="42"/>
  <c r="S136" i="42" s="1"/>
  <c r="R101" i="42"/>
  <c r="S101" i="42" s="1"/>
  <c r="R133" i="42"/>
  <c r="S133" i="42" s="1"/>
  <c r="R165" i="42"/>
  <c r="S165" i="42" s="1"/>
  <c r="R197" i="42"/>
  <c r="S197" i="42" s="1"/>
  <c r="R277" i="42"/>
  <c r="S277" i="42" s="1"/>
  <c r="R126" i="42"/>
  <c r="S126" i="42" s="1"/>
  <c r="R158" i="42"/>
  <c r="S158" i="42" s="1"/>
  <c r="R190" i="42"/>
  <c r="S190" i="42" s="1"/>
  <c r="R244" i="42"/>
  <c r="S244" i="42" s="1"/>
  <c r="R107" i="42"/>
  <c r="S107" i="42" s="1"/>
  <c r="R139" i="42"/>
  <c r="S139" i="42" s="1"/>
  <c r="R171" i="42"/>
  <c r="S171" i="42" s="1"/>
  <c r="R203" i="42"/>
  <c r="S203" i="42" s="1"/>
  <c r="R217" i="42"/>
  <c r="S217" i="42" s="1"/>
  <c r="R249" i="42"/>
  <c r="S249" i="42" s="1"/>
  <c r="R317" i="42"/>
  <c r="S317" i="42" s="1"/>
  <c r="R246" i="42"/>
  <c r="S246" i="42" s="1"/>
  <c r="R87" i="42"/>
  <c r="S87" i="42" s="1"/>
  <c r="R52" i="42"/>
  <c r="S52" i="42" s="1"/>
  <c r="R84" i="42"/>
  <c r="S84" i="42" s="1"/>
  <c r="R79" i="42"/>
  <c r="S79" i="42" s="1"/>
  <c r="R21" i="42"/>
  <c r="S21" i="42" s="1"/>
  <c r="R29" i="42"/>
  <c r="S29" i="42" s="1"/>
  <c r="R37" i="42"/>
  <c r="S37" i="42" s="1"/>
  <c r="R69" i="42"/>
  <c r="S69" i="42" s="1"/>
  <c r="R192" i="42"/>
  <c r="S192" i="42" s="1"/>
  <c r="R12" i="42"/>
  <c r="S12" i="42" s="1"/>
  <c r="R89" i="42"/>
  <c r="S89" i="42" s="1"/>
  <c r="R56" i="42"/>
  <c r="S56" i="42" s="1"/>
  <c r="R100" i="42"/>
  <c r="S100" i="42" s="1"/>
  <c r="R83" i="42"/>
  <c r="S83" i="42" s="1"/>
  <c r="R22" i="42"/>
  <c r="S22" i="42" s="1"/>
  <c r="R30" i="42"/>
  <c r="S30" i="42" s="1"/>
  <c r="R41" i="42"/>
  <c r="S41" i="42" s="1"/>
  <c r="R73" i="42"/>
  <c r="S73" i="42" s="1"/>
  <c r="R236" i="42"/>
  <c r="S236" i="42" s="1"/>
  <c r="R16" i="42"/>
  <c r="S16" i="42" s="1"/>
  <c r="R13" i="42"/>
  <c r="S13" i="42" s="1"/>
  <c r="R10" i="42"/>
  <c r="S10" i="42" s="1"/>
  <c r="R60" i="42"/>
  <c r="S60" i="42" s="1"/>
  <c r="R132" i="42"/>
  <c r="S132" i="42" s="1"/>
  <c r="R88" i="42"/>
  <c r="S88" i="42" s="1"/>
  <c r="R23" i="42"/>
  <c r="S23" i="42" s="1"/>
  <c r="R17" i="42"/>
  <c r="S17" i="42" s="1"/>
  <c r="R14" i="42"/>
  <c r="S14" i="42" s="1"/>
  <c r="R64" i="42"/>
  <c r="S64" i="42" s="1"/>
  <c r="R176" i="42"/>
  <c r="S176" i="42" s="1"/>
  <c r="R112" i="42"/>
  <c r="S112" i="42" s="1"/>
  <c r="R24" i="42"/>
  <c r="S24" i="42" s="1"/>
  <c r="R32" i="42"/>
  <c r="S32" i="42" s="1"/>
  <c r="R49" i="42"/>
  <c r="S49" i="42" s="1"/>
  <c r="R81" i="42"/>
  <c r="S81" i="42" s="1"/>
  <c r="R71" i="42"/>
  <c r="S71" i="42" s="1"/>
  <c r="R42" i="42"/>
  <c r="S42" i="42" s="1"/>
  <c r="R74" i="42"/>
  <c r="S74" i="42" s="1"/>
  <c r="R148" i="42"/>
  <c r="S148" i="42" s="1"/>
  <c r="R204" i="42"/>
  <c r="S204" i="42" s="1"/>
  <c r="R90" i="42"/>
  <c r="S90" i="42" s="1"/>
  <c r="R200" i="42"/>
  <c r="S200" i="42" s="1"/>
  <c r="R117" i="42"/>
  <c r="S117" i="42" s="1"/>
  <c r="R149" i="42"/>
  <c r="S149" i="42" s="1"/>
  <c r="R181" i="42"/>
  <c r="S181" i="42" s="1"/>
  <c r="R213" i="42"/>
  <c r="S213" i="42" s="1"/>
  <c r="R110" i="42"/>
  <c r="S110" i="42" s="1"/>
  <c r="R142" i="42"/>
  <c r="S142" i="42" s="1"/>
  <c r="R174" i="42"/>
  <c r="S174" i="42" s="1"/>
  <c r="R206" i="42"/>
  <c r="S206" i="42" s="1"/>
  <c r="R338" i="42"/>
  <c r="S338" i="42" s="1"/>
  <c r="R123" i="42"/>
  <c r="S123" i="42" s="1"/>
  <c r="R155" i="42"/>
  <c r="S155" i="42" s="1"/>
  <c r="R187" i="42"/>
  <c r="S187" i="42" s="1"/>
  <c r="R232" i="42"/>
  <c r="S232" i="42" s="1"/>
  <c r="R233" i="42"/>
  <c r="S233" i="42" s="1"/>
  <c r="R43" i="42"/>
  <c r="S43" i="42" s="1"/>
  <c r="R18" i="42"/>
  <c r="S18" i="42" s="1"/>
  <c r="R68" i="42"/>
  <c r="S68" i="42" s="1"/>
  <c r="R9" i="42"/>
  <c r="S9" i="42" s="1"/>
  <c r="R11" i="42"/>
  <c r="S11" i="42" s="1"/>
  <c r="R25" i="42"/>
  <c r="S25" i="42" s="1"/>
  <c r="R33" i="42"/>
  <c r="S33" i="42" s="1"/>
  <c r="R325" i="42"/>
  <c r="S325" i="42" s="1"/>
  <c r="R347" i="42"/>
  <c r="S347" i="42" s="1"/>
  <c r="R210" i="42"/>
  <c r="S210" i="42" s="1"/>
  <c r="R146" i="42"/>
  <c r="S146" i="42" s="1"/>
  <c r="S82" i="42"/>
  <c r="R352" i="42"/>
  <c r="S352" i="42" s="1"/>
  <c r="R295" i="42"/>
  <c r="S295" i="42" s="1"/>
  <c r="R231" i="42"/>
  <c r="S231" i="42" s="1"/>
  <c r="R208" i="42"/>
  <c r="S208" i="42" s="1"/>
  <c r="R182" i="42"/>
  <c r="S182" i="42" s="1"/>
  <c r="R118" i="42"/>
  <c r="S118" i="42" s="1"/>
  <c r="R189" i="42"/>
  <c r="S189" i="42" s="1"/>
  <c r="R125" i="42"/>
  <c r="S125" i="42" s="1"/>
  <c r="R284" i="42"/>
  <c r="S284" i="42" s="1"/>
  <c r="R220" i="42"/>
  <c r="S220" i="42" s="1"/>
  <c r="R275" i="42"/>
  <c r="S275" i="42" s="1"/>
  <c r="R266" i="42"/>
  <c r="S266" i="42" s="1"/>
  <c r="R185" i="42"/>
  <c r="S185" i="42" s="1"/>
  <c r="R121" i="42"/>
  <c r="S121" i="42" s="1"/>
  <c r="R57" i="42"/>
  <c r="S57" i="42" s="1"/>
  <c r="S164" i="42"/>
  <c r="S129" i="42"/>
  <c r="S193" i="42"/>
  <c r="S228" i="42"/>
  <c r="S103" i="42"/>
  <c r="S167" i="42"/>
  <c r="S292" i="42"/>
  <c r="S239" i="42"/>
  <c r="S283" i="42"/>
  <c r="S310" i="42"/>
  <c r="S303" i="42"/>
  <c r="R351" i="42"/>
  <c r="S351" i="42" s="1"/>
  <c r="R159" i="42"/>
  <c r="S159" i="42" s="1"/>
  <c r="R95" i="42"/>
  <c r="S95" i="42" s="1"/>
  <c r="R366" i="42"/>
  <c r="S366" i="42" s="1"/>
  <c r="R302" i="42"/>
  <c r="S302" i="42" s="1"/>
  <c r="R238" i="42"/>
  <c r="S238" i="42" s="1"/>
  <c r="R46" i="42"/>
  <c r="S46" i="42" s="1"/>
  <c r="R256" i="42"/>
  <c r="S256" i="42" s="1"/>
  <c r="R245" i="42"/>
  <c r="S245" i="42" s="1"/>
  <c r="R53" i="42"/>
  <c r="S53" i="42" s="1"/>
  <c r="R276" i="42"/>
  <c r="S276" i="42" s="1"/>
  <c r="R267" i="42"/>
  <c r="S267" i="42" s="1"/>
  <c r="R75" i="42"/>
  <c r="S75" i="42" s="1"/>
  <c r="R296" i="42"/>
  <c r="S296" i="42" s="1"/>
  <c r="R241" i="42"/>
  <c r="S241" i="42" s="1"/>
  <c r="S280" i="42"/>
  <c r="S287" i="42"/>
  <c r="S330" i="42"/>
  <c r="R272" i="42"/>
  <c r="S272" i="42" s="1"/>
  <c r="R104" i="42"/>
  <c r="S104" i="42" s="1"/>
  <c r="R279" i="42"/>
  <c r="S279" i="42" s="1"/>
  <c r="R144" i="42"/>
  <c r="S144" i="42" s="1"/>
  <c r="R240" i="42"/>
  <c r="S240" i="42" s="1"/>
  <c r="R237" i="42"/>
  <c r="S237" i="42" s="1"/>
  <c r="R268" i="42"/>
  <c r="S268" i="42" s="1"/>
  <c r="R195" i="42"/>
  <c r="S195" i="42" s="1"/>
  <c r="R131" i="42"/>
  <c r="S131" i="42" s="1"/>
  <c r="R328" i="42"/>
  <c r="S328" i="42" s="1"/>
  <c r="R314" i="42"/>
  <c r="S314" i="42" s="1"/>
  <c r="R186" i="42"/>
  <c r="S186" i="42" s="1"/>
  <c r="R122" i="42"/>
  <c r="S122" i="42" s="1"/>
  <c r="S62" i="42"/>
  <c r="S92" i="42"/>
  <c r="S156" i="42"/>
  <c r="S105" i="42"/>
  <c r="S169" i="42"/>
  <c r="S130" i="42"/>
  <c r="S194" i="42"/>
  <c r="S111" i="42"/>
  <c r="S175" i="42"/>
  <c r="S253" i="42"/>
  <c r="S250" i="42"/>
  <c r="S305" i="42"/>
  <c r="S288" i="42"/>
  <c r="S294" i="42"/>
  <c r="S318" i="42"/>
  <c r="S348" i="42"/>
  <c r="S361" i="42"/>
  <c r="S359" i="42"/>
  <c r="R248" i="42"/>
  <c r="S248" i="42" s="1"/>
  <c r="R207" i="42"/>
  <c r="S207" i="42" s="1"/>
  <c r="R143" i="42"/>
  <c r="S143" i="42" s="1"/>
  <c r="R120" i="42"/>
  <c r="S120" i="42" s="1"/>
  <c r="R286" i="42"/>
  <c r="S286" i="42" s="1"/>
  <c r="R94" i="42"/>
  <c r="S94" i="42" s="1"/>
  <c r="R216" i="42"/>
  <c r="S216" i="42" s="1"/>
  <c r="R357" i="42"/>
  <c r="S357" i="42" s="1"/>
  <c r="R293" i="42"/>
  <c r="S293" i="42" s="1"/>
  <c r="R340" i="42"/>
  <c r="S340" i="42" s="1"/>
  <c r="R260" i="42"/>
  <c r="S260" i="42" s="1"/>
  <c r="R196" i="42"/>
  <c r="S196" i="42" s="1"/>
  <c r="R336" i="42"/>
  <c r="S336" i="42" s="1"/>
  <c r="R306" i="42"/>
  <c r="S306" i="42" s="1"/>
  <c r="R242" i="42"/>
  <c r="S242" i="42" s="1"/>
  <c r="R178" i="42"/>
  <c r="S178" i="42" s="1"/>
  <c r="R114" i="42"/>
  <c r="S114" i="42" s="1"/>
  <c r="R50" i="42"/>
  <c r="S50" i="42" s="1"/>
  <c r="R353" i="42"/>
  <c r="S353" i="42" s="1"/>
  <c r="R289" i="42"/>
  <c r="S289" i="42" s="1"/>
  <c r="R161" i="42"/>
  <c r="S161" i="42" s="1"/>
  <c r="R97" i="42"/>
  <c r="S97" i="42" s="1"/>
  <c r="S66" i="42"/>
  <c r="S212" i="42"/>
  <c r="S109" i="42"/>
  <c r="S173" i="42"/>
  <c r="S102" i="42"/>
  <c r="S166" i="42"/>
  <c r="S147" i="42"/>
  <c r="S211" i="42"/>
  <c r="S225" i="42"/>
  <c r="S257" i="42"/>
  <c r="S222" i="42"/>
  <c r="S254" i="42"/>
  <c r="S219" i="42"/>
  <c r="S251" i="42"/>
  <c r="S301" i="42"/>
  <c r="S309" i="42"/>
  <c r="S297" i="42"/>
  <c r="S322" i="42"/>
  <c r="S315" i="42"/>
  <c r="S312" i="42"/>
  <c r="S350" i="42"/>
  <c r="S356" i="42"/>
  <c r="S365" i="42"/>
  <c r="R224" i="42"/>
  <c r="S224" i="42" s="1"/>
  <c r="R327" i="42"/>
  <c r="S327" i="42" s="1"/>
  <c r="R263" i="42"/>
  <c r="S263" i="42" s="1"/>
  <c r="R199" i="42"/>
  <c r="S199" i="42" s="1"/>
  <c r="R135" i="42"/>
  <c r="S135" i="42" s="1"/>
  <c r="R344" i="42"/>
  <c r="S344" i="42" s="1"/>
  <c r="R96" i="42"/>
  <c r="S96" i="42" s="1"/>
  <c r="R342" i="42"/>
  <c r="S342" i="42" s="1"/>
  <c r="R278" i="42"/>
  <c r="S278" i="42" s="1"/>
  <c r="R214" i="42"/>
  <c r="S214" i="42" s="1"/>
  <c r="R150" i="42"/>
  <c r="S150" i="42" s="1"/>
  <c r="R86" i="42"/>
  <c r="S86" i="42" s="1"/>
  <c r="R349" i="42"/>
  <c r="S349" i="42" s="1"/>
  <c r="R285" i="42"/>
  <c r="S285" i="42" s="1"/>
  <c r="R221" i="42"/>
  <c r="S221" i="42" s="1"/>
  <c r="R157" i="42"/>
  <c r="S157" i="42" s="1"/>
  <c r="R93" i="42"/>
  <c r="S93" i="42" s="1"/>
  <c r="R332" i="42"/>
  <c r="S332" i="42" s="1"/>
  <c r="R124" i="42"/>
  <c r="S124" i="42" s="1"/>
  <c r="R300" i="42"/>
  <c r="S300" i="42" s="1"/>
  <c r="R307" i="42"/>
  <c r="S307" i="42" s="1"/>
  <c r="R243" i="42"/>
  <c r="S243" i="42" s="1"/>
  <c r="R179" i="42"/>
  <c r="S179" i="42" s="1"/>
  <c r="R115" i="42"/>
  <c r="S115" i="42" s="1"/>
  <c r="R362" i="42"/>
  <c r="S362" i="42" s="1"/>
  <c r="R234" i="42"/>
  <c r="S234" i="42" s="1"/>
  <c r="R281" i="42"/>
  <c r="S281" i="42" s="1"/>
  <c r="R153" i="42"/>
  <c r="S153" i="42" s="1"/>
  <c r="S31" i="42"/>
  <c r="S45" i="42"/>
  <c r="S51" i="42"/>
  <c r="S38" i="42"/>
  <c r="S188" i="42"/>
  <c r="S252" i="42"/>
  <c r="S113" i="42"/>
  <c r="S177" i="42"/>
  <c r="S106" i="42"/>
  <c r="S138" i="42"/>
  <c r="S170" i="42"/>
  <c r="S202" i="42"/>
  <c r="S321" i="42"/>
  <c r="S151" i="42"/>
  <c r="S215" i="42"/>
  <c r="S229" i="42"/>
  <c r="S261" i="42"/>
  <c r="S258" i="42"/>
  <c r="S223" i="42"/>
  <c r="S331" i="42"/>
  <c r="S313" i="42"/>
  <c r="S335" i="42"/>
  <c r="S316" i="42"/>
  <c r="S339" i="42"/>
  <c r="S367" i="42"/>
  <c r="R319" i="42"/>
  <c r="S319" i="42" s="1"/>
  <c r="R255" i="42"/>
  <c r="S255" i="42" s="1"/>
  <c r="R191" i="42"/>
  <c r="S191" i="42" s="1"/>
  <c r="R127" i="42"/>
  <c r="S127" i="42" s="1"/>
  <c r="R304" i="42"/>
  <c r="S304" i="42" s="1"/>
  <c r="R334" i="42"/>
  <c r="S334" i="42" s="1"/>
  <c r="R270" i="42"/>
  <c r="S270" i="42" s="1"/>
  <c r="R78" i="42"/>
  <c r="S78" i="42" s="1"/>
  <c r="R168" i="42"/>
  <c r="S168" i="42" s="1"/>
  <c r="R341" i="42"/>
  <c r="S341" i="42" s="1"/>
  <c r="R85" i="42"/>
  <c r="S85" i="42" s="1"/>
  <c r="R324" i="42"/>
  <c r="S324" i="42" s="1"/>
  <c r="R116" i="42"/>
  <c r="S116" i="42" s="1"/>
  <c r="R363" i="42"/>
  <c r="S363" i="42" s="1"/>
  <c r="R299" i="42"/>
  <c r="S299" i="42" s="1"/>
  <c r="R235" i="42"/>
  <c r="S235" i="42" s="1"/>
  <c r="R354" i="42"/>
  <c r="S354" i="42" s="1"/>
  <c r="R290" i="42"/>
  <c r="S290" i="42" s="1"/>
  <c r="R226" i="42"/>
  <c r="S226" i="42" s="1"/>
  <c r="R162" i="42"/>
  <c r="S162" i="42" s="1"/>
  <c r="R98" i="42"/>
  <c r="S98" i="42" s="1"/>
  <c r="R34" i="42"/>
  <c r="S34" i="42" s="1"/>
  <c r="R337" i="42"/>
  <c r="S337" i="42" s="1"/>
  <c r="R273" i="42"/>
  <c r="S273" i="42" s="1"/>
  <c r="R209" i="42"/>
  <c r="S209" i="42" s="1"/>
  <c r="R145" i="42"/>
  <c r="S145" i="42" s="1"/>
  <c r="S230" i="42"/>
  <c r="S259" i="42"/>
  <c r="S274" i="42"/>
  <c r="S271" i="42"/>
  <c r="S298" i="42"/>
  <c r="S364" i="42"/>
  <c r="S323" i="42"/>
  <c r="S320" i="42"/>
  <c r="S343" i="42"/>
  <c r="S345" i="42"/>
  <c r="S358" i="42"/>
  <c r="R184" i="42"/>
  <c r="S184" i="42" s="1"/>
  <c r="R311" i="42"/>
  <c r="S311" i="42" s="1"/>
  <c r="R247" i="42"/>
  <c r="S247" i="42" s="1"/>
  <c r="R183" i="42"/>
  <c r="S183" i="42" s="1"/>
  <c r="R119" i="42"/>
  <c r="S119" i="42" s="1"/>
  <c r="R264" i="42"/>
  <c r="S264" i="42" s="1"/>
  <c r="R326" i="42"/>
  <c r="S326" i="42" s="1"/>
  <c r="R262" i="42"/>
  <c r="S262" i="42" s="1"/>
  <c r="R198" i="42"/>
  <c r="S198" i="42" s="1"/>
  <c r="R134" i="42"/>
  <c r="S134" i="42" s="1"/>
  <c r="R70" i="42"/>
  <c r="S70" i="42" s="1"/>
  <c r="R360" i="42"/>
  <c r="S360" i="42" s="1"/>
  <c r="R152" i="42"/>
  <c r="S152" i="42" s="1"/>
  <c r="R333" i="42"/>
  <c r="S333" i="42" s="1"/>
  <c r="R269" i="42"/>
  <c r="S269" i="42" s="1"/>
  <c r="R205" i="42"/>
  <c r="S205" i="42" s="1"/>
  <c r="R141" i="42"/>
  <c r="S141" i="42" s="1"/>
  <c r="R77" i="42"/>
  <c r="S77" i="42" s="1"/>
  <c r="R308" i="42"/>
  <c r="S308" i="42" s="1"/>
  <c r="R172" i="42"/>
  <c r="S172" i="42" s="1"/>
  <c r="R108" i="42"/>
  <c r="S108" i="42" s="1"/>
  <c r="R355" i="42"/>
  <c r="S355" i="42" s="1"/>
  <c r="R291" i="42"/>
  <c r="S291" i="42" s="1"/>
  <c r="R227" i="42"/>
  <c r="S227" i="42" s="1"/>
  <c r="R163" i="42"/>
  <c r="S163" i="42" s="1"/>
  <c r="R99" i="42"/>
  <c r="S99" i="42" s="1"/>
  <c r="R346" i="42"/>
  <c r="S346" i="42" s="1"/>
  <c r="R282" i="42"/>
  <c r="S282" i="42" s="1"/>
  <c r="R218" i="42"/>
  <c r="S218" i="42" s="1"/>
  <c r="R154" i="42"/>
  <c r="S154" i="42" s="1"/>
  <c r="R26" i="42"/>
  <c r="S26" i="42" s="1"/>
  <c r="R329" i="42"/>
  <c r="S329" i="42" s="1"/>
  <c r="R265" i="42"/>
  <c r="S265" i="42" s="1"/>
  <c r="R201" i="42"/>
  <c r="S201" i="42" s="1"/>
  <c r="R137" i="42"/>
  <c r="S137" i="42" s="1"/>
  <c r="R8" i="42"/>
  <c r="S8" i="42" s="1"/>
  <c r="R7" i="42"/>
  <c r="S7" i="42" s="1"/>
  <c r="BA13" i="42"/>
  <c r="BA29" i="42"/>
  <c r="BA33" i="43"/>
  <c r="BA9" i="42"/>
  <c r="BA26" i="42"/>
  <c r="BA17" i="42"/>
  <c r="BA27" i="42"/>
  <c r="BA25" i="42"/>
  <c r="BA23" i="42"/>
  <c r="BA33" i="42"/>
  <c r="BA35" i="42"/>
  <c r="BA20" i="42"/>
  <c r="BA17" i="43"/>
  <c r="BA22" i="42"/>
  <c r="BA21" i="42"/>
  <c r="BA18" i="42"/>
  <c r="BA31" i="42"/>
  <c r="BA11" i="42"/>
  <c r="BA32" i="42"/>
  <c r="BA22" i="43"/>
  <c r="BA28" i="43"/>
  <c r="BA9" i="43"/>
  <c r="BA35" i="43"/>
  <c r="BA14" i="42"/>
  <c r="BA15" i="42"/>
  <c r="BA24" i="42"/>
  <c r="BA34" i="42"/>
  <c r="BA30" i="42"/>
  <c r="BA36" i="42"/>
  <c r="BA19" i="42"/>
  <c r="BA7" i="42"/>
  <c r="BA16" i="42"/>
  <c r="BA14" i="43"/>
  <c r="BA10" i="43"/>
  <c r="BA7" i="43"/>
  <c r="BA21" i="43"/>
  <c r="BA8" i="42"/>
  <c r="BA10" i="42"/>
  <c r="BA12" i="42"/>
  <c r="BA28" i="42"/>
  <c r="BA20" i="43"/>
  <c r="BA8" i="43"/>
  <c r="BA25" i="43"/>
  <c r="BA31" i="43"/>
  <c r="BA16" i="43"/>
  <c r="BA36" i="43"/>
  <c r="BA30" i="43"/>
  <c r="BA29" i="43"/>
  <c r="BA32" i="43"/>
  <c r="BA15" i="43"/>
  <c r="BA19" i="43"/>
  <c r="BA23" i="43"/>
  <c r="BA13" i="43"/>
  <c r="BA12" i="43"/>
  <c r="BA24" i="43"/>
  <c r="BA27" i="43"/>
  <c r="BA18" i="43"/>
  <c r="BA34" i="43"/>
  <c r="BA11" i="43"/>
  <c r="BA26" i="43"/>
  <c r="F13" i="2"/>
  <c r="G13" i="2" s="1"/>
  <c r="BJ87" i="42"/>
  <c r="BJ52" i="42"/>
  <c r="BJ84" i="42"/>
  <c r="BJ79" i="42"/>
  <c r="BJ21" i="42"/>
  <c r="BJ29" i="42"/>
  <c r="BJ37" i="42"/>
  <c r="BJ69" i="42"/>
  <c r="BJ192" i="42"/>
  <c r="BJ8" i="42"/>
  <c r="BJ58" i="42"/>
  <c r="BJ91" i="42"/>
  <c r="BJ140" i="42"/>
  <c r="BJ180" i="42"/>
  <c r="BJ136" i="42"/>
  <c r="BJ101" i="42"/>
  <c r="BJ133" i="42"/>
  <c r="BJ165" i="42"/>
  <c r="BJ197" i="42"/>
  <c r="BJ277" i="42"/>
  <c r="BJ126" i="42"/>
  <c r="BJ158" i="42"/>
  <c r="BJ190" i="42"/>
  <c r="BJ244" i="42"/>
  <c r="BJ107" i="42"/>
  <c r="BJ139" i="42"/>
  <c r="BJ171" i="42"/>
  <c r="BJ203" i="42"/>
  <c r="BJ217" i="42"/>
  <c r="BJ249" i="42"/>
  <c r="BJ317" i="42"/>
  <c r="BJ246" i="42"/>
  <c r="BJ289" i="42"/>
  <c r="BJ243" i="42"/>
  <c r="BJ280" i="42"/>
  <c r="BJ290" i="42"/>
  <c r="BJ287" i="42"/>
  <c r="BJ314" i="42"/>
  <c r="BJ307" i="42"/>
  <c r="BJ304" i="42"/>
  <c r="BJ332" i="42"/>
  <c r="BJ330" i="42"/>
  <c r="BJ344" i="42"/>
  <c r="BJ357" i="42"/>
  <c r="BJ355" i="42"/>
  <c r="BJ59" i="42"/>
  <c r="BJ48" i="42"/>
  <c r="BJ80" i="42"/>
  <c r="BJ67" i="42"/>
  <c r="BJ20" i="42"/>
  <c r="BJ28" i="42"/>
  <c r="BJ36" i="42"/>
  <c r="BJ65" i="42"/>
  <c r="BJ160" i="42"/>
  <c r="BJ54" i="42"/>
  <c r="BJ86" i="42"/>
  <c r="BJ124" i="42"/>
  <c r="BJ164" i="42"/>
  <c r="BJ120" i="42"/>
  <c r="BJ97" i="42"/>
  <c r="BJ129" i="42"/>
  <c r="BJ161" i="42"/>
  <c r="BJ193" i="42"/>
  <c r="BJ256" i="42"/>
  <c r="BJ122" i="42"/>
  <c r="BJ154" i="42"/>
  <c r="BJ186" i="42"/>
  <c r="BJ228" i="42"/>
  <c r="BJ103" i="42"/>
  <c r="BJ135" i="42"/>
  <c r="BJ167" i="42"/>
  <c r="BJ199" i="42"/>
  <c r="BJ293" i="42"/>
  <c r="BJ245" i="42"/>
  <c r="BJ292" i="42"/>
  <c r="BJ242" i="42"/>
  <c r="BJ281" i="42"/>
  <c r="BJ272" i="42"/>
  <c r="BJ286" i="42"/>
  <c r="BJ283" i="42"/>
  <c r="BJ310" i="42"/>
  <c r="BJ303" i="42"/>
  <c r="BJ300" i="42"/>
  <c r="BJ328" i="42"/>
  <c r="BJ326" i="42"/>
  <c r="BJ340" i="42"/>
  <c r="BJ353" i="42"/>
  <c r="BJ351" i="42"/>
  <c r="BJ55" i="42"/>
  <c r="BJ44" i="42"/>
  <c r="BJ76" i="42"/>
  <c r="BJ63" i="42"/>
  <c r="BJ19" i="42"/>
  <c r="BJ27" i="42"/>
  <c r="BJ35" i="42"/>
  <c r="BJ61" i="42"/>
  <c r="BJ128" i="42"/>
  <c r="BJ50" i="42"/>
  <c r="BJ82" i="42"/>
  <c r="BJ108" i="42"/>
  <c r="BJ269" i="42"/>
  <c r="BJ104" i="42"/>
  <c r="BJ268" i="42"/>
  <c r="BJ125" i="42"/>
  <c r="BJ157" i="42"/>
  <c r="BJ189" i="42"/>
  <c r="BJ240" i="42"/>
  <c r="BJ118" i="42"/>
  <c r="BJ150" i="42"/>
  <c r="BJ182" i="42"/>
  <c r="BJ214" i="42"/>
  <c r="BJ99" i="42"/>
  <c r="BJ131" i="42"/>
  <c r="BJ163" i="42"/>
  <c r="BJ195" i="42"/>
  <c r="BJ264" i="42"/>
  <c r="BJ241" i="42"/>
  <c r="BJ284" i="42"/>
  <c r="BJ238" i="42"/>
  <c r="BJ273" i="42"/>
  <c r="BJ235" i="42"/>
  <c r="BJ267" i="42"/>
  <c r="BJ282" i="42"/>
  <c r="BJ279" i="42"/>
  <c r="BJ306" i="42"/>
  <c r="BJ299" i="42"/>
  <c r="BJ296" i="42"/>
  <c r="BJ327" i="42"/>
  <c r="BJ346" i="42"/>
  <c r="BJ352" i="42"/>
  <c r="BJ360" i="42"/>
  <c r="BJ366" i="42"/>
  <c r="BJ47" i="42"/>
  <c r="BJ40" i="42"/>
  <c r="BJ72" i="42"/>
  <c r="BJ39" i="42"/>
  <c r="BJ15" i="42"/>
  <c r="BJ26" i="42"/>
  <c r="BJ34" i="42"/>
  <c r="BJ57" i="42"/>
  <c r="BJ96" i="42"/>
  <c r="BJ144" i="42"/>
  <c r="BJ46" i="42"/>
  <c r="BJ78" i="42"/>
  <c r="BJ208" i="42"/>
  <c r="BJ220" i="42"/>
  <c r="BJ94" i="42"/>
  <c r="BJ216" i="42"/>
  <c r="BJ121" i="42"/>
  <c r="BJ153" i="42"/>
  <c r="BJ185" i="42"/>
  <c r="BJ224" i="42"/>
  <c r="BJ114" i="42"/>
  <c r="BJ146" i="42"/>
  <c r="BJ178" i="42"/>
  <c r="BJ210" i="42"/>
  <c r="BJ95" i="42"/>
  <c r="BJ127" i="42"/>
  <c r="BJ159" i="42"/>
  <c r="BJ191" i="42"/>
  <c r="BJ248" i="42"/>
  <c r="BJ237" i="42"/>
  <c r="BJ276" i="42"/>
  <c r="BJ234" i="42"/>
  <c r="BJ266" i="42"/>
  <c r="BJ231" i="42"/>
  <c r="BJ263" i="42"/>
  <c r="BJ278" i="42"/>
  <c r="BJ275" i="42"/>
  <c r="BJ302" i="42"/>
  <c r="BJ295" i="42"/>
  <c r="BJ325" i="42"/>
  <c r="BJ324" i="42"/>
  <c r="BJ337" i="42"/>
  <c r="BJ347" i="42"/>
  <c r="BJ349" i="42"/>
  <c r="BJ362" i="42"/>
  <c r="BJ43" i="42"/>
  <c r="BJ18" i="42"/>
  <c r="BJ68" i="42"/>
  <c r="BJ9" i="42"/>
  <c r="BJ11" i="42"/>
  <c r="BJ25" i="42"/>
  <c r="BJ33" i="42"/>
  <c r="BJ53" i="42"/>
  <c r="BJ85" i="42"/>
  <c r="BJ75" i="42"/>
  <c r="BJ42" i="42"/>
  <c r="BJ74" i="42"/>
  <c r="BJ148" i="42"/>
  <c r="BJ204" i="42"/>
  <c r="BJ90" i="42"/>
  <c r="BJ200" i="42"/>
  <c r="BJ117" i="42"/>
  <c r="BJ149" i="42"/>
  <c r="BJ181" i="42"/>
  <c r="BJ213" i="42"/>
  <c r="BJ110" i="42"/>
  <c r="BJ142" i="42"/>
  <c r="BJ174" i="42"/>
  <c r="BJ206" i="42"/>
  <c r="BJ338" i="42"/>
  <c r="BJ123" i="42"/>
  <c r="BJ155" i="42"/>
  <c r="BJ187" i="42"/>
  <c r="BJ232" i="42"/>
  <c r="BJ233" i="42"/>
  <c r="BJ265" i="42"/>
  <c r="BJ230" i="42"/>
  <c r="BJ262" i="42"/>
  <c r="BJ227" i="42"/>
  <c r="BJ259" i="42"/>
  <c r="BJ274" i="42"/>
  <c r="BJ271" i="42"/>
  <c r="BJ298" i="42"/>
  <c r="BJ364" i="42"/>
  <c r="BJ323" i="42"/>
  <c r="BJ320" i="42"/>
  <c r="BJ333" i="42"/>
  <c r="BJ343" i="42"/>
  <c r="BJ345" i="42"/>
  <c r="BJ358" i="42"/>
  <c r="BJ17" i="42"/>
  <c r="BJ14" i="42"/>
  <c r="BJ64" i="42"/>
  <c r="BJ176" i="42"/>
  <c r="BJ112" i="42"/>
  <c r="BJ24" i="42"/>
  <c r="BJ32" i="42"/>
  <c r="BJ49" i="42"/>
  <c r="BJ81" i="42"/>
  <c r="BJ71" i="42"/>
  <c r="BJ38" i="42"/>
  <c r="BJ70" i="42"/>
  <c r="BJ116" i="42"/>
  <c r="BJ188" i="42"/>
  <c r="BJ252" i="42"/>
  <c r="BJ184" i="42"/>
  <c r="BJ113" i="42"/>
  <c r="BJ145" i="42"/>
  <c r="BJ177" i="42"/>
  <c r="BJ209" i="42"/>
  <c r="BJ106" i="42"/>
  <c r="BJ138" i="42"/>
  <c r="BJ170" i="42"/>
  <c r="BJ202" i="42"/>
  <c r="BJ321" i="42"/>
  <c r="BJ119" i="42"/>
  <c r="BJ151" i="42"/>
  <c r="BJ183" i="42"/>
  <c r="BJ215" i="42"/>
  <c r="BJ229" i="42"/>
  <c r="BJ261" i="42"/>
  <c r="BJ226" i="42"/>
  <c r="BJ258" i="42"/>
  <c r="BJ223" i="42"/>
  <c r="BJ255" i="42"/>
  <c r="BJ270" i="42"/>
  <c r="BJ331" i="42"/>
  <c r="BJ313" i="42"/>
  <c r="BJ335" i="42"/>
  <c r="BJ319" i="42"/>
  <c r="BJ316" i="42"/>
  <c r="BJ329" i="42"/>
  <c r="BJ339" i="42"/>
  <c r="BJ341" i="42"/>
  <c r="BJ354" i="42"/>
  <c r="BJ367" i="42"/>
  <c r="BJ13" i="42"/>
  <c r="BJ10" i="42"/>
  <c r="BJ60" i="42"/>
  <c r="BJ132" i="42"/>
  <c r="BJ88" i="42"/>
  <c r="BJ23" i="42"/>
  <c r="BJ31" i="42"/>
  <c r="BJ45" i="42"/>
  <c r="BJ77" i="42"/>
  <c r="BJ51" i="42"/>
  <c r="BJ16" i="42"/>
  <c r="BJ66" i="42"/>
  <c r="BJ93" i="42"/>
  <c r="BJ172" i="42"/>
  <c r="BJ212" i="42"/>
  <c r="BJ168" i="42"/>
  <c r="BJ109" i="42"/>
  <c r="BJ141" i="42"/>
  <c r="BJ173" i="42"/>
  <c r="BJ205" i="42"/>
  <c r="BJ102" i="42"/>
  <c r="BJ134" i="42"/>
  <c r="BJ166" i="42"/>
  <c r="BJ198" i="42"/>
  <c r="BJ285" i="42"/>
  <c r="BJ115" i="42"/>
  <c r="BJ147" i="42"/>
  <c r="BJ179" i="42"/>
  <c r="BJ211" i="42"/>
  <c r="BJ225" i="42"/>
  <c r="BJ257" i="42"/>
  <c r="BJ222" i="42"/>
  <c r="BJ254" i="42"/>
  <c r="BJ219" i="42"/>
  <c r="BJ251" i="42"/>
  <c r="BJ301" i="42"/>
  <c r="BJ309" i="42"/>
  <c r="BJ297" i="42"/>
  <c r="BJ322" i="42"/>
  <c r="BJ315" i="42"/>
  <c r="BJ312" i="42"/>
  <c r="BJ342" i="42"/>
  <c r="BJ350" i="42"/>
  <c r="BJ356" i="42"/>
  <c r="BJ365" i="42"/>
  <c r="BJ363" i="42"/>
  <c r="BJ89" i="42"/>
  <c r="BJ56" i="42"/>
  <c r="BJ100" i="42"/>
  <c r="BJ83" i="42"/>
  <c r="BJ22" i="42"/>
  <c r="BJ30" i="42"/>
  <c r="BJ41" i="42"/>
  <c r="BJ73" i="42"/>
  <c r="BJ236" i="42"/>
  <c r="BJ12" i="42"/>
  <c r="BJ62" i="42"/>
  <c r="BJ92" i="42"/>
  <c r="BJ156" i="42"/>
  <c r="BJ196" i="42"/>
  <c r="BJ152" i="42"/>
  <c r="BJ105" i="42"/>
  <c r="BJ137" i="42"/>
  <c r="BJ169" i="42"/>
  <c r="BJ201" i="42"/>
  <c r="BJ98" i="42"/>
  <c r="BJ130" i="42"/>
  <c r="BJ162" i="42"/>
  <c r="BJ194" i="42"/>
  <c r="BJ260" i="42"/>
  <c r="BJ111" i="42"/>
  <c r="BJ143" i="42"/>
  <c r="BJ175" i="42"/>
  <c r="BJ207" i="42"/>
  <c r="BJ221" i="42"/>
  <c r="BJ253" i="42"/>
  <c r="BJ218" i="42"/>
  <c r="BJ250" i="42"/>
  <c r="BJ305" i="42"/>
  <c r="BJ247" i="42"/>
  <c r="BJ288" i="42"/>
  <c r="BJ294" i="42"/>
  <c r="BJ291" i="42"/>
  <c r="BJ318" i="42"/>
  <c r="BJ311" i="42"/>
  <c r="BJ308" i="42"/>
  <c r="BJ336" i="42"/>
  <c r="BJ334" i="42"/>
  <c r="BJ348" i="42"/>
  <c r="BJ361" i="42"/>
  <c r="BJ359" i="42"/>
  <c r="BJ7" i="42"/>
  <c r="BJ19" i="43"/>
  <c r="BJ27" i="43"/>
  <c r="BJ35" i="43"/>
  <c r="BJ61" i="43"/>
  <c r="BJ93" i="43"/>
  <c r="BJ38" i="43"/>
  <c r="BJ70" i="43"/>
  <c r="BJ102" i="43"/>
  <c r="BJ51" i="43"/>
  <c r="BJ83" i="43"/>
  <c r="BJ10" i="43"/>
  <c r="BJ60" i="43"/>
  <c r="BJ92" i="43"/>
  <c r="BJ122" i="43"/>
  <c r="BJ154" i="43"/>
  <c r="BJ119" i="43"/>
  <c r="BJ151" i="43"/>
  <c r="BJ116" i="43"/>
  <c r="BJ148" i="43"/>
  <c r="BJ109" i="43"/>
  <c r="BJ141" i="43"/>
  <c r="BJ173" i="43"/>
  <c r="BJ204" i="43"/>
  <c r="BJ236" i="43"/>
  <c r="BJ201" i="43"/>
  <c r="BJ233" i="43"/>
  <c r="BJ194" i="43"/>
  <c r="BJ226" i="43"/>
  <c r="BJ187" i="43"/>
  <c r="BJ219" i="43"/>
  <c r="BJ248" i="43"/>
  <c r="BJ280" i="43"/>
  <c r="BJ277" i="43"/>
  <c r="BJ274" i="43"/>
  <c r="BJ275" i="43"/>
  <c r="BJ309" i="43"/>
  <c r="BJ306" i="43"/>
  <c r="BJ303" i="43"/>
  <c r="BJ300" i="43"/>
  <c r="BJ332" i="43"/>
  <c r="BJ326" i="43"/>
  <c r="BJ343" i="43"/>
  <c r="BJ345" i="43"/>
  <c r="BJ357" i="43"/>
  <c r="BJ355" i="43"/>
  <c r="BJ15" i="43"/>
  <c r="BJ26" i="43"/>
  <c r="BJ34" i="43"/>
  <c r="BJ57" i="43"/>
  <c r="BJ89" i="43"/>
  <c r="BJ16" i="43"/>
  <c r="BJ66" i="43"/>
  <c r="BJ98" i="43"/>
  <c r="BJ47" i="43"/>
  <c r="BJ79" i="43"/>
  <c r="BJ56" i="43"/>
  <c r="BJ88" i="43"/>
  <c r="BJ118" i="43"/>
  <c r="BJ150" i="43"/>
  <c r="BJ115" i="43"/>
  <c r="BJ147" i="43"/>
  <c r="BJ112" i="43"/>
  <c r="BJ144" i="43"/>
  <c r="BJ176" i="43"/>
  <c r="BJ137" i="43"/>
  <c r="BJ169" i="43"/>
  <c r="BJ200" i="43"/>
  <c r="BJ232" i="43"/>
  <c r="BJ197" i="43"/>
  <c r="BJ229" i="43"/>
  <c r="BJ190" i="43"/>
  <c r="BJ222" i="43"/>
  <c r="BJ183" i="43"/>
  <c r="BJ215" i="43"/>
  <c r="BJ247" i="43"/>
  <c r="BJ276" i="43"/>
  <c r="BJ273" i="43"/>
  <c r="BJ270" i="43"/>
  <c r="BJ271" i="43"/>
  <c r="BJ305" i="43"/>
  <c r="BJ302" i="43"/>
  <c r="BJ299" i="43"/>
  <c r="BJ296" i="43"/>
  <c r="BJ328" i="43"/>
  <c r="BJ322" i="43"/>
  <c r="BJ339" i="43"/>
  <c r="BJ341" i="43"/>
  <c r="BJ353" i="43"/>
  <c r="BJ351" i="43"/>
  <c r="BJ364" i="43"/>
  <c r="BJ11" i="43"/>
  <c r="BJ25" i="43"/>
  <c r="BJ33" i="43"/>
  <c r="BJ53" i="43"/>
  <c r="BJ85" i="43"/>
  <c r="BJ12" i="43"/>
  <c r="BJ62" i="43"/>
  <c r="BJ94" i="43"/>
  <c r="BJ43" i="43"/>
  <c r="BJ75" i="43"/>
  <c r="BJ107" i="43"/>
  <c r="BJ52" i="43"/>
  <c r="BJ84" i="43"/>
  <c r="BJ114" i="43"/>
  <c r="BJ146" i="43"/>
  <c r="BJ111" i="43"/>
  <c r="BJ143" i="43"/>
  <c r="BJ175" i="43"/>
  <c r="BJ140" i="43"/>
  <c r="BJ172" i="43"/>
  <c r="BJ133" i="43"/>
  <c r="BJ165" i="43"/>
  <c r="BJ196" i="43"/>
  <c r="BJ228" i="43"/>
  <c r="BJ193" i="43"/>
  <c r="BJ225" i="43"/>
  <c r="BJ186" i="43"/>
  <c r="BJ218" i="43"/>
  <c r="BJ179" i="43"/>
  <c r="BJ211" i="43"/>
  <c r="BJ243" i="43"/>
  <c r="BJ272" i="43"/>
  <c r="BJ269" i="43"/>
  <c r="BJ266" i="43"/>
  <c r="BJ267" i="43"/>
  <c r="BJ301" i="43"/>
  <c r="BJ298" i="43"/>
  <c r="BJ295" i="43"/>
  <c r="BJ292" i="43"/>
  <c r="BJ324" i="43"/>
  <c r="BJ318" i="43"/>
  <c r="BJ335" i="43"/>
  <c r="BJ337" i="43"/>
  <c r="BJ350" i="43"/>
  <c r="BJ366" i="43"/>
  <c r="BJ360" i="43"/>
  <c r="BJ24" i="43"/>
  <c r="BJ32" i="43"/>
  <c r="BJ49" i="43"/>
  <c r="BJ81" i="43"/>
  <c r="BJ8" i="43"/>
  <c r="BJ58" i="43"/>
  <c r="BJ90" i="43"/>
  <c r="BJ39" i="43"/>
  <c r="BJ71" i="43"/>
  <c r="BJ103" i="43"/>
  <c r="BJ48" i="43"/>
  <c r="BJ80" i="43"/>
  <c r="BJ110" i="43"/>
  <c r="BJ142" i="43"/>
  <c r="BJ174" i="43"/>
  <c r="BJ139" i="43"/>
  <c r="BJ171" i="43"/>
  <c r="BJ136" i="43"/>
  <c r="BJ168" i="43"/>
  <c r="BJ129" i="43"/>
  <c r="BJ161" i="43"/>
  <c r="BJ192" i="43"/>
  <c r="BJ224" i="43"/>
  <c r="BJ189" i="43"/>
  <c r="BJ221" i="43"/>
  <c r="BJ182" i="43"/>
  <c r="BJ214" i="43"/>
  <c r="BJ246" i="43"/>
  <c r="BJ207" i="43"/>
  <c r="BJ239" i="43"/>
  <c r="BJ268" i="43"/>
  <c r="BJ265" i="43"/>
  <c r="BJ262" i="43"/>
  <c r="BJ263" i="43"/>
  <c r="BJ297" i="43"/>
  <c r="BJ294" i="43"/>
  <c r="BJ291" i="43"/>
  <c r="BJ288" i="43"/>
  <c r="BJ320" i="43"/>
  <c r="BJ333" i="43"/>
  <c r="BJ331" i="43"/>
  <c r="BJ348" i="43"/>
  <c r="BJ346" i="43"/>
  <c r="BJ362" i="43"/>
  <c r="BJ356" i="43"/>
  <c r="BJ23" i="43"/>
  <c r="BJ31" i="43"/>
  <c r="BJ45" i="43"/>
  <c r="BJ77" i="43"/>
  <c r="BJ54" i="43"/>
  <c r="BJ86" i="43"/>
  <c r="BJ17" i="43"/>
  <c r="BJ67" i="43"/>
  <c r="BJ99" i="43"/>
  <c r="BJ44" i="43"/>
  <c r="BJ76" i="43"/>
  <c r="BJ108" i="43"/>
  <c r="BJ138" i="43"/>
  <c r="BJ170" i="43"/>
  <c r="BJ135" i="43"/>
  <c r="BJ167" i="43"/>
  <c r="BJ132" i="43"/>
  <c r="BJ164" i="43"/>
  <c r="BJ125" i="43"/>
  <c r="BJ157" i="43"/>
  <c r="BJ188" i="43"/>
  <c r="BJ220" i="43"/>
  <c r="BJ185" i="43"/>
  <c r="BJ217" i="43"/>
  <c r="BJ178" i="43"/>
  <c r="BJ210" i="43"/>
  <c r="BJ242" i="43"/>
  <c r="BJ203" i="43"/>
  <c r="BJ235" i="43"/>
  <c r="BJ264" i="43"/>
  <c r="BJ261" i="43"/>
  <c r="BJ258" i="43"/>
  <c r="BJ259" i="43"/>
  <c r="BJ293" i="43"/>
  <c r="BJ290" i="43"/>
  <c r="BJ287" i="43"/>
  <c r="BJ284" i="43"/>
  <c r="BJ316" i="43"/>
  <c r="BJ329" i="43"/>
  <c r="BJ327" i="43"/>
  <c r="BJ344" i="43"/>
  <c r="BJ342" i="43"/>
  <c r="BJ358" i="43"/>
  <c r="BJ352" i="43"/>
  <c r="BJ22" i="43"/>
  <c r="BJ30" i="43"/>
  <c r="BJ41" i="43"/>
  <c r="BJ73" i="43"/>
  <c r="BJ105" i="43"/>
  <c r="BJ50" i="43"/>
  <c r="BJ82" i="43"/>
  <c r="BJ13" i="43"/>
  <c r="BJ63" i="43"/>
  <c r="BJ95" i="43"/>
  <c r="BJ40" i="43"/>
  <c r="BJ72" i="43"/>
  <c r="BJ104" i="43"/>
  <c r="BJ134" i="43"/>
  <c r="BJ166" i="43"/>
  <c r="BJ131" i="43"/>
  <c r="BJ163" i="43"/>
  <c r="BJ128" i="43"/>
  <c r="BJ160" i="43"/>
  <c r="BJ121" i="43"/>
  <c r="BJ153" i="43"/>
  <c r="BJ184" i="43"/>
  <c r="BJ216" i="43"/>
  <c r="BJ181" i="43"/>
  <c r="BJ213" i="43"/>
  <c r="BJ245" i="43"/>
  <c r="BJ206" i="43"/>
  <c r="BJ238" i="43"/>
  <c r="BJ199" i="43"/>
  <c r="BJ231" i="43"/>
  <c r="BJ260" i="43"/>
  <c r="BJ257" i="43"/>
  <c r="BJ254" i="43"/>
  <c r="BJ255" i="43"/>
  <c r="BJ289" i="43"/>
  <c r="BJ286" i="43"/>
  <c r="BJ283" i="43"/>
  <c r="BJ315" i="43"/>
  <c r="BJ312" i="43"/>
  <c r="BJ325" i="43"/>
  <c r="BJ323" i="43"/>
  <c r="BJ340" i="43"/>
  <c r="BJ338" i="43"/>
  <c r="BJ354" i="43"/>
  <c r="BJ367" i="43"/>
  <c r="BJ21" i="43"/>
  <c r="BJ29" i="43"/>
  <c r="BJ37" i="43"/>
  <c r="BJ69" i="43"/>
  <c r="BJ101" i="43"/>
  <c r="BJ46" i="43"/>
  <c r="BJ78" i="43"/>
  <c r="BJ9" i="43"/>
  <c r="BJ59" i="43"/>
  <c r="BJ91" i="43"/>
  <c r="BJ18" i="43"/>
  <c r="BJ68" i="43"/>
  <c r="BJ100" i="43"/>
  <c r="BJ130" i="43"/>
  <c r="BJ162" i="43"/>
  <c r="BJ127" i="43"/>
  <c r="BJ159" i="43"/>
  <c r="BJ124" i="43"/>
  <c r="BJ156" i="43"/>
  <c r="BJ117" i="43"/>
  <c r="BJ149" i="43"/>
  <c r="BJ180" i="43"/>
  <c r="BJ212" i="43"/>
  <c r="BJ244" i="43"/>
  <c r="BJ209" i="43"/>
  <c r="BJ241" i="43"/>
  <c r="BJ202" i="43"/>
  <c r="BJ234" i="43"/>
  <c r="BJ195" i="43"/>
  <c r="BJ227" i="43"/>
  <c r="BJ256" i="43"/>
  <c r="BJ253" i="43"/>
  <c r="BJ250" i="43"/>
  <c r="BJ251" i="43"/>
  <c r="BJ285" i="43"/>
  <c r="BJ282" i="43"/>
  <c r="BJ314" i="43"/>
  <c r="BJ311" i="43"/>
  <c r="BJ308" i="43"/>
  <c r="BJ321" i="43"/>
  <c r="BJ319" i="43"/>
  <c r="BJ336" i="43"/>
  <c r="BJ334" i="43"/>
  <c r="BJ365" i="43"/>
  <c r="BJ363" i="43"/>
  <c r="BJ20" i="43"/>
  <c r="BJ28" i="43"/>
  <c r="BJ36" i="43"/>
  <c r="BJ65" i="43"/>
  <c r="BJ97" i="43"/>
  <c r="BJ42" i="43"/>
  <c r="BJ74" i="43"/>
  <c r="BJ106" i="43"/>
  <c r="BJ55" i="43"/>
  <c r="BJ87" i="43"/>
  <c r="BJ14" i="43"/>
  <c r="BJ64" i="43"/>
  <c r="BJ96" i="43"/>
  <c r="BJ126" i="43"/>
  <c r="BJ158" i="43"/>
  <c r="BJ123" i="43"/>
  <c r="BJ155" i="43"/>
  <c r="BJ120" i="43"/>
  <c r="BJ152" i="43"/>
  <c r="BJ113" i="43"/>
  <c r="BJ145" i="43"/>
  <c r="BJ177" i="43"/>
  <c r="BJ208" i="43"/>
  <c r="BJ240" i="43"/>
  <c r="BJ205" i="43"/>
  <c r="BJ237" i="43"/>
  <c r="BJ198" i="43"/>
  <c r="BJ230" i="43"/>
  <c r="BJ191" i="43"/>
  <c r="BJ223" i="43"/>
  <c r="BJ252" i="43"/>
  <c r="BJ249" i="43"/>
  <c r="BJ281" i="43"/>
  <c r="BJ278" i="43"/>
  <c r="BJ279" i="43"/>
  <c r="BJ313" i="43"/>
  <c r="BJ310" i="43"/>
  <c r="BJ307" i="43"/>
  <c r="BJ304" i="43"/>
  <c r="BJ317" i="43"/>
  <c r="BJ330" i="43"/>
  <c r="BJ347" i="43"/>
  <c r="BJ349" i="43"/>
  <c r="BJ361" i="43"/>
  <c r="BJ359" i="43"/>
  <c r="BJ7" i="43"/>
  <c r="S11" i="43"/>
  <c r="CD11" i="43"/>
  <c r="S21" i="43"/>
  <c r="CD21" i="43"/>
  <c r="S25" i="43"/>
  <c r="CD25" i="43"/>
  <c r="S29" i="43"/>
  <c r="CD29" i="43"/>
  <c r="S33" i="43"/>
  <c r="CD33" i="43"/>
  <c r="S37" i="43"/>
  <c r="CD37" i="43"/>
  <c r="S53" i="43"/>
  <c r="CD53" i="43"/>
  <c r="S69" i="43"/>
  <c r="S85" i="43"/>
  <c r="S101" i="43"/>
  <c r="S12" i="43"/>
  <c r="CD12" i="43"/>
  <c r="S46" i="43"/>
  <c r="CD46" i="43"/>
  <c r="S62" i="43"/>
  <c r="CD62" i="43"/>
  <c r="S78" i="43"/>
  <c r="S94" i="43"/>
  <c r="S9" i="43"/>
  <c r="CD9" i="43"/>
  <c r="S43" i="43"/>
  <c r="CD43" i="43"/>
  <c r="S59" i="43"/>
  <c r="CD59" i="43"/>
  <c r="S75" i="43"/>
  <c r="S91" i="43"/>
  <c r="S107" i="43"/>
  <c r="S18" i="43"/>
  <c r="CD18" i="43"/>
  <c r="S52" i="43"/>
  <c r="CD52" i="43"/>
  <c r="S68" i="43"/>
  <c r="S84" i="43"/>
  <c r="S100" i="43"/>
  <c r="S114" i="43"/>
  <c r="S130" i="43"/>
  <c r="S146" i="43"/>
  <c r="S162" i="43"/>
  <c r="S111" i="43"/>
  <c r="S127" i="43"/>
  <c r="S143" i="43"/>
  <c r="S159" i="43"/>
  <c r="S175" i="43"/>
  <c r="S124" i="43"/>
  <c r="S140" i="43"/>
  <c r="S156" i="43"/>
  <c r="S172" i="43"/>
  <c r="S117" i="43"/>
  <c r="S133" i="43"/>
  <c r="S149" i="43"/>
  <c r="S165" i="43"/>
  <c r="S180" i="43"/>
  <c r="S196" i="43"/>
  <c r="S212" i="43"/>
  <c r="S228" i="43"/>
  <c r="S244" i="43"/>
  <c r="S193" i="43"/>
  <c r="S209" i="43"/>
  <c r="S225" i="43"/>
  <c r="S241" i="43"/>
  <c r="S186" i="43"/>
  <c r="S202" i="43"/>
  <c r="S218" i="43"/>
  <c r="S234" i="43"/>
  <c r="S179" i="43"/>
  <c r="S195" i="43"/>
  <c r="S211" i="43"/>
  <c r="S227" i="43"/>
  <c r="S243" i="43"/>
  <c r="S256" i="43"/>
  <c r="S272" i="43"/>
  <c r="CD272" i="43"/>
  <c r="S253" i="43"/>
  <c r="S269" i="43"/>
  <c r="CD269" i="43"/>
  <c r="S250" i="43"/>
  <c r="S266" i="43"/>
  <c r="CD266" i="43"/>
  <c r="S251" i="43"/>
  <c r="S267" i="43"/>
  <c r="CD267" i="43"/>
  <c r="S285" i="43"/>
  <c r="CD285" i="43"/>
  <c r="S301" i="43"/>
  <c r="CD301" i="43"/>
  <c r="S282" i="43"/>
  <c r="CD282" i="43"/>
  <c r="S298" i="43"/>
  <c r="CD298" i="43"/>
  <c r="S314" i="43"/>
  <c r="CD314" i="43"/>
  <c r="S295" i="43"/>
  <c r="CD295" i="43"/>
  <c r="S311" i="43"/>
  <c r="CD311" i="43"/>
  <c r="S292" i="43"/>
  <c r="CD292" i="43"/>
  <c r="S308" i="43"/>
  <c r="CD308" i="43"/>
  <c r="S324" i="43"/>
  <c r="CD324" i="43"/>
  <c r="S321" i="43"/>
  <c r="CD321" i="43"/>
  <c r="S318" i="43"/>
  <c r="CD318" i="43"/>
  <c r="S319" i="43"/>
  <c r="CD319" i="43"/>
  <c r="S335" i="43"/>
  <c r="CD335" i="43"/>
  <c r="S336" i="43"/>
  <c r="CD336" i="43"/>
  <c r="S337" i="43"/>
  <c r="CD337" i="43"/>
  <c r="S334" i="43"/>
  <c r="CD334" i="43"/>
  <c r="S350" i="43"/>
  <c r="CD350" i="43"/>
  <c r="S365" i="43"/>
  <c r="CD365" i="43"/>
  <c r="S366" i="43"/>
  <c r="CD366" i="43"/>
  <c r="S363" i="43"/>
  <c r="CD363" i="43"/>
  <c r="S360" i="43"/>
  <c r="CD360" i="43"/>
  <c r="AS103" i="43"/>
  <c r="S20" i="43"/>
  <c r="CD20" i="43"/>
  <c r="S24" i="43"/>
  <c r="CD24" i="43"/>
  <c r="S28" i="43"/>
  <c r="CD28" i="43"/>
  <c r="S32" i="43"/>
  <c r="CD32" i="43"/>
  <c r="S36" i="43"/>
  <c r="CD36" i="43"/>
  <c r="S49" i="43"/>
  <c r="CD49" i="43"/>
  <c r="S65" i="43"/>
  <c r="CD65" i="43"/>
  <c r="S81" i="43"/>
  <c r="S97" i="43"/>
  <c r="S8" i="43"/>
  <c r="CD8" i="43"/>
  <c r="S42" i="43"/>
  <c r="CD42" i="43"/>
  <c r="S58" i="43"/>
  <c r="CD58" i="43"/>
  <c r="S74" i="43"/>
  <c r="S90" i="43"/>
  <c r="S106" i="43"/>
  <c r="S39" i="43"/>
  <c r="CD39" i="43"/>
  <c r="S55" i="43"/>
  <c r="CD55" i="43"/>
  <c r="S71" i="43"/>
  <c r="S87" i="43"/>
  <c r="S103" i="43"/>
  <c r="S14" i="43"/>
  <c r="CD14" i="43"/>
  <c r="S48" i="43"/>
  <c r="CD48" i="43"/>
  <c r="S64" i="43"/>
  <c r="CD64" i="43"/>
  <c r="S80" i="43"/>
  <c r="S96" i="43"/>
  <c r="S110" i="43"/>
  <c r="S126" i="43"/>
  <c r="S142" i="43"/>
  <c r="S158" i="43"/>
  <c r="S174" i="43"/>
  <c r="S123" i="43"/>
  <c r="S139" i="43"/>
  <c r="S155" i="43"/>
  <c r="S171" i="43"/>
  <c r="S120" i="43"/>
  <c r="S136" i="43"/>
  <c r="S152" i="43"/>
  <c r="S168" i="43"/>
  <c r="S113" i="43"/>
  <c r="S129" i="43"/>
  <c r="S145" i="43"/>
  <c r="S161" i="43"/>
  <c r="S177" i="43"/>
  <c r="S192" i="43"/>
  <c r="S208" i="43"/>
  <c r="S224" i="43"/>
  <c r="S240" i="43"/>
  <c r="S189" i="43"/>
  <c r="S205" i="43"/>
  <c r="S221" i="43"/>
  <c r="S237" i="43"/>
  <c r="S182" i="43"/>
  <c r="S198" i="43"/>
  <c r="S214" i="43"/>
  <c r="S230" i="43"/>
  <c r="S246" i="43"/>
  <c r="S191" i="43"/>
  <c r="S207" i="43"/>
  <c r="S223" i="43"/>
  <c r="S239" i="43"/>
  <c r="S252" i="43"/>
  <c r="S268" i="43"/>
  <c r="CD268" i="43"/>
  <c r="S249" i="43"/>
  <c r="S265" i="43"/>
  <c r="CD265" i="43"/>
  <c r="S281" i="43"/>
  <c r="CD281" i="43"/>
  <c r="S262" i="43"/>
  <c r="CD262" i="43"/>
  <c r="S278" i="43"/>
  <c r="CD278" i="43"/>
  <c r="S263" i="43"/>
  <c r="CD263" i="43"/>
  <c r="S279" i="43"/>
  <c r="CD279" i="43"/>
  <c r="S297" i="43"/>
  <c r="CD297" i="43"/>
  <c r="S313" i="43"/>
  <c r="CD313" i="43"/>
  <c r="S294" i="43"/>
  <c r="CD294" i="43"/>
  <c r="S310" i="43"/>
  <c r="CD310" i="43"/>
  <c r="S291" i="43"/>
  <c r="CD291" i="43"/>
  <c r="S307" i="43"/>
  <c r="CD307" i="43"/>
  <c r="S288" i="43"/>
  <c r="CD288" i="43"/>
  <c r="S304" i="43"/>
  <c r="CD304" i="43"/>
  <c r="S320" i="43"/>
  <c r="CD320" i="43"/>
  <c r="S317" i="43"/>
  <c r="CD317" i="43"/>
  <c r="S333" i="43"/>
  <c r="CD333" i="43"/>
  <c r="S330" i="43"/>
  <c r="CD330" i="43"/>
  <c r="S331" i="43"/>
  <c r="CD331" i="43"/>
  <c r="S347" i="43"/>
  <c r="CD347" i="43"/>
  <c r="S348" i="43"/>
  <c r="CD348" i="43"/>
  <c r="S349" i="43"/>
  <c r="CD349" i="43"/>
  <c r="S346" i="43"/>
  <c r="CD346" i="43"/>
  <c r="S361" i="43"/>
  <c r="CD361" i="43"/>
  <c r="S362" i="43"/>
  <c r="CD362" i="43"/>
  <c r="S359" i="43"/>
  <c r="CD359" i="43"/>
  <c r="S356" i="43"/>
  <c r="CD356" i="43"/>
  <c r="S19" i="43"/>
  <c r="CD19" i="43"/>
  <c r="S23" i="43"/>
  <c r="CD23" i="43"/>
  <c r="S27" i="43"/>
  <c r="CD27" i="43"/>
  <c r="S31" i="43"/>
  <c r="CD31" i="43"/>
  <c r="S35" i="43"/>
  <c r="CD35" i="43"/>
  <c r="S45" i="43"/>
  <c r="CD45" i="43"/>
  <c r="S61" i="43"/>
  <c r="CD61" i="43"/>
  <c r="S77" i="43"/>
  <c r="S93" i="43"/>
  <c r="S7" i="43"/>
  <c r="CD7" i="43"/>
  <c r="AN7" i="43"/>
  <c r="S38" i="43"/>
  <c r="CD38" i="43"/>
  <c r="S54" i="43"/>
  <c r="CD54" i="43"/>
  <c r="S70" i="43"/>
  <c r="S86" i="43"/>
  <c r="S102" i="43"/>
  <c r="S17" i="43"/>
  <c r="CD17" i="43"/>
  <c r="S51" i="43"/>
  <c r="CD51" i="43"/>
  <c r="S67" i="43"/>
  <c r="S83" i="43"/>
  <c r="S99" i="43"/>
  <c r="S10" i="43"/>
  <c r="CD10" i="43"/>
  <c r="S44" i="43"/>
  <c r="CD44" i="43"/>
  <c r="S60" i="43"/>
  <c r="CD60" i="43"/>
  <c r="S76" i="43"/>
  <c r="S92" i="43"/>
  <c r="S108" i="43"/>
  <c r="S122" i="43"/>
  <c r="S138" i="43"/>
  <c r="S154" i="43"/>
  <c r="S170" i="43"/>
  <c r="S119" i="43"/>
  <c r="S135" i="43"/>
  <c r="S151" i="43"/>
  <c r="S167" i="43"/>
  <c r="S116" i="43"/>
  <c r="S132" i="43"/>
  <c r="S148" i="43"/>
  <c r="S164" i="43"/>
  <c r="S109" i="43"/>
  <c r="S125" i="43"/>
  <c r="S141" i="43"/>
  <c r="S157" i="43"/>
  <c r="S173" i="43"/>
  <c r="S188" i="43"/>
  <c r="S204" i="43"/>
  <c r="S220" i="43"/>
  <c r="S236" i="43"/>
  <c r="S185" i="43"/>
  <c r="S201" i="43"/>
  <c r="S217" i="43"/>
  <c r="S233" i="43"/>
  <c r="S178" i="43"/>
  <c r="S194" i="43"/>
  <c r="S210" i="43"/>
  <c r="S226" i="43"/>
  <c r="S242" i="43"/>
  <c r="S187" i="43"/>
  <c r="S203" i="43"/>
  <c r="S219" i="43"/>
  <c r="S235" i="43"/>
  <c r="S248" i="43"/>
  <c r="S264" i="43"/>
  <c r="CD264" i="43"/>
  <c r="S280" i="43"/>
  <c r="CD280" i="43"/>
  <c r="S261" i="43"/>
  <c r="CD261" i="43"/>
  <c r="S277" i="43"/>
  <c r="CD277" i="43"/>
  <c r="S258" i="43"/>
  <c r="S274" i="43"/>
  <c r="CD274" i="43"/>
  <c r="S259" i="43"/>
  <c r="CD259" i="43"/>
  <c r="S275" i="43"/>
  <c r="CD275" i="43"/>
  <c r="S293" i="43"/>
  <c r="CD293" i="43"/>
  <c r="S309" i="43"/>
  <c r="CD309" i="43"/>
  <c r="S290" i="43"/>
  <c r="CD290" i="43"/>
  <c r="S306" i="43"/>
  <c r="CD306" i="43"/>
  <c r="S287" i="43"/>
  <c r="CD287" i="43"/>
  <c r="S303" i="43"/>
  <c r="CD303" i="43"/>
  <c r="S284" i="43"/>
  <c r="CD284" i="43"/>
  <c r="S300" i="43"/>
  <c r="CD300" i="43"/>
  <c r="S316" i="43"/>
  <c r="CD316" i="43"/>
  <c r="S332" i="43"/>
  <c r="CD332" i="43"/>
  <c r="S329" i="43"/>
  <c r="CD329" i="43"/>
  <c r="S326" i="43"/>
  <c r="CD326" i="43"/>
  <c r="S327" i="43"/>
  <c r="CD327" i="43"/>
  <c r="S343" i="43"/>
  <c r="CD343" i="43"/>
  <c r="S344" i="43"/>
  <c r="CD344" i="43"/>
  <c r="S345" i="43"/>
  <c r="CD345" i="43"/>
  <c r="S342" i="43"/>
  <c r="CD342" i="43"/>
  <c r="S357" i="43"/>
  <c r="CD357" i="43"/>
  <c r="S358" i="43"/>
  <c r="CD358" i="43"/>
  <c r="S355" i="43"/>
  <c r="CD355" i="43"/>
  <c r="S352" i="43"/>
  <c r="CD352" i="43"/>
  <c r="S15" i="43"/>
  <c r="CD15" i="43"/>
  <c r="S22" i="43"/>
  <c r="CD22" i="43"/>
  <c r="S26" i="43"/>
  <c r="CD26" i="43"/>
  <c r="S30" i="43"/>
  <c r="CD30" i="43"/>
  <c r="S34" i="43"/>
  <c r="CD34" i="43"/>
  <c r="S41" i="43"/>
  <c r="CD41" i="43"/>
  <c r="S57" i="43"/>
  <c r="CD57" i="43"/>
  <c r="S73" i="43"/>
  <c r="S89" i="43"/>
  <c r="S105" i="43"/>
  <c r="S16" i="43"/>
  <c r="CD16" i="43"/>
  <c r="S50" i="43"/>
  <c r="CD50" i="43"/>
  <c r="S66" i="43"/>
  <c r="CD66" i="43"/>
  <c r="S82" i="43"/>
  <c r="S98" i="43"/>
  <c r="S13" i="43"/>
  <c r="CD13" i="43"/>
  <c r="S47" i="43"/>
  <c r="CD47" i="43"/>
  <c r="S63" i="43"/>
  <c r="CD63" i="43"/>
  <c r="S79" i="43"/>
  <c r="S95" i="43"/>
  <c r="S40" i="43"/>
  <c r="CD40" i="43"/>
  <c r="S56" i="43"/>
  <c r="CD56" i="43"/>
  <c r="S72" i="43"/>
  <c r="S88" i="43"/>
  <c r="S104" i="43"/>
  <c r="S118" i="43"/>
  <c r="S134" i="43"/>
  <c r="S150" i="43"/>
  <c r="S166" i="43"/>
  <c r="S115" i="43"/>
  <c r="S131" i="43"/>
  <c r="S147" i="43"/>
  <c r="S163" i="43"/>
  <c r="S112" i="43"/>
  <c r="S128" i="43"/>
  <c r="S144" i="43"/>
  <c r="S160" i="43"/>
  <c r="S176" i="43"/>
  <c r="S121" i="43"/>
  <c r="S137" i="43"/>
  <c r="S153" i="43"/>
  <c r="S169" i="43"/>
  <c r="S184" i="43"/>
  <c r="S200" i="43"/>
  <c r="S216" i="43"/>
  <c r="S232" i="43"/>
  <c r="S181" i="43"/>
  <c r="S197" i="43"/>
  <c r="S213" i="43"/>
  <c r="S229" i="43"/>
  <c r="S245" i="43"/>
  <c r="S190" i="43"/>
  <c r="S206" i="43"/>
  <c r="S222" i="43"/>
  <c r="S238" i="43"/>
  <c r="S183" i="43"/>
  <c r="S199" i="43"/>
  <c r="S215" i="43"/>
  <c r="S231" i="43"/>
  <c r="S247" i="43"/>
  <c r="S260" i="43"/>
  <c r="CD260" i="43"/>
  <c r="S276" i="43"/>
  <c r="CD276" i="43"/>
  <c r="S257" i="43"/>
  <c r="S273" i="43"/>
  <c r="CD273" i="43"/>
  <c r="S254" i="43"/>
  <c r="S270" i="43"/>
  <c r="CD270" i="43"/>
  <c r="S255" i="43"/>
  <c r="S271" i="43"/>
  <c r="CD271" i="43"/>
  <c r="S289" i="43"/>
  <c r="CD289" i="43"/>
  <c r="S305" i="43"/>
  <c r="CD305" i="43"/>
  <c r="S286" i="43"/>
  <c r="CD286" i="43"/>
  <c r="S302" i="43"/>
  <c r="CD302" i="43"/>
  <c r="S283" i="43"/>
  <c r="CD283" i="43"/>
  <c r="S299" i="43"/>
  <c r="CD299" i="43"/>
  <c r="S315" i="43"/>
  <c r="CD315" i="43"/>
  <c r="S296" i="43"/>
  <c r="CD296" i="43"/>
  <c r="S312" i="43"/>
  <c r="CD312" i="43"/>
  <c r="S328" i="43"/>
  <c r="CD328" i="43"/>
  <c r="S325" i="43"/>
  <c r="CD325" i="43"/>
  <c r="S322" i="43"/>
  <c r="CD322" i="43"/>
  <c r="S323" i="43"/>
  <c r="CD323" i="43"/>
  <c r="S339" i="43"/>
  <c r="CD339" i="43"/>
  <c r="S340" i="43"/>
  <c r="CD340" i="43"/>
  <c r="S341" i="43"/>
  <c r="CD341" i="43"/>
  <c r="S338" i="43"/>
  <c r="CD338" i="43"/>
  <c r="S353" i="43"/>
  <c r="CD353" i="43"/>
  <c r="S354" i="43"/>
  <c r="CD354" i="43"/>
  <c r="S351" i="43"/>
  <c r="CD351" i="43"/>
  <c r="S367" i="43"/>
  <c r="CD367" i="43"/>
  <c r="S364" i="43"/>
  <c r="CD364" i="43"/>
  <c r="CD17" i="42"/>
  <c r="CD59" i="42"/>
  <c r="CD14" i="42"/>
  <c r="CD48" i="42"/>
  <c r="CD64" i="42"/>
  <c r="CD20" i="42"/>
  <c r="CD24" i="42"/>
  <c r="CD28" i="42"/>
  <c r="CD32" i="42"/>
  <c r="CD36" i="42"/>
  <c r="CD49" i="42"/>
  <c r="CD65" i="42"/>
  <c r="CD7" i="42"/>
  <c r="AN7" i="42"/>
  <c r="CD38" i="42"/>
  <c r="CD54" i="42"/>
  <c r="CD321" i="42"/>
  <c r="CD293" i="42"/>
  <c r="CD261" i="42"/>
  <c r="CD292" i="42"/>
  <c r="CD281" i="42"/>
  <c r="BJ239" i="42"/>
  <c r="CD272" i="42"/>
  <c r="CD270" i="42"/>
  <c r="CD286" i="42"/>
  <c r="CD331" i="42"/>
  <c r="CD283" i="42"/>
  <c r="CD313" i="42"/>
  <c r="CD310" i="42"/>
  <c r="CD335" i="42"/>
  <c r="CD303" i="42"/>
  <c r="CD319" i="42"/>
  <c r="CD300" i="42"/>
  <c r="CD316" i="42"/>
  <c r="CD328" i="42"/>
  <c r="CD329" i="42"/>
  <c r="CD326" i="42"/>
  <c r="CD339" i="42"/>
  <c r="CD340" i="42"/>
  <c r="CD341" i="42"/>
  <c r="CD353" i="42"/>
  <c r="CD354" i="42"/>
  <c r="CD351" i="42"/>
  <c r="CD367" i="42"/>
  <c r="AS104" i="42"/>
  <c r="CD13" i="42"/>
  <c r="CD55" i="42"/>
  <c r="CD10" i="42"/>
  <c r="CD44" i="42"/>
  <c r="CD60" i="42"/>
  <c r="CD63" i="42"/>
  <c r="CD19" i="42"/>
  <c r="CD23" i="42"/>
  <c r="CD27" i="42"/>
  <c r="CD31" i="42"/>
  <c r="CD35" i="42"/>
  <c r="CD45" i="42"/>
  <c r="CD61" i="42"/>
  <c r="CD51" i="42"/>
  <c r="CD16" i="42"/>
  <c r="CD50" i="42"/>
  <c r="CD66" i="42"/>
  <c r="CD269" i="42"/>
  <c r="CD268" i="42"/>
  <c r="CD285" i="42"/>
  <c r="CD264" i="42"/>
  <c r="CD284" i="42"/>
  <c r="CD273" i="42"/>
  <c r="CD267" i="42"/>
  <c r="CD301" i="42"/>
  <c r="CD282" i="42"/>
  <c r="CD309" i="42"/>
  <c r="CD279" i="42"/>
  <c r="CD297" i="42"/>
  <c r="CD306" i="42"/>
  <c r="CD322" i="42"/>
  <c r="CD299" i="42"/>
  <c r="CD315" i="42"/>
  <c r="CD296" i="42"/>
  <c r="CD312" i="42"/>
  <c r="CD327" i="42"/>
  <c r="CD342" i="42"/>
  <c r="CD346" i="42"/>
  <c r="CD350" i="42"/>
  <c r="CD352" i="42"/>
  <c r="CD356" i="42"/>
  <c r="CD360" i="42"/>
  <c r="CD365" i="42"/>
  <c r="CD366" i="42"/>
  <c r="CD363" i="42"/>
  <c r="CD47" i="42"/>
  <c r="CD40" i="42"/>
  <c r="CD56" i="42"/>
  <c r="CD39" i="42"/>
  <c r="CD15" i="42"/>
  <c r="CD22" i="42"/>
  <c r="CD26" i="42"/>
  <c r="CD30" i="42"/>
  <c r="CD34" i="42"/>
  <c r="CD41" i="42"/>
  <c r="CD57" i="42"/>
  <c r="CD12" i="42"/>
  <c r="CD46" i="42"/>
  <c r="CD62" i="42"/>
  <c r="CD260" i="42"/>
  <c r="CD276" i="42"/>
  <c r="CD266" i="42"/>
  <c r="CD305" i="42"/>
  <c r="CD263" i="42"/>
  <c r="CD288" i="42"/>
  <c r="CD278" i="42"/>
  <c r="CD294" i="42"/>
  <c r="CD275" i="42"/>
  <c r="CD291" i="42"/>
  <c r="CD302" i="42"/>
  <c r="CD318" i="42"/>
  <c r="CD295" i="42"/>
  <c r="CD311" i="42"/>
  <c r="CD325" i="42"/>
  <c r="CD308" i="42"/>
  <c r="CD324" i="42"/>
  <c r="CD336" i="42"/>
  <c r="CD337" i="42"/>
  <c r="CD334" i="42"/>
  <c r="CD347" i="42"/>
  <c r="CD348" i="42"/>
  <c r="CD349" i="42"/>
  <c r="CD361" i="42"/>
  <c r="CD362" i="42"/>
  <c r="CD359" i="42"/>
  <c r="CD43" i="42"/>
  <c r="CD18" i="42"/>
  <c r="CD52" i="42"/>
  <c r="CD9" i="42"/>
  <c r="CD11" i="42"/>
  <c r="CD21" i="42"/>
  <c r="CD25" i="42"/>
  <c r="CD29" i="42"/>
  <c r="CD33" i="42"/>
  <c r="CD37" i="42"/>
  <c r="CD53" i="42"/>
  <c r="CD8" i="42"/>
  <c r="CD42" i="42"/>
  <c r="CD58" i="42"/>
  <c r="CD277" i="42"/>
  <c r="CD338" i="42"/>
  <c r="CD265" i="42"/>
  <c r="CD317" i="42"/>
  <c r="CD262" i="42"/>
  <c r="CD289" i="42"/>
  <c r="CD259" i="42"/>
  <c r="CD280" i="42"/>
  <c r="CD274" i="42"/>
  <c r="CD290" i="42"/>
  <c r="CD271" i="42"/>
  <c r="CD287" i="42"/>
  <c r="CD298" i="42"/>
  <c r="CD314" i="42"/>
  <c r="CD364" i="42"/>
  <c r="CD307" i="42"/>
  <c r="CD323" i="42"/>
  <c r="CD304" i="42"/>
  <c r="CD320" i="42"/>
  <c r="CD332" i="42"/>
  <c r="CD333" i="42"/>
  <c r="CD330" i="42"/>
  <c r="CD343" i="42"/>
  <c r="CD344" i="42"/>
  <c r="CD345" i="42"/>
  <c r="CD357" i="42"/>
  <c r="CD358" i="42"/>
  <c r="CD355" i="42"/>
  <c r="CD66" i="31"/>
  <c r="CD45" i="31"/>
  <c r="CD28" i="31"/>
  <c r="CD24" i="31"/>
  <c r="CD65" i="31"/>
  <c r="CD42" i="31"/>
  <c r="CD19" i="31"/>
  <c r="CD55" i="31"/>
  <c r="CD34" i="31"/>
  <c r="CD13" i="31"/>
  <c r="CD54" i="31"/>
  <c r="CD37" i="31"/>
  <c r="CD16" i="31"/>
  <c r="CD39" i="31"/>
  <c r="CD14" i="31"/>
  <c r="CD53" i="31"/>
  <c r="CD63" i="31"/>
  <c r="CD46" i="31"/>
  <c r="CD25" i="31"/>
  <c r="CD40" i="31"/>
  <c r="CD17" i="31"/>
  <c r="CD58" i="31"/>
  <c r="CD35" i="31"/>
  <c r="CD27" i="31"/>
  <c r="CD29" i="31"/>
  <c r="CD47" i="31"/>
  <c r="CD30" i="31"/>
  <c r="CD9" i="31"/>
  <c r="CD64" i="31"/>
  <c r="CD59" i="31"/>
  <c r="CD43" i="31"/>
  <c r="CD22" i="31"/>
  <c r="CD56" i="31"/>
  <c r="CD33" i="31"/>
  <c r="CD10" i="31"/>
  <c r="CD51" i="31"/>
  <c r="CD52" i="31"/>
  <c r="CD11" i="31"/>
  <c r="CD36" i="31"/>
  <c r="CD15" i="31"/>
  <c r="CD18" i="31"/>
  <c r="CD60" i="31"/>
  <c r="CD38" i="31"/>
  <c r="CD23" i="31"/>
  <c r="CD48" i="31"/>
  <c r="CD8" i="31"/>
  <c r="CD49" i="31"/>
  <c r="CD26" i="31"/>
  <c r="CD62" i="31"/>
  <c r="CD41" i="31"/>
  <c r="CD20" i="31"/>
  <c r="CD50" i="31"/>
  <c r="CD12" i="31"/>
  <c r="CD61" i="31"/>
  <c r="CD44" i="31"/>
  <c r="CD57" i="31"/>
  <c r="CD31" i="31"/>
  <c r="CD32" i="31"/>
  <c r="CD21" i="31"/>
  <c r="AN7" i="31"/>
  <c r="BN7" i="31" s="1"/>
  <c r="AO7" i="31" s="1"/>
  <c r="AP7" i="31" s="1"/>
  <c r="AQ7" i="31" s="1"/>
  <c r="BO7" i="31" s="1"/>
  <c r="Z12" i="1"/>
  <c r="CD7" i="31"/>
  <c r="Z11" i="1"/>
  <c r="AZ7" i="31" l="1"/>
  <c r="BI255" i="43"/>
  <c r="BI276" i="43"/>
  <c r="BI238" i="43"/>
  <c r="BI181" i="43"/>
  <c r="BI121" i="43"/>
  <c r="BI131" i="43"/>
  <c r="BI72" i="43"/>
  <c r="BI82" i="43"/>
  <c r="BI89" i="43"/>
  <c r="BI258" i="43"/>
  <c r="BI264" i="43"/>
  <c r="BI210" i="43"/>
  <c r="BI220" i="43"/>
  <c r="BI164" i="43"/>
  <c r="BI170" i="43"/>
  <c r="BI60" i="43"/>
  <c r="BI54" i="43"/>
  <c r="BI239" i="43"/>
  <c r="BI182" i="43"/>
  <c r="BI192" i="43"/>
  <c r="BI136" i="43"/>
  <c r="BI142" i="43"/>
  <c r="BI48" i="43"/>
  <c r="BI42" i="43"/>
  <c r="BI49" i="43"/>
  <c r="BI24" i="43"/>
  <c r="BI253" i="43"/>
  <c r="BI179" i="43"/>
  <c r="BI193" i="43"/>
  <c r="BI133" i="43"/>
  <c r="BI143" i="43"/>
  <c r="BI84" i="43"/>
  <c r="BI75" i="43"/>
  <c r="BI78" i="43"/>
  <c r="BI85" i="43"/>
  <c r="BI351" i="43"/>
  <c r="BI341" i="43"/>
  <c r="BI322" i="43"/>
  <c r="BI296" i="43"/>
  <c r="BI302" i="43"/>
  <c r="BI183" i="43"/>
  <c r="BI197" i="43"/>
  <c r="BI137" i="43"/>
  <c r="BI147" i="43"/>
  <c r="BI88" i="43"/>
  <c r="BI95" i="43"/>
  <c r="BI98" i="43"/>
  <c r="BI105" i="43"/>
  <c r="BI34" i="43"/>
  <c r="BI15" i="43"/>
  <c r="BI357" i="43"/>
  <c r="BI332" i="43"/>
  <c r="BI303" i="43"/>
  <c r="BI309" i="43"/>
  <c r="BI274" i="43"/>
  <c r="BI226" i="43"/>
  <c r="BI236" i="43"/>
  <c r="BI109" i="43"/>
  <c r="BI119" i="43"/>
  <c r="BI77" i="43"/>
  <c r="BI356" i="43"/>
  <c r="BI346" i="43"/>
  <c r="BI320" i="43"/>
  <c r="BI291" i="43"/>
  <c r="BI297" i="43"/>
  <c r="BI262" i="43"/>
  <c r="BI252" i="43"/>
  <c r="BI198" i="43"/>
  <c r="BI208" i="43"/>
  <c r="BI152" i="43"/>
  <c r="BI158" i="43"/>
  <c r="BI363" i="43"/>
  <c r="BI334" i="43"/>
  <c r="BI308" i="43"/>
  <c r="BI314" i="43"/>
  <c r="BI285" i="43"/>
  <c r="BI269" i="43"/>
  <c r="BI195" i="43"/>
  <c r="BI209" i="43"/>
  <c r="BI149" i="43"/>
  <c r="BI159" i="43"/>
  <c r="BI100" i="43"/>
  <c r="BI94" i="43"/>
  <c r="BI101" i="43"/>
  <c r="BI33" i="43"/>
  <c r="BI11" i="43"/>
  <c r="BI257" i="43"/>
  <c r="BI213" i="43"/>
  <c r="BI153" i="43"/>
  <c r="BI104" i="43"/>
  <c r="BI13" i="43"/>
  <c r="BI16" i="43"/>
  <c r="BI280" i="43"/>
  <c r="BI242" i="43"/>
  <c r="BI185" i="43"/>
  <c r="BI125" i="43"/>
  <c r="BI135" i="43"/>
  <c r="BI76" i="43"/>
  <c r="BI83" i="43"/>
  <c r="BI70" i="43"/>
  <c r="BI93" i="43"/>
  <c r="BI268" i="43"/>
  <c r="BI214" i="43"/>
  <c r="BI224" i="43"/>
  <c r="BI168" i="43"/>
  <c r="BI174" i="43"/>
  <c r="BI64" i="43"/>
  <c r="BI58" i="43"/>
  <c r="BI65" i="43"/>
  <c r="BI28" i="43"/>
  <c r="BI225" i="43"/>
  <c r="BI165" i="43"/>
  <c r="BI114" i="43"/>
  <c r="BI107" i="43"/>
  <c r="BI9" i="43"/>
  <c r="BI12" i="43"/>
  <c r="BI367" i="43"/>
  <c r="BI338" i="43"/>
  <c r="BI323" i="43"/>
  <c r="BI312" i="43"/>
  <c r="BI289" i="43"/>
  <c r="BI273" i="43"/>
  <c r="BI215" i="43"/>
  <c r="BI229" i="43"/>
  <c r="BI169" i="43"/>
  <c r="BI112" i="43"/>
  <c r="BI118" i="43"/>
  <c r="BI41" i="43"/>
  <c r="BI22" i="43"/>
  <c r="BI358" i="43"/>
  <c r="BI344" i="43"/>
  <c r="BI329" i="43"/>
  <c r="BI284" i="43"/>
  <c r="BI290" i="43"/>
  <c r="BI201" i="43"/>
  <c r="BI141" i="43"/>
  <c r="BI92" i="43"/>
  <c r="BI99" i="43"/>
  <c r="BI86" i="43"/>
  <c r="BI35" i="43"/>
  <c r="BI361" i="43"/>
  <c r="BI347" i="43"/>
  <c r="BI317" i="43"/>
  <c r="BI313" i="43"/>
  <c r="BI278" i="43"/>
  <c r="BI230" i="43"/>
  <c r="BI240" i="43"/>
  <c r="BI113" i="43"/>
  <c r="BI123" i="43"/>
  <c r="BI71" i="43"/>
  <c r="BI360" i="43"/>
  <c r="BI350" i="43"/>
  <c r="BI335" i="43"/>
  <c r="BI324" i="43"/>
  <c r="BI301" i="43"/>
  <c r="BI250" i="43"/>
  <c r="BI227" i="43"/>
  <c r="BI241" i="43"/>
  <c r="BI180" i="43"/>
  <c r="BI124" i="43"/>
  <c r="BI130" i="43"/>
  <c r="BI18" i="43"/>
  <c r="BI37" i="43"/>
  <c r="BI21" i="43"/>
  <c r="BI231" i="43"/>
  <c r="BI245" i="43"/>
  <c r="BI184" i="43"/>
  <c r="BI128" i="43"/>
  <c r="BI134" i="43"/>
  <c r="BI40" i="43"/>
  <c r="BI47" i="43"/>
  <c r="BI50" i="43"/>
  <c r="BI261" i="43"/>
  <c r="BI203" i="43"/>
  <c r="BI217" i="43"/>
  <c r="BI157" i="43"/>
  <c r="BI167" i="43"/>
  <c r="BI108" i="43"/>
  <c r="BI10" i="43"/>
  <c r="BI102" i="43"/>
  <c r="BI249" i="43"/>
  <c r="BI246" i="43"/>
  <c r="BI189" i="43"/>
  <c r="BI129" i="43"/>
  <c r="BI80" i="43"/>
  <c r="BI87" i="43"/>
  <c r="BI74" i="43"/>
  <c r="BI81" i="43"/>
  <c r="BI32" i="43"/>
  <c r="BI266" i="43"/>
  <c r="BI243" i="43"/>
  <c r="BI186" i="43"/>
  <c r="BI196" i="43"/>
  <c r="BI140" i="43"/>
  <c r="BI146" i="43"/>
  <c r="BI46" i="43"/>
  <c r="BI364" i="43"/>
  <c r="BI353" i="43"/>
  <c r="BI339" i="43"/>
  <c r="BI328" i="43"/>
  <c r="BI299" i="43"/>
  <c r="BI305" i="43"/>
  <c r="BI254" i="43"/>
  <c r="BI190" i="43"/>
  <c r="BI200" i="43"/>
  <c r="BI144" i="43"/>
  <c r="BI150" i="43"/>
  <c r="BI57" i="43"/>
  <c r="BI26" i="43"/>
  <c r="BI345" i="43"/>
  <c r="BI326" i="43"/>
  <c r="BI300" i="43"/>
  <c r="BI306" i="43"/>
  <c r="BI275" i="43"/>
  <c r="BI219" i="43"/>
  <c r="BI233" i="43"/>
  <c r="BI173" i="43"/>
  <c r="BI116" i="43"/>
  <c r="BI122" i="43"/>
  <c r="BI17" i="43"/>
  <c r="BI45" i="43"/>
  <c r="BI23" i="43"/>
  <c r="BI362" i="43"/>
  <c r="BI348" i="43"/>
  <c r="BI333" i="43"/>
  <c r="BI288" i="43"/>
  <c r="BI294" i="43"/>
  <c r="BI263" i="43"/>
  <c r="BI265" i="43"/>
  <c r="BI191" i="43"/>
  <c r="BI205" i="43"/>
  <c r="BI145" i="43"/>
  <c r="BI155" i="43"/>
  <c r="BI96" i="43"/>
  <c r="BI90" i="43"/>
  <c r="BI97" i="43"/>
  <c r="BI365" i="43"/>
  <c r="BI336" i="43"/>
  <c r="BI321" i="43"/>
  <c r="BI311" i="43"/>
  <c r="BI282" i="43"/>
  <c r="BI256" i="43"/>
  <c r="BI202" i="43"/>
  <c r="BI212" i="43"/>
  <c r="BI156" i="43"/>
  <c r="BI162" i="43"/>
  <c r="BI52" i="43"/>
  <c r="BI53" i="43"/>
  <c r="BI25" i="43"/>
  <c r="BI270" i="43"/>
  <c r="BI260" i="43"/>
  <c r="BI206" i="43"/>
  <c r="BI216" i="43"/>
  <c r="BI160" i="43"/>
  <c r="BI166" i="43"/>
  <c r="BI56" i="43"/>
  <c r="BI63" i="43"/>
  <c r="BI66" i="43"/>
  <c r="BI277" i="43"/>
  <c r="BI178" i="43"/>
  <c r="BI188" i="43"/>
  <c r="BI132" i="43"/>
  <c r="BI138" i="43"/>
  <c r="BI44" i="43"/>
  <c r="BI38" i="43"/>
  <c r="BI207" i="43"/>
  <c r="BI221" i="43"/>
  <c r="BI161" i="43"/>
  <c r="BI171" i="43"/>
  <c r="BI110" i="43"/>
  <c r="BI14" i="43"/>
  <c r="BI106" i="43"/>
  <c r="BI8" i="43"/>
  <c r="BI36" i="43"/>
  <c r="BI20" i="43"/>
  <c r="BI251" i="43"/>
  <c r="BI272" i="43"/>
  <c r="BI218" i="43"/>
  <c r="BI228" i="43"/>
  <c r="BI172" i="43"/>
  <c r="BI111" i="43"/>
  <c r="BI59" i="43"/>
  <c r="BI62" i="43"/>
  <c r="BI354" i="43"/>
  <c r="BI340" i="43"/>
  <c r="BI325" i="43"/>
  <c r="BI315" i="43"/>
  <c r="BI286" i="43"/>
  <c r="BI222" i="43"/>
  <c r="BI232" i="43"/>
  <c r="BI176" i="43"/>
  <c r="BI73" i="43"/>
  <c r="BI30" i="43"/>
  <c r="BI352" i="43"/>
  <c r="BI342" i="43"/>
  <c r="BI327" i="43"/>
  <c r="BI316" i="43"/>
  <c r="BI287" i="43"/>
  <c r="BI293" i="43"/>
  <c r="BI248" i="43"/>
  <c r="BI194" i="43"/>
  <c r="BI204" i="43"/>
  <c r="BI148" i="43"/>
  <c r="BI154" i="43"/>
  <c r="BI51" i="43"/>
  <c r="BI61" i="43"/>
  <c r="BI27" i="43"/>
  <c r="BI359" i="43"/>
  <c r="BI349" i="43"/>
  <c r="BI330" i="43"/>
  <c r="BI304" i="43"/>
  <c r="BI310" i="43"/>
  <c r="BI279" i="43"/>
  <c r="BI281" i="43"/>
  <c r="BI237" i="43"/>
  <c r="BI177" i="43"/>
  <c r="BI120" i="43"/>
  <c r="BI126" i="43"/>
  <c r="BI39" i="43"/>
  <c r="BI366" i="43"/>
  <c r="BI337" i="43"/>
  <c r="BI318" i="43"/>
  <c r="BI292" i="43"/>
  <c r="BI298" i="43"/>
  <c r="BI267" i="43"/>
  <c r="BI234" i="43"/>
  <c r="BI244" i="43"/>
  <c r="BI117" i="43"/>
  <c r="BI68" i="43"/>
  <c r="BI69" i="43"/>
  <c r="BI29" i="43"/>
  <c r="BI357" i="42"/>
  <c r="BI330" i="42"/>
  <c r="BI304" i="42"/>
  <c r="BI314" i="42"/>
  <c r="BI290" i="42"/>
  <c r="BI227" i="42"/>
  <c r="BI317" i="42"/>
  <c r="BI244" i="42"/>
  <c r="BI117" i="42"/>
  <c r="BI148" i="42"/>
  <c r="BI8" i="42"/>
  <c r="BI37" i="42"/>
  <c r="BI21" i="42"/>
  <c r="BI359" i="42"/>
  <c r="BI348" i="42"/>
  <c r="BI336" i="42"/>
  <c r="BI311" i="42"/>
  <c r="BI291" i="42"/>
  <c r="BI288" i="42"/>
  <c r="BI266" i="42"/>
  <c r="BI221" i="42"/>
  <c r="BI111" i="42"/>
  <c r="BI146" i="42"/>
  <c r="BI153" i="42"/>
  <c r="BI220" i="42"/>
  <c r="BI46" i="42"/>
  <c r="BI57" i="42"/>
  <c r="BI26" i="42"/>
  <c r="BI100" i="42"/>
  <c r="BI47" i="42"/>
  <c r="BI360" i="42"/>
  <c r="BI346" i="42"/>
  <c r="BI296" i="42"/>
  <c r="BI306" i="42"/>
  <c r="BI282" i="42"/>
  <c r="BI241" i="42"/>
  <c r="BI147" i="42"/>
  <c r="BI182" i="42"/>
  <c r="BI189" i="42"/>
  <c r="BI168" i="42"/>
  <c r="BI82" i="42"/>
  <c r="BI45" i="42"/>
  <c r="BI23" i="42"/>
  <c r="BI354" i="42"/>
  <c r="BI339" i="42"/>
  <c r="BI316" i="42"/>
  <c r="BI335" i="42"/>
  <c r="BI215" i="42"/>
  <c r="BI122" i="42"/>
  <c r="BI129" i="42"/>
  <c r="BI124" i="42"/>
  <c r="BI243" i="42"/>
  <c r="BI203" i="42"/>
  <c r="BI338" i="42"/>
  <c r="BI110" i="42"/>
  <c r="BI133" i="42"/>
  <c r="BI140" i="42"/>
  <c r="BI68" i="42"/>
  <c r="BI237" i="42"/>
  <c r="BI162" i="42"/>
  <c r="BI169" i="42"/>
  <c r="BI196" i="42"/>
  <c r="BI39" i="42"/>
  <c r="BI219" i="42"/>
  <c r="BI257" i="42"/>
  <c r="BI198" i="42"/>
  <c r="BI205" i="42"/>
  <c r="BI268" i="42"/>
  <c r="BI93" i="42"/>
  <c r="BI76" i="42"/>
  <c r="BI255" i="42"/>
  <c r="BI226" i="42"/>
  <c r="BI293" i="42"/>
  <c r="BI138" i="42"/>
  <c r="BI145" i="42"/>
  <c r="BI188" i="42"/>
  <c r="BI38" i="42"/>
  <c r="BI65" i="42"/>
  <c r="BI28" i="42"/>
  <c r="BI80" i="42"/>
  <c r="BI59" i="42"/>
  <c r="BI358" i="42"/>
  <c r="BI320" i="42"/>
  <c r="BI364" i="42"/>
  <c r="BI230" i="42"/>
  <c r="BI232" i="42"/>
  <c r="BI126" i="42"/>
  <c r="BI149" i="42"/>
  <c r="BI204" i="42"/>
  <c r="BI42" i="42"/>
  <c r="BI53" i="42"/>
  <c r="BI25" i="42"/>
  <c r="BI84" i="42"/>
  <c r="BI349" i="42"/>
  <c r="BI337" i="42"/>
  <c r="BI325" i="42"/>
  <c r="BI302" i="42"/>
  <c r="BI278" i="42"/>
  <c r="BI305" i="42"/>
  <c r="BI253" i="42"/>
  <c r="BI143" i="42"/>
  <c r="BI178" i="42"/>
  <c r="BI185" i="42"/>
  <c r="BI94" i="42"/>
  <c r="BI62" i="42"/>
  <c r="BI73" i="42"/>
  <c r="BI30" i="42"/>
  <c r="BI89" i="42"/>
  <c r="BI365" i="42"/>
  <c r="BI350" i="42"/>
  <c r="BI312" i="42"/>
  <c r="BI322" i="42"/>
  <c r="BI309" i="42"/>
  <c r="BI284" i="42"/>
  <c r="BI179" i="42"/>
  <c r="BI214" i="42"/>
  <c r="BI240" i="42"/>
  <c r="BI108" i="42"/>
  <c r="BI16" i="42"/>
  <c r="BI61" i="42"/>
  <c r="BI27" i="42"/>
  <c r="BI132" i="42"/>
  <c r="BI351" i="42"/>
  <c r="BI340" i="42"/>
  <c r="BI328" i="42"/>
  <c r="BI303" i="42"/>
  <c r="BI272" i="42"/>
  <c r="BI242" i="42"/>
  <c r="BI119" i="42"/>
  <c r="BI154" i="42"/>
  <c r="BI161" i="42"/>
  <c r="BI164" i="42"/>
  <c r="BI176" i="42"/>
  <c r="BI246" i="42"/>
  <c r="BI217" i="42"/>
  <c r="BI107" i="42"/>
  <c r="BI142" i="42"/>
  <c r="BI165" i="42"/>
  <c r="BI180" i="42"/>
  <c r="BI9" i="42"/>
  <c r="BI276" i="42"/>
  <c r="BI159" i="42"/>
  <c r="BI194" i="42"/>
  <c r="BI201" i="42"/>
  <c r="BI152" i="42"/>
  <c r="BI96" i="42"/>
  <c r="BI83" i="42"/>
  <c r="BI40" i="42"/>
  <c r="BI251" i="42"/>
  <c r="BI195" i="42"/>
  <c r="BI285" i="42"/>
  <c r="BI102" i="42"/>
  <c r="BI109" i="42"/>
  <c r="BI172" i="42"/>
  <c r="BI63" i="42"/>
  <c r="BI10" i="42"/>
  <c r="BI258" i="42"/>
  <c r="BI229" i="42"/>
  <c r="BI135" i="42"/>
  <c r="BI170" i="42"/>
  <c r="BI177" i="42"/>
  <c r="BI252" i="42"/>
  <c r="BI54" i="42"/>
  <c r="BI81" i="42"/>
  <c r="BI32" i="42"/>
  <c r="BI14" i="42"/>
  <c r="BI344" i="42"/>
  <c r="BI332" i="42"/>
  <c r="BI287" i="42"/>
  <c r="BI280" i="42"/>
  <c r="BI262" i="42"/>
  <c r="BI233" i="42"/>
  <c r="BI123" i="42"/>
  <c r="BI158" i="42"/>
  <c r="BI181" i="42"/>
  <c r="BI90" i="42"/>
  <c r="BI58" i="42"/>
  <c r="BI69" i="42"/>
  <c r="BI29" i="42"/>
  <c r="BI87" i="42"/>
  <c r="BI361" i="42"/>
  <c r="BI334" i="42"/>
  <c r="BI308" i="42"/>
  <c r="BI318" i="42"/>
  <c r="BI294" i="42"/>
  <c r="BI231" i="42"/>
  <c r="BI210" i="42"/>
  <c r="BI224" i="42"/>
  <c r="BI216" i="42"/>
  <c r="BI78" i="42"/>
  <c r="BI236" i="42"/>
  <c r="BI34" i="42"/>
  <c r="BI15" i="42"/>
  <c r="BI366" i="42"/>
  <c r="BI352" i="42"/>
  <c r="BI327" i="42"/>
  <c r="BI299" i="42"/>
  <c r="BI279" i="42"/>
  <c r="BI267" i="42"/>
  <c r="BI222" i="42"/>
  <c r="BI118" i="42"/>
  <c r="BI125" i="42"/>
  <c r="BI269" i="42"/>
  <c r="BI50" i="42"/>
  <c r="BI77" i="42"/>
  <c r="BI367" i="42"/>
  <c r="BI341" i="42"/>
  <c r="BI329" i="42"/>
  <c r="BI313" i="42"/>
  <c r="BI270" i="42"/>
  <c r="BI281" i="42"/>
  <c r="BI245" i="42"/>
  <c r="BI186" i="42"/>
  <c r="BI193" i="42"/>
  <c r="BI120" i="42"/>
  <c r="BI160" i="42"/>
  <c r="BI112" i="42"/>
  <c r="BI249" i="42"/>
  <c r="BI174" i="42"/>
  <c r="BI197" i="42"/>
  <c r="BI136" i="42"/>
  <c r="BI85" i="42"/>
  <c r="BI18" i="42"/>
  <c r="BI218" i="42"/>
  <c r="BI191" i="42"/>
  <c r="BI260" i="42"/>
  <c r="BI98" i="42"/>
  <c r="BI105" i="42"/>
  <c r="BI92" i="42"/>
  <c r="BI144" i="42"/>
  <c r="BI56" i="42"/>
  <c r="BI238" i="42"/>
  <c r="BI264" i="42"/>
  <c r="BI99" i="42"/>
  <c r="BI134" i="42"/>
  <c r="BI141" i="42"/>
  <c r="BI128" i="42"/>
  <c r="BI88" i="42"/>
  <c r="BI44" i="42"/>
  <c r="BI261" i="42"/>
  <c r="BI167" i="42"/>
  <c r="BI202" i="42"/>
  <c r="BI209" i="42"/>
  <c r="BI184" i="42"/>
  <c r="BI70" i="42"/>
  <c r="BI71" i="42"/>
  <c r="BI36" i="42"/>
  <c r="BI20" i="42"/>
  <c r="BI48" i="42"/>
  <c r="BI345" i="42"/>
  <c r="BI333" i="42"/>
  <c r="BI323" i="42"/>
  <c r="BI298" i="42"/>
  <c r="BI274" i="42"/>
  <c r="BI289" i="42"/>
  <c r="BI265" i="42"/>
  <c r="BI155" i="42"/>
  <c r="BI190" i="42"/>
  <c r="BI213" i="42"/>
  <c r="BI200" i="42"/>
  <c r="BI74" i="42"/>
  <c r="BI192" i="42"/>
  <c r="BI33" i="42"/>
  <c r="BI11" i="42"/>
  <c r="BI362" i="42"/>
  <c r="BI347" i="42"/>
  <c r="BI324" i="42"/>
  <c r="BI275" i="42"/>
  <c r="BI263" i="42"/>
  <c r="BI234" i="42"/>
  <c r="BI207" i="42"/>
  <c r="BI114" i="42"/>
  <c r="BI121" i="42"/>
  <c r="BI208" i="42"/>
  <c r="BI12" i="42"/>
  <c r="BI41" i="42"/>
  <c r="BI22" i="42"/>
  <c r="BI363" i="42"/>
  <c r="BI356" i="42"/>
  <c r="BI342" i="42"/>
  <c r="BI315" i="42"/>
  <c r="BI297" i="42"/>
  <c r="BI301" i="42"/>
  <c r="BI254" i="42"/>
  <c r="BI150" i="42"/>
  <c r="BI157" i="42"/>
  <c r="BI212" i="42"/>
  <c r="BI66" i="42"/>
  <c r="BI51" i="42"/>
  <c r="BI35" i="42"/>
  <c r="BI353" i="42"/>
  <c r="BI326" i="42"/>
  <c r="BI300" i="42"/>
  <c r="BI310" i="42"/>
  <c r="BI286" i="42"/>
  <c r="BI183" i="42"/>
  <c r="BI228" i="42"/>
  <c r="BI256" i="42"/>
  <c r="BI97" i="42"/>
  <c r="BI86" i="42"/>
  <c r="BI171" i="42"/>
  <c r="BI206" i="42"/>
  <c r="BI277" i="42"/>
  <c r="BI101" i="42"/>
  <c r="BI75" i="42"/>
  <c r="BI52" i="42"/>
  <c r="BI250" i="42"/>
  <c r="BI248" i="42"/>
  <c r="BI95" i="42"/>
  <c r="BI130" i="42"/>
  <c r="BI137" i="42"/>
  <c r="BI156" i="42"/>
  <c r="BI72" i="42"/>
  <c r="BI273" i="42"/>
  <c r="BI225" i="42"/>
  <c r="BI131" i="42"/>
  <c r="BI166" i="42"/>
  <c r="BI173" i="42"/>
  <c r="BI104" i="42"/>
  <c r="BI60" i="42"/>
  <c r="BI13" i="42"/>
  <c r="BI239" i="42"/>
  <c r="BI292" i="42"/>
  <c r="BI321" i="42"/>
  <c r="BI106" i="42"/>
  <c r="BI113" i="42"/>
  <c r="BI116" i="42"/>
  <c r="BI49" i="42"/>
  <c r="BI24" i="42"/>
  <c r="BI64" i="42"/>
  <c r="BI17" i="42"/>
  <c r="BI271" i="43"/>
  <c r="BI163" i="43"/>
  <c r="BI115" i="43"/>
  <c r="BI355" i="43"/>
  <c r="BN7" i="43"/>
  <c r="AO7" i="43" s="1"/>
  <c r="AP7" i="43" s="1"/>
  <c r="BI223" i="43"/>
  <c r="BI139" i="43"/>
  <c r="BI103" i="43"/>
  <c r="BI295" i="43"/>
  <c r="BI43" i="43"/>
  <c r="BI283" i="43"/>
  <c r="BI247" i="43"/>
  <c r="BI199" i="43"/>
  <c r="BI31" i="43"/>
  <c r="BI307" i="43"/>
  <c r="BI175" i="43"/>
  <c r="BI127" i="43"/>
  <c r="BI259" i="43"/>
  <c r="BI235" i="43"/>
  <c r="BI151" i="43"/>
  <c r="BI67" i="43"/>
  <c r="BI19" i="43"/>
  <c r="AS104" i="43"/>
  <c r="BI319" i="43"/>
  <c r="BI91" i="43"/>
  <c r="BI79" i="43"/>
  <c r="BI343" i="43"/>
  <c r="BI187" i="43"/>
  <c r="BI7" i="43"/>
  <c r="BI331" i="43"/>
  <c r="BI55" i="43"/>
  <c r="BI211" i="43"/>
  <c r="BI79" i="42"/>
  <c r="BI43" i="42"/>
  <c r="BI247" i="42"/>
  <c r="BI211" i="42"/>
  <c r="BI319" i="42"/>
  <c r="BI199" i="42"/>
  <c r="BI151" i="42"/>
  <c r="BI103" i="42"/>
  <c r="BI7" i="42"/>
  <c r="BI271" i="42"/>
  <c r="BI259" i="42"/>
  <c r="BI31" i="42"/>
  <c r="BI55" i="42"/>
  <c r="AS105" i="42"/>
  <c r="BN7" i="42"/>
  <c r="AO7" i="42" s="1"/>
  <c r="AP7" i="42" s="1"/>
  <c r="BI355" i="42"/>
  <c r="BI295" i="42"/>
  <c r="BI19" i="42"/>
  <c r="BI283" i="42"/>
  <c r="BI343" i="42"/>
  <c r="BI307" i="42"/>
  <c r="BI187" i="42"/>
  <c r="BI139" i="42"/>
  <c r="BI91" i="42"/>
  <c r="BI175" i="42"/>
  <c r="BI127" i="42"/>
  <c r="BI235" i="42"/>
  <c r="BI163" i="42"/>
  <c r="BI115" i="42"/>
  <c r="BI331" i="42"/>
  <c r="BI223" i="42"/>
  <c r="BI67" i="42"/>
  <c r="BI7" i="31"/>
  <c r="AR7" i="31"/>
  <c r="AZ7" i="43" l="1"/>
  <c r="AZ7" i="42"/>
  <c r="AZ28" i="43"/>
  <c r="AZ18" i="43"/>
  <c r="AZ26" i="43"/>
  <c r="AZ12" i="42"/>
  <c r="AZ32" i="43"/>
  <c r="AZ22" i="43"/>
  <c r="AZ35" i="42"/>
  <c r="AZ30" i="43"/>
  <c r="AZ28" i="42"/>
  <c r="AZ14" i="42"/>
  <c r="AZ19" i="42"/>
  <c r="AZ20" i="43"/>
  <c r="AZ34" i="42"/>
  <c r="AZ19" i="43"/>
  <c r="AZ21" i="43"/>
  <c r="AZ27" i="43"/>
  <c r="AZ15" i="43"/>
  <c r="AZ21" i="42"/>
  <c r="AZ27" i="42"/>
  <c r="AZ34" i="43"/>
  <c r="AZ13" i="43"/>
  <c r="AZ15" i="42"/>
  <c r="AZ12" i="43"/>
  <c r="AZ17" i="43"/>
  <c r="AZ23" i="43"/>
  <c r="AZ31" i="43"/>
  <c r="AZ32" i="42"/>
  <c r="AZ11" i="43"/>
  <c r="AZ35" i="43"/>
  <c r="AZ36" i="42"/>
  <c r="AZ8" i="43"/>
  <c r="AZ9" i="43"/>
  <c r="AZ10" i="43"/>
  <c r="AZ25" i="43"/>
  <c r="AZ20" i="42"/>
  <c r="AZ23" i="42"/>
  <c r="AZ24" i="43"/>
  <c r="AZ29" i="43"/>
  <c r="AZ31" i="42"/>
  <c r="AZ9" i="42"/>
  <c r="AZ24" i="42"/>
  <c r="AZ33" i="43"/>
  <c r="AZ16" i="43"/>
  <c r="AZ16" i="42"/>
  <c r="AZ17" i="42"/>
  <c r="AZ22" i="42"/>
  <c r="AZ8" i="42"/>
  <c r="AZ11" i="42"/>
  <c r="AZ33" i="42"/>
  <c r="AZ13" i="42"/>
  <c r="AZ14" i="43"/>
  <c r="AZ36" i="43"/>
  <c r="AZ25" i="42"/>
  <c r="AZ26" i="42"/>
  <c r="AZ18" i="42"/>
  <c r="AZ30" i="42"/>
  <c r="AZ29" i="42"/>
  <c r="AZ10" i="42"/>
  <c r="AS105" i="43"/>
  <c r="AQ7" i="43"/>
  <c r="BO7" i="43" s="1"/>
  <c r="AQ7" i="42"/>
  <c r="BO7" i="42" s="1"/>
  <c r="AS106" i="42"/>
  <c r="AM8" i="31"/>
  <c r="AT8" i="31" s="1"/>
  <c r="AU7" i="31"/>
  <c r="AP8" i="31"/>
  <c r="AQ8" i="31" s="1"/>
  <c r="BO8" i="31" s="1"/>
  <c r="AR7" i="43" l="1"/>
  <c r="AP8" i="43" s="1"/>
  <c r="AS106" i="43"/>
  <c r="AR7" i="42"/>
  <c r="AS107" i="42"/>
  <c r="AN8" i="31"/>
  <c r="BN8" i="31" s="1"/>
  <c r="AR8" i="31"/>
  <c r="AM8" i="43" l="1"/>
  <c r="AT8" i="43" s="1"/>
  <c r="AN8" i="43" s="1"/>
  <c r="BN8" i="43" s="1"/>
  <c r="AU7" i="43"/>
  <c r="AS107" i="43"/>
  <c r="AQ8" i="43"/>
  <c r="BO8" i="43" s="1"/>
  <c r="AM8" i="42"/>
  <c r="AU7" i="42"/>
  <c r="AP8" i="42"/>
  <c r="AS108" i="42"/>
  <c r="AO8" i="31"/>
  <c r="AM9" i="31"/>
  <c r="AT9" i="31" s="1"/>
  <c r="AU8" i="31"/>
  <c r="AP9" i="31"/>
  <c r="AS108" i="43" l="1"/>
  <c r="AR8" i="43"/>
  <c r="AO8" i="43"/>
  <c r="AS109" i="42"/>
  <c r="AQ8" i="42"/>
  <c r="BO8" i="42" s="1"/>
  <c r="AT8" i="42"/>
  <c r="AN8" i="42" s="1"/>
  <c r="BN8" i="42" s="1"/>
  <c r="AQ9" i="31"/>
  <c r="BO9" i="31" s="1"/>
  <c r="AS109" i="43" l="1"/>
  <c r="AM9" i="43"/>
  <c r="AU8" i="43"/>
  <c r="AP9" i="43"/>
  <c r="AR8" i="42"/>
  <c r="AP9" i="42" s="1"/>
  <c r="AS110" i="42"/>
  <c r="AO8" i="42"/>
  <c r="AN9" i="31"/>
  <c r="BN9" i="31" s="1"/>
  <c r="AR9" i="31"/>
  <c r="AQ9" i="43" l="1"/>
  <c r="BO9" i="43" s="1"/>
  <c r="AS110" i="43"/>
  <c r="AT9" i="43"/>
  <c r="AN9" i="43" s="1"/>
  <c r="BN9" i="43" s="1"/>
  <c r="AU8" i="42"/>
  <c r="AM9" i="42"/>
  <c r="AT9" i="42" s="1"/>
  <c r="AN9" i="42" s="1"/>
  <c r="BN9" i="42" s="1"/>
  <c r="AQ9" i="42"/>
  <c r="BO9" i="42" s="1"/>
  <c r="AS111" i="42"/>
  <c r="AO9" i="31"/>
  <c r="AM10" i="31"/>
  <c r="AT10" i="31" s="1"/>
  <c r="AU9" i="31"/>
  <c r="AP10" i="31"/>
  <c r="AR9" i="43" l="1"/>
  <c r="AS111" i="43"/>
  <c r="AO9" i="43"/>
  <c r="AR9" i="42"/>
  <c r="AM10" i="42" s="1"/>
  <c r="AS112" i="42"/>
  <c r="AO9" i="42"/>
  <c r="AQ10" i="31"/>
  <c r="BO10" i="31" s="1"/>
  <c r="AS112" i="43" l="1"/>
  <c r="AM10" i="43"/>
  <c r="AU9" i="43"/>
  <c r="AP10" i="43"/>
  <c r="AU9" i="42"/>
  <c r="AP10" i="42"/>
  <c r="AQ10" i="42" s="1"/>
  <c r="AT10" i="42"/>
  <c r="AN10" i="42" s="1"/>
  <c r="BN10" i="42" s="1"/>
  <c r="AS113" i="42"/>
  <c r="AN10" i="31"/>
  <c r="BN10" i="31" s="1"/>
  <c r="AR10" i="31"/>
  <c r="AS113" i="43" l="1"/>
  <c r="AQ10" i="43"/>
  <c r="BO10" i="43" s="1"/>
  <c r="AT10" i="43"/>
  <c r="AN10" i="43" s="1"/>
  <c r="BN10" i="43" s="1"/>
  <c r="BO10" i="42"/>
  <c r="AR10" i="42" s="1"/>
  <c r="AS114" i="42"/>
  <c r="AO10" i="42"/>
  <c r="AO10" i="31"/>
  <c r="AM11" i="31"/>
  <c r="AT11" i="31" s="1"/>
  <c r="AU10" i="31"/>
  <c r="AP11" i="31"/>
  <c r="AO10" i="43" l="1"/>
  <c r="AS114" i="43"/>
  <c r="AR10" i="43"/>
  <c r="AU10" i="42"/>
  <c r="AP11" i="42"/>
  <c r="AQ11" i="42" s="1"/>
  <c r="BO11" i="42" s="1"/>
  <c r="AR11" i="42" s="1"/>
  <c r="AM11" i="42"/>
  <c r="AT11" i="42" s="1"/>
  <c r="AN11" i="42" s="1"/>
  <c r="BN11" i="42" s="1"/>
  <c r="AS115" i="42"/>
  <c r="AQ11" i="31"/>
  <c r="BO11" i="31" s="1"/>
  <c r="AS115" i="43" l="1"/>
  <c r="AM11" i="43"/>
  <c r="AU10" i="43"/>
  <c r="AP11" i="43"/>
  <c r="AM12" i="42"/>
  <c r="AU11" i="42"/>
  <c r="AP12" i="42"/>
  <c r="AO11" i="42"/>
  <c r="AS116" i="42"/>
  <c r="AN11" i="31"/>
  <c r="BN11" i="31" s="1"/>
  <c r="AR11" i="31"/>
  <c r="AQ11" i="43" l="1"/>
  <c r="BO11" i="43" s="1"/>
  <c r="AT11" i="43"/>
  <c r="AN11" i="43" s="1"/>
  <c r="BN11" i="43" s="1"/>
  <c r="AO11" i="43" s="1"/>
  <c r="AS116" i="43"/>
  <c r="AS117" i="42"/>
  <c r="AT12" i="42"/>
  <c r="AN12" i="42" s="1"/>
  <c r="BN12" i="42" s="1"/>
  <c r="AQ12" i="42"/>
  <c r="BO12" i="42" s="1"/>
  <c r="AO11" i="31"/>
  <c r="AM12" i="31"/>
  <c r="AT12" i="31" s="1"/>
  <c r="AU11" i="31"/>
  <c r="AP12" i="31"/>
  <c r="AQ12" i="31" s="1"/>
  <c r="BO12" i="31" s="1"/>
  <c r="AS117" i="43" l="1"/>
  <c r="AR11" i="43"/>
  <c r="AS118" i="42"/>
  <c r="AR12" i="42"/>
  <c r="AO12" i="42"/>
  <c r="AN12" i="31"/>
  <c r="BN12" i="31" s="1"/>
  <c r="AR12" i="31"/>
  <c r="AM13" i="31" s="1"/>
  <c r="AT13" i="31" s="1"/>
  <c r="AM12" i="43" l="1"/>
  <c r="AU11" i="43"/>
  <c r="AP12" i="43"/>
  <c r="AS118" i="43"/>
  <c r="AS119" i="42"/>
  <c r="AM13" i="42"/>
  <c r="AU12" i="42"/>
  <c r="AP13" i="42"/>
  <c r="AO12" i="31"/>
  <c r="AP13" i="31"/>
  <c r="AQ13" i="31" s="1"/>
  <c r="BO13" i="31" s="1"/>
  <c r="AU12" i="31"/>
  <c r="AT12" i="43" l="1"/>
  <c r="AN12" i="43" s="1"/>
  <c r="BN12" i="43" s="1"/>
  <c r="AS119" i="43"/>
  <c r="AQ12" i="43"/>
  <c r="BO12" i="43" s="1"/>
  <c r="AQ13" i="42"/>
  <c r="BO13" i="42" s="1"/>
  <c r="AS120" i="42"/>
  <c r="AT13" i="42"/>
  <c r="AN13" i="42" s="1"/>
  <c r="BN13" i="42" s="1"/>
  <c r="AN13" i="31"/>
  <c r="BN13" i="31" s="1"/>
  <c r="AR13" i="31"/>
  <c r="AR12" i="43" l="1"/>
  <c r="AP13" i="43" s="1"/>
  <c r="AS120" i="43"/>
  <c r="AO12" i="43"/>
  <c r="AS121" i="42"/>
  <c r="AR13" i="42"/>
  <c r="AO13" i="42"/>
  <c r="AO13" i="31"/>
  <c r="AM14" i="31"/>
  <c r="AT14" i="31" s="1"/>
  <c r="AU13" i="31"/>
  <c r="AP14" i="31"/>
  <c r="AM13" i="43" l="1"/>
  <c r="AT13" i="43" s="1"/>
  <c r="AN13" i="43" s="1"/>
  <c r="BN13" i="43" s="1"/>
  <c r="AU12" i="43"/>
  <c r="AS121" i="43"/>
  <c r="AQ13" i="43"/>
  <c r="BO13" i="43" s="1"/>
  <c r="AS122" i="42"/>
  <c r="AM14" i="42"/>
  <c r="AU13" i="42"/>
  <c r="AP14" i="42"/>
  <c r="AQ14" i="31"/>
  <c r="BO14" i="31" s="1"/>
  <c r="AO13" i="43" l="1"/>
  <c r="AR13" i="43"/>
  <c r="AS122" i="43"/>
  <c r="AQ14" i="42"/>
  <c r="BO14" i="42" s="1"/>
  <c r="AT14" i="42"/>
  <c r="AN14" i="42" s="1"/>
  <c r="BN14" i="42" s="1"/>
  <c r="AS123" i="42"/>
  <c r="AN14" i="31"/>
  <c r="BN14" i="31" s="1"/>
  <c r="AR14" i="31"/>
  <c r="AM14" i="43" l="1"/>
  <c r="AU13" i="43"/>
  <c r="AP14" i="43"/>
  <c r="AS123" i="43"/>
  <c r="AS124" i="42"/>
  <c r="AR14" i="42"/>
  <c r="AO14" i="42"/>
  <c r="AO14" i="31"/>
  <c r="AM15" i="31"/>
  <c r="AT15" i="31" s="1"/>
  <c r="AU14" i="31"/>
  <c r="AP15" i="31"/>
  <c r="AT14" i="43" l="1"/>
  <c r="AN14" i="43" s="1"/>
  <c r="BN14" i="43" s="1"/>
  <c r="AQ14" i="43"/>
  <c r="BO14" i="43" s="1"/>
  <c r="AR14" i="43" s="1"/>
  <c r="AS124" i="43"/>
  <c r="AS125" i="42"/>
  <c r="AM15" i="42"/>
  <c r="AU14" i="42"/>
  <c r="AP15" i="42"/>
  <c r="AQ15" i="31"/>
  <c r="BO15" i="31" s="1"/>
  <c r="AO14" i="43" l="1"/>
  <c r="AS125" i="43"/>
  <c r="AM15" i="43"/>
  <c r="AU14" i="43"/>
  <c r="AP15" i="43"/>
  <c r="AT15" i="42"/>
  <c r="AN15" i="42" s="1"/>
  <c r="BN15" i="42" s="1"/>
  <c r="AS126" i="42"/>
  <c r="AQ15" i="42"/>
  <c r="BO15" i="42" s="1"/>
  <c r="AN15" i="31"/>
  <c r="BN15" i="31" s="1"/>
  <c r="AR15" i="31"/>
  <c r="AT15" i="43" l="1"/>
  <c r="AN15" i="43" s="1"/>
  <c r="BN15" i="43" s="1"/>
  <c r="AS126" i="43"/>
  <c r="AQ15" i="43"/>
  <c r="BO15" i="43" s="1"/>
  <c r="AO15" i="42"/>
  <c r="AR15" i="42"/>
  <c r="AS127" i="42"/>
  <c r="AO15" i="31"/>
  <c r="AM16" i="31"/>
  <c r="AT16" i="31" s="1"/>
  <c r="AU15" i="31"/>
  <c r="AP16" i="31"/>
  <c r="AO15" i="43" l="1"/>
  <c r="AS127" i="43"/>
  <c r="AR15" i="43"/>
  <c r="AS128" i="42"/>
  <c r="AM16" i="42"/>
  <c r="AU15" i="42"/>
  <c r="AP16" i="42"/>
  <c r="AQ16" i="31"/>
  <c r="BO16" i="31" s="1"/>
  <c r="AS128" i="43" l="1"/>
  <c r="AM16" i="43"/>
  <c r="AU15" i="43"/>
  <c r="AP16" i="43"/>
  <c r="AT16" i="42"/>
  <c r="AN16" i="42" s="1"/>
  <c r="BN16" i="42" s="1"/>
  <c r="AS129" i="42"/>
  <c r="AQ16" i="42"/>
  <c r="BO16" i="42" s="1"/>
  <c r="AR16" i="42" s="1"/>
  <c r="AN16" i="31"/>
  <c r="BN16" i="31" s="1"/>
  <c r="AR16" i="31"/>
  <c r="AS129" i="43" l="1"/>
  <c r="AT16" i="43"/>
  <c r="AN16" i="43" s="1"/>
  <c r="BN16" i="43" s="1"/>
  <c r="AQ16" i="43"/>
  <c r="BO16" i="43" s="1"/>
  <c r="AM17" i="42"/>
  <c r="AU16" i="42"/>
  <c r="AP17" i="42"/>
  <c r="AS130" i="42"/>
  <c r="AO16" i="42"/>
  <c r="AO16" i="31"/>
  <c r="AM17" i="31"/>
  <c r="AT17" i="31" s="1"/>
  <c r="AU16" i="31"/>
  <c r="AP17" i="31"/>
  <c r="AQ17" i="31" s="1"/>
  <c r="BO17" i="31" s="1"/>
  <c r="AO16" i="43" l="1"/>
  <c r="AS130" i="43"/>
  <c r="AR16" i="43"/>
  <c r="AT17" i="42"/>
  <c r="AN17" i="42" s="1"/>
  <c r="BN17" i="42" s="1"/>
  <c r="AQ17" i="42"/>
  <c r="BO17" i="42" s="1"/>
  <c r="AS131" i="42"/>
  <c r="AR17" i="31"/>
  <c r="AM17" i="43" l="1"/>
  <c r="AU16" i="43"/>
  <c r="AP17" i="43"/>
  <c r="AS131" i="43"/>
  <c r="AS132" i="42"/>
  <c r="AO17" i="42"/>
  <c r="AR17" i="42"/>
  <c r="AN17" i="31"/>
  <c r="BN17" i="31" s="1"/>
  <c r="AM18" i="31"/>
  <c r="AT18" i="31" s="1"/>
  <c r="AU17" i="31"/>
  <c r="AP18" i="31"/>
  <c r="AQ17" i="43" l="1"/>
  <c r="BO17" i="43" s="1"/>
  <c r="AS132" i="43"/>
  <c r="AT17" i="43"/>
  <c r="AN17" i="43" s="1"/>
  <c r="BN17" i="43" s="1"/>
  <c r="AM18" i="42"/>
  <c r="AU17" i="42"/>
  <c r="AP18" i="42"/>
  <c r="AS133" i="42"/>
  <c r="AO17" i="31"/>
  <c r="AQ18" i="31"/>
  <c r="BO18" i="31" s="1"/>
  <c r="AR17" i="43" l="1"/>
  <c r="AS133" i="43"/>
  <c r="AO17" i="43"/>
  <c r="AQ18" i="42"/>
  <c r="BO18" i="42" s="1"/>
  <c r="AS134" i="42"/>
  <c r="AT18" i="42"/>
  <c r="AN18" i="42" s="1"/>
  <c r="BN18" i="42" s="1"/>
  <c r="AN18" i="31"/>
  <c r="BN18" i="31" s="1"/>
  <c r="AR18" i="31"/>
  <c r="AS134" i="43" l="1"/>
  <c r="AM18" i="43"/>
  <c r="AU17" i="43"/>
  <c r="AP18" i="43"/>
  <c r="AS135" i="42"/>
  <c r="AO18" i="42"/>
  <c r="AR18" i="42"/>
  <c r="AO18" i="31"/>
  <c r="AU18" i="31"/>
  <c r="AM19" i="31"/>
  <c r="AT19" i="31" s="1"/>
  <c r="AP19" i="31"/>
  <c r="AQ19" i="31" s="1"/>
  <c r="BO19" i="31" s="1"/>
  <c r="AT18" i="43" l="1"/>
  <c r="AN18" i="43" s="1"/>
  <c r="BN18" i="43" s="1"/>
  <c r="AQ18" i="43"/>
  <c r="BO18" i="43" s="1"/>
  <c r="AR18" i="43" s="1"/>
  <c r="AS135" i="43"/>
  <c r="AM19" i="42"/>
  <c r="AU18" i="42"/>
  <c r="AP19" i="42"/>
  <c r="AS136" i="42"/>
  <c r="AN19" i="31"/>
  <c r="BN19" i="31" s="1"/>
  <c r="AR19" i="31"/>
  <c r="AM19" i="43" l="1"/>
  <c r="AU18" i="43"/>
  <c r="AP19" i="43"/>
  <c r="AO18" i="43"/>
  <c r="AS136" i="43"/>
  <c r="AS137" i="42"/>
  <c r="AT19" i="42"/>
  <c r="AN19" i="42" s="1"/>
  <c r="BN19" i="42" s="1"/>
  <c r="AQ19" i="42"/>
  <c r="BO19" i="42" s="1"/>
  <c r="AO19" i="31"/>
  <c r="AM20" i="31"/>
  <c r="AT20" i="31" s="1"/>
  <c r="AP20" i="31"/>
  <c r="AQ20" i="31" s="1"/>
  <c r="BO20" i="31" s="1"/>
  <c r="AU19" i="31"/>
  <c r="AQ19" i="43" l="1"/>
  <c r="BO19" i="43" s="1"/>
  <c r="AT19" i="43"/>
  <c r="AN19" i="43" s="1"/>
  <c r="BN19" i="43" s="1"/>
  <c r="AS137" i="43"/>
  <c r="AS138" i="42"/>
  <c r="AR19" i="42"/>
  <c r="AO19" i="42"/>
  <c r="AN20" i="31"/>
  <c r="BN20" i="31" s="1"/>
  <c r="AR20" i="31"/>
  <c r="AS138" i="43" l="1"/>
  <c r="AO19" i="43"/>
  <c r="AR19" i="43"/>
  <c r="AM20" i="42"/>
  <c r="AU19" i="42"/>
  <c r="AP20" i="42"/>
  <c r="AS139" i="42"/>
  <c r="AO20" i="31"/>
  <c r="AM21" i="31"/>
  <c r="AT21" i="31" s="1"/>
  <c r="AP21" i="31"/>
  <c r="AU20" i="31"/>
  <c r="AS139" i="43" l="1"/>
  <c r="AM20" i="43"/>
  <c r="AU19" i="43"/>
  <c r="AP20" i="43"/>
  <c r="AQ20" i="42"/>
  <c r="BO20" i="42" s="1"/>
  <c r="AT20" i="42"/>
  <c r="AN20" i="42" s="1"/>
  <c r="BN20" i="42" s="1"/>
  <c r="AS140" i="42"/>
  <c r="AQ21" i="31"/>
  <c r="BO21" i="31" s="1"/>
  <c r="AQ20" i="43" l="1"/>
  <c r="BO20" i="43" s="1"/>
  <c r="AT20" i="43"/>
  <c r="AN20" i="43" s="1"/>
  <c r="BN20" i="43" s="1"/>
  <c r="AS140" i="43"/>
  <c r="AO20" i="42"/>
  <c r="AR20" i="42"/>
  <c r="AS141" i="42"/>
  <c r="AN21" i="31"/>
  <c r="BN21" i="31" s="1"/>
  <c r="AR21" i="31"/>
  <c r="AO20" i="43" l="1"/>
  <c r="AR20" i="43"/>
  <c r="AS141" i="43"/>
  <c r="AS142" i="42"/>
  <c r="AM21" i="42"/>
  <c r="AU20" i="42"/>
  <c r="AP21" i="42"/>
  <c r="AO21" i="31"/>
  <c r="AM22" i="31"/>
  <c r="AT22" i="31" s="1"/>
  <c r="AP22" i="31"/>
  <c r="AU21" i="31"/>
  <c r="AM21" i="43" l="1"/>
  <c r="AU20" i="43"/>
  <c r="AP21" i="43"/>
  <c r="AS142" i="43"/>
  <c r="AQ21" i="42"/>
  <c r="BO21" i="42" s="1"/>
  <c r="AS143" i="42"/>
  <c r="AT21" i="42"/>
  <c r="AN21" i="42" s="1"/>
  <c r="BN21" i="42" s="1"/>
  <c r="AQ22" i="31"/>
  <c r="BO22" i="31" s="1"/>
  <c r="AT21" i="43" l="1"/>
  <c r="AN21" i="43" s="1"/>
  <c r="BN21" i="43" s="1"/>
  <c r="AO21" i="43" s="1"/>
  <c r="AQ21" i="43"/>
  <c r="BO21" i="43" s="1"/>
  <c r="AS143" i="43"/>
  <c r="AR21" i="42"/>
  <c r="AS144" i="42"/>
  <c r="AO21" i="42"/>
  <c r="AN22" i="31"/>
  <c r="BN22" i="31" s="1"/>
  <c r="AR22" i="31"/>
  <c r="AR21" i="43" l="1"/>
  <c r="AS144" i="43"/>
  <c r="AS145" i="42"/>
  <c r="AM22" i="42"/>
  <c r="AU21" i="42"/>
  <c r="AP22" i="42"/>
  <c r="AO22" i="31"/>
  <c r="AM23" i="31"/>
  <c r="AT23" i="31" s="1"/>
  <c r="AP23" i="31"/>
  <c r="AU22" i="31"/>
  <c r="AS145" i="43" l="1"/>
  <c r="AM22" i="43"/>
  <c r="AU21" i="43"/>
  <c r="AP22" i="43"/>
  <c r="AS146" i="42"/>
  <c r="AQ22" i="42"/>
  <c r="BO22" i="42" s="1"/>
  <c r="AT22" i="42"/>
  <c r="AN22" i="42" s="1"/>
  <c r="BN22" i="42" s="1"/>
  <c r="AQ23" i="31"/>
  <c r="BO23" i="31" s="1"/>
  <c r="AQ22" i="43" l="1"/>
  <c r="BO22" i="43" s="1"/>
  <c r="AT22" i="43"/>
  <c r="AN22" i="43" s="1"/>
  <c r="BN22" i="43" s="1"/>
  <c r="AS146" i="43"/>
  <c r="AS147" i="42"/>
  <c r="AO22" i="42"/>
  <c r="AR22" i="42"/>
  <c r="AN23" i="31"/>
  <c r="BN23" i="31" s="1"/>
  <c r="AR23" i="31"/>
  <c r="AM24" i="31" s="1"/>
  <c r="AT24" i="31" s="1"/>
  <c r="AO22" i="43" l="1"/>
  <c r="AS147" i="43"/>
  <c r="AR22" i="43"/>
  <c r="AS148" i="42"/>
  <c r="AM23" i="42"/>
  <c r="AU22" i="42"/>
  <c r="AP23" i="42"/>
  <c r="AO23" i="31"/>
  <c r="AU23" i="31"/>
  <c r="AP24" i="31"/>
  <c r="AQ24" i="31" s="1"/>
  <c r="BO24" i="31" s="1"/>
  <c r="AS148" i="43" l="1"/>
  <c r="AM23" i="43"/>
  <c r="AU22" i="43"/>
  <c r="AP23" i="43"/>
  <c r="AQ23" i="42"/>
  <c r="BO23" i="42" s="1"/>
  <c r="AS149" i="42"/>
  <c r="AT23" i="42"/>
  <c r="AN23" i="42" s="1"/>
  <c r="BN23" i="42" s="1"/>
  <c r="AN24" i="31"/>
  <c r="BN24" i="31" s="1"/>
  <c r="AR24" i="31"/>
  <c r="AM25" i="31" s="1"/>
  <c r="AT25" i="31" s="1"/>
  <c r="AQ23" i="43" l="1"/>
  <c r="BO23" i="43" s="1"/>
  <c r="AS149" i="43"/>
  <c r="AT23" i="43"/>
  <c r="AN23" i="43" s="1"/>
  <c r="BN23" i="43" s="1"/>
  <c r="AR23" i="42"/>
  <c r="AS150" i="42"/>
  <c r="AO23" i="42"/>
  <c r="AO24" i="31"/>
  <c r="AU24" i="31"/>
  <c r="AP25" i="31"/>
  <c r="AQ25" i="31" s="1"/>
  <c r="BO25" i="31" s="1"/>
  <c r="AR23" i="43" l="1"/>
  <c r="AS150" i="43"/>
  <c r="AO23" i="43"/>
  <c r="AM24" i="42"/>
  <c r="AU23" i="42"/>
  <c r="AP24" i="42"/>
  <c r="AS151" i="42"/>
  <c r="AN25" i="31"/>
  <c r="BN25" i="31" s="1"/>
  <c r="AR25" i="31"/>
  <c r="AS151" i="43" l="1"/>
  <c r="AM24" i="43"/>
  <c r="AU23" i="43"/>
  <c r="AP24" i="43"/>
  <c r="AS152" i="42"/>
  <c r="AT24" i="42"/>
  <c r="AN24" i="42" s="1"/>
  <c r="BN24" i="42" s="1"/>
  <c r="AQ24" i="42"/>
  <c r="BO24" i="42" s="1"/>
  <c r="AO25" i="31"/>
  <c r="AM26" i="31"/>
  <c r="AT26" i="31" s="1"/>
  <c r="AP26" i="31"/>
  <c r="AU25" i="31"/>
  <c r="AT24" i="43" l="1"/>
  <c r="AN24" i="43" s="1"/>
  <c r="BN24" i="43" s="1"/>
  <c r="AS152" i="43"/>
  <c r="AQ24" i="43"/>
  <c r="BO24" i="43" s="1"/>
  <c r="AS153" i="42"/>
  <c r="AR24" i="42"/>
  <c r="AO24" i="42"/>
  <c r="AQ26" i="31"/>
  <c r="BO26" i="31" s="1"/>
  <c r="AS153" i="43" l="1"/>
  <c r="AR24" i="43"/>
  <c r="AO24" i="43"/>
  <c r="AS154" i="42"/>
  <c r="AM25" i="42"/>
  <c r="AU24" i="42"/>
  <c r="AP25" i="42"/>
  <c r="AN26" i="31"/>
  <c r="BN26" i="31" s="1"/>
  <c r="AR26" i="31"/>
  <c r="AM27" i="31" s="1"/>
  <c r="AT27" i="31" s="1"/>
  <c r="AS154" i="43" l="1"/>
  <c r="AM25" i="43"/>
  <c r="AU24" i="43"/>
  <c r="AP25" i="43"/>
  <c r="AT25" i="42"/>
  <c r="AN25" i="42" s="1"/>
  <c r="BN25" i="42" s="1"/>
  <c r="AS155" i="42"/>
  <c r="AQ25" i="42"/>
  <c r="BO25" i="42" s="1"/>
  <c r="AO26" i="31"/>
  <c r="AU26" i="31"/>
  <c r="AP27" i="31"/>
  <c r="AQ27" i="31" s="1"/>
  <c r="BO27" i="31" s="1"/>
  <c r="AR25" i="42" l="1"/>
  <c r="AU25" i="42" s="1"/>
  <c r="AT25" i="43"/>
  <c r="AN25" i="43" s="1"/>
  <c r="BN25" i="43" s="1"/>
  <c r="AS155" i="43"/>
  <c r="AQ25" i="43"/>
  <c r="BO25" i="43" s="1"/>
  <c r="AS156" i="42"/>
  <c r="AO25" i="42"/>
  <c r="AN27" i="31"/>
  <c r="BN27" i="31" s="1"/>
  <c r="AR27" i="31"/>
  <c r="AP26" i="42" l="1"/>
  <c r="AQ26" i="42" s="1"/>
  <c r="BO26" i="42" s="1"/>
  <c r="AM26" i="42"/>
  <c r="AT26" i="42" s="1"/>
  <c r="AN26" i="42" s="1"/>
  <c r="BN26" i="42" s="1"/>
  <c r="AR25" i="43"/>
  <c r="AP26" i="43" s="1"/>
  <c r="AS156" i="43"/>
  <c r="AO25" i="43"/>
  <c r="AS157" i="42"/>
  <c r="AO27" i="31"/>
  <c r="AM28" i="31"/>
  <c r="AT28" i="31" s="1"/>
  <c r="AP28" i="31"/>
  <c r="AU27" i="31"/>
  <c r="AM26" i="43" l="1"/>
  <c r="AT26" i="43" s="1"/>
  <c r="AN26" i="43" s="1"/>
  <c r="BN26" i="43" s="1"/>
  <c r="AU25" i="43"/>
  <c r="AQ26" i="43"/>
  <c r="BO26" i="43" s="1"/>
  <c r="AS157" i="43"/>
  <c r="AR26" i="42"/>
  <c r="AP27" i="42" s="1"/>
  <c r="AO26" i="42"/>
  <c r="AS158" i="42"/>
  <c r="AQ28" i="31"/>
  <c r="BO28" i="31" s="1"/>
  <c r="AR26" i="43" l="1"/>
  <c r="AM27" i="43" s="1"/>
  <c r="AO26" i="43"/>
  <c r="AS158" i="43"/>
  <c r="AU26" i="42"/>
  <c r="AM27" i="42"/>
  <c r="AT27" i="42" s="1"/>
  <c r="AN27" i="42" s="1"/>
  <c r="BN27" i="42" s="1"/>
  <c r="AS159" i="42"/>
  <c r="AQ27" i="42"/>
  <c r="BO27" i="42" s="1"/>
  <c r="AN28" i="31"/>
  <c r="BN28" i="31" s="1"/>
  <c r="AR28" i="31"/>
  <c r="AU26" i="43" l="1"/>
  <c r="AP27" i="43"/>
  <c r="AQ27" i="43" s="1"/>
  <c r="BO27" i="43" s="1"/>
  <c r="AS159" i="43"/>
  <c r="AT27" i="43"/>
  <c r="AN27" i="43" s="1"/>
  <c r="BN27" i="43" s="1"/>
  <c r="AO27" i="42"/>
  <c r="AS160" i="42"/>
  <c r="AR27" i="42"/>
  <c r="AO28" i="31"/>
  <c r="AM29" i="31"/>
  <c r="AT29" i="31" s="1"/>
  <c r="AP29" i="31"/>
  <c r="AU28" i="31"/>
  <c r="AR27" i="43" l="1"/>
  <c r="AU27" i="43" s="1"/>
  <c r="AO27" i="43"/>
  <c r="AS160" i="43"/>
  <c r="AS161" i="42"/>
  <c r="AM28" i="42"/>
  <c r="AU27" i="42"/>
  <c r="AP28" i="42"/>
  <c r="AQ29" i="31"/>
  <c r="BO29" i="31" s="1"/>
  <c r="AP28" i="43" l="1"/>
  <c r="AQ28" i="43" s="1"/>
  <c r="BO28" i="43" s="1"/>
  <c r="AM28" i="43"/>
  <c r="AT28" i="43" s="1"/>
  <c r="AN28" i="43" s="1"/>
  <c r="BN28" i="43" s="1"/>
  <c r="AS161" i="43"/>
  <c r="AS162" i="42"/>
  <c r="AT28" i="42"/>
  <c r="AN28" i="42" s="1"/>
  <c r="BN28" i="42" s="1"/>
  <c r="AQ28" i="42"/>
  <c r="BO28" i="42" s="1"/>
  <c r="AN29" i="31"/>
  <c r="BN29" i="31" s="1"/>
  <c r="AR29" i="31"/>
  <c r="AO28" i="43" l="1"/>
  <c r="AS162" i="43"/>
  <c r="AR28" i="43"/>
  <c r="AR28" i="42"/>
  <c r="AU28" i="42" s="1"/>
  <c r="AO28" i="42"/>
  <c r="AS163" i="42"/>
  <c r="AO29" i="31"/>
  <c r="AM30" i="31"/>
  <c r="AT30" i="31" s="1"/>
  <c r="AP30" i="31"/>
  <c r="AU29" i="31"/>
  <c r="AS163" i="43" l="1"/>
  <c r="AM29" i="43"/>
  <c r="AU28" i="43"/>
  <c r="AP29" i="43"/>
  <c r="AP29" i="42"/>
  <c r="AQ29" i="42" s="1"/>
  <c r="BO29" i="42" s="1"/>
  <c r="AM29" i="42"/>
  <c r="AT29" i="42" s="1"/>
  <c r="AN29" i="42" s="1"/>
  <c r="BN29" i="42" s="1"/>
  <c r="AS164" i="42"/>
  <c r="AQ30" i="31"/>
  <c r="BO30" i="31" s="1"/>
  <c r="AS164" i="43" l="1"/>
  <c r="AT29" i="43"/>
  <c r="AN29" i="43" s="1"/>
  <c r="BN29" i="43" s="1"/>
  <c r="AQ29" i="43"/>
  <c r="BO29" i="43" s="1"/>
  <c r="AR29" i="42"/>
  <c r="AM30" i="42" s="1"/>
  <c r="AO29" i="42"/>
  <c r="AS165" i="42"/>
  <c r="AN30" i="31"/>
  <c r="BN30" i="31" s="1"/>
  <c r="AR30" i="31"/>
  <c r="AR29" i="43" l="1"/>
  <c r="AP30" i="43" s="1"/>
  <c r="AO29" i="43"/>
  <c r="AS165" i="43"/>
  <c r="AU29" i="42"/>
  <c r="AP30" i="42"/>
  <c r="AQ30" i="42" s="1"/>
  <c r="BO30" i="42" s="1"/>
  <c r="AR30" i="42" s="1"/>
  <c r="AS166" i="42"/>
  <c r="AT30" i="42"/>
  <c r="AN30" i="42" s="1"/>
  <c r="BN30" i="42" s="1"/>
  <c r="AO30" i="31"/>
  <c r="AM31" i="31"/>
  <c r="AT31" i="31" s="1"/>
  <c r="AP31" i="31"/>
  <c r="AU30" i="31"/>
  <c r="AM30" i="43" l="1"/>
  <c r="AT30" i="43" s="1"/>
  <c r="AN30" i="43" s="1"/>
  <c r="BN30" i="43" s="1"/>
  <c r="AU29" i="43"/>
  <c r="AQ30" i="43"/>
  <c r="BO30" i="43" s="1"/>
  <c r="AS166" i="43"/>
  <c r="AM31" i="42"/>
  <c r="AU30" i="42"/>
  <c r="AP31" i="42"/>
  <c r="AS167" i="42"/>
  <c r="AO30" i="42"/>
  <c r="AQ31" i="31"/>
  <c r="BO31" i="31" s="1"/>
  <c r="AR30" i="43" l="1"/>
  <c r="AS167" i="43"/>
  <c r="AO30" i="43"/>
  <c r="AT31" i="42"/>
  <c r="AN31" i="42" s="1"/>
  <c r="BN31" i="42" s="1"/>
  <c r="AQ31" i="42"/>
  <c r="BO31" i="42" s="1"/>
  <c r="AS168" i="42"/>
  <c r="AN31" i="31"/>
  <c r="BN31" i="31" s="1"/>
  <c r="AR31" i="31"/>
  <c r="AM31" i="43" l="1"/>
  <c r="AU30" i="43"/>
  <c r="AP31" i="43"/>
  <c r="AS168" i="43"/>
  <c r="AO31" i="42"/>
  <c r="AS169" i="42"/>
  <c r="AR31" i="42"/>
  <c r="AO31" i="31"/>
  <c r="AM32" i="31"/>
  <c r="AT32" i="31" s="1"/>
  <c r="AP32" i="31"/>
  <c r="AU31" i="31"/>
  <c r="AQ31" i="43" l="1"/>
  <c r="BO31" i="43" s="1"/>
  <c r="AS169" i="43"/>
  <c r="AT31" i="43"/>
  <c r="AN31" i="43" s="1"/>
  <c r="BN31" i="43" s="1"/>
  <c r="AM32" i="42"/>
  <c r="AU31" i="42"/>
  <c r="AP32" i="42"/>
  <c r="AS170" i="42"/>
  <c r="AQ32" i="31"/>
  <c r="BO32" i="31" s="1"/>
  <c r="AR31" i="43" l="1"/>
  <c r="AO31" i="43"/>
  <c r="AS170" i="43"/>
  <c r="AT32" i="42"/>
  <c r="AN32" i="42" s="1"/>
  <c r="BN32" i="42" s="1"/>
  <c r="AS171" i="42"/>
  <c r="AQ32" i="42"/>
  <c r="BO32" i="42" s="1"/>
  <c r="AR32" i="42" s="1"/>
  <c r="AN32" i="31"/>
  <c r="BN32" i="31" s="1"/>
  <c r="AR32" i="31"/>
  <c r="AS171" i="43" l="1"/>
  <c r="AM32" i="43"/>
  <c r="AU31" i="43"/>
  <c r="AP32" i="43"/>
  <c r="AO32" i="42"/>
  <c r="AM33" i="42"/>
  <c r="AU32" i="42"/>
  <c r="AP33" i="42"/>
  <c r="AS172" i="42"/>
  <c r="AO32" i="31"/>
  <c r="AM33" i="31"/>
  <c r="AT33" i="31" s="1"/>
  <c r="AP33" i="31"/>
  <c r="AU32" i="31"/>
  <c r="AS172" i="43" l="1"/>
  <c r="AQ32" i="43"/>
  <c r="BO32" i="43" s="1"/>
  <c r="AT32" i="43"/>
  <c r="AN32" i="43" s="1"/>
  <c r="BN32" i="43" s="1"/>
  <c r="AS173" i="42"/>
  <c r="AT33" i="42"/>
  <c r="AN33" i="42" s="1"/>
  <c r="BN33" i="42" s="1"/>
  <c r="AQ33" i="42"/>
  <c r="BO33" i="42" s="1"/>
  <c r="AQ33" i="31"/>
  <c r="BO33" i="31" s="1"/>
  <c r="AR32" i="43" l="1"/>
  <c r="AS173" i="43"/>
  <c r="AO32" i="43"/>
  <c r="AS174" i="42"/>
  <c r="AO33" i="42"/>
  <c r="AR33" i="42"/>
  <c r="AN33" i="31"/>
  <c r="BN33" i="31" s="1"/>
  <c r="AR33" i="31"/>
  <c r="AM33" i="43" l="1"/>
  <c r="AU32" i="43"/>
  <c r="AP33" i="43"/>
  <c r="AS174" i="43"/>
  <c r="AS175" i="42"/>
  <c r="AM34" i="42"/>
  <c r="AU33" i="42"/>
  <c r="AP34" i="42"/>
  <c r="AO33" i="31"/>
  <c r="AM34" i="31"/>
  <c r="AT34" i="31" s="1"/>
  <c r="AP34" i="31"/>
  <c r="AU33" i="31"/>
  <c r="AT33" i="43" l="1"/>
  <c r="AN33" i="43" s="1"/>
  <c r="BN33" i="43" s="1"/>
  <c r="AS175" i="43"/>
  <c r="AQ33" i="43"/>
  <c r="BO33" i="43" s="1"/>
  <c r="AS176" i="42"/>
  <c r="AQ34" i="42"/>
  <c r="BO34" i="42" s="1"/>
  <c r="AT34" i="42"/>
  <c r="AN34" i="42" s="1"/>
  <c r="BN34" i="42" s="1"/>
  <c r="AQ34" i="31"/>
  <c r="BO34" i="31" s="1"/>
  <c r="AO33" i="43" l="1"/>
  <c r="AS176" i="43"/>
  <c r="AR33" i="43"/>
  <c r="AS177" i="42"/>
  <c r="AO34" i="42"/>
  <c r="AR34" i="42"/>
  <c r="AN34" i="31"/>
  <c r="BN34" i="31" s="1"/>
  <c r="AR34" i="31"/>
  <c r="AS177" i="43" l="1"/>
  <c r="AM34" i="43"/>
  <c r="AU33" i="43"/>
  <c r="AP34" i="43"/>
  <c r="AS178" i="42"/>
  <c r="AM35" i="42"/>
  <c r="AU34" i="42"/>
  <c r="AP35" i="42"/>
  <c r="AO34" i="31"/>
  <c r="AM35" i="31"/>
  <c r="AT35" i="31" s="1"/>
  <c r="AP35" i="31"/>
  <c r="AQ35" i="31" s="1"/>
  <c r="BO35" i="31" s="1"/>
  <c r="AU34" i="31"/>
  <c r="AQ34" i="43" l="1"/>
  <c r="BO34" i="43" s="1"/>
  <c r="AS178" i="43"/>
  <c r="AT34" i="43"/>
  <c r="AN34" i="43" s="1"/>
  <c r="BN34" i="43" s="1"/>
  <c r="AT35" i="42"/>
  <c r="AN35" i="42" s="1"/>
  <c r="BN35" i="42" s="1"/>
  <c r="AS179" i="42"/>
  <c r="AQ35" i="42"/>
  <c r="BO35" i="42" s="1"/>
  <c r="AN35" i="31"/>
  <c r="BN35" i="31" s="1"/>
  <c r="AR35" i="31"/>
  <c r="AM36" i="31" s="1"/>
  <c r="AT36" i="31" s="1"/>
  <c r="AS179" i="43" l="1"/>
  <c r="AR34" i="43"/>
  <c r="AO34" i="43"/>
  <c r="AR35" i="42"/>
  <c r="AO35" i="42"/>
  <c r="AS180" i="42"/>
  <c r="AO35" i="31"/>
  <c r="AU35" i="31"/>
  <c r="AP36" i="31"/>
  <c r="AQ36" i="31" s="1"/>
  <c r="BO36" i="31" s="1"/>
  <c r="AS180" i="43" l="1"/>
  <c r="AM35" i="43"/>
  <c r="AU34" i="43"/>
  <c r="AP35" i="43"/>
  <c r="AS181" i="42"/>
  <c r="AM36" i="42"/>
  <c r="AU35" i="42"/>
  <c r="AP36" i="42"/>
  <c r="AN36" i="31"/>
  <c r="BN36" i="31" s="1"/>
  <c r="AR36" i="31"/>
  <c r="AT35" i="43" l="1"/>
  <c r="AN35" i="43" s="1"/>
  <c r="BN35" i="43" s="1"/>
  <c r="AS181" i="43"/>
  <c r="AQ35" i="43"/>
  <c r="BO35" i="43" s="1"/>
  <c r="AT36" i="42"/>
  <c r="AN36" i="42" s="1"/>
  <c r="BN36" i="42" s="1"/>
  <c r="AS182" i="42"/>
  <c r="AQ36" i="42"/>
  <c r="BO36" i="42" s="1"/>
  <c r="AR36" i="42" s="1"/>
  <c r="AO36" i="31"/>
  <c r="AM37" i="31"/>
  <c r="AT37" i="31" s="1"/>
  <c r="AP37" i="31"/>
  <c r="AU36" i="31"/>
  <c r="AS182" i="43" l="1"/>
  <c r="AR35" i="43"/>
  <c r="AO35" i="43"/>
  <c r="AO36" i="42"/>
  <c r="AM37" i="42"/>
  <c r="AU36" i="42"/>
  <c r="AP37" i="42"/>
  <c r="AS183" i="42"/>
  <c r="AQ37" i="31"/>
  <c r="BO37" i="31" s="1"/>
  <c r="AS183" i="43" l="1"/>
  <c r="AM36" i="43"/>
  <c r="AU35" i="43"/>
  <c r="AP36" i="43"/>
  <c r="AQ37" i="42"/>
  <c r="BO37" i="42" s="1"/>
  <c r="AS184" i="42"/>
  <c r="AT37" i="42"/>
  <c r="AN37" i="42" s="1"/>
  <c r="BN37" i="42" s="1"/>
  <c r="AN37" i="31"/>
  <c r="BN37" i="31" s="1"/>
  <c r="AR37" i="31"/>
  <c r="AT36" i="43" l="1"/>
  <c r="AN36" i="43" s="1"/>
  <c r="BN36" i="43" s="1"/>
  <c r="AS184" i="43"/>
  <c r="AQ36" i="43"/>
  <c r="BO36" i="43" s="1"/>
  <c r="AS185" i="42"/>
  <c r="AO37" i="42"/>
  <c r="AR37" i="42"/>
  <c r="AO37" i="31"/>
  <c r="AM38" i="31"/>
  <c r="AT38" i="31" s="1"/>
  <c r="AP38" i="31"/>
  <c r="AU37" i="31"/>
  <c r="AR36" i="43" l="1"/>
  <c r="AM37" i="43" s="1"/>
  <c r="AO36" i="43"/>
  <c r="AS185" i="43"/>
  <c r="AM38" i="42"/>
  <c r="AU37" i="42"/>
  <c r="AP38" i="42"/>
  <c r="AS186" i="42"/>
  <c r="AQ38" i="31"/>
  <c r="BO38" i="31" s="1"/>
  <c r="AU36" i="43" l="1"/>
  <c r="AP37" i="43"/>
  <c r="AQ37" i="43" s="1"/>
  <c r="AS186" i="43"/>
  <c r="AT37" i="43"/>
  <c r="AN37" i="43" s="1"/>
  <c r="BN37" i="43" s="1"/>
  <c r="AT38" i="42"/>
  <c r="AN38" i="42" s="1"/>
  <c r="BN38" i="42" s="1"/>
  <c r="AS187" i="42"/>
  <c r="AQ38" i="42"/>
  <c r="BO38" i="42" s="1"/>
  <c r="AR38" i="42" s="1"/>
  <c r="AN38" i="31"/>
  <c r="BN38" i="31" s="1"/>
  <c r="AR38" i="31"/>
  <c r="BO37" i="43" l="1"/>
  <c r="AR37" i="43" s="1"/>
  <c r="AO37" i="43"/>
  <c r="AS187" i="43"/>
  <c r="AO38" i="42"/>
  <c r="AM39" i="42"/>
  <c r="AU38" i="42"/>
  <c r="AP39" i="42"/>
  <c r="AS188" i="42"/>
  <c r="AO38" i="31"/>
  <c r="AU38" i="31"/>
  <c r="AM39" i="31"/>
  <c r="AT39" i="31" s="1"/>
  <c r="AP39" i="31"/>
  <c r="AQ39" i="31" s="1"/>
  <c r="BO39" i="31" s="1"/>
  <c r="AU37" i="43" l="1"/>
  <c r="AM38" i="43"/>
  <c r="AT38" i="43" s="1"/>
  <c r="AN38" i="43" s="1"/>
  <c r="BN38" i="43" s="1"/>
  <c r="AP38" i="43"/>
  <c r="AQ38" i="43" s="1"/>
  <c r="BO38" i="43" s="1"/>
  <c r="AS188" i="43"/>
  <c r="AQ39" i="42"/>
  <c r="BO39" i="42" s="1"/>
  <c r="AR39" i="42" s="1"/>
  <c r="AS189" i="42"/>
  <c r="AT39" i="42"/>
  <c r="AN39" i="42" s="1"/>
  <c r="BN39" i="42" s="1"/>
  <c r="AN39" i="31"/>
  <c r="BN39" i="31" s="1"/>
  <c r="AR39" i="31"/>
  <c r="AS189" i="43" l="1"/>
  <c r="AR38" i="43"/>
  <c r="AO38" i="43"/>
  <c r="AM40" i="42"/>
  <c r="AU39" i="42"/>
  <c r="AP40" i="42"/>
  <c r="AS190" i="42"/>
  <c r="AO39" i="42"/>
  <c r="AO39" i="31"/>
  <c r="AU39" i="31"/>
  <c r="AM40" i="31"/>
  <c r="AT40" i="31" s="1"/>
  <c r="AP40" i="31"/>
  <c r="AQ40" i="31" s="1"/>
  <c r="BO40" i="31" s="1"/>
  <c r="AS190" i="43" l="1"/>
  <c r="AM39" i="43"/>
  <c r="AU38" i="43"/>
  <c r="AP39" i="43"/>
  <c r="AT40" i="42"/>
  <c r="AN40" i="42" s="1"/>
  <c r="BN40" i="42" s="1"/>
  <c r="AQ40" i="42"/>
  <c r="BO40" i="42" s="1"/>
  <c r="AS191" i="42"/>
  <c r="AR40" i="31"/>
  <c r="AT39" i="43" l="1"/>
  <c r="AN39" i="43" s="1"/>
  <c r="BN39" i="43" s="1"/>
  <c r="AS191" i="43"/>
  <c r="AQ39" i="43"/>
  <c r="BO39" i="43" s="1"/>
  <c r="AR40" i="42"/>
  <c r="AP41" i="42" s="1"/>
  <c r="AO40" i="42"/>
  <c r="AS192" i="42"/>
  <c r="AN40" i="31"/>
  <c r="BN40" i="31" s="1"/>
  <c r="AM41" i="31"/>
  <c r="AT41" i="31" s="1"/>
  <c r="AP41" i="31"/>
  <c r="AU40" i="31"/>
  <c r="AR39" i="43" l="1"/>
  <c r="AO39" i="43"/>
  <c r="AS192" i="43"/>
  <c r="AU40" i="42"/>
  <c r="AM41" i="42"/>
  <c r="AT41" i="42" s="1"/>
  <c r="AN41" i="42" s="1"/>
  <c r="BN41" i="42" s="1"/>
  <c r="AQ41" i="42"/>
  <c r="BO41" i="42" s="1"/>
  <c r="AS193" i="42"/>
  <c r="AO40" i="31"/>
  <c r="AQ41" i="31"/>
  <c r="BO41" i="31" s="1"/>
  <c r="AS193" i="43" l="1"/>
  <c r="AM40" i="43"/>
  <c r="AU39" i="43"/>
  <c r="AP40" i="43"/>
  <c r="AR41" i="42"/>
  <c r="AO41" i="42"/>
  <c r="AS194" i="42"/>
  <c r="AN41" i="31"/>
  <c r="BN41" i="31" s="1"/>
  <c r="AR41" i="31"/>
  <c r="AT40" i="43" l="1"/>
  <c r="AN40" i="43" s="1"/>
  <c r="BN40" i="43" s="1"/>
  <c r="AS194" i="43"/>
  <c r="AQ40" i="43"/>
  <c r="BO40" i="43" s="1"/>
  <c r="AM42" i="42"/>
  <c r="AU41" i="42"/>
  <c r="AP42" i="42"/>
  <c r="AS195" i="42"/>
  <c r="AO41" i="31"/>
  <c r="AM42" i="31"/>
  <c r="AT42" i="31" s="1"/>
  <c r="AP42" i="31"/>
  <c r="AU41" i="31"/>
  <c r="AO40" i="43" l="1"/>
  <c r="AS195" i="43"/>
  <c r="AR40" i="43"/>
  <c r="AQ42" i="42"/>
  <c r="BO42" i="42" s="1"/>
  <c r="AR42" i="42" s="1"/>
  <c r="AS196" i="42"/>
  <c r="AT42" i="42"/>
  <c r="AN42" i="42" s="1"/>
  <c r="BN42" i="42" s="1"/>
  <c r="AQ42" i="31"/>
  <c r="BO42" i="31" s="1"/>
  <c r="AM41" i="43" l="1"/>
  <c r="AU40" i="43"/>
  <c r="AP41" i="43"/>
  <c r="AS196" i="43"/>
  <c r="AM43" i="42"/>
  <c r="AU42" i="42"/>
  <c r="AP43" i="42"/>
  <c r="AS197" i="42"/>
  <c r="AO42" i="42"/>
  <c r="AN42" i="31"/>
  <c r="BN42" i="31" s="1"/>
  <c r="AR42" i="31"/>
  <c r="AT41" i="43" l="1"/>
  <c r="AN41" i="43" s="1"/>
  <c r="BN41" i="43" s="1"/>
  <c r="AQ41" i="43"/>
  <c r="BO41" i="43" s="1"/>
  <c r="AS197" i="43"/>
  <c r="AT43" i="42"/>
  <c r="AN43" i="42" s="1"/>
  <c r="BN43" i="42" s="1"/>
  <c r="AQ43" i="42"/>
  <c r="BO43" i="42" s="1"/>
  <c r="AS198" i="42"/>
  <c r="AO42" i="31"/>
  <c r="AM43" i="31"/>
  <c r="AT43" i="31" s="1"/>
  <c r="AP43" i="31"/>
  <c r="AU42" i="31"/>
  <c r="AO41" i="43" l="1"/>
  <c r="AS198" i="43"/>
  <c r="AR41" i="43"/>
  <c r="AR43" i="42"/>
  <c r="AP44" i="42" s="1"/>
  <c r="AS199" i="42"/>
  <c r="AO43" i="42"/>
  <c r="AQ43" i="31"/>
  <c r="BO43" i="31" s="1"/>
  <c r="AS199" i="43" l="1"/>
  <c r="AM42" i="43"/>
  <c r="AU41" i="43"/>
  <c r="AP42" i="43"/>
  <c r="AM44" i="42"/>
  <c r="AT44" i="42" s="1"/>
  <c r="AN44" i="42" s="1"/>
  <c r="BN44" i="42" s="1"/>
  <c r="AU43" i="42"/>
  <c r="AS200" i="42"/>
  <c r="AQ44" i="42"/>
  <c r="BO44" i="42" s="1"/>
  <c r="AN43" i="31"/>
  <c r="BN43" i="31" s="1"/>
  <c r="AR43" i="31"/>
  <c r="AM44" i="31" s="1"/>
  <c r="AT44" i="31" s="1"/>
  <c r="AT42" i="43" l="1"/>
  <c r="AN42" i="43" s="1"/>
  <c r="BN42" i="43" s="1"/>
  <c r="AQ42" i="43"/>
  <c r="BO42" i="43" s="1"/>
  <c r="AS200" i="43"/>
  <c r="AS201" i="42"/>
  <c r="AR44" i="42"/>
  <c r="AO44" i="42"/>
  <c r="AO43" i="31"/>
  <c r="AP44" i="31"/>
  <c r="AQ44" i="31" s="1"/>
  <c r="BO44" i="31" s="1"/>
  <c r="AU43" i="31"/>
  <c r="AS201" i="43" l="1"/>
  <c r="AR42" i="43"/>
  <c r="AO42" i="43"/>
  <c r="AS202" i="42"/>
  <c r="AM45" i="42"/>
  <c r="AU44" i="42"/>
  <c r="AP45" i="42"/>
  <c r="AN44" i="31"/>
  <c r="BN44" i="31" s="1"/>
  <c r="AR44" i="31"/>
  <c r="AM43" i="43" l="1"/>
  <c r="AU42" i="43"/>
  <c r="AP43" i="43"/>
  <c r="AS202" i="43"/>
  <c r="AS203" i="42"/>
  <c r="AT45" i="42"/>
  <c r="AN45" i="42" s="1"/>
  <c r="BN45" i="42" s="1"/>
  <c r="AQ45" i="42"/>
  <c r="BO45" i="42" s="1"/>
  <c r="AO44" i="31"/>
  <c r="AM45" i="31"/>
  <c r="AT45" i="31" s="1"/>
  <c r="AP45" i="31"/>
  <c r="AQ45" i="31" s="1"/>
  <c r="BO45" i="31" s="1"/>
  <c r="AU44" i="31"/>
  <c r="AS203" i="43" l="1"/>
  <c r="AQ43" i="43"/>
  <c r="BO43" i="43" s="1"/>
  <c r="AR43" i="43" s="1"/>
  <c r="AT43" i="43"/>
  <c r="AN43" i="43" s="1"/>
  <c r="BN43" i="43" s="1"/>
  <c r="AR45" i="42"/>
  <c r="AU45" i="42" s="1"/>
  <c r="AS204" i="42"/>
  <c r="AO45" i="42"/>
  <c r="AN45" i="31"/>
  <c r="BN45" i="31" s="1"/>
  <c r="AR45" i="31"/>
  <c r="AM46" i="31" s="1"/>
  <c r="AT46" i="31" s="1"/>
  <c r="AO43" i="43" l="1"/>
  <c r="AM44" i="43"/>
  <c r="AU43" i="43"/>
  <c r="AP44" i="43"/>
  <c r="AS204" i="43"/>
  <c r="AP46" i="42"/>
  <c r="AQ46" i="42" s="1"/>
  <c r="BO46" i="42" s="1"/>
  <c r="AM46" i="42"/>
  <c r="AT46" i="42" s="1"/>
  <c r="AN46" i="42" s="1"/>
  <c r="BN46" i="42" s="1"/>
  <c r="AS205" i="42"/>
  <c r="AO45" i="31"/>
  <c r="AU45" i="31"/>
  <c r="AP46" i="31"/>
  <c r="AQ46" i="31" s="1"/>
  <c r="BO46" i="31" s="1"/>
  <c r="AS205" i="43" l="1"/>
  <c r="AT44" i="43"/>
  <c r="AN44" i="43" s="1"/>
  <c r="BN44" i="43" s="1"/>
  <c r="AO44" i="43" s="1"/>
  <c r="AQ44" i="43"/>
  <c r="BO44" i="43" s="1"/>
  <c r="AS206" i="42"/>
  <c r="AO46" i="42"/>
  <c r="AR46" i="42"/>
  <c r="AN46" i="31"/>
  <c r="BN46" i="31" s="1"/>
  <c r="AR46" i="31"/>
  <c r="AS206" i="43" l="1"/>
  <c r="AR44" i="43"/>
  <c r="AS207" i="42"/>
  <c r="AM47" i="42"/>
  <c r="AU46" i="42"/>
  <c r="AP47" i="42"/>
  <c r="AO46" i="31"/>
  <c r="AM47" i="31"/>
  <c r="AT47" i="31" s="1"/>
  <c r="AP47" i="31"/>
  <c r="AU46" i="31"/>
  <c r="AM45" i="43" l="1"/>
  <c r="AU44" i="43"/>
  <c r="AP45" i="43"/>
  <c r="AS207" i="43"/>
  <c r="AT47" i="42"/>
  <c r="AN47" i="42" s="1"/>
  <c r="BN47" i="42" s="1"/>
  <c r="AS208" i="42"/>
  <c r="AQ47" i="42"/>
  <c r="BO47" i="42" s="1"/>
  <c r="AQ47" i="31"/>
  <c r="BO47" i="31" s="1"/>
  <c r="AT45" i="43" l="1"/>
  <c r="AN45" i="43" s="1"/>
  <c r="BN45" i="43" s="1"/>
  <c r="AS208" i="43"/>
  <c r="AQ45" i="43"/>
  <c r="BO45" i="43" s="1"/>
  <c r="AO47" i="42"/>
  <c r="AS209" i="42"/>
  <c r="AR47" i="42"/>
  <c r="AN47" i="31"/>
  <c r="BN47" i="31" s="1"/>
  <c r="AR47" i="31"/>
  <c r="AS209" i="43" l="1"/>
  <c r="AO45" i="43"/>
  <c r="AR45" i="43"/>
  <c r="AS210" i="42"/>
  <c r="AM48" i="42"/>
  <c r="AU47" i="42"/>
  <c r="AP48" i="42"/>
  <c r="AO47" i="31"/>
  <c r="AM48" i="31"/>
  <c r="AT48" i="31" s="1"/>
  <c r="AU47" i="31"/>
  <c r="AP48" i="31"/>
  <c r="AQ48" i="31" s="1"/>
  <c r="BO48" i="31" s="1"/>
  <c r="AM46" i="43" l="1"/>
  <c r="AU45" i="43"/>
  <c r="AP46" i="43"/>
  <c r="AS210" i="43"/>
  <c r="AS211" i="42"/>
  <c r="AT48" i="42"/>
  <c r="AN48" i="42" s="1"/>
  <c r="BN48" i="42" s="1"/>
  <c r="AQ48" i="42"/>
  <c r="BO48" i="42" s="1"/>
  <c r="AN48" i="31"/>
  <c r="BN48" i="31" s="1"/>
  <c r="AR48" i="31"/>
  <c r="AT46" i="43" l="1"/>
  <c r="AN46" i="43" s="1"/>
  <c r="BN46" i="43" s="1"/>
  <c r="AQ46" i="43"/>
  <c r="BO46" i="43" s="1"/>
  <c r="AS211" i="43"/>
  <c r="AR48" i="42"/>
  <c r="AM49" i="42" s="1"/>
  <c r="AO48" i="42"/>
  <c r="AS212" i="42"/>
  <c r="AO48" i="31"/>
  <c r="AM49" i="31"/>
  <c r="AT49" i="31" s="1"/>
  <c r="AP49" i="31"/>
  <c r="AQ49" i="31" s="1"/>
  <c r="BO49" i="31" s="1"/>
  <c r="AU48" i="31"/>
  <c r="AR46" i="43" l="1"/>
  <c r="AO46" i="43"/>
  <c r="AS212" i="43"/>
  <c r="AP49" i="42"/>
  <c r="AQ49" i="42" s="1"/>
  <c r="BO49" i="42" s="1"/>
  <c r="AR49" i="42" s="1"/>
  <c r="AU48" i="42"/>
  <c r="AS213" i="42"/>
  <c r="AT49" i="42"/>
  <c r="AN49" i="42" s="1"/>
  <c r="BN49" i="42" s="1"/>
  <c r="AN49" i="31"/>
  <c r="BN49" i="31" s="1"/>
  <c r="AR49" i="31"/>
  <c r="AS213" i="43" l="1"/>
  <c r="AM47" i="43"/>
  <c r="AU46" i="43"/>
  <c r="AP47" i="43"/>
  <c r="AM50" i="42"/>
  <c r="AU49" i="42"/>
  <c r="AP50" i="42"/>
  <c r="AO49" i="42"/>
  <c r="AS214" i="42"/>
  <c r="AO49" i="31"/>
  <c r="AM50" i="31"/>
  <c r="AT50" i="31" s="1"/>
  <c r="AP50" i="31"/>
  <c r="AU49" i="31"/>
  <c r="AS214" i="43" l="1"/>
  <c r="AQ47" i="43"/>
  <c r="BO47" i="43" s="1"/>
  <c r="AT47" i="43"/>
  <c r="AN47" i="43" s="1"/>
  <c r="BN47" i="43" s="1"/>
  <c r="AO47" i="43" s="1"/>
  <c r="AT50" i="42"/>
  <c r="AN50" i="42" s="1"/>
  <c r="BN50" i="42" s="1"/>
  <c r="AS215" i="42"/>
  <c r="AQ50" i="42"/>
  <c r="BO50" i="42" s="1"/>
  <c r="AQ50" i="31"/>
  <c r="BO50" i="31" s="1"/>
  <c r="AS215" i="43" l="1"/>
  <c r="AR47" i="43"/>
  <c r="AR50" i="42"/>
  <c r="AP51" i="42" s="1"/>
  <c r="AO50" i="42"/>
  <c r="AS216" i="42"/>
  <c r="AN50" i="31"/>
  <c r="BN50" i="31" s="1"/>
  <c r="AR50" i="31"/>
  <c r="AS216" i="43" l="1"/>
  <c r="AM48" i="43"/>
  <c r="AU47" i="43"/>
  <c r="AP48" i="43"/>
  <c r="AU50" i="42"/>
  <c r="AM51" i="42"/>
  <c r="AT51" i="42" s="1"/>
  <c r="AN51" i="42" s="1"/>
  <c r="BN51" i="42" s="1"/>
  <c r="AO51" i="42" s="1"/>
  <c r="AQ51" i="42"/>
  <c r="BO51" i="42" s="1"/>
  <c r="AR51" i="42" s="1"/>
  <c r="AS217" i="42"/>
  <c r="AO50" i="31"/>
  <c r="AM51" i="31"/>
  <c r="AT51" i="31" s="1"/>
  <c r="AP51" i="31"/>
  <c r="AU50" i="31"/>
  <c r="AQ48" i="43" l="1"/>
  <c r="BO48" i="43" s="1"/>
  <c r="AR48" i="43" s="1"/>
  <c r="AT48" i="43"/>
  <c r="AN48" i="43" s="1"/>
  <c r="BN48" i="43" s="1"/>
  <c r="AS217" i="43"/>
  <c r="AS218" i="42"/>
  <c r="AM52" i="42"/>
  <c r="AU51" i="42"/>
  <c r="AP52" i="42"/>
  <c r="AQ51" i="31"/>
  <c r="BO51" i="31" s="1"/>
  <c r="AM49" i="43" l="1"/>
  <c r="AU48" i="43"/>
  <c r="AP49" i="43"/>
  <c r="AO48" i="43"/>
  <c r="AS218" i="43"/>
  <c r="AS219" i="42"/>
  <c r="AQ52" i="42"/>
  <c r="BO52" i="42" s="1"/>
  <c r="AR52" i="42" s="1"/>
  <c r="AT52" i="42"/>
  <c r="AN52" i="42" s="1"/>
  <c r="BN52" i="42" s="1"/>
  <c r="AN51" i="31"/>
  <c r="BN51" i="31" s="1"/>
  <c r="AR51" i="31"/>
  <c r="AS219" i="43" l="1"/>
  <c r="AT49" i="43"/>
  <c r="AN49" i="43" s="1"/>
  <c r="BN49" i="43" s="1"/>
  <c r="AQ49" i="43"/>
  <c r="BO49" i="43" s="1"/>
  <c r="AM53" i="42"/>
  <c r="AP53" i="42"/>
  <c r="AU52" i="42"/>
  <c r="AS220" i="42"/>
  <c r="AO52" i="42"/>
  <c r="AO51" i="31"/>
  <c r="AM52" i="31"/>
  <c r="AT52" i="31" s="1"/>
  <c r="AP52" i="31"/>
  <c r="AU51" i="31"/>
  <c r="AS220" i="43" l="1"/>
  <c r="AR49" i="43"/>
  <c r="AO49" i="43"/>
  <c r="AT53" i="42"/>
  <c r="AN53" i="42" s="1"/>
  <c r="BN53" i="42" s="1"/>
  <c r="AS221" i="42"/>
  <c r="AQ53" i="42"/>
  <c r="BO53" i="42" s="1"/>
  <c r="AQ52" i="31"/>
  <c r="BO52" i="31" s="1"/>
  <c r="AM50" i="43" l="1"/>
  <c r="AU49" i="43"/>
  <c r="AP50" i="43"/>
  <c r="AS221" i="43"/>
  <c r="AR53" i="42"/>
  <c r="AU53" i="42" s="1"/>
  <c r="AS222" i="42"/>
  <c r="AO53" i="42"/>
  <c r="AN52" i="31"/>
  <c r="BN52" i="31" s="1"/>
  <c r="AR52" i="31"/>
  <c r="AQ50" i="43" l="1"/>
  <c r="BO50" i="43" s="1"/>
  <c r="AS222" i="43"/>
  <c r="AT50" i="43"/>
  <c r="AN50" i="43" s="1"/>
  <c r="BN50" i="43" s="1"/>
  <c r="AM54" i="42"/>
  <c r="AT54" i="42" s="1"/>
  <c r="AN54" i="42" s="1"/>
  <c r="BN54" i="42" s="1"/>
  <c r="AP54" i="42"/>
  <c r="AQ54" i="42" s="1"/>
  <c r="BO54" i="42" s="1"/>
  <c r="AS223" i="42"/>
  <c r="AO52" i="31"/>
  <c r="AU52" i="31"/>
  <c r="AM53" i="31"/>
  <c r="AT53" i="31" s="1"/>
  <c r="AP53" i="31"/>
  <c r="AQ53" i="31" s="1"/>
  <c r="BO53" i="31" s="1"/>
  <c r="AS223" i="43" l="1"/>
  <c r="AR50" i="43"/>
  <c r="AO50" i="43"/>
  <c r="AR54" i="42"/>
  <c r="AP55" i="42" s="1"/>
  <c r="AO54" i="42"/>
  <c r="AS224" i="42"/>
  <c r="AN53" i="31"/>
  <c r="BN53" i="31" s="1"/>
  <c r="AR53" i="31"/>
  <c r="AS224" i="43" l="1"/>
  <c r="AM51" i="43"/>
  <c r="AP51" i="43"/>
  <c r="AU50" i="43"/>
  <c r="AU54" i="42"/>
  <c r="AM55" i="42"/>
  <c r="AT55" i="42" s="1"/>
  <c r="AN55" i="42" s="1"/>
  <c r="BN55" i="42" s="1"/>
  <c r="AQ55" i="42"/>
  <c r="BO55" i="42" s="1"/>
  <c r="AS225" i="42"/>
  <c r="AO53" i="31"/>
  <c r="AU53" i="31"/>
  <c r="AM54" i="31"/>
  <c r="AT54" i="31" s="1"/>
  <c r="AP54" i="31"/>
  <c r="AQ54" i="31" s="1"/>
  <c r="BO54" i="31" s="1"/>
  <c r="AT51" i="43" l="1"/>
  <c r="AN51" i="43" s="1"/>
  <c r="BN51" i="43" s="1"/>
  <c r="AQ51" i="43"/>
  <c r="BO51" i="43" s="1"/>
  <c r="AS225" i="43"/>
  <c r="AS226" i="42"/>
  <c r="AO55" i="42"/>
  <c r="AR55" i="42"/>
  <c r="AN54" i="31"/>
  <c r="BN54" i="31" s="1"/>
  <c r="AR54" i="31"/>
  <c r="AO51" i="43" l="1"/>
  <c r="AS226" i="43"/>
  <c r="AR51" i="43"/>
  <c r="AM56" i="42"/>
  <c r="AP56" i="42"/>
  <c r="AU55" i="42"/>
  <c r="AS227" i="42"/>
  <c r="AO54" i="31"/>
  <c r="AM55" i="31"/>
  <c r="AT55" i="31" s="1"/>
  <c r="AP55" i="31"/>
  <c r="AU54" i="31"/>
  <c r="AS227" i="43" l="1"/>
  <c r="AM52" i="43"/>
  <c r="AP52" i="43"/>
  <c r="AU51" i="43"/>
  <c r="AS228" i="42"/>
  <c r="AT56" i="42"/>
  <c r="AN56" i="42" s="1"/>
  <c r="BN56" i="42" s="1"/>
  <c r="AQ56" i="42"/>
  <c r="BO56" i="42" s="1"/>
  <c r="AQ55" i="31"/>
  <c r="BO55" i="31" s="1"/>
  <c r="AT52" i="43" l="1"/>
  <c r="AN52" i="43" s="1"/>
  <c r="BN52" i="43" s="1"/>
  <c r="AQ52" i="43"/>
  <c r="BO52" i="43" s="1"/>
  <c r="AS228" i="43"/>
  <c r="AR56" i="42"/>
  <c r="AO56" i="42"/>
  <c r="AS229" i="42"/>
  <c r="AN55" i="31"/>
  <c r="BN55" i="31" s="1"/>
  <c r="AR55" i="31"/>
  <c r="AR52" i="43" l="1"/>
  <c r="AU52" i="43" s="1"/>
  <c r="AS229" i="43"/>
  <c r="AO52" i="43"/>
  <c r="AS230" i="42"/>
  <c r="AM57" i="42"/>
  <c r="AP57" i="42"/>
  <c r="AU56" i="42"/>
  <c r="AO55" i="31"/>
  <c r="AU55" i="31"/>
  <c r="AP56" i="31"/>
  <c r="AQ56" i="31" s="1"/>
  <c r="BO56" i="31" s="1"/>
  <c r="AM56" i="31"/>
  <c r="AT56" i="31" s="1"/>
  <c r="AP53" i="43" l="1"/>
  <c r="AQ53" i="43" s="1"/>
  <c r="BO53" i="43" s="1"/>
  <c r="AM53" i="43"/>
  <c r="AT53" i="43" s="1"/>
  <c r="AN53" i="43" s="1"/>
  <c r="BN53" i="43" s="1"/>
  <c r="AS230" i="43"/>
  <c r="AT57" i="42"/>
  <c r="AN57" i="42" s="1"/>
  <c r="BN57" i="42" s="1"/>
  <c r="AS231" i="42"/>
  <c r="AQ57" i="42"/>
  <c r="BO57" i="42" s="1"/>
  <c r="AR56" i="31"/>
  <c r="AR53" i="43" l="1"/>
  <c r="AO53" i="43"/>
  <c r="AS231" i="43"/>
  <c r="AS232" i="42"/>
  <c r="AO57" i="42"/>
  <c r="AR57" i="42"/>
  <c r="AN56" i="31"/>
  <c r="BN56" i="31" s="1"/>
  <c r="AM57" i="31"/>
  <c r="AT57" i="31" s="1"/>
  <c r="AP57" i="31"/>
  <c r="AU56" i="31"/>
  <c r="AM54" i="43" l="1"/>
  <c r="AP54" i="43"/>
  <c r="AU53" i="43"/>
  <c r="AS232" i="43"/>
  <c r="AS233" i="42"/>
  <c r="AM58" i="42"/>
  <c r="AP58" i="42"/>
  <c r="AU57" i="42"/>
  <c r="AO56" i="31"/>
  <c r="AQ57" i="31"/>
  <c r="BO57" i="31" s="1"/>
  <c r="AT54" i="43" l="1"/>
  <c r="AN54" i="43" s="1"/>
  <c r="BN54" i="43" s="1"/>
  <c r="AS233" i="43"/>
  <c r="AQ54" i="43"/>
  <c r="BO54" i="43" s="1"/>
  <c r="AT58" i="42"/>
  <c r="AN58" i="42" s="1"/>
  <c r="BN58" i="42" s="1"/>
  <c r="AS234" i="42"/>
  <c r="AQ58" i="42"/>
  <c r="BO58" i="42" s="1"/>
  <c r="AR58" i="42" s="1"/>
  <c r="AN57" i="31"/>
  <c r="BN57" i="31" s="1"/>
  <c r="AR57" i="31"/>
  <c r="AR54" i="43" l="1"/>
  <c r="AS234" i="43"/>
  <c r="AO54" i="43"/>
  <c r="AS235" i="42"/>
  <c r="AO58" i="42"/>
  <c r="AM59" i="42"/>
  <c r="AP59" i="42"/>
  <c r="AU58" i="42"/>
  <c r="AO57" i="31"/>
  <c r="AM58" i="31"/>
  <c r="AT58" i="31" s="1"/>
  <c r="AU57" i="31"/>
  <c r="AP58" i="31"/>
  <c r="AQ58" i="31" s="1"/>
  <c r="BO58" i="31" s="1"/>
  <c r="AS235" i="43" l="1"/>
  <c r="AM55" i="43"/>
  <c r="AP55" i="43"/>
  <c r="AU54" i="43"/>
  <c r="AT59" i="42"/>
  <c r="AN59" i="42" s="1"/>
  <c r="BN59" i="42" s="1"/>
  <c r="AS236" i="42"/>
  <c r="AQ59" i="42"/>
  <c r="BO59" i="42" s="1"/>
  <c r="AR58" i="31"/>
  <c r="AT55" i="43" l="1"/>
  <c r="AN55" i="43" s="1"/>
  <c r="BN55" i="43" s="1"/>
  <c r="AQ55" i="43"/>
  <c r="BO55" i="43" s="1"/>
  <c r="AR55" i="43" s="1"/>
  <c r="AS236" i="43"/>
  <c r="AR59" i="42"/>
  <c r="AP60" i="42" s="1"/>
  <c r="AS237" i="42"/>
  <c r="AO59" i="42"/>
  <c r="AN58" i="31"/>
  <c r="BN58" i="31" s="1"/>
  <c r="AM59" i="31"/>
  <c r="AT59" i="31" s="1"/>
  <c r="AP59" i="31"/>
  <c r="AU58" i="31"/>
  <c r="AM56" i="43" l="1"/>
  <c r="AP56" i="43"/>
  <c r="AU55" i="43"/>
  <c r="AS237" i="43"/>
  <c r="AO55" i="43"/>
  <c r="AU59" i="42"/>
  <c r="AM60" i="42"/>
  <c r="AT60" i="42" s="1"/>
  <c r="AN60" i="42" s="1"/>
  <c r="BN60" i="42" s="1"/>
  <c r="AQ60" i="42"/>
  <c r="BO60" i="42" s="1"/>
  <c r="AS238" i="42"/>
  <c r="AO58" i="31"/>
  <c r="AQ59" i="31"/>
  <c r="BO59" i="31" s="1"/>
  <c r="AS238" i="43" l="1"/>
  <c r="AT56" i="43"/>
  <c r="AN56" i="43" s="1"/>
  <c r="BN56" i="43" s="1"/>
  <c r="AQ56" i="43"/>
  <c r="BO56" i="43" s="1"/>
  <c r="AO60" i="42"/>
  <c r="AS239" i="42"/>
  <c r="AR60" i="42"/>
  <c r="AN59" i="31"/>
  <c r="BN59" i="31" s="1"/>
  <c r="AR59" i="31"/>
  <c r="AM60" i="31" s="1"/>
  <c r="AT60" i="31" s="1"/>
  <c r="AS239" i="43" l="1"/>
  <c r="AR56" i="43"/>
  <c r="AO56" i="43"/>
  <c r="AM61" i="42"/>
  <c r="AP61" i="42"/>
  <c r="AU60" i="42"/>
  <c r="AS240" i="42"/>
  <c r="AO59" i="31"/>
  <c r="AP60" i="31"/>
  <c r="AQ60" i="31" s="1"/>
  <c r="BO60" i="31" s="1"/>
  <c r="AU59" i="31"/>
  <c r="AS240" i="43" l="1"/>
  <c r="AM57" i="43"/>
  <c r="AP57" i="43"/>
  <c r="AU56" i="43"/>
  <c r="AS241" i="42"/>
  <c r="AT61" i="42"/>
  <c r="AN61" i="42" s="1"/>
  <c r="BN61" i="42" s="1"/>
  <c r="AQ61" i="42"/>
  <c r="BO61" i="42" s="1"/>
  <c r="AN60" i="31"/>
  <c r="BN60" i="31" s="1"/>
  <c r="AR60" i="31"/>
  <c r="AT57" i="43" l="1"/>
  <c r="AN57" i="43" s="1"/>
  <c r="BN57" i="43" s="1"/>
  <c r="AS241" i="43"/>
  <c r="AQ57" i="43"/>
  <c r="BO57" i="43" s="1"/>
  <c r="AR61" i="42"/>
  <c r="AM62" i="42" s="1"/>
  <c r="AS242" i="42"/>
  <c r="AO61" i="42"/>
  <c r="AO60" i="31"/>
  <c r="AM61" i="31"/>
  <c r="AT61" i="31" s="1"/>
  <c r="AP61" i="31"/>
  <c r="AU60" i="31"/>
  <c r="AO57" i="43" l="1"/>
  <c r="AS242" i="43"/>
  <c r="AR57" i="43"/>
  <c r="AP62" i="42"/>
  <c r="AQ62" i="42" s="1"/>
  <c r="BO62" i="42" s="1"/>
  <c r="AU61" i="42"/>
  <c r="AT62" i="42"/>
  <c r="AN62" i="42" s="1"/>
  <c r="BN62" i="42" s="1"/>
  <c r="AS243" i="42"/>
  <c r="AQ61" i="31"/>
  <c r="BO61" i="31" s="1"/>
  <c r="AM58" i="43" l="1"/>
  <c r="AP58" i="43"/>
  <c r="AU57" i="43"/>
  <c r="AS243" i="43"/>
  <c r="AS244" i="42"/>
  <c r="AR62" i="42"/>
  <c r="AO62" i="42"/>
  <c r="AN61" i="31"/>
  <c r="BN61" i="31" s="1"/>
  <c r="AR61" i="31"/>
  <c r="AT58" i="43" l="1"/>
  <c r="AN58" i="43" s="1"/>
  <c r="BN58" i="43" s="1"/>
  <c r="AQ58" i="43"/>
  <c r="BO58" i="43" s="1"/>
  <c r="AS244" i="43"/>
  <c r="AM63" i="42"/>
  <c r="AP63" i="42"/>
  <c r="AU62" i="42"/>
  <c r="AS245" i="42"/>
  <c r="AO61" i="31"/>
  <c r="AM62" i="31"/>
  <c r="AT62" i="31" s="1"/>
  <c r="AP62" i="31"/>
  <c r="AQ62" i="31" s="1"/>
  <c r="BO62" i="31" s="1"/>
  <c r="AU61" i="31"/>
  <c r="AO58" i="43" l="1"/>
  <c r="AS245" i="43"/>
  <c r="AR58" i="43"/>
  <c r="AT63" i="42"/>
  <c r="AN63" i="42" s="1"/>
  <c r="BN63" i="42" s="1"/>
  <c r="AS246" i="42"/>
  <c r="AQ63" i="42"/>
  <c r="BO63" i="42" s="1"/>
  <c r="AN62" i="31"/>
  <c r="BN62" i="31" s="1"/>
  <c r="AR62" i="31"/>
  <c r="AS246" i="43" l="1"/>
  <c r="AM59" i="43"/>
  <c r="AP59" i="43"/>
  <c r="AU58" i="43"/>
  <c r="AS247" i="42"/>
  <c r="AR63" i="42"/>
  <c r="AO63" i="42"/>
  <c r="AO62" i="31"/>
  <c r="AM63" i="31"/>
  <c r="AT63" i="31" s="1"/>
  <c r="AP63" i="31"/>
  <c r="AU62" i="31"/>
  <c r="AQ59" i="43" l="1"/>
  <c r="BO59" i="43" s="1"/>
  <c r="AS247" i="43"/>
  <c r="AT59" i="43"/>
  <c r="AN59" i="43" s="1"/>
  <c r="BN59" i="43" s="1"/>
  <c r="AS248" i="42"/>
  <c r="AM64" i="42"/>
  <c r="AP64" i="42"/>
  <c r="AU63" i="42"/>
  <c r="AQ63" i="31"/>
  <c r="BO63" i="31" s="1"/>
  <c r="AR59" i="43" l="1"/>
  <c r="AU59" i="43" s="1"/>
  <c r="AS248" i="43"/>
  <c r="AO59" i="43"/>
  <c r="AT64" i="42"/>
  <c r="AN64" i="42" s="1"/>
  <c r="BN64" i="42" s="1"/>
  <c r="AQ64" i="42"/>
  <c r="BO64" i="42" s="1"/>
  <c r="AS249" i="42"/>
  <c r="AN63" i="31"/>
  <c r="BN63" i="31" s="1"/>
  <c r="AR63" i="31"/>
  <c r="AP60" i="43" l="1"/>
  <c r="AQ60" i="43" s="1"/>
  <c r="BO60" i="43" s="1"/>
  <c r="AM60" i="43"/>
  <c r="AT60" i="43" s="1"/>
  <c r="AN60" i="43" s="1"/>
  <c r="BN60" i="43" s="1"/>
  <c r="AS249" i="43"/>
  <c r="AS250" i="42"/>
  <c r="AO64" i="42"/>
  <c r="AR64" i="42"/>
  <c r="AO63" i="31"/>
  <c r="AP64" i="31"/>
  <c r="AQ64" i="31" s="1"/>
  <c r="BO64" i="31" s="1"/>
  <c r="AM64" i="31"/>
  <c r="AT64" i="31" s="1"/>
  <c r="AU63" i="31"/>
  <c r="AS250" i="43" l="1"/>
  <c r="AR60" i="43"/>
  <c r="AO60" i="43"/>
  <c r="AM65" i="42"/>
  <c r="AP65" i="42"/>
  <c r="AU64" i="42"/>
  <c r="AS251" i="42"/>
  <c r="AN64" i="31"/>
  <c r="BN64" i="31" s="1"/>
  <c r="AR64" i="31"/>
  <c r="AM61" i="43" l="1"/>
  <c r="AP61" i="43"/>
  <c r="AU60" i="43"/>
  <c r="AS251" i="43"/>
  <c r="AS252" i="42"/>
  <c r="AT65" i="42"/>
  <c r="AN65" i="42" s="1"/>
  <c r="BN65" i="42" s="1"/>
  <c r="AQ65" i="42"/>
  <c r="BO65" i="42" s="1"/>
  <c r="AO64" i="31"/>
  <c r="AM65" i="31"/>
  <c r="AT65" i="31" s="1"/>
  <c r="AP65" i="31"/>
  <c r="AU64" i="31"/>
  <c r="AS252" i="43" l="1"/>
  <c r="AT61" i="43"/>
  <c r="AN61" i="43" s="1"/>
  <c r="BN61" i="43" s="1"/>
  <c r="AQ61" i="43"/>
  <c r="BO61" i="43" s="1"/>
  <c r="AO65" i="42"/>
  <c r="AS253" i="42"/>
  <c r="AR65" i="42"/>
  <c r="AQ65" i="31"/>
  <c r="BO65" i="31" s="1"/>
  <c r="AR61" i="43" l="1"/>
  <c r="AP62" i="43" s="1"/>
  <c r="AS253" i="43"/>
  <c r="AO61" i="43"/>
  <c r="AM66" i="42"/>
  <c r="AP66" i="42"/>
  <c r="AU65" i="42"/>
  <c r="AS254" i="42"/>
  <c r="AN65" i="31"/>
  <c r="BN65" i="31" s="1"/>
  <c r="AR65" i="31"/>
  <c r="AU61" i="43" l="1"/>
  <c r="AM62" i="43"/>
  <c r="AT62" i="43" s="1"/>
  <c r="AN62" i="43" s="1"/>
  <c r="BN62" i="43" s="1"/>
  <c r="AQ62" i="43"/>
  <c r="BO62" i="43" s="1"/>
  <c r="AS254" i="43"/>
  <c r="AS255" i="42"/>
  <c r="AT66" i="42"/>
  <c r="AN66" i="42" s="1"/>
  <c r="BN66" i="42" s="1"/>
  <c r="AQ66" i="42"/>
  <c r="BO66" i="42" s="1"/>
  <c r="AO65" i="31"/>
  <c r="AM66" i="31"/>
  <c r="AT66" i="31" s="1"/>
  <c r="AP66" i="31"/>
  <c r="AQ66" i="31" s="1"/>
  <c r="BO66" i="31" s="1"/>
  <c r="AU65" i="31"/>
  <c r="AS255" i="43" l="1"/>
  <c r="AO62" i="43"/>
  <c r="AR62" i="43"/>
  <c r="AS256" i="42"/>
  <c r="AR66" i="42"/>
  <c r="AO66" i="42"/>
  <c r="AN66" i="31"/>
  <c r="BN66" i="31" s="1"/>
  <c r="AR66" i="31"/>
  <c r="AS256" i="43" l="1"/>
  <c r="AM63" i="43"/>
  <c r="AP63" i="43"/>
  <c r="AU62" i="43"/>
  <c r="AS257" i="42"/>
  <c r="AM67" i="42"/>
  <c r="AP67" i="42"/>
  <c r="AU66" i="42"/>
  <c r="AO66" i="31"/>
  <c r="AM67" i="31"/>
  <c r="AT67" i="31" s="1"/>
  <c r="AP67" i="31"/>
  <c r="AU66" i="31"/>
  <c r="AS257" i="43" l="1"/>
  <c r="AT63" i="43"/>
  <c r="AN63" i="43" s="1"/>
  <c r="BN63" i="43" s="1"/>
  <c r="AQ63" i="43"/>
  <c r="BO63" i="43" s="1"/>
  <c r="AT67" i="42"/>
  <c r="AN67" i="42" s="1"/>
  <c r="BN67" i="42" s="1"/>
  <c r="AQ67" i="42"/>
  <c r="BO67" i="42" s="1"/>
  <c r="AS258" i="42"/>
  <c r="AQ67" i="31"/>
  <c r="BO67" i="31" s="1"/>
  <c r="AR63" i="43" l="1"/>
  <c r="AU63" i="43" s="1"/>
  <c r="AS258" i="43"/>
  <c r="AO63" i="43"/>
  <c r="AR67" i="42"/>
  <c r="AM68" i="42" s="1"/>
  <c r="AS259" i="42"/>
  <c r="AO67" i="42"/>
  <c r="AN67" i="31"/>
  <c r="BN67" i="31" s="1"/>
  <c r="AR67" i="31"/>
  <c r="AP64" i="43" l="1"/>
  <c r="AQ64" i="43" s="1"/>
  <c r="BO64" i="43" s="1"/>
  <c r="AM64" i="43"/>
  <c r="AT64" i="43" s="1"/>
  <c r="AN64" i="43" s="1"/>
  <c r="BN64" i="43" s="1"/>
  <c r="AS259" i="43"/>
  <c r="AP68" i="42"/>
  <c r="AQ68" i="42" s="1"/>
  <c r="BO68" i="42" s="1"/>
  <c r="AU67" i="42"/>
  <c r="AT68" i="42"/>
  <c r="AN68" i="42" s="1"/>
  <c r="BN68" i="42" s="1"/>
  <c r="AS260" i="42"/>
  <c r="AO67" i="31"/>
  <c r="AU67" i="31"/>
  <c r="AM68" i="31"/>
  <c r="AT68" i="31" s="1"/>
  <c r="AP68" i="31"/>
  <c r="AQ68" i="31" s="1"/>
  <c r="BO68" i="31" s="1"/>
  <c r="AS260" i="43" l="1"/>
  <c r="AR64" i="43"/>
  <c r="AO64" i="43"/>
  <c r="AO68" i="42"/>
  <c r="AS261" i="42"/>
  <c r="AR68" i="42"/>
  <c r="AN68" i="31"/>
  <c r="BN68" i="31" s="1"/>
  <c r="AR68" i="31"/>
  <c r="AM65" i="43" l="1"/>
  <c r="AP65" i="43"/>
  <c r="AU64" i="43"/>
  <c r="AS261" i="43"/>
  <c r="AM69" i="42"/>
  <c r="AP69" i="42"/>
  <c r="AU68" i="42"/>
  <c r="AS262" i="42"/>
  <c r="AO68" i="31"/>
  <c r="AM69" i="31"/>
  <c r="AT69" i="31" s="1"/>
  <c r="AP69" i="31"/>
  <c r="AU68" i="31"/>
  <c r="AT65" i="43" l="1"/>
  <c r="AN65" i="43" s="1"/>
  <c r="BN65" i="43" s="1"/>
  <c r="AS262" i="43"/>
  <c r="AQ65" i="43"/>
  <c r="BO65" i="43" s="1"/>
  <c r="AR65" i="43" s="1"/>
  <c r="AT69" i="42"/>
  <c r="AN69" i="42" s="1"/>
  <c r="BN69" i="42" s="1"/>
  <c r="AS263" i="42"/>
  <c r="AQ69" i="42"/>
  <c r="BO69" i="42" s="1"/>
  <c r="AQ69" i="31"/>
  <c r="BO69" i="31" s="1"/>
  <c r="AM66" i="43" l="1"/>
  <c r="AP66" i="43"/>
  <c r="AU65" i="43"/>
  <c r="AS263" i="43"/>
  <c r="AO65" i="43"/>
  <c r="AS264" i="42"/>
  <c r="AO69" i="42"/>
  <c r="AR69" i="42"/>
  <c r="AN69" i="31"/>
  <c r="BN69" i="31" s="1"/>
  <c r="AR69" i="31"/>
  <c r="AT66" i="43" l="1"/>
  <c r="AN66" i="43" s="1"/>
  <c r="BN66" i="43" s="1"/>
  <c r="AQ66" i="43"/>
  <c r="BO66" i="43" s="1"/>
  <c r="AS264" i="43"/>
  <c r="AS265" i="42"/>
  <c r="AM70" i="42"/>
  <c r="AP70" i="42"/>
  <c r="AU69" i="42"/>
  <c r="AO69" i="31"/>
  <c r="AM70" i="31"/>
  <c r="AT70" i="31" s="1"/>
  <c r="AP70" i="31"/>
  <c r="AQ70" i="31" s="1"/>
  <c r="BO70" i="31" s="1"/>
  <c r="AU69" i="31"/>
  <c r="AR66" i="43" l="1"/>
  <c r="AU66" i="43" s="1"/>
  <c r="AO66" i="43"/>
  <c r="AS265" i="43"/>
  <c r="AS266" i="42"/>
  <c r="AT70" i="42"/>
  <c r="AN70" i="42" s="1"/>
  <c r="BN70" i="42" s="1"/>
  <c r="AQ70" i="42"/>
  <c r="BO70" i="42" s="1"/>
  <c r="AN70" i="31"/>
  <c r="BN70" i="31" s="1"/>
  <c r="AR70" i="31"/>
  <c r="AP67" i="43" l="1"/>
  <c r="AQ67" i="43" s="1"/>
  <c r="BO67" i="43" s="1"/>
  <c r="AM67" i="43"/>
  <c r="AT67" i="43" s="1"/>
  <c r="AN67" i="43" s="1"/>
  <c r="BN67" i="43" s="1"/>
  <c r="AS266" i="43"/>
  <c r="AO70" i="42"/>
  <c r="AS267" i="42"/>
  <c r="AR70" i="42"/>
  <c r="AO70" i="31"/>
  <c r="AM71" i="31"/>
  <c r="AT71" i="31" s="1"/>
  <c r="AP71" i="31"/>
  <c r="AU70" i="31"/>
  <c r="AR67" i="43" l="1"/>
  <c r="AU67" i="43" s="1"/>
  <c r="AS267" i="43"/>
  <c r="AO67" i="43"/>
  <c r="AM71" i="42"/>
  <c r="AP71" i="42"/>
  <c r="AU70" i="42"/>
  <c r="AS268" i="42"/>
  <c r="AQ71" i="31"/>
  <c r="BO71" i="31" s="1"/>
  <c r="AM68" i="43" l="1"/>
  <c r="AT68" i="43" s="1"/>
  <c r="AN68" i="43" s="1"/>
  <c r="BN68" i="43" s="1"/>
  <c r="AP68" i="43"/>
  <c r="AQ68" i="43" s="1"/>
  <c r="BO68" i="43" s="1"/>
  <c r="AS268" i="43"/>
  <c r="AS269" i="42"/>
  <c r="AT71" i="42"/>
  <c r="AN71" i="42" s="1"/>
  <c r="BN71" i="42" s="1"/>
  <c r="AQ71" i="42"/>
  <c r="BO71" i="42" s="1"/>
  <c r="AN71" i="31"/>
  <c r="BN71" i="31" s="1"/>
  <c r="AR71" i="31"/>
  <c r="AO68" i="43" l="1"/>
  <c r="AS269" i="43"/>
  <c r="AR68" i="43"/>
  <c r="AR71" i="42"/>
  <c r="AU71" i="42" s="1"/>
  <c r="AO71" i="42"/>
  <c r="AS270" i="42"/>
  <c r="AO71" i="31"/>
  <c r="AP72" i="31"/>
  <c r="AQ72" i="31" s="1"/>
  <c r="BO72" i="31" s="1"/>
  <c r="AM72" i="31"/>
  <c r="AT72" i="31" s="1"/>
  <c r="AU71" i="31"/>
  <c r="AM69" i="43" l="1"/>
  <c r="AP69" i="43"/>
  <c r="AU68" i="43"/>
  <c r="AS270" i="43"/>
  <c r="AM72" i="42"/>
  <c r="AT72" i="42" s="1"/>
  <c r="AN72" i="42" s="1"/>
  <c r="BN72" i="42" s="1"/>
  <c r="AO72" i="42" s="1"/>
  <c r="AP72" i="42"/>
  <c r="AQ72" i="42" s="1"/>
  <c r="AS271" i="42"/>
  <c r="AN72" i="31"/>
  <c r="BN72" i="31" s="1"/>
  <c r="AR72" i="31"/>
  <c r="AS271" i="43" l="1"/>
  <c r="AQ69" i="43"/>
  <c r="BO69" i="43" s="1"/>
  <c r="AT69" i="43"/>
  <c r="AN69" i="43" s="1"/>
  <c r="BN69" i="43" s="1"/>
  <c r="BO72" i="42"/>
  <c r="AR72" i="42" s="1"/>
  <c r="AS272" i="42"/>
  <c r="AO72" i="31"/>
  <c r="AM73" i="31"/>
  <c r="AT73" i="31" s="1"/>
  <c r="AP73" i="31"/>
  <c r="AU72" i="31"/>
  <c r="AO69" i="43" l="1"/>
  <c r="AS272" i="43"/>
  <c r="AR69" i="43"/>
  <c r="AP73" i="42"/>
  <c r="AQ73" i="42" s="1"/>
  <c r="BO73" i="42" s="1"/>
  <c r="AM73" i="42"/>
  <c r="AT73" i="42" s="1"/>
  <c r="AN73" i="42" s="1"/>
  <c r="BN73" i="42" s="1"/>
  <c r="AU72" i="42"/>
  <c r="AS273" i="42"/>
  <c r="AQ73" i="31"/>
  <c r="BO73" i="31" s="1"/>
  <c r="AM70" i="43" l="1"/>
  <c r="AP70" i="43"/>
  <c r="AU69" i="43"/>
  <c r="AS273" i="43"/>
  <c r="AR73" i="42"/>
  <c r="AP74" i="42" s="1"/>
  <c r="AO73" i="42"/>
  <c r="AS274" i="42"/>
  <c r="AN73" i="31"/>
  <c r="BN73" i="31" s="1"/>
  <c r="AR73" i="31"/>
  <c r="AS274" i="43" l="1"/>
  <c r="AT70" i="43"/>
  <c r="AN70" i="43" s="1"/>
  <c r="BN70" i="43" s="1"/>
  <c r="AQ70" i="43"/>
  <c r="BO70" i="43" s="1"/>
  <c r="AU73" i="42"/>
  <c r="AM74" i="42"/>
  <c r="AT74" i="42" s="1"/>
  <c r="AN74" i="42" s="1"/>
  <c r="BN74" i="42" s="1"/>
  <c r="AS275" i="42"/>
  <c r="AQ74" i="42"/>
  <c r="BO74" i="42" s="1"/>
  <c r="AO73" i="31"/>
  <c r="AM74" i="31"/>
  <c r="AT74" i="31" s="1"/>
  <c r="AP74" i="31"/>
  <c r="AU73" i="31"/>
  <c r="AR70" i="43" l="1"/>
  <c r="AU70" i="43" s="1"/>
  <c r="AO70" i="43"/>
  <c r="AS275" i="43"/>
  <c r="AO74" i="42"/>
  <c r="AS276" i="42"/>
  <c r="AR74" i="42"/>
  <c r="AQ74" i="31"/>
  <c r="BO74" i="31" s="1"/>
  <c r="AM71" i="43" l="1"/>
  <c r="AT71" i="43" s="1"/>
  <c r="AN71" i="43" s="1"/>
  <c r="BN71" i="43" s="1"/>
  <c r="AP71" i="43"/>
  <c r="AQ71" i="43" s="1"/>
  <c r="BO71" i="43" s="1"/>
  <c r="AS276" i="43"/>
  <c r="AM75" i="42"/>
  <c r="AP75" i="42"/>
  <c r="AU74" i="42"/>
  <c r="AS277" i="42"/>
  <c r="AN74" i="31"/>
  <c r="BN74" i="31" s="1"/>
  <c r="AR74" i="31"/>
  <c r="AR71" i="43" l="1"/>
  <c r="AU71" i="43" s="1"/>
  <c r="AS277" i="43"/>
  <c r="AO71" i="43"/>
  <c r="AS278" i="42"/>
  <c r="AT75" i="42"/>
  <c r="AN75" i="42" s="1"/>
  <c r="BN75" i="42" s="1"/>
  <c r="AQ75" i="42"/>
  <c r="BO75" i="42" s="1"/>
  <c r="AO74" i="31"/>
  <c r="AM75" i="31"/>
  <c r="AT75" i="31" s="1"/>
  <c r="AP75" i="31"/>
  <c r="AU74" i="31"/>
  <c r="AM72" i="43" l="1"/>
  <c r="AT72" i="43" s="1"/>
  <c r="AN72" i="43" s="1"/>
  <c r="BN72" i="43" s="1"/>
  <c r="AP72" i="43"/>
  <c r="AQ72" i="43" s="1"/>
  <c r="BO72" i="43" s="1"/>
  <c r="AS278" i="43"/>
  <c r="AR75" i="42"/>
  <c r="AU75" i="42" s="1"/>
  <c r="AO75" i="42"/>
  <c r="AS279" i="42"/>
  <c r="AQ75" i="31"/>
  <c r="BO75" i="31" s="1"/>
  <c r="AO72" i="43" l="1"/>
  <c r="AS279" i="43"/>
  <c r="AR72" i="43"/>
  <c r="AP76" i="42"/>
  <c r="AQ76" i="42" s="1"/>
  <c r="BO76" i="42" s="1"/>
  <c r="AM76" i="42"/>
  <c r="AT76" i="42" s="1"/>
  <c r="AN76" i="42" s="1"/>
  <c r="BN76" i="42" s="1"/>
  <c r="AS280" i="42"/>
  <c r="AN75" i="31"/>
  <c r="BN75" i="31" s="1"/>
  <c r="AR75" i="31"/>
  <c r="AM76" i="31" s="1"/>
  <c r="AT76" i="31" s="1"/>
  <c r="AM73" i="43" l="1"/>
  <c r="AP73" i="43"/>
  <c r="AU72" i="43"/>
  <c r="AS280" i="43"/>
  <c r="AO76" i="42"/>
  <c r="AS281" i="42"/>
  <c r="AR76" i="42"/>
  <c r="AO75" i="31"/>
  <c r="AP76" i="31"/>
  <c r="AQ76" i="31" s="1"/>
  <c r="BO76" i="31" s="1"/>
  <c r="AU75" i="31"/>
  <c r="AT73" i="43" l="1"/>
  <c r="AN73" i="43" s="1"/>
  <c r="BN73" i="43" s="1"/>
  <c r="AQ73" i="43"/>
  <c r="BO73" i="43" s="1"/>
  <c r="AS281" i="43"/>
  <c r="AM77" i="42"/>
  <c r="AP77" i="42"/>
  <c r="AU76" i="42"/>
  <c r="AS282" i="42"/>
  <c r="AN76" i="31"/>
  <c r="BN76" i="31" s="1"/>
  <c r="AR76" i="31"/>
  <c r="AR73" i="43" l="1"/>
  <c r="AO73" i="43"/>
  <c r="AS282" i="43"/>
  <c r="AT77" i="42"/>
  <c r="AN77" i="42" s="1"/>
  <c r="BN77" i="42" s="1"/>
  <c r="AS283" i="42"/>
  <c r="AQ77" i="42"/>
  <c r="BO77" i="42" s="1"/>
  <c r="AO76" i="31"/>
  <c r="AM77" i="31"/>
  <c r="AT77" i="31" s="1"/>
  <c r="AP77" i="31"/>
  <c r="AU76" i="31"/>
  <c r="AS283" i="43" l="1"/>
  <c r="AM74" i="43"/>
  <c r="AP74" i="43"/>
  <c r="AU73" i="43"/>
  <c r="AO77" i="42"/>
  <c r="AS284" i="42"/>
  <c r="AR77" i="42"/>
  <c r="AQ77" i="31"/>
  <c r="BO77" i="31" s="1"/>
  <c r="AT74" i="43" l="1"/>
  <c r="AN74" i="43" s="1"/>
  <c r="BN74" i="43" s="1"/>
  <c r="AQ74" i="43"/>
  <c r="BO74" i="43" s="1"/>
  <c r="AS284" i="43"/>
  <c r="AM78" i="42"/>
  <c r="AP78" i="42"/>
  <c r="AU77" i="42"/>
  <c r="AS285" i="42"/>
  <c r="AN77" i="31"/>
  <c r="BN77" i="31" s="1"/>
  <c r="AR77" i="31"/>
  <c r="AR74" i="43" l="1"/>
  <c r="AM75" i="43" s="1"/>
  <c r="AS285" i="43"/>
  <c r="AO74" i="43"/>
  <c r="AQ78" i="42"/>
  <c r="BO78" i="42" s="1"/>
  <c r="AT78" i="42"/>
  <c r="AN78" i="42" s="1"/>
  <c r="BN78" i="42" s="1"/>
  <c r="AS286" i="42"/>
  <c r="AO77" i="31"/>
  <c r="AM78" i="31"/>
  <c r="AT78" i="31" s="1"/>
  <c r="AP78" i="31"/>
  <c r="AQ78" i="31" s="1"/>
  <c r="BO78" i="31" s="1"/>
  <c r="AU77" i="31"/>
  <c r="AU74" i="43" l="1"/>
  <c r="AP75" i="43"/>
  <c r="AQ75" i="43" s="1"/>
  <c r="BO75" i="43" s="1"/>
  <c r="AS286" i="43"/>
  <c r="AT75" i="43"/>
  <c r="AN75" i="43" s="1"/>
  <c r="BN75" i="43" s="1"/>
  <c r="AS287" i="42"/>
  <c r="AO78" i="42"/>
  <c r="AR78" i="42"/>
  <c r="AN78" i="31"/>
  <c r="BN78" i="31" s="1"/>
  <c r="AR78" i="31"/>
  <c r="AR75" i="43" l="1"/>
  <c r="AM76" i="43" s="1"/>
  <c r="AS287" i="43"/>
  <c r="AO75" i="43"/>
  <c r="AM79" i="42"/>
  <c r="AP79" i="42"/>
  <c r="AU78" i="42"/>
  <c r="AS288" i="42"/>
  <c r="AO78" i="31"/>
  <c r="AM79" i="31"/>
  <c r="AT79" i="31" s="1"/>
  <c r="AP79" i="31"/>
  <c r="AQ79" i="31" s="1"/>
  <c r="BO79" i="31" s="1"/>
  <c r="AU78" i="31"/>
  <c r="AP76" i="43" l="1"/>
  <c r="AQ76" i="43" s="1"/>
  <c r="BO76" i="43" s="1"/>
  <c r="AU75" i="43"/>
  <c r="AT76" i="43"/>
  <c r="AN76" i="43" s="1"/>
  <c r="BN76" i="43" s="1"/>
  <c r="AS288" i="43"/>
  <c r="AQ79" i="42"/>
  <c r="BO79" i="42" s="1"/>
  <c r="AT79" i="42"/>
  <c r="AN79" i="42" s="1"/>
  <c r="BN79" i="42" s="1"/>
  <c r="AS289" i="42"/>
  <c r="AN79" i="31"/>
  <c r="BN79" i="31" s="1"/>
  <c r="AR79" i="31"/>
  <c r="AM80" i="31" s="1"/>
  <c r="AT80" i="31" s="1"/>
  <c r="AS289" i="43" l="1"/>
  <c r="AR76" i="43"/>
  <c r="AO76" i="43"/>
  <c r="AO79" i="42"/>
  <c r="AR79" i="42"/>
  <c r="AS290" i="42"/>
  <c r="AO79" i="31"/>
  <c r="AU79" i="31"/>
  <c r="AP80" i="31"/>
  <c r="AQ80" i="31" s="1"/>
  <c r="BO80" i="31" s="1"/>
  <c r="AM77" i="43" l="1"/>
  <c r="AP77" i="43"/>
  <c r="AU76" i="43"/>
  <c r="AS290" i="43"/>
  <c r="AM80" i="42"/>
  <c r="AP80" i="42"/>
  <c r="AU79" i="42"/>
  <c r="AS291" i="42"/>
  <c r="AN80" i="31"/>
  <c r="BN80" i="31" s="1"/>
  <c r="AR80" i="31"/>
  <c r="AT77" i="43" l="1"/>
  <c r="AN77" i="43" s="1"/>
  <c r="BN77" i="43" s="1"/>
  <c r="AS291" i="43"/>
  <c r="AQ77" i="43"/>
  <c r="BO77" i="43" s="1"/>
  <c r="AS292" i="42"/>
  <c r="AT80" i="42"/>
  <c r="AN80" i="42" s="1"/>
  <c r="BN80" i="42" s="1"/>
  <c r="AQ80" i="42"/>
  <c r="BO80" i="42" s="1"/>
  <c r="AR80" i="42" s="1"/>
  <c r="AO80" i="31"/>
  <c r="AM81" i="31"/>
  <c r="AT81" i="31" s="1"/>
  <c r="AP81" i="31"/>
  <c r="AQ81" i="31" s="1"/>
  <c r="BO81" i="31" s="1"/>
  <c r="AU80" i="31"/>
  <c r="AO77" i="43" l="1"/>
  <c r="AS292" i="43"/>
  <c r="AR77" i="43"/>
  <c r="AM81" i="42"/>
  <c r="AP81" i="42"/>
  <c r="AU80" i="42"/>
  <c r="AS293" i="42"/>
  <c r="AO80" i="42"/>
  <c r="AN81" i="31"/>
  <c r="BN81" i="31" s="1"/>
  <c r="AR81" i="31"/>
  <c r="AS293" i="43" l="1"/>
  <c r="AM78" i="43"/>
  <c r="AP78" i="43"/>
  <c r="AU77" i="43"/>
  <c r="AQ81" i="42"/>
  <c r="BO81" i="42" s="1"/>
  <c r="AT81" i="42"/>
  <c r="AN81" i="42" s="1"/>
  <c r="BN81" i="42" s="1"/>
  <c r="AS294" i="42"/>
  <c r="AO81" i="31"/>
  <c r="AM82" i="31"/>
  <c r="AT82" i="31" s="1"/>
  <c r="AP82" i="31"/>
  <c r="AQ82" i="31" s="1"/>
  <c r="BO82" i="31" s="1"/>
  <c r="AU81" i="31"/>
  <c r="AS294" i="43" l="1"/>
  <c r="AT78" i="43"/>
  <c r="AN78" i="43" s="1"/>
  <c r="BN78" i="43" s="1"/>
  <c r="AQ78" i="43"/>
  <c r="BO78" i="43" s="1"/>
  <c r="AR81" i="42"/>
  <c r="AP82" i="42" s="1"/>
  <c r="AS295" i="42"/>
  <c r="AO81" i="42"/>
  <c r="AN82" i="31"/>
  <c r="BN82" i="31" s="1"/>
  <c r="AR82" i="31"/>
  <c r="AM82" i="42" l="1"/>
  <c r="AT82" i="42" s="1"/>
  <c r="AN82" i="42" s="1"/>
  <c r="BN82" i="42" s="1"/>
  <c r="AO78" i="43"/>
  <c r="AS295" i="43"/>
  <c r="AR78" i="43"/>
  <c r="AU81" i="42"/>
  <c r="AS296" i="42"/>
  <c r="AQ82" i="42"/>
  <c r="BO82" i="42" s="1"/>
  <c r="AO82" i="31"/>
  <c r="AM83" i="31"/>
  <c r="AT83" i="31" s="1"/>
  <c r="AP83" i="31"/>
  <c r="AQ83" i="31" s="1"/>
  <c r="BO83" i="31" s="1"/>
  <c r="AU82" i="31"/>
  <c r="AM79" i="43" l="1"/>
  <c r="AP79" i="43"/>
  <c r="AU78" i="43"/>
  <c r="AS296" i="43"/>
  <c r="AR82" i="42"/>
  <c r="AU82" i="42" s="1"/>
  <c r="AS297" i="42"/>
  <c r="AO82" i="42"/>
  <c r="AN83" i="31"/>
  <c r="BN83" i="31" s="1"/>
  <c r="AR83" i="31"/>
  <c r="AS297" i="43" l="1"/>
  <c r="AT79" i="43"/>
  <c r="AN79" i="43" s="1"/>
  <c r="BN79" i="43" s="1"/>
  <c r="AQ79" i="43"/>
  <c r="BO79" i="43" s="1"/>
  <c r="AM83" i="42"/>
  <c r="AT83" i="42" s="1"/>
  <c r="AN83" i="42" s="1"/>
  <c r="BN83" i="42" s="1"/>
  <c r="AP83" i="42"/>
  <c r="AQ83" i="42" s="1"/>
  <c r="BO83" i="42" s="1"/>
  <c r="AS298" i="42"/>
  <c r="AO83" i="31"/>
  <c r="AM84" i="31"/>
  <c r="AT84" i="31" s="1"/>
  <c r="AP84" i="31"/>
  <c r="AU83" i="31"/>
  <c r="AR79" i="43" l="1"/>
  <c r="AM80" i="43" s="1"/>
  <c r="AS298" i="43"/>
  <c r="AO79" i="43"/>
  <c r="AS299" i="42"/>
  <c r="AO83" i="42"/>
  <c r="AR83" i="42"/>
  <c r="AQ84" i="31"/>
  <c r="BO84" i="31" s="1"/>
  <c r="AP80" i="43" l="1"/>
  <c r="AQ80" i="43" s="1"/>
  <c r="BO80" i="43" s="1"/>
  <c r="AU79" i="43"/>
  <c r="AT80" i="43"/>
  <c r="AN80" i="43" s="1"/>
  <c r="BN80" i="43" s="1"/>
  <c r="AS299" i="43"/>
  <c r="AS300" i="42"/>
  <c r="AM84" i="42"/>
  <c r="AP84" i="42"/>
  <c r="AU83" i="42"/>
  <c r="AN84" i="31"/>
  <c r="BN84" i="31" s="1"/>
  <c r="AR84" i="31"/>
  <c r="AO80" i="43" l="1"/>
  <c r="AR80" i="43"/>
  <c r="AS300" i="43"/>
  <c r="AT84" i="42"/>
  <c r="AN84" i="42" s="1"/>
  <c r="BN84" i="42" s="1"/>
  <c r="AO84" i="42" s="1"/>
  <c r="AS301" i="42"/>
  <c r="AQ84" i="42"/>
  <c r="BO84" i="42" s="1"/>
  <c r="AO84" i="31"/>
  <c r="AM85" i="31"/>
  <c r="AT85" i="31" s="1"/>
  <c r="AP85" i="31"/>
  <c r="AQ85" i="31" s="1"/>
  <c r="BO85" i="31" s="1"/>
  <c r="AU84" i="31"/>
  <c r="AM81" i="43" l="1"/>
  <c r="AP81" i="43"/>
  <c r="AU80" i="43"/>
  <c r="AS301" i="43"/>
  <c r="AS302" i="42"/>
  <c r="AR84" i="42"/>
  <c r="AN85" i="31"/>
  <c r="BN85" i="31" s="1"/>
  <c r="AR85" i="31"/>
  <c r="AT81" i="43" l="1"/>
  <c r="AN81" i="43" s="1"/>
  <c r="BN81" i="43" s="1"/>
  <c r="AS302" i="43"/>
  <c r="AQ81" i="43"/>
  <c r="BO81" i="43" s="1"/>
  <c r="AS303" i="42"/>
  <c r="AM85" i="42"/>
  <c r="AP85" i="42"/>
  <c r="AU84" i="42"/>
  <c r="AO85" i="31"/>
  <c r="AM86" i="31"/>
  <c r="AT86" i="31" s="1"/>
  <c r="AP86" i="31"/>
  <c r="AQ86" i="31" s="1"/>
  <c r="BO86" i="31" s="1"/>
  <c r="AU85" i="31"/>
  <c r="AO81" i="43" l="1"/>
  <c r="AS303" i="43"/>
  <c r="AR81" i="43"/>
  <c r="AQ85" i="42"/>
  <c r="BO85" i="42" s="1"/>
  <c r="AR85" i="42" s="1"/>
  <c r="AS304" i="42"/>
  <c r="AT85" i="42"/>
  <c r="AN85" i="42" s="1"/>
  <c r="BN85" i="42" s="1"/>
  <c r="AN86" i="31"/>
  <c r="BN86" i="31" s="1"/>
  <c r="AR86" i="31"/>
  <c r="AM82" i="43" l="1"/>
  <c r="AP82" i="43"/>
  <c r="AU81" i="43"/>
  <c r="AS304" i="43"/>
  <c r="AS305" i="42"/>
  <c r="AM86" i="42"/>
  <c r="AP86" i="42"/>
  <c r="AU85" i="42"/>
  <c r="AO85" i="42"/>
  <c r="AO86" i="31"/>
  <c r="AM87" i="31"/>
  <c r="AT87" i="31" s="1"/>
  <c r="AP87" i="31"/>
  <c r="AU86" i="31"/>
  <c r="AQ82" i="43" l="1"/>
  <c r="BO82" i="43" s="1"/>
  <c r="AS305" i="43"/>
  <c r="AT82" i="43"/>
  <c r="AN82" i="43" s="1"/>
  <c r="BN82" i="43" s="1"/>
  <c r="AS306" i="42"/>
  <c r="AT86" i="42"/>
  <c r="AN86" i="42" s="1"/>
  <c r="BN86" i="42" s="1"/>
  <c r="AQ86" i="42"/>
  <c r="BO86" i="42" s="1"/>
  <c r="AQ87" i="31"/>
  <c r="BO87" i="31" s="1"/>
  <c r="AS306" i="43" l="1"/>
  <c r="AR82" i="43"/>
  <c r="AO82" i="43"/>
  <c r="AR86" i="42"/>
  <c r="AP87" i="42" s="1"/>
  <c r="AS307" i="42"/>
  <c r="AO86" i="42"/>
  <c r="AN87" i="31"/>
  <c r="BN87" i="31" s="1"/>
  <c r="AR87" i="31"/>
  <c r="AS307" i="43" l="1"/>
  <c r="AM83" i="43"/>
  <c r="AP83" i="43"/>
  <c r="AU82" i="43"/>
  <c r="AU86" i="42"/>
  <c r="AM87" i="42"/>
  <c r="AT87" i="42" s="1"/>
  <c r="AN87" i="42" s="1"/>
  <c r="BN87" i="42" s="1"/>
  <c r="AQ87" i="42"/>
  <c r="BO87" i="42" s="1"/>
  <c r="AS308" i="42"/>
  <c r="AO87" i="31"/>
  <c r="AM88" i="31"/>
  <c r="AT88" i="31" s="1"/>
  <c r="AP88" i="31"/>
  <c r="AQ88" i="31" s="1"/>
  <c r="BO88" i="31" s="1"/>
  <c r="AU87" i="31"/>
  <c r="AQ83" i="43" l="1"/>
  <c r="BO83" i="43" s="1"/>
  <c r="AS308" i="43"/>
  <c r="AT83" i="43"/>
  <c r="AN83" i="43" s="1"/>
  <c r="BN83" i="43" s="1"/>
  <c r="AS309" i="42"/>
  <c r="AR87" i="42"/>
  <c r="AO87" i="42"/>
  <c r="AN88" i="31"/>
  <c r="BN88" i="31" s="1"/>
  <c r="AR88" i="31"/>
  <c r="AR83" i="43" l="1"/>
  <c r="AO83" i="43"/>
  <c r="AS309" i="43"/>
  <c r="AS310" i="42"/>
  <c r="AM88" i="42"/>
  <c r="AP88" i="42"/>
  <c r="AU87" i="42"/>
  <c r="AO88" i="31"/>
  <c r="AM89" i="31"/>
  <c r="AT89" i="31" s="1"/>
  <c r="AP89" i="31"/>
  <c r="AQ89" i="31" s="1"/>
  <c r="BO89" i="31" s="1"/>
  <c r="AU88" i="31"/>
  <c r="AS310" i="43" l="1"/>
  <c r="AM84" i="43"/>
  <c r="AP84" i="43"/>
  <c r="AU83" i="43"/>
  <c r="AS311" i="42"/>
  <c r="AT88" i="42"/>
  <c r="AN88" i="42" s="1"/>
  <c r="BN88" i="42" s="1"/>
  <c r="AQ88" i="42"/>
  <c r="BO88" i="42" s="1"/>
  <c r="AN89" i="31"/>
  <c r="BN89" i="31" s="1"/>
  <c r="AR89" i="31"/>
  <c r="AQ84" i="43" l="1"/>
  <c r="BO84" i="43" s="1"/>
  <c r="AS311" i="43"/>
  <c r="AT84" i="43"/>
  <c r="AN84" i="43" s="1"/>
  <c r="BN84" i="43" s="1"/>
  <c r="AO88" i="42"/>
  <c r="AS312" i="42"/>
  <c r="AR88" i="42"/>
  <c r="AO89" i="31"/>
  <c r="AM90" i="31"/>
  <c r="AT90" i="31" s="1"/>
  <c r="AP90" i="31"/>
  <c r="AQ90" i="31" s="1"/>
  <c r="BO90" i="31" s="1"/>
  <c r="AU89" i="31"/>
  <c r="AR84" i="43" l="1"/>
  <c r="AS312" i="43"/>
  <c r="AO84" i="43"/>
  <c r="AM89" i="42"/>
  <c r="AP89" i="42"/>
  <c r="AU88" i="42"/>
  <c r="AS313" i="42"/>
  <c r="AN90" i="31"/>
  <c r="BN90" i="31" s="1"/>
  <c r="AR90" i="31"/>
  <c r="AM85" i="43" l="1"/>
  <c r="AP85" i="43"/>
  <c r="AU84" i="43"/>
  <c r="AS313" i="43"/>
  <c r="AS314" i="42"/>
  <c r="AT89" i="42"/>
  <c r="AN89" i="42" s="1"/>
  <c r="BN89" i="42" s="1"/>
  <c r="AQ89" i="42"/>
  <c r="BO89" i="42" s="1"/>
  <c r="AO90" i="31"/>
  <c r="AM91" i="31"/>
  <c r="AT91" i="31" s="1"/>
  <c r="AU90" i="31"/>
  <c r="AS314" i="43" l="1"/>
  <c r="AT85" i="43"/>
  <c r="AN85" i="43" s="1"/>
  <c r="BN85" i="43" s="1"/>
  <c r="AQ85" i="43"/>
  <c r="BO85" i="43" s="1"/>
  <c r="AR89" i="42"/>
  <c r="AM90" i="42" s="1"/>
  <c r="AO89" i="42"/>
  <c r="AS315" i="42"/>
  <c r="AS315" i="43" l="1"/>
  <c r="AO85" i="43"/>
  <c r="AR85" i="43"/>
  <c r="AU89" i="42"/>
  <c r="AP90" i="42"/>
  <c r="AQ90" i="42" s="1"/>
  <c r="BO90" i="42" s="1"/>
  <c r="AS316" i="42"/>
  <c r="AT90" i="42"/>
  <c r="AN90" i="42" s="1"/>
  <c r="BN90" i="42" s="1"/>
  <c r="AN91" i="31"/>
  <c r="BN91" i="31" s="1"/>
  <c r="AS316" i="43" l="1"/>
  <c r="AM86" i="43"/>
  <c r="AP86" i="43"/>
  <c r="AU85" i="43"/>
  <c r="AR90" i="42"/>
  <c r="AU90" i="42" s="1"/>
  <c r="AS317" i="42"/>
  <c r="AO90" i="42"/>
  <c r="AO91" i="31"/>
  <c r="AP91" i="31" s="1"/>
  <c r="AQ91" i="31" s="1"/>
  <c r="BO91" i="31" s="1"/>
  <c r="AS317" i="43" l="1"/>
  <c r="AT86" i="43"/>
  <c r="AN86" i="43" s="1"/>
  <c r="BN86" i="43" s="1"/>
  <c r="AO86" i="43" s="1"/>
  <c r="AQ86" i="43"/>
  <c r="BO86" i="43" s="1"/>
  <c r="AM91" i="42"/>
  <c r="AT91" i="42" s="1"/>
  <c r="AN91" i="42" s="1"/>
  <c r="BN91" i="42" s="1"/>
  <c r="AS318" i="42"/>
  <c r="AR91" i="31"/>
  <c r="AM92" i="31" s="1"/>
  <c r="AT92" i="31" s="1"/>
  <c r="AR86" i="43" l="1"/>
  <c r="AU86" i="43" s="1"/>
  <c r="AS318" i="43"/>
  <c r="AS319" i="42"/>
  <c r="AO91" i="42"/>
  <c r="AP91" i="42" s="1"/>
  <c r="AU91" i="31"/>
  <c r="AM87" i="43" l="1"/>
  <c r="AT87" i="43" s="1"/>
  <c r="AN87" i="43" s="1"/>
  <c r="BN87" i="43" s="1"/>
  <c r="AP87" i="43"/>
  <c r="AQ87" i="43" s="1"/>
  <c r="BO87" i="43" s="1"/>
  <c r="AS319" i="43"/>
  <c r="AS320" i="42"/>
  <c r="AQ91" i="42"/>
  <c r="BO91" i="42" s="1"/>
  <c r="AN92" i="31"/>
  <c r="BN92" i="31" s="1"/>
  <c r="AO87" i="43" l="1"/>
  <c r="AS320" i="43"/>
  <c r="AR87" i="43"/>
  <c r="AR91" i="42"/>
  <c r="AU91" i="42" s="1"/>
  <c r="AS321" i="42"/>
  <c r="AO92" i="31"/>
  <c r="AP92" i="31" s="1"/>
  <c r="AQ92" i="31" s="1"/>
  <c r="BO92" i="31" s="1"/>
  <c r="AS321" i="43" l="1"/>
  <c r="AM88" i="43"/>
  <c r="AP88" i="43"/>
  <c r="AU87" i="43"/>
  <c r="AM92" i="42"/>
  <c r="AT92" i="42" s="1"/>
  <c r="AN92" i="42" s="1"/>
  <c r="BN92" i="42" s="1"/>
  <c r="AS322" i="42"/>
  <c r="AR92" i="31"/>
  <c r="AM93" i="31" s="1"/>
  <c r="AT93" i="31" s="1"/>
  <c r="AQ88" i="43" l="1"/>
  <c r="BO88" i="43" s="1"/>
  <c r="AS322" i="43"/>
  <c r="AT88" i="43"/>
  <c r="AN88" i="43" s="1"/>
  <c r="BN88" i="43" s="1"/>
  <c r="AS323" i="42"/>
  <c r="AO92" i="42"/>
  <c r="AP92" i="42" s="1"/>
  <c r="AU92" i="31"/>
  <c r="AR88" i="43" l="1"/>
  <c r="AU88" i="43" s="1"/>
  <c r="AO88" i="43"/>
  <c r="AS323" i="43"/>
  <c r="AS324" i="42"/>
  <c r="AQ92" i="42"/>
  <c r="BO92" i="42" s="1"/>
  <c r="AN93" i="31"/>
  <c r="BN93" i="31" s="1"/>
  <c r="AM89" i="43" l="1"/>
  <c r="AT89" i="43" s="1"/>
  <c r="AN89" i="43" s="1"/>
  <c r="BN89" i="43" s="1"/>
  <c r="AP89" i="43"/>
  <c r="AQ89" i="43" s="1"/>
  <c r="BO89" i="43" s="1"/>
  <c r="AS324" i="43"/>
  <c r="AR92" i="42"/>
  <c r="AU92" i="42" s="1"/>
  <c r="AS325" i="42"/>
  <c r="AO93" i="31"/>
  <c r="AP93" i="31" s="1"/>
  <c r="AQ93" i="31" s="1"/>
  <c r="BO93" i="31" s="1"/>
  <c r="AR89" i="43" l="1"/>
  <c r="AS325" i="43"/>
  <c r="AO89" i="43"/>
  <c r="AM93" i="42"/>
  <c r="AT93" i="42" s="1"/>
  <c r="AN93" i="42" s="1"/>
  <c r="BN93" i="42" s="1"/>
  <c r="AS326" i="42"/>
  <c r="AR93" i="31"/>
  <c r="AM90" i="43" l="1"/>
  <c r="AP90" i="43"/>
  <c r="AU89" i="43"/>
  <c r="AS326" i="43"/>
  <c r="AO93" i="42"/>
  <c r="AP93" i="42" s="1"/>
  <c r="AQ93" i="42" s="1"/>
  <c r="BO93" i="42" s="1"/>
  <c r="AS327" i="42"/>
  <c r="AM94" i="31"/>
  <c r="AT94" i="31" s="1"/>
  <c r="AU93" i="31"/>
  <c r="AT90" i="43" l="1"/>
  <c r="AN90" i="43" s="1"/>
  <c r="BN90" i="43" s="1"/>
  <c r="AS327" i="43"/>
  <c r="AQ90" i="43"/>
  <c r="BO90" i="43" s="1"/>
  <c r="AR93" i="42"/>
  <c r="AM94" i="42" s="1"/>
  <c r="AS328" i="42"/>
  <c r="AN94" i="31"/>
  <c r="BN94" i="31" s="1"/>
  <c r="AR90" i="43" l="1"/>
  <c r="AU90" i="43" s="1"/>
  <c r="AO90" i="43"/>
  <c r="AS328" i="43"/>
  <c r="AU93" i="42"/>
  <c r="AS329" i="42"/>
  <c r="AT94" i="42"/>
  <c r="AN94" i="42" s="1"/>
  <c r="BN94" i="42" s="1"/>
  <c r="AO94" i="31"/>
  <c r="AP94" i="31" s="1"/>
  <c r="AQ94" i="31" s="1"/>
  <c r="BO94" i="31" s="1"/>
  <c r="AM91" i="43" l="1"/>
  <c r="AT91" i="43" s="1"/>
  <c r="AN91" i="43" s="1"/>
  <c r="BN91" i="43" s="1"/>
  <c r="AS329" i="43"/>
  <c r="AO94" i="42"/>
  <c r="AP94" i="42" s="1"/>
  <c r="AS330" i="42"/>
  <c r="AR94" i="31"/>
  <c r="AM95" i="31" s="1"/>
  <c r="AT95" i="31" s="1"/>
  <c r="AO91" i="43" l="1"/>
  <c r="AP91" i="43" s="1"/>
  <c r="AQ91" i="43" s="1"/>
  <c r="BO91" i="43" s="1"/>
  <c r="AR91" i="43" s="1"/>
  <c r="AS330" i="43"/>
  <c r="AQ94" i="42"/>
  <c r="BO94" i="42" s="1"/>
  <c r="AS331" i="42"/>
  <c r="AU94" i="31"/>
  <c r="AM92" i="43" l="1"/>
  <c r="AU91" i="43"/>
  <c r="AS331" i="43"/>
  <c r="AR94" i="42"/>
  <c r="AS332" i="42"/>
  <c r="AN95" i="31"/>
  <c r="BN95" i="31" s="1"/>
  <c r="AS332" i="43" l="1"/>
  <c r="AT92" i="43"/>
  <c r="AN92" i="43" s="1"/>
  <c r="BN92" i="43" s="1"/>
  <c r="AS333" i="42"/>
  <c r="AM95" i="42"/>
  <c r="AU94" i="42"/>
  <c r="AO95" i="31"/>
  <c r="AP95" i="31" s="1"/>
  <c r="AQ95" i="31" s="1"/>
  <c r="BO95" i="31" s="1"/>
  <c r="AS333" i="43" l="1"/>
  <c r="AO92" i="43"/>
  <c r="AP92" i="43" s="1"/>
  <c r="AS334" i="42"/>
  <c r="AT95" i="42"/>
  <c r="AN95" i="42" s="1"/>
  <c r="BN95" i="42" s="1"/>
  <c r="AR95" i="31"/>
  <c r="AM96" i="31" s="1"/>
  <c r="AT96" i="31" s="1"/>
  <c r="AS334" i="43" l="1"/>
  <c r="AQ92" i="43"/>
  <c r="BO92" i="43" s="1"/>
  <c r="AS335" i="42"/>
  <c r="AO95" i="42"/>
  <c r="AP95" i="42" s="1"/>
  <c r="AU95" i="31"/>
  <c r="AR92" i="43" l="1"/>
  <c r="AU92" i="43" s="1"/>
  <c r="AS335" i="43"/>
  <c r="AS336" i="42"/>
  <c r="AQ95" i="42"/>
  <c r="BO95" i="42" s="1"/>
  <c r="AR95" i="42" s="1"/>
  <c r="AN96" i="31"/>
  <c r="BN96" i="31" s="1"/>
  <c r="AM93" i="43" l="1"/>
  <c r="AT93" i="43" s="1"/>
  <c r="AN93" i="43" s="1"/>
  <c r="BN93" i="43" s="1"/>
  <c r="AS336" i="43"/>
  <c r="AM96" i="42"/>
  <c r="AU95" i="42"/>
  <c r="AS337" i="42"/>
  <c r="AO96" i="31"/>
  <c r="AP96" i="31" s="1"/>
  <c r="AQ96" i="31" s="1"/>
  <c r="BO96" i="31" s="1"/>
  <c r="AS337" i="43" l="1"/>
  <c r="AO93" i="43"/>
  <c r="AP93" i="43" s="1"/>
  <c r="AT96" i="42"/>
  <c r="AN96" i="42" s="1"/>
  <c r="BN96" i="42" s="1"/>
  <c r="AS338" i="42"/>
  <c r="AR96" i="31"/>
  <c r="AM97" i="31" s="1"/>
  <c r="AT97" i="31" s="1"/>
  <c r="AS338" i="43" l="1"/>
  <c r="AQ93" i="43"/>
  <c r="BO93" i="43" s="1"/>
  <c r="AS339" i="42"/>
  <c r="AO96" i="42"/>
  <c r="AP96" i="42" s="1"/>
  <c r="AU96" i="31"/>
  <c r="AR93" i="43" l="1"/>
  <c r="AU93" i="43" s="1"/>
  <c r="AS339" i="43"/>
  <c r="AQ96" i="42"/>
  <c r="BO96" i="42" s="1"/>
  <c r="AS340" i="42"/>
  <c r="AN97" i="31"/>
  <c r="BN97" i="31" s="1"/>
  <c r="AM94" i="43" l="1"/>
  <c r="AT94" i="43" s="1"/>
  <c r="AN94" i="43" s="1"/>
  <c r="BN94" i="43" s="1"/>
  <c r="AS340" i="43"/>
  <c r="AS341" i="42"/>
  <c r="AR96" i="42"/>
  <c r="AO97" i="31"/>
  <c r="AP97" i="31" s="1"/>
  <c r="AQ97" i="31" s="1"/>
  <c r="BO97" i="31" s="1"/>
  <c r="AS341" i="43" l="1"/>
  <c r="AO94" i="43"/>
  <c r="AP94" i="43" s="1"/>
  <c r="AS342" i="42"/>
  <c r="AM97" i="42"/>
  <c r="AU96" i="42"/>
  <c r="AR97" i="31"/>
  <c r="AM98" i="31" s="1"/>
  <c r="AT98" i="31" s="1"/>
  <c r="AS342" i="43" l="1"/>
  <c r="AQ94" i="43"/>
  <c r="BO94" i="43" s="1"/>
  <c r="AT97" i="42"/>
  <c r="AN97" i="42" s="1"/>
  <c r="BN97" i="42" s="1"/>
  <c r="AS343" i="42"/>
  <c r="AU97" i="31"/>
  <c r="AR94" i="43" l="1"/>
  <c r="AU94" i="43" s="1"/>
  <c r="AS343" i="43"/>
  <c r="AO97" i="42"/>
  <c r="AP97" i="42" s="1"/>
  <c r="AS344" i="42"/>
  <c r="AN98" i="31"/>
  <c r="BN98" i="31" s="1"/>
  <c r="AM95" i="43" l="1"/>
  <c r="AT95" i="43" s="1"/>
  <c r="AN95" i="43" s="1"/>
  <c r="BN95" i="43" s="1"/>
  <c r="AS344" i="43"/>
  <c r="AQ97" i="42"/>
  <c r="BO97" i="42" s="1"/>
  <c r="AS345" i="42"/>
  <c r="AO98" i="31"/>
  <c r="AP98" i="31" s="1"/>
  <c r="AQ98" i="31" s="1"/>
  <c r="BO98" i="31" s="1"/>
  <c r="AS345" i="43" l="1"/>
  <c r="AO95" i="43"/>
  <c r="AP95" i="43" s="1"/>
  <c r="AS346" i="42"/>
  <c r="AR97" i="42"/>
  <c r="AR98" i="31"/>
  <c r="AQ95" i="43" l="1"/>
  <c r="BO95" i="43" s="1"/>
  <c r="AS346" i="43"/>
  <c r="AM98" i="42"/>
  <c r="AU97" i="42"/>
  <c r="AS347" i="42"/>
  <c r="AM99" i="31"/>
  <c r="AT99" i="31" s="1"/>
  <c r="AU98" i="31"/>
  <c r="AS347" i="43" l="1"/>
  <c r="AR95" i="43"/>
  <c r="AS348" i="42"/>
  <c r="AT98" i="42"/>
  <c r="AN98" i="42" s="1"/>
  <c r="BN98" i="42" s="1"/>
  <c r="AN99" i="31"/>
  <c r="BN99" i="31" s="1"/>
  <c r="AS348" i="43" l="1"/>
  <c r="AM96" i="43"/>
  <c r="AU95" i="43"/>
  <c r="AO98" i="42"/>
  <c r="AP98" i="42" s="1"/>
  <c r="AS349" i="42"/>
  <c r="AO99" i="31"/>
  <c r="AP99" i="31" s="1"/>
  <c r="AQ99" i="31" s="1"/>
  <c r="BO99" i="31" s="1"/>
  <c r="AT96" i="43" l="1"/>
  <c r="AN96" i="43" s="1"/>
  <c r="BN96" i="43" s="1"/>
  <c r="AS349" i="43"/>
  <c r="AQ98" i="42"/>
  <c r="BO98" i="42" s="1"/>
  <c r="AR98" i="42" s="1"/>
  <c r="AS350" i="42"/>
  <c r="AR99" i="31"/>
  <c r="AM100" i="31" s="1"/>
  <c r="AT100" i="31" s="1"/>
  <c r="AS350" i="43" l="1"/>
  <c r="AO96" i="43"/>
  <c r="AP96" i="43" s="1"/>
  <c r="AM99" i="42"/>
  <c r="AU98" i="42"/>
  <c r="AS351" i="42"/>
  <c r="AU99" i="31"/>
  <c r="AQ96" i="43" l="1"/>
  <c r="BO96" i="43" s="1"/>
  <c r="AS351" i="43"/>
  <c r="AT99" i="42"/>
  <c r="AN99" i="42" s="1"/>
  <c r="BN99" i="42" s="1"/>
  <c r="AS352" i="42"/>
  <c r="AN100" i="31"/>
  <c r="BN100" i="31" s="1"/>
  <c r="AR96" i="43" l="1"/>
  <c r="AM97" i="43" s="1"/>
  <c r="AS352" i="43"/>
  <c r="AS353" i="42"/>
  <c r="AO99" i="42"/>
  <c r="AP99" i="42" s="1"/>
  <c r="AO100" i="31"/>
  <c r="AP100" i="31" s="1"/>
  <c r="AQ100" i="31" s="1"/>
  <c r="BO100" i="31" s="1"/>
  <c r="AU96" i="43" l="1"/>
  <c r="AS353" i="43"/>
  <c r="AT97" i="43"/>
  <c r="AN97" i="43" s="1"/>
  <c r="BN97" i="43" s="1"/>
  <c r="AS354" i="42"/>
  <c r="AQ99" i="42"/>
  <c r="BO99" i="42" s="1"/>
  <c r="AR99" i="42" s="1"/>
  <c r="AR100" i="31"/>
  <c r="AS354" i="43" l="1"/>
  <c r="AO97" i="43"/>
  <c r="AP97" i="43" s="1"/>
  <c r="AS355" i="42"/>
  <c r="AM100" i="42"/>
  <c r="AU99" i="42"/>
  <c r="AM101" i="31"/>
  <c r="AT101" i="31" s="1"/>
  <c r="AU100" i="31"/>
  <c r="AQ97" i="43" l="1"/>
  <c r="BO97" i="43" s="1"/>
  <c r="AS355" i="43"/>
  <c r="AS356" i="42"/>
  <c r="AT100" i="42"/>
  <c r="AN100" i="42" s="1"/>
  <c r="BN100" i="42" s="1"/>
  <c r="AN101" i="31"/>
  <c r="BN101" i="31" s="1"/>
  <c r="AS356" i="43" l="1"/>
  <c r="AR97" i="43"/>
  <c r="AS357" i="42"/>
  <c r="AO100" i="42"/>
  <c r="AP100" i="42" s="1"/>
  <c r="AO101" i="31"/>
  <c r="AP101" i="31" s="1"/>
  <c r="AQ101" i="31" s="1"/>
  <c r="BO101" i="31" s="1"/>
  <c r="AS357" i="43" l="1"/>
  <c r="AM98" i="43"/>
  <c r="AU97" i="43"/>
  <c r="AS358" i="42"/>
  <c r="AQ100" i="42"/>
  <c r="BO100" i="42" s="1"/>
  <c r="AR101" i="31"/>
  <c r="AM102" i="31" s="1"/>
  <c r="AT102" i="31" s="1"/>
  <c r="AT98" i="43" l="1"/>
  <c r="AN98" i="43" s="1"/>
  <c r="BN98" i="43" s="1"/>
  <c r="AS358" i="43"/>
  <c r="AR100" i="42"/>
  <c r="AU100" i="42" s="1"/>
  <c r="AS359" i="42"/>
  <c r="AU101" i="31"/>
  <c r="AS359" i="43" l="1"/>
  <c r="AO98" i="43"/>
  <c r="AP98" i="43" s="1"/>
  <c r="AM101" i="42"/>
  <c r="AT101" i="42" s="1"/>
  <c r="AN101" i="42" s="1"/>
  <c r="BN101" i="42" s="1"/>
  <c r="AS360" i="42"/>
  <c r="AN102" i="31"/>
  <c r="BN102" i="31" s="1"/>
  <c r="AS360" i="43" l="1"/>
  <c r="AQ98" i="43"/>
  <c r="BO98" i="43" s="1"/>
  <c r="AS361" i="42"/>
  <c r="AO101" i="42"/>
  <c r="AP101" i="42" s="1"/>
  <c r="AO102" i="31"/>
  <c r="AP102" i="31" s="1"/>
  <c r="AQ102" i="31" s="1"/>
  <c r="BO102" i="31" s="1"/>
  <c r="AR98" i="43" l="1"/>
  <c r="AU98" i="43" s="1"/>
  <c r="AS361" i="43"/>
  <c r="AS362" i="42"/>
  <c r="AQ101" i="42"/>
  <c r="BO101" i="42" s="1"/>
  <c r="AR102" i="31"/>
  <c r="AM103" i="31" s="1"/>
  <c r="AT103" i="31" s="1"/>
  <c r="AM99" i="43" l="1"/>
  <c r="AT99" i="43" s="1"/>
  <c r="AN99" i="43" s="1"/>
  <c r="BN99" i="43" s="1"/>
  <c r="AS362" i="43"/>
  <c r="AS363" i="42"/>
  <c r="AR101" i="42"/>
  <c r="AU102" i="31"/>
  <c r="AS363" i="43" l="1"/>
  <c r="AO99" i="43"/>
  <c r="AP99" i="43" s="1"/>
  <c r="AS364" i="42"/>
  <c r="AM102" i="42"/>
  <c r="AU101" i="42"/>
  <c r="AN103" i="31"/>
  <c r="BN103" i="31" s="1"/>
  <c r="AS364" i="43" l="1"/>
  <c r="AQ99" i="43"/>
  <c r="BO99" i="43" s="1"/>
  <c r="AT102" i="42"/>
  <c r="AN102" i="42" s="1"/>
  <c r="BN102" i="42" s="1"/>
  <c r="AS365" i="42"/>
  <c r="AO103" i="31"/>
  <c r="AP103" i="31" s="1"/>
  <c r="AQ103" i="31" s="1"/>
  <c r="BO103" i="31" s="1"/>
  <c r="AR99" i="43" l="1"/>
  <c r="AS365" i="43"/>
  <c r="AS366" i="42"/>
  <c r="AO102" i="42"/>
  <c r="AP102" i="42" s="1"/>
  <c r="AR103" i="31"/>
  <c r="AM104" i="31" s="1"/>
  <c r="AT104" i="31" s="1"/>
  <c r="AS366" i="43" l="1"/>
  <c r="AM100" i="43"/>
  <c r="AU99" i="43"/>
  <c r="AS367" i="42"/>
  <c r="AQ102" i="42"/>
  <c r="BO102" i="42" s="1"/>
  <c r="AU103" i="31"/>
  <c r="AT100" i="43" l="1"/>
  <c r="AN100" i="43" s="1"/>
  <c r="BN100" i="43" s="1"/>
  <c r="AS367" i="43"/>
  <c r="AR102" i="42"/>
  <c r="AN104" i="31"/>
  <c r="BN104" i="31" s="1"/>
  <c r="AO100" i="43" l="1"/>
  <c r="AP100" i="43" s="1"/>
  <c r="AM103" i="42"/>
  <c r="AU102" i="42"/>
  <c r="AO104" i="31"/>
  <c r="AP104" i="31" s="1"/>
  <c r="AQ104" i="31" s="1"/>
  <c r="BO104" i="31" s="1"/>
  <c r="AQ100" i="43" l="1"/>
  <c r="BO100" i="43" s="1"/>
  <c r="AT103" i="42"/>
  <c r="AN103" i="42" s="1"/>
  <c r="BN103" i="42" s="1"/>
  <c r="AR104" i="31"/>
  <c r="AR100" i="43" l="1"/>
  <c r="AO103" i="42"/>
  <c r="AP103" i="42" s="1"/>
  <c r="AM105" i="31"/>
  <c r="AT105" i="31" s="1"/>
  <c r="AU104" i="31"/>
  <c r="AM101" i="43" l="1"/>
  <c r="AU100" i="43"/>
  <c r="AQ103" i="42"/>
  <c r="BO103" i="42" s="1"/>
  <c r="AN105" i="31"/>
  <c r="BN105" i="31" s="1"/>
  <c r="AT101" i="43" l="1"/>
  <c r="AN101" i="43" s="1"/>
  <c r="BN101" i="43" s="1"/>
  <c r="AR103" i="42"/>
  <c r="AO105" i="31"/>
  <c r="AP105" i="31" s="1"/>
  <c r="AQ105" i="31" s="1"/>
  <c r="BO105" i="31" s="1"/>
  <c r="AO101" i="43" l="1"/>
  <c r="AP101" i="43" s="1"/>
  <c r="AM104" i="42"/>
  <c r="AU103" i="42"/>
  <c r="AR105" i="31"/>
  <c r="AQ101" i="43" l="1"/>
  <c r="BO101" i="43" s="1"/>
  <c r="AT104" i="42"/>
  <c r="AN104" i="42" s="1"/>
  <c r="BN104" i="42" s="1"/>
  <c r="AM106" i="31"/>
  <c r="AT106" i="31" s="1"/>
  <c r="AU105" i="31"/>
  <c r="AR101" i="43" l="1"/>
  <c r="AO104" i="42"/>
  <c r="AP104" i="42" s="1"/>
  <c r="AN106" i="31"/>
  <c r="BN106" i="31" s="1"/>
  <c r="AM102" i="43" l="1"/>
  <c r="AU101" i="43"/>
  <c r="AQ104" i="42"/>
  <c r="BO104" i="42" s="1"/>
  <c r="AO106" i="31"/>
  <c r="AP106" i="31" s="1"/>
  <c r="AQ106" i="31" s="1"/>
  <c r="BO106" i="31" s="1"/>
  <c r="AT102" i="43" l="1"/>
  <c r="AN102" i="43" s="1"/>
  <c r="BN102" i="43" s="1"/>
  <c r="AR104" i="42"/>
  <c r="AR106" i="31"/>
  <c r="AO102" i="43" l="1"/>
  <c r="AP102" i="43" s="1"/>
  <c r="AM105" i="42"/>
  <c r="AU104" i="42"/>
  <c r="AM107" i="31"/>
  <c r="AT107" i="31" s="1"/>
  <c r="AU106" i="31"/>
  <c r="AQ102" i="43" l="1"/>
  <c r="BO102" i="43" s="1"/>
  <c r="AT105" i="42"/>
  <c r="AN105" i="42" s="1"/>
  <c r="BN105" i="42" s="1"/>
  <c r="AN107" i="31"/>
  <c r="BN107" i="31" s="1"/>
  <c r="AR102" i="43" l="1"/>
  <c r="AO105" i="42"/>
  <c r="AP105" i="42" s="1"/>
  <c r="AO107" i="31"/>
  <c r="AP107" i="31" s="1"/>
  <c r="AQ107" i="31" s="1"/>
  <c r="BO107" i="31" s="1"/>
  <c r="AM103" i="43" l="1"/>
  <c r="AU102" i="43"/>
  <c r="AQ105" i="42"/>
  <c r="BO105" i="42" s="1"/>
  <c r="AR105" i="42" s="1"/>
  <c r="AR107" i="31"/>
  <c r="AM108" i="31" s="1"/>
  <c r="AT108" i="31" s="1"/>
  <c r="AT103" i="43" l="1"/>
  <c r="AN103" i="43" s="1"/>
  <c r="BN103" i="43" s="1"/>
  <c r="AM106" i="42"/>
  <c r="AU105" i="42"/>
  <c r="AU107" i="31"/>
  <c r="AO103" i="43" l="1"/>
  <c r="AP103" i="43" s="1"/>
  <c r="AT106" i="42"/>
  <c r="AN106" i="42" s="1"/>
  <c r="BN106" i="42" s="1"/>
  <c r="AN108" i="31"/>
  <c r="BN108" i="31" s="1"/>
  <c r="AQ103" i="43" l="1"/>
  <c r="BO103" i="43" s="1"/>
  <c r="AO106" i="42"/>
  <c r="AP106" i="42" s="1"/>
  <c r="AO108" i="31"/>
  <c r="AP108" i="31" s="1"/>
  <c r="AQ108" i="31" s="1"/>
  <c r="BO108" i="31" s="1"/>
  <c r="AR103" i="43" l="1"/>
  <c r="AQ106" i="42"/>
  <c r="BO106" i="42" s="1"/>
  <c r="AR108" i="31"/>
  <c r="AM104" i="43" l="1"/>
  <c r="AU103" i="43"/>
  <c r="AR106" i="42"/>
  <c r="AM109" i="31"/>
  <c r="AT109" i="31" s="1"/>
  <c r="AU108" i="31"/>
  <c r="AT104" i="43" l="1"/>
  <c r="AN104" i="43" s="1"/>
  <c r="BN104" i="43" s="1"/>
  <c r="AM107" i="42"/>
  <c r="AU106" i="42"/>
  <c r="AN109" i="31"/>
  <c r="BN109" i="31" s="1"/>
  <c r="AO104" i="43" l="1"/>
  <c r="AP104" i="43" s="1"/>
  <c r="AT107" i="42"/>
  <c r="AN107" i="42" s="1"/>
  <c r="BN107" i="42" s="1"/>
  <c r="AO109" i="31"/>
  <c r="AP109" i="31" s="1"/>
  <c r="AQ109" i="31" s="1"/>
  <c r="BO109" i="31" s="1"/>
  <c r="AQ104" i="43" l="1"/>
  <c r="BO104" i="43" s="1"/>
  <c r="AO107" i="42"/>
  <c r="AP107" i="42" s="1"/>
  <c r="AR109" i="31"/>
  <c r="AM110" i="31" s="1"/>
  <c r="AT110" i="31" s="1"/>
  <c r="AR104" i="43" l="1"/>
  <c r="AQ107" i="42"/>
  <c r="BO107" i="42" s="1"/>
  <c r="AU109" i="31"/>
  <c r="AM105" i="43" l="1"/>
  <c r="AU104" i="43"/>
  <c r="AR107" i="42"/>
  <c r="AN110" i="31"/>
  <c r="BN110" i="31" s="1"/>
  <c r="AT105" i="43" l="1"/>
  <c r="AN105" i="43" s="1"/>
  <c r="BN105" i="43" s="1"/>
  <c r="AM108" i="42"/>
  <c r="AU107" i="42"/>
  <c r="AO110" i="31"/>
  <c r="AP110" i="31" s="1"/>
  <c r="AQ110" i="31" s="1"/>
  <c r="BO110" i="31" s="1"/>
  <c r="AO105" i="43" l="1"/>
  <c r="AP105" i="43" s="1"/>
  <c r="AT108" i="42"/>
  <c r="AN108" i="42" s="1"/>
  <c r="BN108" i="42" s="1"/>
  <c r="AR110" i="31"/>
  <c r="AQ105" i="43" l="1"/>
  <c r="BO105" i="43" s="1"/>
  <c r="AO108" i="42"/>
  <c r="AP108" i="42" s="1"/>
  <c r="AM111" i="31"/>
  <c r="AT111" i="31" s="1"/>
  <c r="AU110" i="31"/>
  <c r="AR105" i="43" l="1"/>
  <c r="AQ108" i="42"/>
  <c r="BO108" i="42" s="1"/>
  <c r="AN111" i="31"/>
  <c r="BN111" i="31" s="1"/>
  <c r="AM106" i="43" l="1"/>
  <c r="AU105" i="43"/>
  <c r="AR108" i="42"/>
  <c r="AO111" i="31"/>
  <c r="AP111" i="31" s="1"/>
  <c r="AQ111" i="31" s="1"/>
  <c r="BO111" i="31" s="1"/>
  <c r="AT106" i="43" l="1"/>
  <c r="AN106" i="43" s="1"/>
  <c r="BN106" i="43" s="1"/>
  <c r="AM109" i="42"/>
  <c r="AU108" i="42"/>
  <c r="AR111" i="31"/>
  <c r="AO106" i="43" l="1"/>
  <c r="AP106" i="43" s="1"/>
  <c r="AT109" i="42"/>
  <c r="AN109" i="42" s="1"/>
  <c r="BN109" i="42" s="1"/>
  <c r="AM112" i="31"/>
  <c r="AT112" i="31" s="1"/>
  <c r="AU111" i="31"/>
  <c r="AQ106" i="43" l="1"/>
  <c r="BO106" i="43" s="1"/>
  <c r="AO109" i="42"/>
  <c r="AP109" i="42" s="1"/>
  <c r="AN112" i="31"/>
  <c r="BN112" i="31" s="1"/>
  <c r="AR106" i="43" l="1"/>
  <c r="AQ109" i="42"/>
  <c r="BO109" i="42" s="1"/>
  <c r="AO112" i="31"/>
  <c r="AP112" i="31" s="1"/>
  <c r="AQ112" i="31" s="1"/>
  <c r="BO112" i="31" s="1"/>
  <c r="AM107" i="43" l="1"/>
  <c r="AU106" i="43"/>
  <c r="AR109" i="42"/>
  <c r="AR112" i="31"/>
  <c r="AT107" i="43" l="1"/>
  <c r="AN107" i="43" s="1"/>
  <c r="BN107" i="43" s="1"/>
  <c r="AM110" i="42"/>
  <c r="AU109" i="42"/>
  <c r="AM113" i="31"/>
  <c r="AT113" i="31" s="1"/>
  <c r="AU112" i="31"/>
  <c r="AO107" i="43" l="1"/>
  <c r="AP107" i="43" s="1"/>
  <c r="AT110" i="42"/>
  <c r="AN110" i="42" s="1"/>
  <c r="BN110" i="42" s="1"/>
  <c r="AN113" i="31"/>
  <c r="BN113" i="31" s="1"/>
  <c r="AQ107" i="43" l="1"/>
  <c r="BO107" i="43" s="1"/>
  <c r="AO110" i="42"/>
  <c r="AP110" i="42" s="1"/>
  <c r="AO113" i="31"/>
  <c r="AP113" i="31" s="1"/>
  <c r="AQ113" i="31" s="1"/>
  <c r="BO113" i="31" s="1"/>
  <c r="AR107" i="43" l="1"/>
  <c r="AQ110" i="42"/>
  <c r="BO110" i="42" s="1"/>
  <c r="AR113" i="31"/>
  <c r="AM108" i="43" l="1"/>
  <c r="AU107" i="43"/>
  <c r="AR110" i="42"/>
  <c r="AU113" i="31"/>
  <c r="AM114" i="31"/>
  <c r="AT114" i="31" s="1"/>
  <c r="AT108" i="43" l="1"/>
  <c r="AN108" i="43" s="1"/>
  <c r="BN108" i="43" s="1"/>
  <c r="AM111" i="42"/>
  <c r="AU110" i="42"/>
  <c r="AN114" i="31"/>
  <c r="BN114" i="31" s="1"/>
  <c r="AO108" i="43" l="1"/>
  <c r="AP108" i="43" s="1"/>
  <c r="AT111" i="42"/>
  <c r="AN111" i="42" s="1"/>
  <c r="BN111" i="42" s="1"/>
  <c r="AO114" i="31"/>
  <c r="AP114" i="31" s="1"/>
  <c r="AQ114" i="31" s="1"/>
  <c r="BO114" i="31" s="1"/>
  <c r="AQ108" i="43" l="1"/>
  <c r="BO108" i="43" s="1"/>
  <c r="AO111" i="42"/>
  <c r="AP111" i="42" s="1"/>
  <c r="AR114" i="31"/>
  <c r="AR108" i="43" l="1"/>
  <c r="AQ111" i="42"/>
  <c r="BO111" i="42" s="1"/>
  <c r="AM115" i="31"/>
  <c r="AT115" i="31" s="1"/>
  <c r="AU114" i="31"/>
  <c r="AM109" i="43" l="1"/>
  <c r="AU108" i="43"/>
  <c r="AR111" i="42"/>
  <c r="AN115" i="31"/>
  <c r="BN115" i="31" s="1"/>
  <c r="AT109" i="43" l="1"/>
  <c r="AN109" i="43" s="1"/>
  <c r="BN109" i="43" s="1"/>
  <c r="AM112" i="42"/>
  <c r="AU111" i="42"/>
  <c r="AO115" i="31"/>
  <c r="AP115" i="31" s="1"/>
  <c r="AQ115" i="31" s="1"/>
  <c r="BO115" i="31" s="1"/>
  <c r="AO109" i="43" l="1"/>
  <c r="AP109" i="43" s="1"/>
  <c r="AT112" i="42"/>
  <c r="AN112" i="42" s="1"/>
  <c r="BN112" i="42" s="1"/>
  <c r="AR115" i="31"/>
  <c r="AQ109" i="43" l="1"/>
  <c r="BO109" i="43" s="1"/>
  <c r="AO112" i="42"/>
  <c r="AP112" i="42" s="1"/>
  <c r="AM116" i="31"/>
  <c r="AT116" i="31" s="1"/>
  <c r="AU115" i="31"/>
  <c r="AR109" i="43" l="1"/>
  <c r="AQ112" i="42"/>
  <c r="BO112" i="42" s="1"/>
  <c r="AN116" i="31"/>
  <c r="BN116" i="31" s="1"/>
  <c r="AM110" i="43" l="1"/>
  <c r="AU109" i="43"/>
  <c r="AR112" i="42"/>
  <c r="AO116" i="31"/>
  <c r="AP116" i="31" s="1"/>
  <c r="AQ116" i="31" s="1"/>
  <c r="BO116" i="31" s="1"/>
  <c r="AT110" i="43" l="1"/>
  <c r="AN110" i="43" s="1"/>
  <c r="BN110" i="43" s="1"/>
  <c r="AM113" i="42"/>
  <c r="AU112" i="42"/>
  <c r="AR116" i="31"/>
  <c r="AO110" i="43" l="1"/>
  <c r="AP110" i="43" s="1"/>
  <c r="AT113" i="42"/>
  <c r="AN113" i="42" s="1"/>
  <c r="BN113" i="42" s="1"/>
  <c r="AM117" i="31"/>
  <c r="AT117" i="31" s="1"/>
  <c r="AU116" i="31"/>
  <c r="AQ110" i="43" l="1"/>
  <c r="BO110" i="43" s="1"/>
  <c r="AO113" i="42"/>
  <c r="AP113" i="42" s="1"/>
  <c r="AN117" i="31"/>
  <c r="BN117" i="31" s="1"/>
  <c r="AR110" i="43" l="1"/>
  <c r="AQ113" i="42"/>
  <c r="BO113" i="42" s="1"/>
  <c r="AO117" i="31"/>
  <c r="AP117" i="31" s="1"/>
  <c r="AQ117" i="31" s="1"/>
  <c r="BO117" i="31" s="1"/>
  <c r="AM111" i="43" l="1"/>
  <c r="AU110" i="43"/>
  <c r="AR113" i="42"/>
  <c r="AR117" i="31"/>
  <c r="AT111" i="43" l="1"/>
  <c r="AN111" i="43" s="1"/>
  <c r="BN111" i="43" s="1"/>
  <c r="AM114" i="42"/>
  <c r="AU113" i="42"/>
  <c r="AM118" i="31"/>
  <c r="AT118" i="31" s="1"/>
  <c r="AU117" i="31"/>
  <c r="AO111" i="43" l="1"/>
  <c r="AP111" i="43" s="1"/>
  <c r="AT114" i="42"/>
  <c r="AN114" i="42" s="1"/>
  <c r="BN114" i="42" s="1"/>
  <c r="AN118" i="31"/>
  <c r="BN118" i="31" s="1"/>
  <c r="AQ111" i="43" l="1"/>
  <c r="BO111" i="43" s="1"/>
  <c r="AO114" i="42"/>
  <c r="AP114" i="42" s="1"/>
  <c r="AO118" i="31"/>
  <c r="AP118" i="31" s="1"/>
  <c r="AQ118" i="31" s="1"/>
  <c r="BO118" i="31" s="1"/>
  <c r="AR111" i="43" l="1"/>
  <c r="AQ114" i="42"/>
  <c r="BO114" i="42" s="1"/>
  <c r="AR114" i="42" s="1"/>
  <c r="AR118" i="31"/>
  <c r="AM112" i="43" l="1"/>
  <c r="AU111" i="43"/>
  <c r="AM115" i="42"/>
  <c r="AU114" i="42"/>
  <c r="AM119" i="31"/>
  <c r="AT119" i="31" s="1"/>
  <c r="AU118" i="31"/>
  <c r="AT112" i="43" l="1"/>
  <c r="AN112" i="43" s="1"/>
  <c r="BN112" i="43" s="1"/>
  <c r="AT115" i="42"/>
  <c r="AN115" i="42" s="1"/>
  <c r="BN115" i="42" s="1"/>
  <c r="AN119" i="31"/>
  <c r="BN119" i="31" s="1"/>
  <c r="AO112" i="43" l="1"/>
  <c r="AP112" i="43" s="1"/>
  <c r="AO115" i="42"/>
  <c r="AP115" i="42" s="1"/>
  <c r="AO119" i="31"/>
  <c r="AP119" i="31" s="1"/>
  <c r="AQ119" i="31" s="1"/>
  <c r="BO119" i="31" s="1"/>
  <c r="AQ112" i="43" l="1"/>
  <c r="BO112" i="43" s="1"/>
  <c r="AR112" i="43" s="1"/>
  <c r="AQ115" i="42"/>
  <c r="BO115" i="42" s="1"/>
  <c r="AR119" i="31"/>
  <c r="AM113" i="43" l="1"/>
  <c r="AU112" i="43"/>
  <c r="AR115" i="42"/>
  <c r="AM120" i="31"/>
  <c r="AT120" i="31" s="1"/>
  <c r="AU119" i="31"/>
  <c r="AT113" i="43" l="1"/>
  <c r="AN113" i="43" s="1"/>
  <c r="BN113" i="43" s="1"/>
  <c r="AM116" i="42"/>
  <c r="AU115" i="42"/>
  <c r="AN120" i="31"/>
  <c r="BN120" i="31" s="1"/>
  <c r="AO113" i="43" l="1"/>
  <c r="AP113" i="43" s="1"/>
  <c r="AT116" i="42"/>
  <c r="AN116" i="42" s="1"/>
  <c r="BN116" i="42" s="1"/>
  <c r="AO120" i="31"/>
  <c r="AP120" i="31" s="1"/>
  <c r="AQ120" i="31" s="1"/>
  <c r="BO120" i="31" s="1"/>
  <c r="AQ113" i="43" l="1"/>
  <c r="BO113" i="43" s="1"/>
  <c r="AR113" i="43" s="1"/>
  <c r="AO116" i="42"/>
  <c r="AP116" i="42" s="1"/>
  <c r="AR120" i="31"/>
  <c r="AM114" i="43" l="1"/>
  <c r="AU113" i="43"/>
  <c r="AQ116" i="42"/>
  <c r="BO116" i="42" s="1"/>
  <c r="AR116" i="42" s="1"/>
  <c r="AM121" i="31"/>
  <c r="AT121" i="31" s="1"/>
  <c r="AU120" i="31"/>
  <c r="AT114" i="43" l="1"/>
  <c r="AN114" i="43" s="1"/>
  <c r="BN114" i="43" s="1"/>
  <c r="AM117" i="42"/>
  <c r="AU116" i="42"/>
  <c r="AN121" i="31"/>
  <c r="AO114" i="43" l="1"/>
  <c r="AP114" i="43" s="1"/>
  <c r="AT117" i="42"/>
  <c r="AN117" i="42" s="1"/>
  <c r="BN117" i="42" s="1"/>
  <c r="BN121" i="31"/>
  <c r="AO121" i="31" s="1"/>
  <c r="AP121" i="31" s="1"/>
  <c r="AQ121" i="31" s="1"/>
  <c r="BO121" i="31" s="1"/>
  <c r="AQ114" i="43" l="1"/>
  <c r="BO114" i="43" s="1"/>
  <c r="AO117" i="42"/>
  <c r="AP117" i="42" s="1"/>
  <c r="AR121" i="31"/>
  <c r="AR114" i="43" l="1"/>
  <c r="AQ117" i="42"/>
  <c r="BO117" i="42" s="1"/>
  <c r="AR117" i="42" s="1"/>
  <c r="AM122" i="31"/>
  <c r="AT122" i="31" s="1"/>
  <c r="AU121" i="31"/>
  <c r="AM115" i="43" l="1"/>
  <c r="AU114" i="43"/>
  <c r="AM118" i="42"/>
  <c r="AU117" i="42"/>
  <c r="AN122" i="31"/>
  <c r="BN122" i="31" s="1"/>
  <c r="AT115" i="43" l="1"/>
  <c r="AN115" i="43" s="1"/>
  <c r="BN115" i="43" s="1"/>
  <c r="AT118" i="42"/>
  <c r="AN118" i="42" s="1"/>
  <c r="BN118" i="42" s="1"/>
  <c r="AO122" i="31"/>
  <c r="AP122" i="31" s="1"/>
  <c r="AQ122" i="31" s="1"/>
  <c r="BO122" i="31" s="1"/>
  <c r="AO115" i="43" l="1"/>
  <c r="AP115" i="43" s="1"/>
  <c r="AO118" i="42"/>
  <c r="AP118" i="42" s="1"/>
  <c r="AR122" i="31"/>
  <c r="AQ115" i="43" l="1"/>
  <c r="BO115" i="43" s="1"/>
  <c r="AQ118" i="42"/>
  <c r="BO118" i="42" s="1"/>
  <c r="AM123" i="31"/>
  <c r="AT123" i="31" s="1"/>
  <c r="AU122" i="31"/>
  <c r="AR115" i="43" l="1"/>
  <c r="AR118" i="42"/>
  <c r="AN123" i="31"/>
  <c r="BN123" i="31" s="1"/>
  <c r="AM116" i="43" l="1"/>
  <c r="AU115" i="43"/>
  <c r="AM119" i="42"/>
  <c r="AU118" i="42"/>
  <c r="AO123" i="31"/>
  <c r="AP123" i="31" s="1"/>
  <c r="AQ123" i="31" s="1"/>
  <c r="BO123" i="31" s="1"/>
  <c r="AT116" i="43" l="1"/>
  <c r="AN116" i="43" s="1"/>
  <c r="BN116" i="43" s="1"/>
  <c r="AT119" i="42"/>
  <c r="AN119" i="42" s="1"/>
  <c r="BN119" i="42" s="1"/>
  <c r="AR123" i="31"/>
  <c r="AO116" i="43" l="1"/>
  <c r="AP116" i="43" s="1"/>
  <c r="AO119" i="42"/>
  <c r="AP119" i="42" s="1"/>
  <c r="AU123" i="31"/>
  <c r="AM124" i="31"/>
  <c r="AT124" i="31" s="1"/>
  <c r="AQ116" i="43" l="1"/>
  <c r="BO116" i="43" s="1"/>
  <c r="AQ119" i="42"/>
  <c r="BO119" i="42" s="1"/>
  <c r="AN124" i="31"/>
  <c r="BN124" i="31" s="1"/>
  <c r="AR116" i="43" l="1"/>
  <c r="AR119" i="42"/>
  <c r="AO124" i="31"/>
  <c r="AP124" i="31" s="1"/>
  <c r="AQ124" i="31" s="1"/>
  <c r="BO124" i="31" s="1"/>
  <c r="AM117" i="43" l="1"/>
  <c r="AU116" i="43"/>
  <c r="AM120" i="42"/>
  <c r="AU119" i="42"/>
  <c r="AR124" i="31"/>
  <c r="AT117" i="43" l="1"/>
  <c r="AN117" i="43" s="1"/>
  <c r="BN117" i="43" s="1"/>
  <c r="AT120" i="42"/>
  <c r="AN120" i="42" s="1"/>
  <c r="BN120" i="42" s="1"/>
  <c r="AM125" i="31"/>
  <c r="AT125" i="31" s="1"/>
  <c r="AU124" i="31"/>
  <c r="AO117" i="43" l="1"/>
  <c r="AP117" i="43" s="1"/>
  <c r="AO120" i="42"/>
  <c r="AP120" i="42" s="1"/>
  <c r="AN125" i="31"/>
  <c r="BN125" i="31" s="1"/>
  <c r="AQ117" i="43" l="1"/>
  <c r="BO117" i="43" s="1"/>
  <c r="AQ120" i="42"/>
  <c r="BO120" i="42" s="1"/>
  <c r="AR120" i="42" s="1"/>
  <c r="AO125" i="31"/>
  <c r="AP125" i="31" s="1"/>
  <c r="AQ125" i="31" s="1"/>
  <c r="BO125" i="31" s="1"/>
  <c r="AR117" i="43" l="1"/>
  <c r="AM121" i="42"/>
  <c r="AU120" i="42"/>
  <c r="AR125" i="31"/>
  <c r="AM118" i="43" l="1"/>
  <c r="AU117" i="43"/>
  <c r="AT121" i="42"/>
  <c r="AN121" i="42" s="1"/>
  <c r="BN121" i="42" s="1"/>
  <c r="AM126" i="31"/>
  <c r="AT126" i="31" s="1"/>
  <c r="AU125" i="31"/>
  <c r="AT118" i="43" l="1"/>
  <c r="AN118" i="43" s="1"/>
  <c r="BN118" i="43" s="1"/>
  <c r="AO121" i="42"/>
  <c r="AP121" i="42" s="1"/>
  <c r="AN126" i="31"/>
  <c r="BN126" i="31" s="1"/>
  <c r="AO118" i="43" l="1"/>
  <c r="AP118" i="43" s="1"/>
  <c r="AQ121" i="42"/>
  <c r="BO121" i="42" s="1"/>
  <c r="AO126" i="31"/>
  <c r="AP126" i="31" s="1"/>
  <c r="AQ126" i="31" s="1"/>
  <c r="BO126" i="31" s="1"/>
  <c r="AQ118" i="43" l="1"/>
  <c r="BO118" i="43" s="1"/>
  <c r="AR121" i="42"/>
  <c r="AR126" i="31"/>
  <c r="AR118" i="43" l="1"/>
  <c r="AM122" i="42"/>
  <c r="AU121" i="42"/>
  <c r="AM127" i="31"/>
  <c r="AT127" i="31" s="1"/>
  <c r="AU126" i="31"/>
  <c r="AM119" i="43" l="1"/>
  <c r="AU118" i="43"/>
  <c r="AT122" i="42"/>
  <c r="AN122" i="42" s="1"/>
  <c r="BN122" i="42" s="1"/>
  <c r="AN127" i="31"/>
  <c r="BN127" i="31" s="1"/>
  <c r="AT119" i="43" l="1"/>
  <c r="AN119" i="43" s="1"/>
  <c r="BN119" i="43" s="1"/>
  <c r="AO122" i="42"/>
  <c r="AP122" i="42" s="1"/>
  <c r="AO127" i="31"/>
  <c r="AP127" i="31" s="1"/>
  <c r="AQ127" i="31" s="1"/>
  <c r="BO127" i="31" s="1"/>
  <c r="AO119" i="43" l="1"/>
  <c r="AP119" i="43" s="1"/>
  <c r="AQ122" i="42"/>
  <c r="BO122" i="42" s="1"/>
  <c r="AR127" i="31"/>
  <c r="AQ119" i="43" l="1"/>
  <c r="BO119" i="43" s="1"/>
  <c r="AR119" i="43" s="1"/>
  <c r="AR122" i="42"/>
  <c r="AU127" i="31"/>
  <c r="AM128" i="31"/>
  <c r="AT128" i="31" s="1"/>
  <c r="AM120" i="43" l="1"/>
  <c r="AU119" i="43"/>
  <c r="AM123" i="42"/>
  <c r="AU122" i="42"/>
  <c r="G9" i="2"/>
  <c r="AN128" i="31"/>
  <c r="AT120" i="43" l="1"/>
  <c r="AN120" i="43" s="1"/>
  <c r="BN120" i="43" s="1"/>
  <c r="AT123" i="42"/>
  <c r="AN123" i="42" s="1"/>
  <c r="BN123" i="42" s="1"/>
  <c r="BN128" i="31"/>
  <c r="AO128" i="31" s="1"/>
  <c r="AP128" i="31" s="1"/>
  <c r="AQ128" i="31" s="1"/>
  <c r="BO128" i="31" s="1"/>
  <c r="AO120" i="43" l="1"/>
  <c r="AP120" i="43" s="1"/>
  <c r="AO123" i="42"/>
  <c r="AP123" i="42" s="1"/>
  <c r="AR128" i="31"/>
  <c r="AQ120" i="43" l="1"/>
  <c r="BO120" i="43" s="1"/>
  <c r="AQ123" i="42"/>
  <c r="BO123" i="42" s="1"/>
  <c r="AR123" i="42" s="1"/>
  <c r="AU128" i="31"/>
  <c r="AM129" i="31"/>
  <c r="AT129" i="31" s="1"/>
  <c r="AR120" i="43" l="1"/>
  <c r="AM124" i="42"/>
  <c r="AU123" i="42"/>
  <c r="AN129" i="31"/>
  <c r="AM121" i="43" l="1"/>
  <c r="AU120" i="43"/>
  <c r="AT124" i="42"/>
  <c r="AN124" i="42" s="1"/>
  <c r="BN124" i="42" s="1"/>
  <c r="BN129" i="31"/>
  <c r="AO129" i="31" s="1"/>
  <c r="AP129" i="31" s="1"/>
  <c r="AQ129" i="31" s="1"/>
  <c r="BO129" i="31" s="1"/>
  <c r="AT121" i="43" l="1"/>
  <c r="AN121" i="43" s="1"/>
  <c r="BN121" i="43" s="1"/>
  <c r="AO124" i="42"/>
  <c r="AP124" i="42" s="1"/>
  <c r="AR129" i="31"/>
  <c r="AO121" i="43" l="1"/>
  <c r="AP121" i="43" s="1"/>
  <c r="AQ124" i="42"/>
  <c r="BO124" i="42" s="1"/>
  <c r="AU129" i="31"/>
  <c r="AM130" i="31"/>
  <c r="AQ121" i="43" l="1"/>
  <c r="BO121" i="43" s="1"/>
  <c r="AR121" i="43" s="1"/>
  <c r="AR124" i="42"/>
  <c r="AT130" i="31"/>
  <c r="AN130" i="31" s="1"/>
  <c r="AM122" i="43" l="1"/>
  <c r="AU121" i="43"/>
  <c r="AM125" i="42"/>
  <c r="AU124" i="42"/>
  <c r="BN130" i="31"/>
  <c r="AO130" i="31" s="1"/>
  <c r="AP130" i="31" s="1"/>
  <c r="AT122" i="43" l="1"/>
  <c r="AN122" i="43" s="1"/>
  <c r="BN122" i="43" s="1"/>
  <c r="AT125" i="42"/>
  <c r="AN125" i="42" s="1"/>
  <c r="BN125" i="42" s="1"/>
  <c r="AQ130" i="31"/>
  <c r="BO130" i="31" s="1"/>
  <c r="AO122" i="43" l="1"/>
  <c r="AP122" i="43" s="1"/>
  <c r="AO125" i="42"/>
  <c r="AP125" i="42" s="1"/>
  <c r="AR130" i="31"/>
  <c r="AQ122" i="43" l="1"/>
  <c r="BO122" i="43" s="1"/>
  <c r="AQ125" i="42"/>
  <c r="BO125" i="42" s="1"/>
  <c r="AM131" i="31"/>
  <c r="AT131" i="31" s="1"/>
  <c r="AN131" i="31" s="1"/>
  <c r="BN131" i="31" s="1"/>
  <c r="AU130" i="31"/>
  <c r="AR122" i="43" l="1"/>
  <c r="AM123" i="43" s="1"/>
  <c r="AR125" i="42"/>
  <c r="AO131" i="31"/>
  <c r="AP131" i="31" s="1"/>
  <c r="AQ131" i="31" s="1"/>
  <c r="BO131" i="31" s="1"/>
  <c r="AR131" i="31" s="1"/>
  <c r="AU122" i="43" l="1"/>
  <c r="AT123" i="43"/>
  <c r="AN123" i="43" s="1"/>
  <c r="BN123" i="43" s="1"/>
  <c r="AM126" i="42"/>
  <c r="AU125" i="42"/>
  <c r="AM132" i="31"/>
  <c r="AT132" i="31" s="1"/>
  <c r="AU131" i="31"/>
  <c r="AO123" i="43" l="1"/>
  <c r="AP123" i="43" s="1"/>
  <c r="AT126" i="42"/>
  <c r="AN126" i="42" s="1"/>
  <c r="BN126" i="42" s="1"/>
  <c r="AQ123" i="43" l="1"/>
  <c r="BO123" i="43" s="1"/>
  <c r="AO126" i="42"/>
  <c r="AP126" i="42" s="1"/>
  <c r="AN132" i="31"/>
  <c r="AR123" i="43" l="1"/>
  <c r="AQ126" i="42"/>
  <c r="BO126" i="42" s="1"/>
  <c r="AR126" i="42" s="1"/>
  <c r="BN132" i="31"/>
  <c r="AO132" i="31" s="1"/>
  <c r="AP132" i="31" s="1"/>
  <c r="AQ132" i="31" s="1"/>
  <c r="BO132" i="31" s="1"/>
  <c r="AM124" i="43" l="1"/>
  <c r="AU123" i="43"/>
  <c r="AM127" i="42"/>
  <c r="AU126" i="42"/>
  <c r="AR132" i="31"/>
  <c r="AT124" i="43" l="1"/>
  <c r="AN124" i="43" s="1"/>
  <c r="BN124" i="43" s="1"/>
  <c r="AT127" i="42"/>
  <c r="AN127" i="42" s="1"/>
  <c r="BN127" i="42" s="1"/>
  <c r="AM133" i="31"/>
  <c r="AT133" i="31" s="1"/>
  <c r="AU132" i="31"/>
  <c r="AO124" i="43" l="1"/>
  <c r="AP124" i="43" s="1"/>
  <c r="AO127" i="42"/>
  <c r="AP127" i="42" s="1"/>
  <c r="AQ124" i="43" l="1"/>
  <c r="BO124" i="43" s="1"/>
  <c r="AQ127" i="42"/>
  <c r="BO127" i="42" s="1"/>
  <c r="AN133" i="31"/>
  <c r="BN133" i="31" s="1"/>
  <c r="AR124" i="43" l="1"/>
  <c r="AR127" i="42"/>
  <c r="AO133" i="31"/>
  <c r="AP133" i="31" s="1"/>
  <c r="AM125" i="43" l="1"/>
  <c r="AU124" i="43"/>
  <c r="AM128" i="42"/>
  <c r="AU127" i="42"/>
  <c r="AQ133" i="31"/>
  <c r="BO133" i="31" s="1"/>
  <c r="AT125" i="43" l="1"/>
  <c r="AN125" i="43" s="1"/>
  <c r="BN125" i="43" s="1"/>
  <c r="AT128" i="42"/>
  <c r="AN128" i="42" s="1"/>
  <c r="BN128" i="42" s="1"/>
  <c r="AR133" i="31"/>
  <c r="AO125" i="43" l="1"/>
  <c r="AP125" i="43" s="1"/>
  <c r="AO128" i="42"/>
  <c r="AP128" i="42" s="1"/>
  <c r="AU133" i="31"/>
  <c r="AM134" i="31"/>
  <c r="AT134" i="31" s="1"/>
  <c r="AQ125" i="43" l="1"/>
  <c r="BO125" i="43" s="1"/>
  <c r="AQ128" i="42"/>
  <c r="BO128" i="42" s="1"/>
  <c r="AR125" i="43" l="1"/>
  <c r="AR128" i="42"/>
  <c r="AN134" i="31"/>
  <c r="BN134" i="31" s="1"/>
  <c r="AM126" i="43" l="1"/>
  <c r="AU125" i="43"/>
  <c r="AM129" i="42"/>
  <c r="AU128" i="42"/>
  <c r="AO134" i="31"/>
  <c r="AP134" i="31" s="1"/>
  <c r="AT126" i="43" l="1"/>
  <c r="AN126" i="43" s="1"/>
  <c r="BN126" i="43" s="1"/>
  <c r="AT129" i="42"/>
  <c r="AN129" i="42" s="1"/>
  <c r="BN129" i="42" s="1"/>
  <c r="AQ134" i="31"/>
  <c r="BO134" i="31" s="1"/>
  <c r="AO126" i="43" l="1"/>
  <c r="AP126" i="43" s="1"/>
  <c r="AO129" i="42"/>
  <c r="AP129" i="42" s="1"/>
  <c r="AR134" i="31"/>
  <c r="AQ126" i="43" l="1"/>
  <c r="BO126" i="43" s="1"/>
  <c r="AQ129" i="42"/>
  <c r="BO129" i="42" s="1"/>
  <c r="AR129" i="42" s="1"/>
  <c r="AU134" i="31"/>
  <c r="AM135" i="31"/>
  <c r="AT135" i="31" s="1"/>
  <c r="AR126" i="43" l="1"/>
  <c r="AM130" i="42"/>
  <c r="AU129" i="42"/>
  <c r="AM127" i="43" l="1"/>
  <c r="AU126" i="43"/>
  <c r="AT130" i="42"/>
  <c r="AN130" i="42" s="1"/>
  <c r="BN130" i="42" s="1"/>
  <c r="AN135" i="31"/>
  <c r="BN135" i="31" s="1"/>
  <c r="AT127" i="43" l="1"/>
  <c r="AN127" i="43" s="1"/>
  <c r="BN127" i="43" s="1"/>
  <c r="AO130" i="42"/>
  <c r="AP130" i="42" s="1"/>
  <c r="AO135" i="31"/>
  <c r="AP135" i="31" s="1"/>
  <c r="AO127" i="43" l="1"/>
  <c r="AP127" i="43" s="1"/>
  <c r="AQ130" i="42"/>
  <c r="BO130" i="42" s="1"/>
  <c r="AQ135" i="31"/>
  <c r="BO135" i="31" s="1"/>
  <c r="AQ127" i="43" l="1"/>
  <c r="BO127" i="43" s="1"/>
  <c r="AR130" i="42"/>
  <c r="AR135" i="31"/>
  <c r="AR127" i="43" l="1"/>
  <c r="AU127" i="43" s="1"/>
  <c r="AM131" i="42"/>
  <c r="AU130" i="42"/>
  <c r="AU135" i="31"/>
  <c r="AM136" i="31"/>
  <c r="AT136" i="31" s="1"/>
  <c r="AM128" i="43" l="1"/>
  <c r="AT128" i="43" s="1"/>
  <c r="AN128" i="43" s="1"/>
  <c r="BN128" i="43" s="1"/>
  <c r="AT131" i="42"/>
  <c r="AN131" i="42" s="1"/>
  <c r="BN131" i="42" s="1"/>
  <c r="AO128" i="43" l="1"/>
  <c r="AP128" i="43" s="1"/>
  <c r="AO131" i="42"/>
  <c r="AP131" i="42" s="1"/>
  <c r="AN136" i="31"/>
  <c r="BN136" i="31" s="1"/>
  <c r="AQ128" i="43" l="1"/>
  <c r="BO128" i="43" s="1"/>
  <c r="AR128" i="43" s="1"/>
  <c r="AQ131" i="42"/>
  <c r="BO131" i="42" s="1"/>
  <c r="AR131" i="42" s="1"/>
  <c r="AO136" i="31"/>
  <c r="AP136" i="31" s="1"/>
  <c r="AM129" i="43" l="1"/>
  <c r="AU128" i="43"/>
  <c r="AM132" i="42"/>
  <c r="AU131" i="42"/>
  <c r="AQ136" i="31"/>
  <c r="BO136" i="31" s="1"/>
  <c r="AT129" i="43" l="1"/>
  <c r="AN129" i="43" s="1"/>
  <c r="BN129" i="43" s="1"/>
  <c r="AT132" i="42"/>
  <c r="AN132" i="42" s="1"/>
  <c r="BN132" i="42" s="1"/>
  <c r="AR136" i="31"/>
  <c r="AO129" i="43" l="1"/>
  <c r="AP129" i="43" s="1"/>
  <c r="AO132" i="42"/>
  <c r="AP132" i="42" s="1"/>
  <c r="AU136" i="31"/>
  <c r="AM137" i="31"/>
  <c r="AT137" i="31" s="1"/>
  <c r="AQ129" i="43" l="1"/>
  <c r="BO129" i="43" s="1"/>
  <c r="AQ132" i="42"/>
  <c r="BO132" i="42" s="1"/>
  <c r="AR129" i="43" l="1"/>
  <c r="AR132" i="42"/>
  <c r="AN137" i="31"/>
  <c r="BN137" i="31" s="1"/>
  <c r="AM130" i="43" l="1"/>
  <c r="AU129" i="43"/>
  <c r="AM133" i="42"/>
  <c r="AU132" i="42"/>
  <c r="AO137" i="31"/>
  <c r="AP137" i="31" s="1"/>
  <c r="AT130" i="43" l="1"/>
  <c r="AN130" i="43" s="1"/>
  <c r="BN130" i="43" s="1"/>
  <c r="AT133" i="42"/>
  <c r="AN133" i="42" s="1"/>
  <c r="BN133" i="42" s="1"/>
  <c r="AQ137" i="31"/>
  <c r="AO130" i="43" l="1"/>
  <c r="AP130" i="43" s="1"/>
  <c r="AO133" i="42"/>
  <c r="AP133" i="42" s="1"/>
  <c r="BO137" i="31"/>
  <c r="AR137" i="31" s="1"/>
  <c r="AQ130" i="43" l="1"/>
  <c r="BO130" i="43" s="1"/>
  <c r="AQ133" i="42"/>
  <c r="BO133" i="42" s="1"/>
  <c r="AM138" i="31"/>
  <c r="AT138" i="31" s="1"/>
  <c r="AU137" i="31"/>
  <c r="AR130" i="43" l="1"/>
  <c r="AR133" i="42"/>
  <c r="AN138" i="31"/>
  <c r="BN138" i="31" s="1"/>
  <c r="AM131" i="43" l="1"/>
  <c r="AU130" i="43"/>
  <c r="AM134" i="42"/>
  <c r="AU133" i="42"/>
  <c r="AO138" i="31"/>
  <c r="AP138" i="31" s="1"/>
  <c r="AT131" i="43" l="1"/>
  <c r="AN131" i="43" s="1"/>
  <c r="BN131" i="43" s="1"/>
  <c r="AT134" i="42"/>
  <c r="AN134" i="42" s="1"/>
  <c r="BN134" i="42" s="1"/>
  <c r="AQ138" i="31"/>
  <c r="BO138" i="31" s="1"/>
  <c r="AO131" i="43" l="1"/>
  <c r="AP131" i="43" s="1"/>
  <c r="AO134" i="42"/>
  <c r="AP134" i="42" s="1"/>
  <c r="AR138" i="31"/>
  <c r="AQ131" i="43" l="1"/>
  <c r="BO131" i="43" s="1"/>
  <c r="AR131" i="43" s="1"/>
  <c r="AQ134" i="42"/>
  <c r="BO134" i="42" s="1"/>
  <c r="AM139" i="31"/>
  <c r="AT139" i="31" s="1"/>
  <c r="AU138" i="31"/>
  <c r="AM132" i="43" l="1"/>
  <c r="AU131" i="43"/>
  <c r="AR134" i="42"/>
  <c r="AM135" i="42" s="1"/>
  <c r="AU134" i="42" l="1"/>
  <c r="AT132" i="43"/>
  <c r="AN132" i="43" s="1"/>
  <c r="BN132" i="43" s="1"/>
  <c r="AT135" i="42"/>
  <c r="AN135" i="42" s="1"/>
  <c r="BN135" i="42" s="1"/>
  <c r="AN139" i="31"/>
  <c r="BN139" i="31" s="1"/>
  <c r="AO132" i="43" l="1"/>
  <c r="AP132" i="43" s="1"/>
  <c r="AO135" i="42"/>
  <c r="AP135" i="42" s="1"/>
  <c r="AO139" i="31"/>
  <c r="AP139" i="31" s="1"/>
  <c r="AQ132" i="43" l="1"/>
  <c r="BO132" i="43" s="1"/>
  <c r="AQ135" i="42"/>
  <c r="BO135" i="42" s="1"/>
  <c r="AQ139" i="31"/>
  <c r="AR132" i="43" l="1"/>
  <c r="AR135" i="42"/>
  <c r="BO139" i="31"/>
  <c r="AR139" i="31" s="1"/>
  <c r="AM133" i="43" l="1"/>
  <c r="AU132" i="43"/>
  <c r="AM136" i="42"/>
  <c r="AU135" i="42"/>
  <c r="AM140" i="31"/>
  <c r="AT140" i="31" s="1"/>
  <c r="AU139" i="31"/>
  <c r="AT133" i="43" l="1"/>
  <c r="AN133" i="43" s="1"/>
  <c r="BN133" i="43" s="1"/>
  <c r="AT136" i="42"/>
  <c r="AN136" i="42" s="1"/>
  <c r="BN136" i="42" s="1"/>
  <c r="AN140" i="31"/>
  <c r="BN140" i="31" s="1"/>
  <c r="AO133" i="43" l="1"/>
  <c r="AP133" i="43" s="1"/>
  <c r="AO136" i="42"/>
  <c r="AP136" i="42" s="1"/>
  <c r="AO140" i="31"/>
  <c r="AP140" i="31" s="1"/>
  <c r="AQ133" i="43" l="1"/>
  <c r="BO133" i="43" s="1"/>
  <c r="AQ136" i="42"/>
  <c r="BO136" i="42" s="1"/>
  <c r="AQ140" i="31"/>
  <c r="BO140" i="31" s="1"/>
  <c r="AR133" i="43" l="1"/>
  <c r="AR136" i="42"/>
  <c r="AR140" i="31"/>
  <c r="AM134" i="43" l="1"/>
  <c r="AU133" i="43"/>
  <c r="AM137" i="42"/>
  <c r="AU136" i="42"/>
  <c r="AM141" i="31"/>
  <c r="AT141" i="31" s="1"/>
  <c r="AU140" i="31"/>
  <c r="AT134" i="43" l="1"/>
  <c r="AN134" i="43" s="1"/>
  <c r="BN134" i="43" s="1"/>
  <c r="AT137" i="42"/>
  <c r="AN137" i="42" s="1"/>
  <c r="BN137" i="42" s="1"/>
  <c r="AO134" i="43" l="1"/>
  <c r="AP134" i="43" s="1"/>
  <c r="AO137" i="42"/>
  <c r="AP137" i="42" s="1"/>
  <c r="AN141" i="31"/>
  <c r="BN141" i="31" s="1"/>
  <c r="AQ134" i="43" l="1"/>
  <c r="BO134" i="43" s="1"/>
  <c r="AR134" i="43" s="1"/>
  <c r="AQ137" i="42"/>
  <c r="BO137" i="42" s="1"/>
  <c r="AO141" i="31"/>
  <c r="AP141" i="31" s="1"/>
  <c r="AM135" i="43" l="1"/>
  <c r="AU134" i="43"/>
  <c r="AR137" i="42"/>
  <c r="AQ141" i="31"/>
  <c r="AT135" i="43" l="1"/>
  <c r="AN135" i="43" s="1"/>
  <c r="BN135" i="43" s="1"/>
  <c r="AM138" i="42"/>
  <c r="AU137" i="42"/>
  <c r="BO141" i="31"/>
  <c r="AR141" i="31" s="1"/>
  <c r="AO135" i="43" l="1"/>
  <c r="AP135" i="43" s="1"/>
  <c r="AT138" i="42"/>
  <c r="AN138" i="42" s="1"/>
  <c r="BN138" i="42" s="1"/>
  <c r="AM142" i="31"/>
  <c r="AT142" i="31" s="1"/>
  <c r="AU141" i="31"/>
  <c r="AQ135" i="43" l="1"/>
  <c r="BO135" i="43" s="1"/>
  <c r="AR135" i="43" s="1"/>
  <c r="AO138" i="42"/>
  <c r="AP138" i="42" s="1"/>
  <c r="AN142" i="31"/>
  <c r="BN142" i="31" s="1"/>
  <c r="AM136" i="43" l="1"/>
  <c r="AU135" i="43"/>
  <c r="AQ138" i="42"/>
  <c r="BO138" i="42" s="1"/>
  <c r="AR138" i="42" s="1"/>
  <c r="AO142" i="31"/>
  <c r="AP142" i="31" s="1"/>
  <c r="AT136" i="43" l="1"/>
  <c r="AN136" i="43" s="1"/>
  <c r="BN136" i="43" s="1"/>
  <c r="AM139" i="42"/>
  <c r="AU138" i="42"/>
  <c r="AQ142" i="31"/>
  <c r="AO136" i="43" l="1"/>
  <c r="AP136" i="43" s="1"/>
  <c r="AT139" i="42"/>
  <c r="AN139" i="42" s="1"/>
  <c r="BN139" i="42" s="1"/>
  <c r="BO142" i="31"/>
  <c r="AR142" i="31" s="1"/>
  <c r="AQ136" i="43" l="1"/>
  <c r="BO136" i="43" s="1"/>
  <c r="AR136" i="43" s="1"/>
  <c r="AO139" i="42"/>
  <c r="AP139" i="42" s="1"/>
  <c r="AU142" i="31"/>
  <c r="AM143" i="31"/>
  <c r="AT143" i="31" s="1"/>
  <c r="AM137" i="43" l="1"/>
  <c r="AU136" i="43"/>
  <c r="AQ139" i="42"/>
  <c r="BO139" i="42" s="1"/>
  <c r="AN143" i="31"/>
  <c r="BN143" i="31" s="1"/>
  <c r="AT137" i="43" l="1"/>
  <c r="AN137" i="43" s="1"/>
  <c r="BN137" i="43" s="1"/>
  <c r="AR139" i="42"/>
  <c r="AO143" i="31"/>
  <c r="AP143" i="31" s="1"/>
  <c r="AO137" i="43" l="1"/>
  <c r="AP137" i="43" s="1"/>
  <c r="AM140" i="42"/>
  <c r="AU139" i="42"/>
  <c r="AQ143" i="31"/>
  <c r="BO143" i="31" s="1"/>
  <c r="AQ137" i="43" l="1"/>
  <c r="BO137" i="43" s="1"/>
  <c r="AR137" i="43" s="1"/>
  <c r="AT140" i="42"/>
  <c r="AN140" i="42" s="1"/>
  <c r="BN140" i="42" s="1"/>
  <c r="AR143" i="31"/>
  <c r="AM138" i="43" l="1"/>
  <c r="AU137" i="43"/>
  <c r="AO140" i="42"/>
  <c r="AP140" i="42" s="1"/>
  <c r="AU143" i="31"/>
  <c r="AM144" i="31"/>
  <c r="AT144" i="31" s="1"/>
  <c r="AT138" i="43" l="1"/>
  <c r="AN138" i="43" s="1"/>
  <c r="BN138" i="43" s="1"/>
  <c r="AQ140" i="42"/>
  <c r="BO140" i="42" s="1"/>
  <c r="AO138" i="43" l="1"/>
  <c r="AP138" i="43" s="1"/>
  <c r="AR140" i="42"/>
  <c r="AM141" i="42" s="1"/>
  <c r="AN144" i="31"/>
  <c r="BN144" i="31" s="1"/>
  <c r="AQ138" i="43" l="1"/>
  <c r="BO138" i="43" s="1"/>
  <c r="AU140" i="42"/>
  <c r="AT141" i="42"/>
  <c r="AN141" i="42" s="1"/>
  <c r="BN141" i="42" s="1"/>
  <c r="AO144" i="31"/>
  <c r="AP144" i="31" s="1"/>
  <c r="AR138" i="43" l="1"/>
  <c r="AO141" i="42"/>
  <c r="AP141" i="42" s="1"/>
  <c r="AQ144" i="31"/>
  <c r="AM139" i="43" l="1"/>
  <c r="AU138" i="43"/>
  <c r="AQ141" i="42"/>
  <c r="BO141" i="42" s="1"/>
  <c r="BO144" i="31"/>
  <c r="AR144" i="31" s="1"/>
  <c r="AT139" i="43" l="1"/>
  <c r="AN139" i="43" s="1"/>
  <c r="BN139" i="43" s="1"/>
  <c r="AR141" i="42"/>
  <c r="AU144" i="31"/>
  <c r="AM145" i="31"/>
  <c r="AT145" i="31" s="1"/>
  <c r="AO139" i="43" l="1"/>
  <c r="AP139" i="43" s="1"/>
  <c r="AM142" i="42"/>
  <c r="AU141" i="42"/>
  <c r="AN145" i="31"/>
  <c r="BN145" i="31" s="1"/>
  <c r="AQ139" i="43" l="1"/>
  <c r="BO139" i="43" s="1"/>
  <c r="AT142" i="42"/>
  <c r="AN142" i="42" s="1"/>
  <c r="BN142" i="42" s="1"/>
  <c r="AO145" i="31"/>
  <c r="AP145" i="31" s="1"/>
  <c r="AR139" i="43" l="1"/>
  <c r="AO142" i="42"/>
  <c r="AP142" i="42" s="1"/>
  <c r="AQ145" i="31"/>
  <c r="AM140" i="43" l="1"/>
  <c r="AU139" i="43"/>
  <c r="AQ142" i="42"/>
  <c r="BO142" i="42" s="1"/>
  <c r="AR142" i="42" s="1"/>
  <c r="BO145" i="31"/>
  <c r="AR145" i="31" s="1"/>
  <c r="AT140" i="43" l="1"/>
  <c r="AN140" i="43" s="1"/>
  <c r="BN140" i="43" s="1"/>
  <c r="AM143" i="42"/>
  <c r="AU142" i="42"/>
  <c r="AM146" i="31"/>
  <c r="AT146" i="31" s="1"/>
  <c r="AU145" i="31"/>
  <c r="AO140" i="43" l="1"/>
  <c r="AP140" i="43" s="1"/>
  <c r="AT143" i="42"/>
  <c r="AN143" i="42" s="1"/>
  <c r="BN143" i="42" s="1"/>
  <c r="AN146" i="31"/>
  <c r="BN146" i="31" s="1"/>
  <c r="AQ140" i="43" l="1"/>
  <c r="BO140" i="43" s="1"/>
  <c r="AR140" i="43" s="1"/>
  <c r="AO143" i="42"/>
  <c r="AP143" i="42" s="1"/>
  <c r="AO146" i="31"/>
  <c r="AP146" i="31" s="1"/>
  <c r="AM141" i="43" l="1"/>
  <c r="AU140" i="43"/>
  <c r="AQ143" i="42"/>
  <c r="BO143" i="42" s="1"/>
  <c r="AQ146" i="31"/>
  <c r="AT141" i="43" l="1"/>
  <c r="AN141" i="43" s="1"/>
  <c r="BN141" i="43" s="1"/>
  <c r="AR143" i="42"/>
  <c r="BO146" i="31"/>
  <c r="AR146" i="31" s="1"/>
  <c r="AO141" i="43" l="1"/>
  <c r="AP141" i="43" s="1"/>
  <c r="AM144" i="42"/>
  <c r="AU143" i="42"/>
  <c r="AM147" i="31"/>
  <c r="AT147" i="31" s="1"/>
  <c r="AU146" i="31"/>
  <c r="AQ141" i="43" l="1"/>
  <c r="BO141" i="43" s="1"/>
  <c r="AT144" i="42"/>
  <c r="AN144" i="42" s="1"/>
  <c r="BN144" i="42" s="1"/>
  <c r="AN147" i="31"/>
  <c r="BN147" i="31" s="1"/>
  <c r="AR141" i="43" l="1"/>
  <c r="AO144" i="42"/>
  <c r="AP144" i="42" s="1"/>
  <c r="AO147" i="31"/>
  <c r="AP147" i="31" s="1"/>
  <c r="AM142" i="43" l="1"/>
  <c r="AU141" i="43"/>
  <c r="AQ144" i="42"/>
  <c r="BO144" i="42" s="1"/>
  <c r="AQ147" i="31"/>
  <c r="AT142" i="43" l="1"/>
  <c r="AN142" i="43" s="1"/>
  <c r="BN142" i="43" s="1"/>
  <c r="AR144" i="42"/>
  <c r="BO147" i="31"/>
  <c r="AR147" i="31" s="1"/>
  <c r="AO142" i="43" l="1"/>
  <c r="AP142" i="43" s="1"/>
  <c r="AM145" i="42"/>
  <c r="AU144" i="42"/>
  <c r="AM148" i="31"/>
  <c r="AT148" i="31" s="1"/>
  <c r="AU147" i="31"/>
  <c r="AQ142" i="43" l="1"/>
  <c r="BO142" i="43" s="1"/>
  <c r="AT145" i="42"/>
  <c r="AN145" i="42" s="1"/>
  <c r="BN145" i="42" s="1"/>
  <c r="AN148" i="31"/>
  <c r="BN148" i="31" s="1"/>
  <c r="AR142" i="43" l="1"/>
  <c r="AO145" i="42"/>
  <c r="AP145" i="42" s="1"/>
  <c r="AO148" i="31"/>
  <c r="AP148" i="31" s="1"/>
  <c r="AM143" i="43" l="1"/>
  <c r="AU142" i="43"/>
  <c r="AQ145" i="42"/>
  <c r="BO145" i="42" s="1"/>
  <c r="AQ148" i="31"/>
  <c r="AT143" i="43" l="1"/>
  <c r="AN143" i="43" s="1"/>
  <c r="BN143" i="43" s="1"/>
  <c r="AR145" i="42"/>
  <c r="BO148" i="31"/>
  <c r="AR148" i="31" s="1"/>
  <c r="AO143" i="43" l="1"/>
  <c r="AP143" i="43" s="1"/>
  <c r="AM146" i="42"/>
  <c r="AU145" i="42"/>
  <c r="AM149" i="31"/>
  <c r="AT149" i="31" s="1"/>
  <c r="AU148" i="31"/>
  <c r="AQ143" i="43" l="1"/>
  <c r="BO143" i="43" s="1"/>
  <c r="AT146" i="42"/>
  <c r="AN146" i="42" s="1"/>
  <c r="BN146" i="42" s="1"/>
  <c r="AN149" i="31"/>
  <c r="BN149" i="31" s="1"/>
  <c r="AR143" i="43" l="1"/>
  <c r="AU143" i="43" s="1"/>
  <c r="AO146" i="42"/>
  <c r="AP146" i="42" s="1"/>
  <c r="AO149" i="31"/>
  <c r="AP149" i="31" s="1"/>
  <c r="AM144" i="43" l="1"/>
  <c r="AT144" i="43" s="1"/>
  <c r="AN144" i="43" s="1"/>
  <c r="BN144" i="43" s="1"/>
  <c r="AQ146" i="42"/>
  <c r="BO146" i="42" s="1"/>
  <c r="AQ149" i="31"/>
  <c r="AO144" i="43" l="1"/>
  <c r="AP144" i="43" s="1"/>
  <c r="AR146" i="42"/>
  <c r="AM147" i="42" s="1"/>
  <c r="BO149" i="31"/>
  <c r="AR149" i="31" s="1"/>
  <c r="AQ144" i="43" l="1"/>
  <c r="BO144" i="43" s="1"/>
  <c r="AU146" i="42"/>
  <c r="AT147" i="42"/>
  <c r="AN147" i="42" s="1"/>
  <c r="BN147" i="42" s="1"/>
  <c r="AU149" i="31"/>
  <c r="AM150" i="31"/>
  <c r="AT150" i="31" s="1"/>
  <c r="AR144" i="43" l="1"/>
  <c r="AO147" i="42"/>
  <c r="AP147" i="42" s="1"/>
  <c r="AN150" i="31"/>
  <c r="BN150" i="31" s="1"/>
  <c r="AM145" i="43" l="1"/>
  <c r="AU144" i="43"/>
  <c r="AQ147" i="42"/>
  <c r="BO147" i="42" s="1"/>
  <c r="AO150" i="31"/>
  <c r="AP150" i="31" s="1"/>
  <c r="AT145" i="43" l="1"/>
  <c r="AN145" i="43" s="1"/>
  <c r="BN145" i="43" s="1"/>
  <c r="AR147" i="42"/>
  <c r="AQ150" i="31"/>
  <c r="BO150" i="31" s="1"/>
  <c r="AO145" i="43" l="1"/>
  <c r="AP145" i="43" s="1"/>
  <c r="AM148" i="42"/>
  <c r="AU147" i="42"/>
  <c r="AR150" i="31"/>
  <c r="AQ145" i="43" l="1"/>
  <c r="BO145" i="43" s="1"/>
  <c r="AT148" i="42"/>
  <c r="AN148" i="42" s="1"/>
  <c r="BN148" i="42" s="1"/>
  <c r="AU150" i="31"/>
  <c r="AM151" i="31"/>
  <c r="AT151" i="31" s="1"/>
  <c r="AR145" i="43" l="1"/>
  <c r="AO148" i="42"/>
  <c r="AP148" i="42" s="1"/>
  <c r="AM146" i="43" l="1"/>
  <c r="AU145" i="43"/>
  <c r="AQ148" i="42"/>
  <c r="BO148" i="42" s="1"/>
  <c r="AN151" i="31"/>
  <c r="BN151" i="31" s="1"/>
  <c r="AT146" i="43" l="1"/>
  <c r="AN146" i="43" s="1"/>
  <c r="BN146" i="43" s="1"/>
  <c r="AR148" i="42"/>
  <c r="AO151" i="31"/>
  <c r="AP151" i="31" s="1"/>
  <c r="AO146" i="43" l="1"/>
  <c r="AP146" i="43" s="1"/>
  <c r="AM149" i="42"/>
  <c r="AU148" i="42"/>
  <c r="AQ151" i="31"/>
  <c r="AQ146" i="43" l="1"/>
  <c r="BO146" i="43" s="1"/>
  <c r="AT149" i="42"/>
  <c r="AN149" i="42" s="1"/>
  <c r="BN149" i="42" s="1"/>
  <c r="BO151" i="31"/>
  <c r="AR151" i="31" s="1"/>
  <c r="AR146" i="43" l="1"/>
  <c r="AU146" i="43" s="1"/>
  <c r="AO149" i="42"/>
  <c r="AP149" i="42" s="1"/>
  <c r="AU151" i="31"/>
  <c r="AM152" i="31"/>
  <c r="AT152" i="31" s="1"/>
  <c r="AM147" i="43" l="1"/>
  <c r="AT147" i="43" s="1"/>
  <c r="AN147" i="43" s="1"/>
  <c r="BN147" i="43" s="1"/>
  <c r="AQ149" i="42"/>
  <c r="BO149" i="42" s="1"/>
  <c r="AN152" i="31"/>
  <c r="BN152" i="31" s="1"/>
  <c r="AO147" i="43" l="1"/>
  <c r="AP147" i="43" s="1"/>
  <c r="AR149" i="42"/>
  <c r="AO152" i="31"/>
  <c r="AP152" i="31" s="1"/>
  <c r="AQ147" i="43" l="1"/>
  <c r="BO147" i="43" s="1"/>
  <c r="AM150" i="42"/>
  <c r="AU149" i="42"/>
  <c r="AQ152" i="31"/>
  <c r="BO152" i="31" s="1"/>
  <c r="AR147" i="43" l="1"/>
  <c r="AT150" i="42"/>
  <c r="AN150" i="42" s="1"/>
  <c r="BN150" i="42" s="1"/>
  <c r="AR152" i="31"/>
  <c r="AM148" i="43" l="1"/>
  <c r="AU147" i="43"/>
  <c r="AO150" i="42"/>
  <c r="AP150" i="42" s="1"/>
  <c r="AM153" i="31"/>
  <c r="AT153" i="31" s="1"/>
  <c r="AU152" i="31"/>
  <c r="AT148" i="43" l="1"/>
  <c r="AN148" i="43" s="1"/>
  <c r="BN148" i="43" s="1"/>
  <c r="AQ150" i="42"/>
  <c r="BO150" i="42" s="1"/>
  <c r="AO148" i="43" l="1"/>
  <c r="AP148" i="43" s="1"/>
  <c r="AR150" i="42"/>
  <c r="AN153" i="31"/>
  <c r="BN153" i="31" s="1"/>
  <c r="AQ148" i="43" l="1"/>
  <c r="BO148" i="43" s="1"/>
  <c r="AM151" i="42"/>
  <c r="AU150" i="42"/>
  <c r="AO153" i="31"/>
  <c r="AP153" i="31" s="1"/>
  <c r="AR148" i="43" l="1"/>
  <c r="AT151" i="42"/>
  <c r="AN151" i="42" s="1"/>
  <c r="BN151" i="42" s="1"/>
  <c r="AQ153" i="31"/>
  <c r="AM149" i="43" l="1"/>
  <c r="AU148" i="43"/>
  <c r="AO151" i="42"/>
  <c r="AP151" i="42" s="1"/>
  <c r="BO153" i="31"/>
  <c r="AR153" i="31" s="1"/>
  <c r="AT149" i="43" l="1"/>
  <c r="AN149" i="43" s="1"/>
  <c r="BN149" i="43" s="1"/>
  <c r="AQ151" i="42"/>
  <c r="BO151" i="42" s="1"/>
  <c r="AM154" i="31"/>
  <c r="AT154" i="31" s="1"/>
  <c r="AU153" i="31"/>
  <c r="AO149" i="43" l="1"/>
  <c r="AP149" i="43" s="1"/>
  <c r="AR151" i="42"/>
  <c r="AN154" i="31"/>
  <c r="BN154" i="31" s="1"/>
  <c r="AQ149" i="43" l="1"/>
  <c r="BO149" i="43" s="1"/>
  <c r="AM152" i="42"/>
  <c r="AU151" i="42"/>
  <c r="AO154" i="31"/>
  <c r="AP154" i="31" s="1"/>
  <c r="AR149" i="43" l="1"/>
  <c r="AT152" i="42"/>
  <c r="AN152" i="42" s="1"/>
  <c r="BN152" i="42" s="1"/>
  <c r="AQ154" i="31"/>
  <c r="AM150" i="43" l="1"/>
  <c r="AU149" i="43"/>
  <c r="AO152" i="42"/>
  <c r="AP152" i="42" s="1"/>
  <c r="BO154" i="31"/>
  <c r="AR154" i="31" s="1"/>
  <c r="AT150" i="43" l="1"/>
  <c r="AN150" i="43" s="1"/>
  <c r="BN150" i="43" s="1"/>
  <c r="AQ152" i="42"/>
  <c r="BO152" i="42" s="1"/>
  <c r="AM155" i="31"/>
  <c r="AT155" i="31" s="1"/>
  <c r="AU154" i="31"/>
  <c r="AO150" i="43" l="1"/>
  <c r="AP150" i="43" s="1"/>
  <c r="AR152" i="42"/>
  <c r="AN155" i="31"/>
  <c r="BN155" i="31" s="1"/>
  <c r="AQ150" i="43" l="1"/>
  <c r="BO150" i="43" s="1"/>
  <c r="AM153" i="42"/>
  <c r="AU152" i="42"/>
  <c r="AO155" i="31"/>
  <c r="AP155" i="31" s="1"/>
  <c r="AR150" i="43" l="1"/>
  <c r="AT153" i="42"/>
  <c r="AN153" i="42" s="1"/>
  <c r="BN153" i="42" s="1"/>
  <c r="AQ155" i="31"/>
  <c r="BO155" i="31" s="1"/>
  <c r="AM151" i="43" l="1"/>
  <c r="AU150" i="43"/>
  <c r="AO153" i="42"/>
  <c r="AP153" i="42" s="1"/>
  <c r="AR155" i="31"/>
  <c r="AT151" i="43" l="1"/>
  <c r="AN151" i="43" s="1"/>
  <c r="BN151" i="43" s="1"/>
  <c r="AQ153" i="42"/>
  <c r="BO153" i="42" s="1"/>
  <c r="AU155" i="31"/>
  <c r="AM156" i="31"/>
  <c r="AT156" i="31" s="1"/>
  <c r="AO151" i="43" l="1"/>
  <c r="AP151" i="43" s="1"/>
  <c r="AR153" i="42"/>
  <c r="AN156" i="31"/>
  <c r="BN156" i="31" s="1"/>
  <c r="AQ151" i="43" l="1"/>
  <c r="BO151" i="43" s="1"/>
  <c r="AM154" i="42"/>
  <c r="AU153" i="42"/>
  <c r="AO156" i="31"/>
  <c r="AP156" i="31" s="1"/>
  <c r="AR151" i="43" l="1"/>
  <c r="AU151" i="43" s="1"/>
  <c r="AT154" i="42"/>
  <c r="AN154" i="42" s="1"/>
  <c r="BN154" i="42" s="1"/>
  <c r="AQ156" i="31"/>
  <c r="AM152" i="43" l="1"/>
  <c r="AT152" i="43" s="1"/>
  <c r="AN152" i="43" s="1"/>
  <c r="BN152" i="43" s="1"/>
  <c r="AO154" i="42"/>
  <c r="AP154" i="42" s="1"/>
  <c r="BO156" i="31"/>
  <c r="AR156" i="31" s="1"/>
  <c r="AO152" i="43" l="1"/>
  <c r="AP152" i="43" s="1"/>
  <c r="AQ154" i="42"/>
  <c r="BO154" i="42" s="1"/>
  <c r="AR154" i="42" s="1"/>
  <c r="AU156" i="31"/>
  <c r="AM157" i="31"/>
  <c r="AT157" i="31" s="1"/>
  <c r="AQ152" i="43" l="1"/>
  <c r="BO152" i="43" s="1"/>
  <c r="AM155" i="42"/>
  <c r="AU154" i="42"/>
  <c r="AN157" i="31"/>
  <c r="BN157" i="31" s="1"/>
  <c r="AR152" i="43" l="1"/>
  <c r="AU152" i="43" s="1"/>
  <c r="AT155" i="42"/>
  <c r="AN155" i="42" s="1"/>
  <c r="BN155" i="42" s="1"/>
  <c r="AO157" i="31"/>
  <c r="AP157" i="31" s="1"/>
  <c r="AM153" i="43" l="1"/>
  <c r="AT153" i="43" s="1"/>
  <c r="AN153" i="43" s="1"/>
  <c r="BN153" i="43" s="1"/>
  <c r="AO155" i="42"/>
  <c r="AP155" i="42" s="1"/>
  <c r="AQ157" i="31"/>
  <c r="AO153" i="43" l="1"/>
  <c r="AP153" i="43" s="1"/>
  <c r="AQ155" i="42"/>
  <c r="BO155" i="42" s="1"/>
  <c r="BO157" i="31"/>
  <c r="AR157" i="31" s="1"/>
  <c r="AQ153" i="43" l="1"/>
  <c r="BO153" i="43" s="1"/>
  <c r="AR155" i="42"/>
  <c r="AU157" i="31"/>
  <c r="AM158" i="31"/>
  <c r="AT158" i="31" s="1"/>
  <c r="AR153" i="43" l="1"/>
  <c r="AM156" i="42"/>
  <c r="AU155" i="42"/>
  <c r="AN158" i="31"/>
  <c r="BN158" i="31" s="1"/>
  <c r="AM154" i="43" l="1"/>
  <c r="AU153" i="43"/>
  <c r="AT156" i="42"/>
  <c r="AN156" i="42" s="1"/>
  <c r="BN156" i="42" s="1"/>
  <c r="AO158" i="31"/>
  <c r="AP158" i="31" s="1"/>
  <c r="AT154" i="43" l="1"/>
  <c r="AN154" i="43" s="1"/>
  <c r="BN154" i="43" s="1"/>
  <c r="AO156" i="42"/>
  <c r="AP156" i="42" s="1"/>
  <c r="AQ158" i="31"/>
  <c r="AO154" i="43" l="1"/>
  <c r="AP154" i="43" s="1"/>
  <c r="AQ156" i="42"/>
  <c r="BO156" i="42" s="1"/>
  <c r="BO158" i="31"/>
  <c r="AR158" i="31" s="1"/>
  <c r="AQ154" i="43" l="1"/>
  <c r="BO154" i="43" s="1"/>
  <c r="AR154" i="43" s="1"/>
  <c r="AR156" i="42"/>
  <c r="AM159" i="31"/>
  <c r="AT159" i="31" s="1"/>
  <c r="AU158" i="31"/>
  <c r="AM155" i="43" l="1"/>
  <c r="AU154" i="43"/>
  <c r="AM157" i="42"/>
  <c r="AU156" i="42"/>
  <c r="AN159" i="31"/>
  <c r="BN159" i="31" s="1"/>
  <c r="AT155" i="43" l="1"/>
  <c r="AN155" i="43" s="1"/>
  <c r="BN155" i="43" s="1"/>
  <c r="AT157" i="42"/>
  <c r="AN157" i="42" s="1"/>
  <c r="BN157" i="42" s="1"/>
  <c r="AO159" i="31"/>
  <c r="AP159" i="31" s="1"/>
  <c r="AO155" i="43" l="1"/>
  <c r="AP155" i="43" s="1"/>
  <c r="AO157" i="42"/>
  <c r="AP157" i="42" s="1"/>
  <c r="AQ159" i="31"/>
  <c r="BO159" i="31" s="1"/>
  <c r="AQ155" i="43" l="1"/>
  <c r="BO155" i="43" s="1"/>
  <c r="AQ157" i="42"/>
  <c r="BO157" i="42" s="1"/>
  <c r="AR159" i="31"/>
  <c r="AR155" i="43" l="1"/>
  <c r="AM156" i="43" s="1"/>
  <c r="AR157" i="42"/>
  <c r="AM160" i="31"/>
  <c r="AT160" i="31" s="1"/>
  <c r="AU159" i="31"/>
  <c r="AU155" i="43" l="1"/>
  <c r="AT156" i="43"/>
  <c r="AN156" i="43" s="1"/>
  <c r="BN156" i="43" s="1"/>
  <c r="AM158" i="42"/>
  <c r="AU157" i="42"/>
  <c r="AO156" i="43" l="1"/>
  <c r="AP156" i="43" s="1"/>
  <c r="AT158" i="42"/>
  <c r="AN158" i="42" s="1"/>
  <c r="BN158" i="42" s="1"/>
  <c r="AN160" i="31"/>
  <c r="BN160" i="31" s="1"/>
  <c r="AQ156" i="43" l="1"/>
  <c r="BO156" i="43" s="1"/>
  <c r="AR156" i="43" s="1"/>
  <c r="AO158" i="42"/>
  <c r="AP158" i="42" s="1"/>
  <c r="AO160" i="31"/>
  <c r="AP160" i="31" s="1"/>
  <c r="AM157" i="43" l="1"/>
  <c r="AU156" i="43"/>
  <c r="AQ158" i="42"/>
  <c r="BO158" i="42" s="1"/>
  <c r="AQ160" i="31"/>
  <c r="AT157" i="43" l="1"/>
  <c r="AN157" i="43" s="1"/>
  <c r="BN157" i="43" s="1"/>
  <c r="AR158" i="42"/>
  <c r="BO160" i="31"/>
  <c r="AR160" i="31" s="1"/>
  <c r="AO157" i="43" l="1"/>
  <c r="AP157" i="43" s="1"/>
  <c r="AM159" i="42"/>
  <c r="AU158" i="42"/>
  <c r="AM161" i="31"/>
  <c r="AT161" i="31" s="1"/>
  <c r="AU160" i="31"/>
  <c r="AQ157" i="43" l="1"/>
  <c r="BO157" i="43" s="1"/>
  <c r="AR157" i="43" s="1"/>
  <c r="AT159" i="42"/>
  <c r="AN159" i="42" s="1"/>
  <c r="BN159" i="42" s="1"/>
  <c r="AN161" i="31"/>
  <c r="BN161" i="31" s="1"/>
  <c r="AM158" i="43" l="1"/>
  <c r="AU157" i="43"/>
  <c r="AO159" i="42"/>
  <c r="AP159" i="42" s="1"/>
  <c r="AO161" i="31"/>
  <c r="AP161" i="31" s="1"/>
  <c r="AT158" i="43" l="1"/>
  <c r="AN158" i="43" s="1"/>
  <c r="BN158" i="43" s="1"/>
  <c r="AQ159" i="42"/>
  <c r="BO159" i="42" s="1"/>
  <c r="AQ161" i="31"/>
  <c r="AO158" i="43" l="1"/>
  <c r="AP158" i="43" s="1"/>
  <c r="AR159" i="42"/>
  <c r="BO161" i="31"/>
  <c r="AR161" i="31" s="1"/>
  <c r="AQ158" i="43" l="1"/>
  <c r="BO158" i="43" s="1"/>
  <c r="AM160" i="42"/>
  <c r="AU159" i="42"/>
  <c r="AU161" i="31"/>
  <c r="AM162" i="31"/>
  <c r="AT162" i="31" s="1"/>
  <c r="AR158" i="43" l="1"/>
  <c r="AT160" i="42"/>
  <c r="AN160" i="42" s="1"/>
  <c r="BN160" i="42" s="1"/>
  <c r="AN162" i="31"/>
  <c r="BN162" i="31" s="1"/>
  <c r="AM159" i="43" l="1"/>
  <c r="AU158" i="43"/>
  <c r="AO160" i="42"/>
  <c r="AP160" i="42" s="1"/>
  <c r="AO162" i="31"/>
  <c r="AP162" i="31" s="1"/>
  <c r="AT159" i="43" l="1"/>
  <c r="AN159" i="43" s="1"/>
  <c r="BN159" i="43" s="1"/>
  <c r="AQ160" i="42"/>
  <c r="BO160" i="42" s="1"/>
  <c r="AQ162" i="31"/>
  <c r="AO159" i="43" l="1"/>
  <c r="AP159" i="43" s="1"/>
  <c r="AR160" i="42"/>
  <c r="BO162" i="31"/>
  <c r="AR162" i="31" s="1"/>
  <c r="AQ159" i="43" l="1"/>
  <c r="BO159" i="43" s="1"/>
  <c r="AM161" i="42"/>
  <c r="AU160" i="42"/>
  <c r="AU162" i="31"/>
  <c r="AM163" i="31"/>
  <c r="AT163" i="31" s="1"/>
  <c r="AR159" i="43" l="1"/>
  <c r="AM160" i="43" s="1"/>
  <c r="AT161" i="42"/>
  <c r="AN161" i="42" s="1"/>
  <c r="BN161" i="42" s="1"/>
  <c r="AN163" i="31"/>
  <c r="BN163" i="31" s="1"/>
  <c r="AU159" i="43" l="1"/>
  <c r="AT160" i="43"/>
  <c r="AN160" i="43" s="1"/>
  <c r="BN160" i="43" s="1"/>
  <c r="AO161" i="42"/>
  <c r="AP161" i="42" s="1"/>
  <c r="AO163" i="31"/>
  <c r="AP163" i="31" s="1"/>
  <c r="AO160" i="43" l="1"/>
  <c r="AP160" i="43" s="1"/>
  <c r="AQ161" i="42"/>
  <c r="BO161" i="42" s="1"/>
  <c r="AQ163" i="31"/>
  <c r="AQ160" i="43" l="1"/>
  <c r="BO160" i="43" s="1"/>
  <c r="AR160" i="43" s="1"/>
  <c r="AR161" i="42"/>
  <c r="BO163" i="31"/>
  <c r="AR163" i="31" s="1"/>
  <c r="AM161" i="43" l="1"/>
  <c r="AU160" i="43"/>
  <c r="AM162" i="42"/>
  <c r="AU161" i="42"/>
  <c r="AM164" i="31"/>
  <c r="AT164" i="31" s="1"/>
  <c r="AU163" i="31"/>
  <c r="AT161" i="43" l="1"/>
  <c r="AN161" i="43" s="1"/>
  <c r="BN161" i="43" s="1"/>
  <c r="AT162" i="42"/>
  <c r="AN162" i="42" s="1"/>
  <c r="BN162" i="42" s="1"/>
  <c r="AN164" i="31"/>
  <c r="BN164" i="31" s="1"/>
  <c r="AO161" i="43" l="1"/>
  <c r="AP161" i="43" s="1"/>
  <c r="AO162" i="42"/>
  <c r="AP162" i="42" s="1"/>
  <c r="AO164" i="31"/>
  <c r="AP164" i="31" s="1"/>
  <c r="AQ161" i="43" l="1"/>
  <c r="BO161" i="43" s="1"/>
  <c r="AR161" i="43" s="1"/>
  <c r="AQ162" i="42"/>
  <c r="BO162" i="42" s="1"/>
  <c r="AR162" i="42" s="1"/>
  <c r="AQ164" i="31"/>
  <c r="AM162" i="43" l="1"/>
  <c r="AU161" i="43"/>
  <c r="AM163" i="42"/>
  <c r="AU162" i="42"/>
  <c r="BO164" i="31"/>
  <c r="AR164" i="31" s="1"/>
  <c r="AT162" i="43" l="1"/>
  <c r="AN162" i="43" s="1"/>
  <c r="BN162" i="43" s="1"/>
  <c r="AT163" i="42"/>
  <c r="AN163" i="42" s="1"/>
  <c r="BN163" i="42" s="1"/>
  <c r="AM165" i="31"/>
  <c r="AT165" i="31" s="1"/>
  <c r="AU164" i="31"/>
  <c r="AO162" i="43" l="1"/>
  <c r="AP162" i="43" s="1"/>
  <c r="AO163" i="42"/>
  <c r="AP163" i="42" s="1"/>
  <c r="AN165" i="31"/>
  <c r="BN165" i="31" s="1"/>
  <c r="AQ162" i="43" l="1"/>
  <c r="BO162" i="43" s="1"/>
  <c r="AQ163" i="42"/>
  <c r="BO163" i="42" s="1"/>
  <c r="AO165" i="31"/>
  <c r="AP165" i="31" s="1"/>
  <c r="AR162" i="43" l="1"/>
  <c r="AR163" i="42"/>
  <c r="AQ165" i="31"/>
  <c r="AM163" i="43" l="1"/>
  <c r="AU162" i="43"/>
  <c r="AM164" i="42"/>
  <c r="AU163" i="42"/>
  <c r="BO165" i="31"/>
  <c r="AR165" i="31" s="1"/>
  <c r="AT163" i="43" l="1"/>
  <c r="AN163" i="43" s="1"/>
  <c r="BN163" i="43" s="1"/>
  <c r="AT164" i="42"/>
  <c r="AN164" i="42" s="1"/>
  <c r="BN164" i="42" s="1"/>
  <c r="AM166" i="31"/>
  <c r="AT166" i="31" s="1"/>
  <c r="AU165" i="31"/>
  <c r="AO163" i="43" l="1"/>
  <c r="AP163" i="43" s="1"/>
  <c r="AO164" i="42"/>
  <c r="AP164" i="42" s="1"/>
  <c r="AN166" i="31"/>
  <c r="BN166" i="31" s="1"/>
  <c r="AQ163" i="43" l="1"/>
  <c r="BO163" i="43" s="1"/>
  <c r="AQ164" i="42"/>
  <c r="BO164" i="42" s="1"/>
  <c r="AO166" i="31"/>
  <c r="AP166" i="31" s="1"/>
  <c r="AR163" i="43" l="1"/>
  <c r="AR164" i="42"/>
  <c r="AQ166" i="31"/>
  <c r="BO166" i="31" s="1"/>
  <c r="AM164" i="43" l="1"/>
  <c r="AU163" i="43"/>
  <c r="AM165" i="42"/>
  <c r="AU164" i="42"/>
  <c r="AR166" i="31"/>
  <c r="AT164" i="43" l="1"/>
  <c r="AN164" i="43" s="1"/>
  <c r="BN164" i="43" s="1"/>
  <c r="AT165" i="42"/>
  <c r="AN165" i="42" s="1"/>
  <c r="BN165" i="42" s="1"/>
  <c r="AU166" i="31"/>
  <c r="AM167" i="31"/>
  <c r="AT167" i="31" s="1"/>
  <c r="AO164" i="43" l="1"/>
  <c r="AP164" i="43" s="1"/>
  <c r="AO165" i="42"/>
  <c r="AP165" i="42" s="1"/>
  <c r="AN167" i="31"/>
  <c r="BN167" i="31" s="1"/>
  <c r="AQ164" i="43" l="1"/>
  <c r="BO164" i="43" s="1"/>
  <c r="AQ165" i="42"/>
  <c r="BO165" i="42" s="1"/>
  <c r="AO167" i="31"/>
  <c r="AP167" i="31" s="1"/>
  <c r="AR164" i="43" l="1"/>
  <c r="AR165" i="42"/>
  <c r="AQ167" i="31"/>
  <c r="AM165" i="43" l="1"/>
  <c r="AU164" i="43"/>
  <c r="AM166" i="42"/>
  <c r="AU165" i="42"/>
  <c r="BO167" i="31"/>
  <c r="AR167" i="31" s="1"/>
  <c r="AT165" i="43" l="1"/>
  <c r="AN165" i="43" s="1"/>
  <c r="BN165" i="43" s="1"/>
  <c r="AT166" i="42"/>
  <c r="AN166" i="42" s="1"/>
  <c r="BN166" i="42" s="1"/>
  <c r="AM168" i="31"/>
  <c r="AT168" i="31" s="1"/>
  <c r="AU167" i="31"/>
  <c r="AO165" i="43" l="1"/>
  <c r="AP165" i="43" s="1"/>
  <c r="AO166" i="42"/>
  <c r="AP166" i="42" s="1"/>
  <c r="AN168" i="31"/>
  <c r="BN168" i="31" s="1"/>
  <c r="AQ165" i="43" l="1"/>
  <c r="BO165" i="43" s="1"/>
  <c r="AQ166" i="42"/>
  <c r="BO166" i="42" s="1"/>
  <c r="AO168" i="31"/>
  <c r="AP168" i="31" s="1"/>
  <c r="AR165" i="43" l="1"/>
  <c r="AR166" i="42"/>
  <c r="AQ168" i="31"/>
  <c r="AM166" i="43" l="1"/>
  <c r="AU165" i="43"/>
  <c r="AM167" i="42"/>
  <c r="AU166" i="42"/>
  <c r="BO168" i="31"/>
  <c r="AR168" i="31" s="1"/>
  <c r="AT166" i="43" l="1"/>
  <c r="AN166" i="43" s="1"/>
  <c r="BN166" i="43" s="1"/>
  <c r="AT167" i="42"/>
  <c r="AN167" i="42" s="1"/>
  <c r="BN167" i="42" s="1"/>
  <c r="AU168" i="31"/>
  <c r="AM169" i="31"/>
  <c r="AT169" i="31" s="1"/>
  <c r="AO166" i="43" l="1"/>
  <c r="AP166" i="43" s="1"/>
  <c r="AO167" i="42"/>
  <c r="AP167" i="42" s="1"/>
  <c r="AN169" i="31"/>
  <c r="BN169" i="31" s="1"/>
  <c r="AQ166" i="43" l="1"/>
  <c r="BO166" i="43" s="1"/>
  <c r="AR166" i="43" s="1"/>
  <c r="AQ167" i="42"/>
  <c r="BO167" i="42" s="1"/>
  <c r="AR167" i="42" s="1"/>
  <c r="AO169" i="31"/>
  <c r="AP169" i="31" s="1"/>
  <c r="AM167" i="43" l="1"/>
  <c r="AU166" i="43"/>
  <c r="AM168" i="42"/>
  <c r="AU167" i="42"/>
  <c r="AQ169" i="31"/>
  <c r="AT167" i="43" l="1"/>
  <c r="AN167" i="43" s="1"/>
  <c r="BN167" i="43" s="1"/>
  <c r="AT168" i="42"/>
  <c r="AN168" i="42" s="1"/>
  <c r="BN168" i="42" s="1"/>
  <c r="BO169" i="31"/>
  <c r="AR169" i="31" s="1"/>
  <c r="AO167" i="43" l="1"/>
  <c r="AP167" i="43" s="1"/>
  <c r="AO168" i="42"/>
  <c r="AP168" i="42" s="1"/>
  <c r="AM170" i="31"/>
  <c r="AT170" i="31" s="1"/>
  <c r="AU169" i="31"/>
  <c r="AQ167" i="43" l="1"/>
  <c r="BO167" i="43" s="1"/>
  <c r="AQ168" i="42"/>
  <c r="BO168" i="42" s="1"/>
  <c r="AN170" i="31"/>
  <c r="BN170" i="31" s="1"/>
  <c r="AR167" i="43" l="1"/>
  <c r="AR168" i="42"/>
  <c r="AO170" i="31"/>
  <c r="AP170" i="31" s="1"/>
  <c r="AM168" i="43" l="1"/>
  <c r="AU167" i="43"/>
  <c r="AM169" i="42"/>
  <c r="AU168" i="42"/>
  <c r="AQ170" i="31"/>
  <c r="BO170" i="31" s="1"/>
  <c r="AT168" i="43" l="1"/>
  <c r="AN168" i="43" s="1"/>
  <c r="BN168" i="43" s="1"/>
  <c r="AT169" i="42"/>
  <c r="AN169" i="42" s="1"/>
  <c r="BN169" i="42" s="1"/>
  <c r="AR170" i="31"/>
  <c r="AO168" i="43" l="1"/>
  <c r="AP168" i="43" s="1"/>
  <c r="AO169" i="42"/>
  <c r="AP169" i="42" s="1"/>
  <c r="AM171" i="31"/>
  <c r="AT171" i="31" s="1"/>
  <c r="AU170" i="31"/>
  <c r="AQ168" i="43" l="1"/>
  <c r="BO168" i="43" s="1"/>
  <c r="AQ169" i="42"/>
  <c r="BO169" i="42" s="1"/>
  <c r="AR168" i="43" l="1"/>
  <c r="AR169" i="42"/>
  <c r="AN171" i="31"/>
  <c r="BN171" i="31" s="1"/>
  <c r="AM169" i="43" l="1"/>
  <c r="AU168" i="43"/>
  <c r="AM170" i="42"/>
  <c r="AU169" i="42"/>
  <c r="AO171" i="31"/>
  <c r="AP171" i="31" s="1"/>
  <c r="AT169" i="43" l="1"/>
  <c r="AN169" i="43" s="1"/>
  <c r="BN169" i="43" s="1"/>
  <c r="AT170" i="42"/>
  <c r="AN170" i="42" s="1"/>
  <c r="BN170" i="42" s="1"/>
  <c r="AQ171" i="31"/>
  <c r="AO169" i="43" l="1"/>
  <c r="AP169" i="43" s="1"/>
  <c r="AO170" i="42"/>
  <c r="AP170" i="42" s="1"/>
  <c r="BO171" i="31"/>
  <c r="AR171" i="31" s="1"/>
  <c r="AQ169" i="43" l="1"/>
  <c r="BO169" i="43" s="1"/>
  <c r="AQ170" i="42"/>
  <c r="BO170" i="42" s="1"/>
  <c r="AR170" i="42" s="1"/>
  <c r="AM172" i="31"/>
  <c r="AT172" i="31" s="1"/>
  <c r="AU171" i="31"/>
  <c r="AR169" i="43" l="1"/>
  <c r="AM171" i="42"/>
  <c r="AU170" i="42"/>
  <c r="AN172" i="31"/>
  <c r="BN172" i="31" s="1"/>
  <c r="AM170" i="43" l="1"/>
  <c r="AU169" i="43"/>
  <c r="AT171" i="42"/>
  <c r="AN171" i="42" s="1"/>
  <c r="BN171" i="42" s="1"/>
  <c r="AO172" i="31"/>
  <c r="AP172" i="31" s="1"/>
  <c r="AT170" i="43" l="1"/>
  <c r="AN170" i="43" s="1"/>
  <c r="BN170" i="43" s="1"/>
  <c r="AO171" i="42"/>
  <c r="AP171" i="42" s="1"/>
  <c r="AQ172" i="31"/>
  <c r="AO170" i="43" l="1"/>
  <c r="AP170" i="43" s="1"/>
  <c r="AQ171" i="42"/>
  <c r="BO171" i="42" s="1"/>
  <c r="BO172" i="31"/>
  <c r="AR172" i="31" s="1"/>
  <c r="AQ170" i="43" l="1"/>
  <c r="BO170" i="43" s="1"/>
  <c r="AR171" i="42"/>
  <c r="AM173" i="31"/>
  <c r="AT173" i="31" s="1"/>
  <c r="AU172" i="31"/>
  <c r="AR170" i="43" l="1"/>
  <c r="AM172" i="42"/>
  <c r="AU171" i="42"/>
  <c r="AN173" i="31"/>
  <c r="BN173" i="31" s="1"/>
  <c r="AM171" i="43" l="1"/>
  <c r="AU170" i="43"/>
  <c r="AT172" i="42"/>
  <c r="AN172" i="42" s="1"/>
  <c r="BN172" i="42" s="1"/>
  <c r="AO173" i="31"/>
  <c r="AP173" i="31" s="1"/>
  <c r="AT171" i="43" l="1"/>
  <c r="AN171" i="43" s="1"/>
  <c r="BN171" i="43" s="1"/>
  <c r="AO172" i="42"/>
  <c r="AP172" i="42" s="1"/>
  <c r="AQ173" i="31"/>
  <c r="BO173" i="31" s="1"/>
  <c r="AO171" i="43" l="1"/>
  <c r="AP171" i="43" s="1"/>
  <c r="AQ172" i="42"/>
  <c r="BO172" i="42" s="1"/>
  <c r="AR173" i="31"/>
  <c r="AQ171" i="43" l="1"/>
  <c r="BO171" i="43" s="1"/>
  <c r="AR172" i="42"/>
  <c r="AU173" i="31"/>
  <c r="AM174" i="31"/>
  <c r="AT174" i="31" s="1"/>
  <c r="AR171" i="43" l="1"/>
  <c r="AM172" i="43" s="1"/>
  <c r="AM173" i="42"/>
  <c r="AU172" i="42"/>
  <c r="AU171" i="43" l="1"/>
  <c r="AT172" i="43"/>
  <c r="AN172" i="43" s="1"/>
  <c r="BN172" i="43" s="1"/>
  <c r="AT173" i="42"/>
  <c r="AN173" i="42" s="1"/>
  <c r="BN173" i="42" s="1"/>
  <c r="AN174" i="31"/>
  <c r="BN174" i="31" s="1"/>
  <c r="AO172" i="43" l="1"/>
  <c r="AP172" i="43" s="1"/>
  <c r="AO173" i="42"/>
  <c r="AP173" i="42" s="1"/>
  <c r="AO174" i="31"/>
  <c r="AP174" i="31" s="1"/>
  <c r="AQ172" i="43" l="1"/>
  <c r="BO172" i="43" s="1"/>
  <c r="AR172" i="43" s="1"/>
  <c r="AQ173" i="42"/>
  <c r="BO173" i="42" s="1"/>
  <c r="AQ174" i="31"/>
  <c r="AM173" i="43" l="1"/>
  <c r="AU172" i="43"/>
  <c r="AR173" i="42"/>
  <c r="AM174" i="42" s="1"/>
  <c r="BO174" i="31"/>
  <c r="AR174" i="31" s="1"/>
  <c r="AT173" i="43" l="1"/>
  <c r="AN173" i="43" s="1"/>
  <c r="BN173" i="43" s="1"/>
  <c r="AU173" i="42"/>
  <c r="AT174" i="42"/>
  <c r="AN174" i="42" s="1"/>
  <c r="BN174" i="42" s="1"/>
  <c r="AU174" i="31"/>
  <c r="AM175" i="31"/>
  <c r="AT175" i="31" s="1"/>
  <c r="AO173" i="43" l="1"/>
  <c r="AP173" i="43" s="1"/>
  <c r="AO174" i="42"/>
  <c r="AP174" i="42" s="1"/>
  <c r="AN175" i="31"/>
  <c r="BN175" i="31" s="1"/>
  <c r="AQ173" i="43" l="1"/>
  <c r="BO173" i="43" s="1"/>
  <c r="AQ174" i="42"/>
  <c r="BO174" i="42" s="1"/>
  <c r="AO175" i="31"/>
  <c r="AP175" i="31" s="1"/>
  <c r="AR173" i="43" l="1"/>
  <c r="AM174" i="43" s="1"/>
  <c r="AR174" i="42"/>
  <c r="AQ175" i="31"/>
  <c r="AU173" i="43" l="1"/>
  <c r="AT174" i="43"/>
  <c r="AN174" i="43" s="1"/>
  <c r="BN174" i="43" s="1"/>
  <c r="AM175" i="42"/>
  <c r="AU174" i="42"/>
  <c r="BO175" i="31"/>
  <c r="AR175" i="31" s="1"/>
  <c r="AO174" i="43" l="1"/>
  <c r="AP174" i="43" s="1"/>
  <c r="AT175" i="42"/>
  <c r="AN175" i="42" s="1"/>
  <c r="BN175" i="42" s="1"/>
  <c r="AM176" i="31"/>
  <c r="AT176" i="31" s="1"/>
  <c r="AU175" i="31"/>
  <c r="AQ174" i="43" l="1"/>
  <c r="BO174" i="43" s="1"/>
  <c r="AO175" i="42"/>
  <c r="AP175" i="42" s="1"/>
  <c r="AN176" i="31"/>
  <c r="BN176" i="31" s="1"/>
  <c r="AR174" i="43" l="1"/>
  <c r="AQ175" i="42"/>
  <c r="BO175" i="42" s="1"/>
  <c r="AO176" i="31"/>
  <c r="AP176" i="31" s="1"/>
  <c r="AM175" i="43" l="1"/>
  <c r="AU174" i="43"/>
  <c r="AR175" i="42"/>
  <c r="AQ176" i="31"/>
  <c r="AT175" i="43" l="1"/>
  <c r="AN175" i="43" s="1"/>
  <c r="BN175" i="43" s="1"/>
  <c r="AM176" i="42"/>
  <c r="AU175" i="42"/>
  <c r="BO176" i="31"/>
  <c r="AR176" i="31" s="1"/>
  <c r="AO175" i="43" l="1"/>
  <c r="AP175" i="43" s="1"/>
  <c r="AT176" i="42"/>
  <c r="AN176" i="42" s="1"/>
  <c r="BN176" i="42" s="1"/>
  <c r="AM177" i="31"/>
  <c r="AT177" i="31" s="1"/>
  <c r="AU176" i="31"/>
  <c r="AQ175" i="43" l="1"/>
  <c r="BO175" i="43" s="1"/>
  <c r="AO176" i="42"/>
  <c r="AP176" i="42" s="1"/>
  <c r="AN177" i="31"/>
  <c r="BN177" i="31" s="1"/>
  <c r="AR175" i="43" l="1"/>
  <c r="AQ176" i="42"/>
  <c r="BO176" i="42" s="1"/>
  <c r="AO177" i="31"/>
  <c r="AP177" i="31" s="1"/>
  <c r="AM176" i="43" l="1"/>
  <c r="AU175" i="43"/>
  <c r="AR176" i="42"/>
  <c r="AQ177" i="31"/>
  <c r="BO177" i="31" s="1"/>
  <c r="AT176" i="43" l="1"/>
  <c r="AN176" i="43" s="1"/>
  <c r="BN176" i="43" s="1"/>
  <c r="AM177" i="42"/>
  <c r="AU176" i="42"/>
  <c r="AR177" i="31"/>
  <c r="AO176" i="43" l="1"/>
  <c r="AP176" i="43" s="1"/>
  <c r="AT177" i="42"/>
  <c r="AN177" i="42" s="1"/>
  <c r="BN177" i="42" s="1"/>
  <c r="AM178" i="31"/>
  <c r="AT178" i="31" s="1"/>
  <c r="AU177" i="31"/>
  <c r="AQ176" i="43" l="1"/>
  <c r="BO176" i="43" s="1"/>
  <c r="AR176" i="43" s="1"/>
  <c r="AO177" i="42"/>
  <c r="AP177" i="42" s="1"/>
  <c r="AM177" i="43" l="1"/>
  <c r="AU176" i="43"/>
  <c r="AQ177" i="42"/>
  <c r="BO177" i="42" s="1"/>
  <c r="AN178" i="31"/>
  <c r="BN178" i="31" s="1"/>
  <c r="AT177" i="43" l="1"/>
  <c r="AN177" i="43" s="1"/>
  <c r="BN177" i="43" s="1"/>
  <c r="AR177" i="42"/>
  <c r="AO178" i="31"/>
  <c r="AP178" i="31" s="1"/>
  <c r="AO177" i="43" l="1"/>
  <c r="AP177" i="43" s="1"/>
  <c r="AM178" i="42"/>
  <c r="AU177" i="42"/>
  <c r="AQ178" i="31"/>
  <c r="BO178" i="31" s="1"/>
  <c r="AQ177" i="43" l="1"/>
  <c r="BO177" i="43" s="1"/>
  <c r="AT178" i="42"/>
  <c r="AN178" i="42" s="1"/>
  <c r="BN178" i="42" s="1"/>
  <c r="AR178" i="31"/>
  <c r="AR177" i="43" l="1"/>
  <c r="AO178" i="42"/>
  <c r="AP178" i="42" s="1"/>
  <c r="AM179" i="31"/>
  <c r="AT179" i="31" s="1"/>
  <c r="AU178" i="31"/>
  <c r="AM178" i="43" l="1"/>
  <c r="AU177" i="43"/>
  <c r="AQ178" i="42"/>
  <c r="BO178" i="42" s="1"/>
  <c r="AR178" i="42" s="1"/>
  <c r="AT178" i="43" l="1"/>
  <c r="AN178" i="43" s="1"/>
  <c r="BN178" i="43" s="1"/>
  <c r="AM179" i="42"/>
  <c r="AU178" i="42"/>
  <c r="AN179" i="31"/>
  <c r="BN179" i="31" s="1"/>
  <c r="AO178" i="43" l="1"/>
  <c r="AP178" i="43" s="1"/>
  <c r="AT179" i="42"/>
  <c r="AN179" i="42" s="1"/>
  <c r="BN179" i="42" s="1"/>
  <c r="AO179" i="31"/>
  <c r="AP179" i="31" s="1"/>
  <c r="AQ178" i="43" l="1"/>
  <c r="BO178" i="43" s="1"/>
  <c r="AR178" i="43" s="1"/>
  <c r="AO179" i="42"/>
  <c r="AP179" i="42" s="1"/>
  <c r="AQ179" i="31"/>
  <c r="AM179" i="43" l="1"/>
  <c r="AU178" i="43"/>
  <c r="AQ179" i="42"/>
  <c r="BO179" i="42" s="1"/>
  <c r="BO179" i="31"/>
  <c r="AR179" i="31" s="1"/>
  <c r="AT179" i="43" l="1"/>
  <c r="AN179" i="43" s="1"/>
  <c r="BN179" i="43" s="1"/>
  <c r="AR179" i="42"/>
  <c r="AM180" i="31"/>
  <c r="AT180" i="31" s="1"/>
  <c r="AU179" i="31"/>
  <c r="AO179" i="43" l="1"/>
  <c r="AP179" i="43" s="1"/>
  <c r="AM180" i="42"/>
  <c r="AU179" i="42"/>
  <c r="AN180" i="31"/>
  <c r="BN180" i="31" s="1"/>
  <c r="AQ179" i="43" l="1"/>
  <c r="BO179" i="43" s="1"/>
  <c r="AT180" i="42"/>
  <c r="AN180" i="42" s="1"/>
  <c r="BN180" i="42" s="1"/>
  <c r="AO180" i="31"/>
  <c r="AP180" i="31" s="1"/>
  <c r="AR179" i="43" l="1"/>
  <c r="AO180" i="42"/>
  <c r="AP180" i="42" s="1"/>
  <c r="AQ180" i="31"/>
  <c r="AM180" i="43" l="1"/>
  <c r="AU179" i="43"/>
  <c r="AQ180" i="42"/>
  <c r="BO180" i="42" s="1"/>
  <c r="BO180" i="31"/>
  <c r="AR180" i="31" s="1"/>
  <c r="AT180" i="43" l="1"/>
  <c r="AN180" i="43" s="1"/>
  <c r="BN180" i="43" s="1"/>
  <c r="AR180" i="42"/>
  <c r="AM181" i="31"/>
  <c r="AT181" i="31" s="1"/>
  <c r="AU180" i="31"/>
  <c r="AO180" i="43" l="1"/>
  <c r="AP180" i="43" s="1"/>
  <c r="AM181" i="42"/>
  <c r="AU180" i="42"/>
  <c r="AN181" i="31"/>
  <c r="BN181" i="31" s="1"/>
  <c r="AQ180" i="43" l="1"/>
  <c r="BO180" i="43" s="1"/>
  <c r="AT181" i="42"/>
  <c r="AN181" i="42" s="1"/>
  <c r="BN181" i="42" s="1"/>
  <c r="AO181" i="31"/>
  <c r="AP181" i="31" s="1"/>
  <c r="AR180" i="43" l="1"/>
  <c r="AM181" i="43" s="1"/>
  <c r="AO181" i="42"/>
  <c r="AP181" i="42" s="1"/>
  <c r="AQ181" i="31"/>
  <c r="AU180" i="43" l="1"/>
  <c r="AT181" i="43"/>
  <c r="AN181" i="43" s="1"/>
  <c r="BN181" i="43" s="1"/>
  <c r="AQ181" i="42"/>
  <c r="BO181" i="42" s="1"/>
  <c r="AR181" i="42" s="1"/>
  <c r="BO181" i="31"/>
  <c r="AR181" i="31" s="1"/>
  <c r="AO181" i="43" l="1"/>
  <c r="AP181" i="43" s="1"/>
  <c r="AM182" i="42"/>
  <c r="AU181" i="42"/>
  <c r="AM182" i="31"/>
  <c r="AT182" i="31" s="1"/>
  <c r="AU181" i="31"/>
  <c r="AQ181" i="43" l="1"/>
  <c r="BO181" i="43" s="1"/>
  <c r="AT182" i="42"/>
  <c r="AN182" i="42" s="1"/>
  <c r="BN182" i="42" s="1"/>
  <c r="AN182" i="31"/>
  <c r="BN182" i="31" s="1"/>
  <c r="AR181" i="43" l="1"/>
  <c r="AO182" i="42"/>
  <c r="AP182" i="42" s="1"/>
  <c r="AO182" i="31"/>
  <c r="AP182" i="31" s="1"/>
  <c r="AM182" i="43" l="1"/>
  <c r="AU181" i="43"/>
  <c r="AQ182" i="42"/>
  <c r="BO182" i="42" s="1"/>
  <c r="AR182" i="42" s="1"/>
  <c r="AQ182" i="31"/>
  <c r="AT182" i="43" l="1"/>
  <c r="AN182" i="43" s="1"/>
  <c r="BN182" i="43" s="1"/>
  <c r="AM183" i="42"/>
  <c r="AU182" i="42"/>
  <c r="BO182" i="31"/>
  <c r="AR182" i="31" s="1"/>
  <c r="AO182" i="43" l="1"/>
  <c r="AP182" i="43" s="1"/>
  <c r="AT183" i="42"/>
  <c r="AN183" i="42" s="1"/>
  <c r="BN183" i="42" s="1"/>
  <c r="AU182" i="31"/>
  <c r="AM183" i="31"/>
  <c r="AT183" i="31" s="1"/>
  <c r="AQ182" i="43" l="1"/>
  <c r="BO182" i="43" s="1"/>
  <c r="AO183" i="42"/>
  <c r="AP183" i="42" s="1"/>
  <c r="AN183" i="31"/>
  <c r="BN183" i="31" s="1"/>
  <c r="AR182" i="43" l="1"/>
  <c r="AQ183" i="42"/>
  <c r="BO183" i="42" s="1"/>
  <c r="AO183" i="31"/>
  <c r="AP183" i="31" s="1"/>
  <c r="AM183" i="43" l="1"/>
  <c r="AU182" i="43"/>
  <c r="AR183" i="42"/>
  <c r="AQ183" i="31"/>
  <c r="AT183" i="43" l="1"/>
  <c r="AN183" i="43" s="1"/>
  <c r="BN183" i="43" s="1"/>
  <c r="AM184" i="42"/>
  <c r="AU183" i="42"/>
  <c r="BO183" i="31"/>
  <c r="AR183" i="31" s="1"/>
  <c r="AO183" i="43" l="1"/>
  <c r="AP183" i="43" s="1"/>
  <c r="AT184" i="42"/>
  <c r="AN184" i="42" s="1"/>
  <c r="BN184" i="42" s="1"/>
  <c r="AM184" i="31"/>
  <c r="AT184" i="31" s="1"/>
  <c r="AU183" i="31"/>
  <c r="AQ183" i="43" l="1"/>
  <c r="BO183" i="43" s="1"/>
  <c r="AO184" i="42"/>
  <c r="AP184" i="42" s="1"/>
  <c r="AN184" i="31"/>
  <c r="BN184" i="31" s="1"/>
  <c r="AR183" i="43" l="1"/>
  <c r="AQ184" i="42"/>
  <c r="BO184" i="42" s="1"/>
  <c r="AO184" i="31"/>
  <c r="AP184" i="31" s="1"/>
  <c r="AM184" i="43" l="1"/>
  <c r="AU183" i="43"/>
  <c r="AR184" i="42"/>
  <c r="AQ184" i="31"/>
  <c r="BO184" i="31" s="1"/>
  <c r="AT184" i="43" l="1"/>
  <c r="AN184" i="43" s="1"/>
  <c r="BN184" i="43" s="1"/>
  <c r="AM185" i="42"/>
  <c r="AU184" i="42"/>
  <c r="AR184" i="31"/>
  <c r="AO184" i="43" l="1"/>
  <c r="AP184" i="43" s="1"/>
  <c r="AT185" i="42"/>
  <c r="AN185" i="42" s="1"/>
  <c r="BN185" i="42" s="1"/>
  <c r="AU184" i="31"/>
  <c r="AM185" i="31"/>
  <c r="AT185" i="31" s="1"/>
  <c r="AQ184" i="43" l="1"/>
  <c r="BO184" i="43" s="1"/>
  <c r="AO185" i="42"/>
  <c r="AP185" i="42" s="1"/>
  <c r="AR184" i="43" l="1"/>
  <c r="AQ185" i="42"/>
  <c r="BO185" i="42" s="1"/>
  <c r="AN185" i="31"/>
  <c r="BN185" i="31" s="1"/>
  <c r="AM185" i="43" l="1"/>
  <c r="AU184" i="43"/>
  <c r="AR185" i="42"/>
  <c r="AO185" i="31"/>
  <c r="AP185" i="31" s="1"/>
  <c r="AT185" i="43" l="1"/>
  <c r="AN185" i="43" s="1"/>
  <c r="BN185" i="43" s="1"/>
  <c r="AM186" i="42"/>
  <c r="AU185" i="42"/>
  <c r="AQ185" i="31"/>
  <c r="BO185" i="31" s="1"/>
  <c r="AO185" i="43" l="1"/>
  <c r="AP185" i="43" s="1"/>
  <c r="AT186" i="42"/>
  <c r="AN186" i="42" s="1"/>
  <c r="BN186" i="42" s="1"/>
  <c r="AR185" i="31"/>
  <c r="AQ185" i="43" l="1"/>
  <c r="BO185" i="43" s="1"/>
  <c r="AO186" i="42"/>
  <c r="AM186" i="31"/>
  <c r="AT186" i="31" s="1"/>
  <c r="AU185" i="31"/>
  <c r="AP186" i="42" l="1"/>
  <c r="AQ186" i="42" s="1"/>
  <c r="BO186" i="42" s="1"/>
  <c r="AR185" i="43"/>
  <c r="AU185" i="43" s="1"/>
  <c r="AM186" i="43" l="1"/>
  <c r="AT186" i="43" s="1"/>
  <c r="AN186" i="43" s="1"/>
  <c r="BN186" i="43" s="1"/>
  <c r="AR186" i="42"/>
  <c r="AN186" i="31"/>
  <c r="BN186" i="31" s="1"/>
  <c r="AO186" i="43" l="1"/>
  <c r="AP186" i="43" s="1"/>
  <c r="AM187" i="42"/>
  <c r="AU186" i="42"/>
  <c r="AO186" i="31"/>
  <c r="AP186" i="31" l="1"/>
  <c r="AQ186" i="31" s="1"/>
  <c r="AQ186" i="43"/>
  <c r="BO186" i="43" s="1"/>
  <c r="AT187" i="42"/>
  <c r="AN187" i="42" s="1"/>
  <c r="BN187" i="42" s="1"/>
  <c r="AO187" i="42" l="1"/>
  <c r="AP187" i="42" s="1"/>
  <c r="AQ187" i="42" s="1"/>
  <c r="BO187" i="42" s="1"/>
  <c r="AR187" i="42" s="1"/>
  <c r="AR186" i="43"/>
  <c r="AM187" i="43" s="1"/>
  <c r="BO186" i="31"/>
  <c r="AR186" i="31" s="1"/>
  <c r="AU186" i="43" l="1"/>
  <c r="AT187" i="43"/>
  <c r="AN187" i="43" s="1"/>
  <c r="BN187" i="43" s="1"/>
  <c r="AO187" i="43" s="1"/>
  <c r="AP187" i="43" s="1"/>
  <c r="AM188" i="42"/>
  <c r="AU187" i="42"/>
  <c r="AM187" i="31"/>
  <c r="AT187" i="31" s="1"/>
  <c r="AU186" i="31"/>
  <c r="AQ187" i="43" l="1"/>
  <c r="BO187" i="43" s="1"/>
  <c r="AT188" i="42"/>
  <c r="AN188" i="42" s="1"/>
  <c r="BN188" i="42" s="1"/>
  <c r="AN187" i="31"/>
  <c r="BN187" i="31" s="1"/>
  <c r="AO188" i="42" l="1"/>
  <c r="AP188" i="42" s="1"/>
  <c r="AQ188" i="42" s="1"/>
  <c r="BO188" i="42" s="1"/>
  <c r="AR187" i="43"/>
  <c r="AO187" i="31"/>
  <c r="AP187" i="31" s="1"/>
  <c r="AM188" i="43" l="1"/>
  <c r="AU187" i="43"/>
  <c r="AR188" i="42"/>
  <c r="AQ187" i="31"/>
  <c r="AT188" i="43" l="1"/>
  <c r="AN188" i="43" s="1"/>
  <c r="BN188" i="43" s="1"/>
  <c r="AM189" i="42"/>
  <c r="AU188" i="42"/>
  <c r="BO187" i="31"/>
  <c r="AR187" i="31" s="1"/>
  <c r="AO188" i="43" l="1"/>
  <c r="AP188" i="43" s="1"/>
  <c r="AQ188" i="43" s="1"/>
  <c r="BO188" i="43" s="1"/>
  <c r="AT189" i="42"/>
  <c r="AN189" i="42" s="1"/>
  <c r="BN189" i="42" s="1"/>
  <c r="AM188" i="31"/>
  <c r="AT188" i="31" s="1"/>
  <c r="AU187" i="31"/>
  <c r="AO189" i="42" l="1"/>
  <c r="AP189" i="42" s="1"/>
  <c r="AQ189" i="42" s="1"/>
  <c r="BO189" i="42" s="1"/>
  <c r="AR188" i="43"/>
  <c r="AM189" i="43" s="1"/>
  <c r="AN188" i="31"/>
  <c r="BN188" i="31" s="1"/>
  <c r="AU188" i="43" l="1"/>
  <c r="AT189" i="43"/>
  <c r="AN189" i="43" s="1"/>
  <c r="BN189" i="43" s="1"/>
  <c r="AR189" i="42"/>
  <c r="AO188" i="31"/>
  <c r="AP188" i="31" s="1"/>
  <c r="AO189" i="43" l="1"/>
  <c r="AP189" i="43" s="1"/>
  <c r="AQ189" i="43" s="1"/>
  <c r="BO189" i="43" s="1"/>
  <c r="AM190" i="42"/>
  <c r="AU189" i="42"/>
  <c r="AQ188" i="31"/>
  <c r="AR189" i="43" l="1"/>
  <c r="AU189" i="43" s="1"/>
  <c r="AT190" i="42"/>
  <c r="AN190" i="42" s="1"/>
  <c r="BN190" i="42" s="1"/>
  <c r="AO190" i="42" s="1"/>
  <c r="AP190" i="42" s="1"/>
  <c r="BO188" i="31"/>
  <c r="AR188" i="31" s="1"/>
  <c r="AM190" i="43" l="1"/>
  <c r="AQ190" i="42"/>
  <c r="BO190" i="42" s="1"/>
  <c r="AR190" i="42" s="1"/>
  <c r="AU188" i="31"/>
  <c r="AM189" i="31"/>
  <c r="AT189" i="31" s="1"/>
  <c r="AT190" i="43" l="1"/>
  <c r="AN190" i="43" s="1"/>
  <c r="BN190" i="43" s="1"/>
  <c r="AM191" i="42"/>
  <c r="AU190" i="42"/>
  <c r="AN189" i="31"/>
  <c r="BN189" i="31" s="1"/>
  <c r="AO190" i="43" l="1"/>
  <c r="AP190" i="43" s="1"/>
  <c r="AQ190" i="43" s="1"/>
  <c r="BO190" i="43" s="1"/>
  <c r="AT191" i="42"/>
  <c r="AN191" i="42" s="1"/>
  <c r="BN191" i="42" s="1"/>
  <c r="AO189" i="31"/>
  <c r="AP189" i="31" s="1"/>
  <c r="AR190" i="43" l="1"/>
  <c r="AU190" i="43" s="1"/>
  <c r="AO191" i="42"/>
  <c r="AP191" i="42" s="1"/>
  <c r="AQ191" i="42" s="1"/>
  <c r="BO191" i="42" s="1"/>
  <c r="AQ189" i="31"/>
  <c r="BO189" i="31" s="1"/>
  <c r="AM191" i="43" l="1"/>
  <c r="AT191" i="43" s="1"/>
  <c r="AN191" i="43" s="1"/>
  <c r="BN191" i="43" s="1"/>
  <c r="AR191" i="42"/>
  <c r="AR189" i="31"/>
  <c r="AO191" i="43" l="1"/>
  <c r="AP191" i="43" s="1"/>
  <c r="AQ191" i="43" s="1"/>
  <c r="BO191" i="43" s="1"/>
  <c r="AM192" i="42"/>
  <c r="AU191" i="42"/>
  <c r="AM190" i="31"/>
  <c r="AT190" i="31" s="1"/>
  <c r="AU189" i="31"/>
  <c r="AR191" i="43" l="1"/>
  <c r="AU191" i="43" s="1"/>
  <c r="AT192" i="42"/>
  <c r="AN192" i="42" s="1"/>
  <c r="BN192" i="42" s="1"/>
  <c r="AM192" i="43" l="1"/>
  <c r="AT192" i="43" s="1"/>
  <c r="AN192" i="43" s="1"/>
  <c r="BN192" i="43" s="1"/>
  <c r="AO192" i="42"/>
  <c r="AP192" i="42" s="1"/>
  <c r="AQ192" i="42" s="1"/>
  <c r="BO192" i="42" s="1"/>
  <c r="AN190" i="31"/>
  <c r="BN190" i="31" s="1"/>
  <c r="AO192" i="43" l="1"/>
  <c r="AP192" i="43" s="1"/>
  <c r="AQ192" i="43" s="1"/>
  <c r="BO192" i="43" s="1"/>
  <c r="AR192" i="42"/>
  <c r="AO190" i="31"/>
  <c r="AP190" i="31" s="1"/>
  <c r="AR192" i="43" l="1"/>
  <c r="AM193" i="42"/>
  <c r="AU192" i="42"/>
  <c r="AQ190" i="31"/>
  <c r="AM193" i="43" l="1"/>
  <c r="AU192" i="43"/>
  <c r="AT193" i="42"/>
  <c r="AN193" i="42" s="1"/>
  <c r="BN193" i="42" s="1"/>
  <c r="BO190" i="31"/>
  <c r="AR190" i="31" s="1"/>
  <c r="AO193" i="42" l="1"/>
  <c r="AP193" i="42" s="1"/>
  <c r="AQ193" i="42" s="1"/>
  <c r="BO193" i="42" s="1"/>
  <c r="AT193" i="43"/>
  <c r="AN193" i="43" s="1"/>
  <c r="BN193" i="43" s="1"/>
  <c r="AM191" i="31"/>
  <c r="AT191" i="31" s="1"/>
  <c r="AU190" i="31"/>
  <c r="AO193" i="43" l="1"/>
  <c r="AP193" i="43" s="1"/>
  <c r="AQ193" i="43" s="1"/>
  <c r="BO193" i="43" s="1"/>
  <c r="AR193" i="42"/>
  <c r="AM194" i="42" s="1"/>
  <c r="AN191" i="31"/>
  <c r="BN191" i="31" s="1"/>
  <c r="AR193" i="43" l="1"/>
  <c r="AU193" i="42"/>
  <c r="AT194" i="42"/>
  <c r="AN194" i="42" s="1"/>
  <c r="BN194" i="42" s="1"/>
  <c r="AO191" i="31"/>
  <c r="AP191" i="31" s="1"/>
  <c r="AO194" i="42" l="1"/>
  <c r="AP194" i="42" s="1"/>
  <c r="AQ194" i="42" s="1"/>
  <c r="BO194" i="42" s="1"/>
  <c r="AM194" i="43"/>
  <c r="AU193" i="43"/>
  <c r="AQ191" i="31"/>
  <c r="BO191" i="31" s="1"/>
  <c r="AT194" i="43" l="1"/>
  <c r="AN194" i="43" s="1"/>
  <c r="BN194" i="43" s="1"/>
  <c r="AO194" i="43" s="1"/>
  <c r="AP194" i="43" s="1"/>
  <c r="AR194" i="42"/>
  <c r="AR191" i="31"/>
  <c r="AQ194" i="43" l="1"/>
  <c r="BO194" i="43" s="1"/>
  <c r="AR194" i="43" s="1"/>
  <c r="AM195" i="42"/>
  <c r="AU194" i="42"/>
  <c r="AM192" i="31"/>
  <c r="AT192" i="31" s="1"/>
  <c r="AU191" i="31"/>
  <c r="AM195" i="43" l="1"/>
  <c r="AU194" i="43"/>
  <c r="AT195" i="42"/>
  <c r="AN195" i="42" s="1"/>
  <c r="BN195" i="42" s="1"/>
  <c r="AO195" i="42" l="1"/>
  <c r="AP195" i="42" s="1"/>
  <c r="AQ195" i="42" s="1"/>
  <c r="BO195" i="42" s="1"/>
  <c r="AT195" i="43"/>
  <c r="AN195" i="43" s="1"/>
  <c r="BN195" i="43" s="1"/>
  <c r="AN192" i="31"/>
  <c r="BN192" i="31" s="1"/>
  <c r="AO195" i="43" l="1"/>
  <c r="AP195" i="43" s="1"/>
  <c r="AQ195" i="43" s="1"/>
  <c r="BO195" i="43" s="1"/>
  <c r="AR195" i="42"/>
  <c r="AO192" i="31"/>
  <c r="AP192" i="31" s="1"/>
  <c r="AR195" i="43" l="1"/>
  <c r="AM196" i="42"/>
  <c r="AU195" i="42"/>
  <c r="AQ192" i="31"/>
  <c r="AM196" i="43" l="1"/>
  <c r="AU195" i="43"/>
  <c r="AT196" i="42"/>
  <c r="AN196" i="42" s="1"/>
  <c r="BN196" i="42" s="1"/>
  <c r="BO192" i="31"/>
  <c r="AR192" i="31" s="1"/>
  <c r="AO196" i="42" l="1"/>
  <c r="AP196" i="42" s="1"/>
  <c r="AQ196" i="42" s="1"/>
  <c r="BO196" i="42" s="1"/>
  <c r="AT196" i="43"/>
  <c r="AN196" i="43" s="1"/>
  <c r="BN196" i="43" s="1"/>
  <c r="AU192" i="31"/>
  <c r="AM193" i="31"/>
  <c r="AT193" i="31" s="1"/>
  <c r="AO196" i="43" l="1"/>
  <c r="AP196" i="43" s="1"/>
  <c r="AQ196" i="43" s="1"/>
  <c r="BO196" i="43" s="1"/>
  <c r="AR196" i="42"/>
  <c r="AN193" i="31"/>
  <c r="BN193" i="31" s="1"/>
  <c r="AR196" i="43" l="1"/>
  <c r="AM197" i="42"/>
  <c r="AU196" i="42"/>
  <c r="AO193" i="31"/>
  <c r="AP193" i="31" s="1"/>
  <c r="AM197" i="43" l="1"/>
  <c r="AU196" i="43"/>
  <c r="AT197" i="42"/>
  <c r="AN197" i="42" s="1"/>
  <c r="BN197" i="42" s="1"/>
  <c r="AQ193" i="31"/>
  <c r="AO197" i="42" l="1"/>
  <c r="AP197" i="42" s="1"/>
  <c r="AQ197" i="42" s="1"/>
  <c r="BO197" i="42" s="1"/>
  <c r="AT197" i="43"/>
  <c r="AN197" i="43" s="1"/>
  <c r="BN197" i="43" s="1"/>
  <c r="BO193" i="31"/>
  <c r="AR193" i="31" s="1"/>
  <c r="AO197" i="43" l="1"/>
  <c r="AP197" i="43" s="1"/>
  <c r="AQ197" i="43" s="1"/>
  <c r="BO197" i="43" s="1"/>
  <c r="AR197" i="42"/>
  <c r="AU193" i="31"/>
  <c r="AM194" i="31"/>
  <c r="AT194" i="31" s="1"/>
  <c r="AR197" i="43" l="1"/>
  <c r="AM198" i="42"/>
  <c r="AU197" i="42"/>
  <c r="AN194" i="31"/>
  <c r="BN194" i="31" s="1"/>
  <c r="AM198" i="43" l="1"/>
  <c r="AU197" i="43"/>
  <c r="AT198" i="42"/>
  <c r="AN198" i="42" s="1"/>
  <c r="BN198" i="42" s="1"/>
  <c r="AO194" i="31"/>
  <c r="AP194" i="31" s="1"/>
  <c r="AO198" i="42" l="1"/>
  <c r="AP198" i="42" s="1"/>
  <c r="AQ198" i="42" s="1"/>
  <c r="BO198" i="42" s="1"/>
  <c r="AR198" i="42" s="1"/>
  <c r="AT198" i="43"/>
  <c r="AN198" i="43" s="1"/>
  <c r="BN198" i="43" s="1"/>
  <c r="AQ194" i="31"/>
  <c r="AO198" i="43" l="1"/>
  <c r="AP198" i="43" s="1"/>
  <c r="AQ198" i="43" s="1"/>
  <c r="BO198" i="43" s="1"/>
  <c r="AR198" i="43" s="1"/>
  <c r="AM199" i="42"/>
  <c r="AU198" i="42"/>
  <c r="BO194" i="31"/>
  <c r="AR194" i="31" s="1"/>
  <c r="AM199" i="43" l="1"/>
  <c r="AU198" i="43"/>
  <c r="AT199" i="42"/>
  <c r="AN199" i="42" s="1"/>
  <c r="BN199" i="42" s="1"/>
  <c r="AU194" i="31"/>
  <c r="AM195" i="31"/>
  <c r="AT195" i="31" s="1"/>
  <c r="AO199" i="42" l="1"/>
  <c r="AP199" i="42" s="1"/>
  <c r="AQ199" i="42" s="1"/>
  <c r="BO199" i="42" s="1"/>
  <c r="AT199" i="43"/>
  <c r="AN199" i="43" s="1"/>
  <c r="BN199" i="43" s="1"/>
  <c r="AN195" i="31"/>
  <c r="BN195" i="31" s="1"/>
  <c r="AO199" i="43" l="1"/>
  <c r="AP199" i="43" s="1"/>
  <c r="AQ199" i="43" s="1"/>
  <c r="BO199" i="43" s="1"/>
  <c r="AR199" i="42"/>
  <c r="AO195" i="31"/>
  <c r="AP195" i="31" s="1"/>
  <c r="AR199" i="43" l="1"/>
  <c r="AM200" i="43" s="1"/>
  <c r="AM200" i="42"/>
  <c r="AU199" i="42"/>
  <c r="AQ195" i="31"/>
  <c r="BO195" i="31" s="1"/>
  <c r="AU199" i="43" l="1"/>
  <c r="AT200" i="43"/>
  <c r="AN200" i="43" s="1"/>
  <c r="BN200" i="43" s="1"/>
  <c r="AT200" i="42"/>
  <c r="AN200" i="42" s="1"/>
  <c r="BN200" i="42" s="1"/>
  <c r="AR195" i="31"/>
  <c r="AO200" i="43" l="1"/>
  <c r="AP200" i="43" s="1"/>
  <c r="AQ200" i="43" s="1"/>
  <c r="BO200" i="43" s="1"/>
  <c r="AO200" i="42"/>
  <c r="AP200" i="42" s="1"/>
  <c r="AQ200" i="42" s="1"/>
  <c r="BO200" i="42" s="1"/>
  <c r="AR200" i="42" s="1"/>
  <c r="AU195" i="31"/>
  <c r="AM196" i="31"/>
  <c r="AT196" i="31" s="1"/>
  <c r="AR200" i="43" l="1"/>
  <c r="AM201" i="42"/>
  <c r="AU200" i="42"/>
  <c r="AM201" i="43" l="1"/>
  <c r="AU200" i="43"/>
  <c r="AT201" i="42"/>
  <c r="AN201" i="42" s="1"/>
  <c r="BN201" i="42" s="1"/>
  <c r="AN196" i="31"/>
  <c r="BN196" i="31" s="1"/>
  <c r="AO201" i="42" l="1"/>
  <c r="AP201" i="42" s="1"/>
  <c r="AQ201" i="42" s="1"/>
  <c r="BO201" i="42" s="1"/>
  <c r="AT201" i="43"/>
  <c r="AN201" i="43" s="1"/>
  <c r="BN201" i="43" s="1"/>
  <c r="AO196" i="31"/>
  <c r="AP196" i="31" s="1"/>
  <c r="AO201" i="43" l="1"/>
  <c r="AP201" i="43" s="1"/>
  <c r="AQ201" i="43" s="1"/>
  <c r="BO201" i="43" s="1"/>
  <c r="AR201" i="43" s="1"/>
  <c r="AR201" i="42"/>
  <c r="AQ196" i="31"/>
  <c r="BO196" i="31" s="1"/>
  <c r="AM202" i="43" l="1"/>
  <c r="AU201" i="43"/>
  <c r="AM202" i="42"/>
  <c r="AU201" i="42"/>
  <c r="AR196" i="31"/>
  <c r="AT202" i="43" l="1"/>
  <c r="AN202" i="43" s="1"/>
  <c r="BN202" i="43" s="1"/>
  <c r="AT202" i="42"/>
  <c r="AN202" i="42" s="1"/>
  <c r="BN202" i="42" s="1"/>
  <c r="AU196" i="31"/>
  <c r="AM197" i="31"/>
  <c r="AT197" i="31" s="1"/>
  <c r="AO202" i="43" l="1"/>
  <c r="AP202" i="43" s="1"/>
  <c r="AQ202" i="43" s="1"/>
  <c r="BO202" i="43" s="1"/>
  <c r="AR202" i="43" s="1"/>
  <c r="AO202" i="42"/>
  <c r="AP202" i="42" s="1"/>
  <c r="AQ202" i="42" s="1"/>
  <c r="BO202" i="42" s="1"/>
  <c r="AN197" i="31"/>
  <c r="BN197" i="31" s="1"/>
  <c r="AM203" i="43" l="1"/>
  <c r="AU202" i="43"/>
  <c r="AR202" i="42"/>
  <c r="AM203" i="42" s="1"/>
  <c r="AO197" i="31"/>
  <c r="AP197" i="31" s="1"/>
  <c r="AU202" i="42" l="1"/>
  <c r="AT203" i="43"/>
  <c r="AN203" i="43" s="1"/>
  <c r="BN203" i="43" s="1"/>
  <c r="AT203" i="42"/>
  <c r="AN203" i="42" s="1"/>
  <c r="BN203" i="42" s="1"/>
  <c r="AQ197" i="31"/>
  <c r="AO203" i="42" l="1"/>
  <c r="AP203" i="42" s="1"/>
  <c r="AQ203" i="42" s="1"/>
  <c r="BO203" i="42" s="1"/>
  <c r="AO203" i="43"/>
  <c r="AP203" i="43" s="1"/>
  <c r="AQ203" i="43" s="1"/>
  <c r="BO203" i="43" s="1"/>
  <c r="BO197" i="31"/>
  <c r="AR197" i="31" s="1"/>
  <c r="AR203" i="43" l="1"/>
  <c r="AR203" i="42"/>
  <c r="AU197" i="31"/>
  <c r="AM198" i="31"/>
  <c r="AT198" i="31" s="1"/>
  <c r="AM204" i="43" l="1"/>
  <c r="AU203" i="43"/>
  <c r="AM204" i="42"/>
  <c r="AU203" i="42"/>
  <c r="AN198" i="31"/>
  <c r="BN198" i="31" s="1"/>
  <c r="AT204" i="43" l="1"/>
  <c r="AN204" i="43" s="1"/>
  <c r="BN204" i="43" s="1"/>
  <c r="AT204" i="42"/>
  <c r="AN204" i="42" s="1"/>
  <c r="BN204" i="42" s="1"/>
  <c r="AO198" i="31"/>
  <c r="AP198" i="31" s="1"/>
  <c r="AO204" i="42" l="1"/>
  <c r="AP204" i="42" s="1"/>
  <c r="AQ204" i="42" s="1"/>
  <c r="BO204" i="42" s="1"/>
  <c r="AR204" i="42" s="1"/>
  <c r="AO204" i="43"/>
  <c r="AP204" i="43" s="1"/>
  <c r="AQ204" i="43" s="1"/>
  <c r="BO204" i="43" s="1"/>
  <c r="AQ198" i="31"/>
  <c r="BO198" i="31" s="1"/>
  <c r="AR204" i="43" l="1"/>
  <c r="AM205" i="42"/>
  <c r="AU204" i="42"/>
  <c r="AR198" i="31"/>
  <c r="AM205" i="43" l="1"/>
  <c r="AU204" i="43"/>
  <c r="AT205" i="42"/>
  <c r="AN205" i="42" s="1"/>
  <c r="BN205" i="42" s="1"/>
  <c r="AM199" i="31"/>
  <c r="AT199" i="31" s="1"/>
  <c r="AU198" i="31"/>
  <c r="AO205" i="42" l="1"/>
  <c r="AP205" i="42" s="1"/>
  <c r="AQ205" i="42" s="1"/>
  <c r="BO205" i="42" s="1"/>
  <c r="AT205" i="43"/>
  <c r="AN205" i="43" s="1"/>
  <c r="BN205" i="43" s="1"/>
  <c r="AO205" i="43" l="1"/>
  <c r="AP205" i="43" s="1"/>
  <c r="AQ205" i="43" s="1"/>
  <c r="BO205" i="43" s="1"/>
  <c r="AR205" i="42"/>
  <c r="AN199" i="31"/>
  <c r="BN199" i="31" s="1"/>
  <c r="AR205" i="43" l="1"/>
  <c r="AM206" i="42"/>
  <c r="AU205" i="42"/>
  <c r="AO199" i="31"/>
  <c r="AP199" i="31" s="1"/>
  <c r="AM206" i="43" l="1"/>
  <c r="AU205" i="43"/>
  <c r="AT206" i="42"/>
  <c r="AN206" i="42" s="1"/>
  <c r="BN206" i="42" s="1"/>
  <c r="AQ199" i="31"/>
  <c r="AO206" i="42" l="1"/>
  <c r="AP206" i="42" s="1"/>
  <c r="AQ206" i="42" s="1"/>
  <c r="BO206" i="42" s="1"/>
  <c r="AR206" i="42" s="1"/>
  <c r="AT206" i="43"/>
  <c r="AN206" i="43" s="1"/>
  <c r="BN206" i="43" s="1"/>
  <c r="BO199" i="31"/>
  <c r="AR199" i="31" s="1"/>
  <c r="AO206" i="43" l="1"/>
  <c r="AP206" i="43" s="1"/>
  <c r="AQ206" i="43" s="1"/>
  <c r="BO206" i="43" s="1"/>
  <c r="AM207" i="42"/>
  <c r="AU206" i="42"/>
  <c r="AU199" i="31"/>
  <c r="AM200" i="31"/>
  <c r="AT200" i="31" s="1"/>
  <c r="AR206" i="43" l="1"/>
  <c r="AT207" i="42"/>
  <c r="AN207" i="42" s="1"/>
  <c r="BN207" i="42" s="1"/>
  <c r="AN200" i="31"/>
  <c r="BN200" i="31" s="1"/>
  <c r="AO207" i="42" l="1"/>
  <c r="AP207" i="42" s="1"/>
  <c r="AQ207" i="42" s="1"/>
  <c r="BO207" i="42" s="1"/>
  <c r="AM207" i="43"/>
  <c r="AU206" i="43"/>
  <c r="AO200" i="31"/>
  <c r="AP200" i="31" s="1"/>
  <c r="AT207" i="43" l="1"/>
  <c r="AN207" i="43" s="1"/>
  <c r="BN207" i="43" s="1"/>
  <c r="AR207" i="42"/>
  <c r="AQ200" i="31"/>
  <c r="BO200" i="31" s="1"/>
  <c r="AO207" i="43" l="1"/>
  <c r="AP207" i="43" s="1"/>
  <c r="AQ207" i="43" s="1"/>
  <c r="BO207" i="43" s="1"/>
  <c r="AM208" i="42"/>
  <c r="AU207" i="42"/>
  <c r="AR200" i="31"/>
  <c r="AR207" i="43" l="1"/>
  <c r="AT208" i="42"/>
  <c r="AN208" i="42" s="1"/>
  <c r="BN208" i="42" s="1"/>
  <c r="AU200" i="31"/>
  <c r="AM201" i="31"/>
  <c r="AT201" i="31" s="1"/>
  <c r="AO208" i="42" l="1"/>
  <c r="AP208" i="42" s="1"/>
  <c r="AQ208" i="42" s="1"/>
  <c r="BO208" i="42" s="1"/>
  <c r="AM208" i="43"/>
  <c r="AU207" i="43"/>
  <c r="AT208" i="43" l="1"/>
  <c r="AN208" i="43" s="1"/>
  <c r="BN208" i="43" s="1"/>
  <c r="AR208" i="42"/>
  <c r="AN201" i="31"/>
  <c r="BN201" i="31" s="1"/>
  <c r="AO208" i="43" l="1"/>
  <c r="AP208" i="43" s="1"/>
  <c r="AQ208" i="43" s="1"/>
  <c r="BO208" i="43" s="1"/>
  <c r="AM209" i="42"/>
  <c r="AU208" i="42"/>
  <c r="AO201" i="31"/>
  <c r="AP201" i="31" s="1"/>
  <c r="AR208" i="43" l="1"/>
  <c r="AT209" i="42"/>
  <c r="AN209" i="42" s="1"/>
  <c r="BN209" i="42" s="1"/>
  <c r="AQ201" i="31"/>
  <c r="BO201" i="31" s="1"/>
  <c r="AO209" i="42" l="1"/>
  <c r="AP209" i="42" s="1"/>
  <c r="AQ209" i="42" s="1"/>
  <c r="BO209" i="42" s="1"/>
  <c r="AM209" i="43"/>
  <c r="AU208" i="43"/>
  <c r="AR201" i="31"/>
  <c r="AT209" i="43" l="1"/>
  <c r="AN209" i="43" s="1"/>
  <c r="BN209" i="43" s="1"/>
  <c r="AR209" i="42"/>
  <c r="AM210" i="42" s="1"/>
  <c r="AU201" i="31"/>
  <c r="AM202" i="31"/>
  <c r="AT202" i="31" s="1"/>
  <c r="AO209" i="43" l="1"/>
  <c r="AP209" i="43" s="1"/>
  <c r="AQ209" i="43" s="1"/>
  <c r="BO209" i="43" s="1"/>
  <c r="AU209" i="42"/>
  <c r="AT210" i="42"/>
  <c r="AN210" i="42" s="1"/>
  <c r="BN210" i="42" s="1"/>
  <c r="AO210" i="42" l="1"/>
  <c r="AP210" i="42" s="1"/>
  <c r="AQ210" i="42" s="1"/>
  <c r="BO210" i="42" s="1"/>
  <c r="AR210" i="42" s="1"/>
  <c r="AR209" i="43"/>
  <c r="AM210" i="43" s="1"/>
  <c r="AN202" i="31"/>
  <c r="BN202" i="31" s="1"/>
  <c r="AU209" i="43" l="1"/>
  <c r="AT210" i="43"/>
  <c r="AN210" i="43" s="1"/>
  <c r="BN210" i="43" s="1"/>
  <c r="AM211" i="42"/>
  <c r="AU210" i="42"/>
  <c r="AO202" i="31"/>
  <c r="AP202" i="31" s="1"/>
  <c r="AO210" i="43" l="1"/>
  <c r="AP210" i="43" s="1"/>
  <c r="AQ210" i="43" s="1"/>
  <c r="BO210" i="43" s="1"/>
  <c r="AR210" i="43" s="1"/>
  <c r="AT211" i="42"/>
  <c r="AN211" i="42" s="1"/>
  <c r="BN211" i="42" s="1"/>
  <c r="AQ202" i="31"/>
  <c r="AO211" i="42" l="1"/>
  <c r="AP211" i="42" s="1"/>
  <c r="AQ211" i="42" s="1"/>
  <c r="BO211" i="42" s="1"/>
  <c r="AR211" i="42" s="1"/>
  <c r="AM211" i="43"/>
  <c r="AU210" i="43"/>
  <c r="BO202" i="31"/>
  <c r="AR202" i="31" s="1"/>
  <c r="AT211" i="43" l="1"/>
  <c r="AN211" i="43" s="1"/>
  <c r="BN211" i="43" s="1"/>
  <c r="AM212" i="42"/>
  <c r="AU211" i="42"/>
  <c r="AM203" i="31"/>
  <c r="AT203" i="31" s="1"/>
  <c r="AU202" i="31"/>
  <c r="AO211" i="43" l="1"/>
  <c r="AP211" i="43" s="1"/>
  <c r="AQ211" i="43" s="1"/>
  <c r="BO211" i="43" s="1"/>
  <c r="AT212" i="42"/>
  <c r="AN212" i="42" s="1"/>
  <c r="BN212" i="42" s="1"/>
  <c r="AN203" i="31"/>
  <c r="BN203" i="31" s="1"/>
  <c r="AO212" i="42" l="1"/>
  <c r="AP212" i="42" s="1"/>
  <c r="AQ212" i="42" s="1"/>
  <c r="BO212" i="42" s="1"/>
  <c r="AR211" i="43"/>
  <c r="AM212" i="43" s="1"/>
  <c r="AO203" i="31"/>
  <c r="AP203" i="31" s="1"/>
  <c r="AU211" i="43" l="1"/>
  <c r="AT212" i="43"/>
  <c r="AN212" i="43" s="1"/>
  <c r="BN212" i="43" s="1"/>
  <c r="AR212" i="42"/>
  <c r="AQ203" i="31"/>
  <c r="BO203" i="31" s="1"/>
  <c r="AO212" i="43" l="1"/>
  <c r="AP212" i="43" s="1"/>
  <c r="AQ212" i="43" s="1"/>
  <c r="BO212" i="43" s="1"/>
  <c r="AM213" i="42"/>
  <c r="AU212" i="42"/>
  <c r="AR203" i="31"/>
  <c r="AR212" i="43" l="1"/>
  <c r="AT213" i="42"/>
  <c r="AN213" i="42" s="1"/>
  <c r="BN213" i="42" s="1"/>
  <c r="AU203" i="31"/>
  <c r="AM204" i="31"/>
  <c r="AT204" i="31" s="1"/>
  <c r="AO213" i="42" l="1"/>
  <c r="AP213" i="42" s="1"/>
  <c r="AQ213" i="42" s="1"/>
  <c r="BO213" i="42" s="1"/>
  <c r="AM213" i="43"/>
  <c r="AU212" i="43"/>
  <c r="AT213" i="43" l="1"/>
  <c r="AN213" i="43" s="1"/>
  <c r="BN213" i="43" s="1"/>
  <c r="AR213" i="42"/>
  <c r="AN204" i="31"/>
  <c r="BN204" i="31" s="1"/>
  <c r="AO213" i="43" l="1"/>
  <c r="AP213" i="43" s="1"/>
  <c r="AQ213" i="43" s="1"/>
  <c r="BO213" i="43" s="1"/>
  <c r="AM214" i="42"/>
  <c r="AU213" i="42"/>
  <c r="AO204" i="31"/>
  <c r="AP204" i="31" s="1"/>
  <c r="AR213" i="43" l="1"/>
  <c r="AT214" i="42"/>
  <c r="AN214" i="42" s="1"/>
  <c r="BN214" i="42" s="1"/>
  <c r="AQ204" i="31"/>
  <c r="BO204" i="31" s="1"/>
  <c r="AO214" i="42" l="1"/>
  <c r="AP214" i="42" s="1"/>
  <c r="AQ214" i="42" s="1"/>
  <c r="BO214" i="42" s="1"/>
  <c r="AM214" i="43"/>
  <c r="AU213" i="43"/>
  <c r="AR204" i="31"/>
  <c r="AT214" i="43" l="1"/>
  <c r="AN214" i="43" s="1"/>
  <c r="BN214" i="43" s="1"/>
  <c r="AR214" i="42"/>
  <c r="AU204" i="31"/>
  <c r="AM205" i="31"/>
  <c r="AT205" i="31" s="1"/>
  <c r="AO214" i="43" l="1"/>
  <c r="AP214" i="43" s="1"/>
  <c r="AQ214" i="43" s="1"/>
  <c r="BO214" i="43" s="1"/>
  <c r="AR214" i="43" s="1"/>
  <c r="AM215" i="42"/>
  <c r="AU214" i="42"/>
  <c r="AM215" i="43" l="1"/>
  <c r="AU214" i="43"/>
  <c r="AT215" i="42"/>
  <c r="AN215" i="42" s="1"/>
  <c r="BN215" i="42" s="1"/>
  <c r="AN205" i="31"/>
  <c r="BN205" i="31" s="1"/>
  <c r="AO215" i="42" l="1"/>
  <c r="AP215" i="42" s="1"/>
  <c r="AQ215" i="42" s="1"/>
  <c r="BO215" i="42" s="1"/>
  <c r="AT215" i="43"/>
  <c r="AN215" i="43" s="1"/>
  <c r="BN215" i="43" s="1"/>
  <c r="AO205" i="31"/>
  <c r="AP205" i="31" s="1"/>
  <c r="AO215" i="43" l="1"/>
  <c r="AP215" i="43" s="1"/>
  <c r="AQ215" i="43" s="1"/>
  <c r="BO215" i="43" s="1"/>
  <c r="AR215" i="42"/>
  <c r="AQ205" i="31"/>
  <c r="AR215" i="43" l="1"/>
  <c r="AM216" i="42"/>
  <c r="AU215" i="42"/>
  <c r="BO205" i="31"/>
  <c r="AR205" i="31" s="1"/>
  <c r="AM216" i="43" l="1"/>
  <c r="AU215" i="43"/>
  <c r="AT216" i="42"/>
  <c r="AN216" i="42" s="1"/>
  <c r="BN216" i="42" s="1"/>
  <c r="AU205" i="31"/>
  <c r="AM206" i="31"/>
  <c r="AT206" i="31" s="1"/>
  <c r="AO216" i="42" l="1"/>
  <c r="AP216" i="42" s="1"/>
  <c r="AQ216" i="42" s="1"/>
  <c r="BO216" i="42" s="1"/>
  <c r="AT216" i="43"/>
  <c r="AN216" i="43" s="1"/>
  <c r="BN216" i="43" s="1"/>
  <c r="AN206" i="31"/>
  <c r="BN206" i="31" s="1"/>
  <c r="AO216" i="43" l="1"/>
  <c r="AP216" i="43" s="1"/>
  <c r="AQ216" i="43" s="1"/>
  <c r="BO216" i="43" s="1"/>
  <c r="AR216" i="42"/>
  <c r="AO206" i="31"/>
  <c r="AP206" i="31" s="1"/>
  <c r="AR216" i="43" l="1"/>
  <c r="AM217" i="42"/>
  <c r="AU216" i="42"/>
  <c r="AQ206" i="31"/>
  <c r="BO206" i="31" s="1"/>
  <c r="AM217" i="43" l="1"/>
  <c r="AU216" i="43"/>
  <c r="AT217" i="42"/>
  <c r="AN217" i="42" s="1"/>
  <c r="BN217" i="42" s="1"/>
  <c r="AR206" i="31"/>
  <c r="AO217" i="42" l="1"/>
  <c r="AP217" i="42" s="1"/>
  <c r="AQ217" i="42" s="1"/>
  <c r="BO217" i="42" s="1"/>
  <c r="AT217" i="43"/>
  <c r="AN217" i="43" s="1"/>
  <c r="BN217" i="43" s="1"/>
  <c r="AU206" i="31"/>
  <c r="AM207" i="31"/>
  <c r="AT207" i="31" s="1"/>
  <c r="AO217" i="43" l="1"/>
  <c r="AP217" i="43" s="1"/>
  <c r="AQ217" i="43" s="1"/>
  <c r="BO217" i="43" s="1"/>
  <c r="AR217" i="42"/>
  <c r="AR217" i="43" l="1"/>
  <c r="AM218" i="42"/>
  <c r="AU217" i="42"/>
  <c r="AN207" i="31"/>
  <c r="BN207" i="31" s="1"/>
  <c r="AM218" i="43" l="1"/>
  <c r="AU217" i="43"/>
  <c r="AT218" i="42"/>
  <c r="AN218" i="42" s="1"/>
  <c r="BN218" i="42" s="1"/>
  <c r="AO207" i="31"/>
  <c r="AP207" i="31" s="1"/>
  <c r="AO218" i="42" l="1"/>
  <c r="AP218" i="42" s="1"/>
  <c r="AQ218" i="42" s="1"/>
  <c r="BO218" i="42" s="1"/>
  <c r="AT218" i="43"/>
  <c r="AN218" i="43" s="1"/>
  <c r="BN218" i="43" s="1"/>
  <c r="AQ207" i="31"/>
  <c r="AO218" i="43" l="1"/>
  <c r="AP218" i="43" s="1"/>
  <c r="AQ218" i="43" s="1"/>
  <c r="BO218" i="43" s="1"/>
  <c r="AR218" i="43" s="1"/>
  <c r="AR218" i="42"/>
  <c r="BO207" i="31"/>
  <c r="AR207" i="31" s="1"/>
  <c r="AM219" i="43" l="1"/>
  <c r="AU218" i="43"/>
  <c r="AM219" i="42"/>
  <c r="AU218" i="42"/>
  <c r="AM208" i="31"/>
  <c r="AT208" i="31" s="1"/>
  <c r="AU207" i="31"/>
  <c r="AT219" i="43" l="1"/>
  <c r="AN219" i="43" s="1"/>
  <c r="BN219" i="43" s="1"/>
  <c r="AO219" i="43" s="1"/>
  <c r="AP219" i="43" s="1"/>
  <c r="AT219" i="42"/>
  <c r="AN219" i="42" s="1"/>
  <c r="BN219" i="42" s="1"/>
  <c r="AN208" i="31"/>
  <c r="BN208" i="31" s="1"/>
  <c r="AO219" i="42" l="1"/>
  <c r="AP219" i="42" s="1"/>
  <c r="AQ219" i="42" s="1"/>
  <c r="BO219" i="42" s="1"/>
  <c r="AQ219" i="43"/>
  <c r="BO219" i="43" s="1"/>
  <c r="AO208" i="31"/>
  <c r="AP208" i="31" s="1"/>
  <c r="AR219" i="43" l="1"/>
  <c r="AR219" i="42"/>
  <c r="AQ208" i="31"/>
  <c r="AM220" i="43" l="1"/>
  <c r="AU219" i="43"/>
  <c r="AM220" i="42"/>
  <c r="AU219" i="42"/>
  <c r="BO208" i="31"/>
  <c r="AR208" i="31" s="1"/>
  <c r="AT220" i="43" l="1"/>
  <c r="AN220" i="43" s="1"/>
  <c r="BN220" i="43" s="1"/>
  <c r="AT220" i="42"/>
  <c r="AN220" i="42" s="1"/>
  <c r="BN220" i="42" s="1"/>
  <c r="AM209" i="31"/>
  <c r="AT209" i="31" s="1"/>
  <c r="AU208" i="31"/>
  <c r="AO220" i="43" l="1"/>
  <c r="AP220" i="43" s="1"/>
  <c r="AQ220" i="43" s="1"/>
  <c r="BO220" i="43" s="1"/>
  <c r="AO220" i="42"/>
  <c r="AP220" i="42" s="1"/>
  <c r="AQ220" i="42" s="1"/>
  <c r="BO220" i="42" s="1"/>
  <c r="AN209" i="31"/>
  <c r="BN209" i="31" s="1"/>
  <c r="AR220" i="43" l="1"/>
  <c r="AM221" i="43" s="1"/>
  <c r="AR220" i="42"/>
  <c r="AM221" i="42" s="1"/>
  <c r="AO209" i="31"/>
  <c r="AP209" i="31" s="1"/>
  <c r="AU220" i="43" l="1"/>
  <c r="AT221" i="43"/>
  <c r="AN221" i="43" s="1"/>
  <c r="BN221" i="43" s="1"/>
  <c r="AU220" i="42"/>
  <c r="AT221" i="42"/>
  <c r="AN221" i="42" s="1"/>
  <c r="BN221" i="42" s="1"/>
  <c r="AQ209" i="31"/>
  <c r="AO221" i="42" l="1"/>
  <c r="AP221" i="42" s="1"/>
  <c r="AQ221" i="42" s="1"/>
  <c r="BO221" i="42" s="1"/>
  <c r="AO221" i="43"/>
  <c r="AP221" i="43" s="1"/>
  <c r="AQ221" i="43" s="1"/>
  <c r="BO221" i="43" s="1"/>
  <c r="BO209" i="31"/>
  <c r="AR209" i="31" s="1"/>
  <c r="AR221" i="43" l="1"/>
  <c r="AR221" i="42"/>
  <c r="AM210" i="31"/>
  <c r="AT210" i="31" s="1"/>
  <c r="AU209" i="31"/>
  <c r="AM222" i="43" l="1"/>
  <c r="AU221" i="43"/>
  <c r="AM222" i="42"/>
  <c r="AU221" i="42"/>
  <c r="AN210" i="31"/>
  <c r="BN210" i="31" s="1"/>
  <c r="AT222" i="43" l="1"/>
  <c r="AN222" i="43" s="1"/>
  <c r="BN222" i="43" s="1"/>
  <c r="AT222" i="42"/>
  <c r="AN222" i="42" s="1"/>
  <c r="BN222" i="42" s="1"/>
  <c r="AO210" i="31"/>
  <c r="AP210" i="31" s="1"/>
  <c r="AO222" i="43" l="1"/>
  <c r="AP222" i="43" s="1"/>
  <c r="AQ222" i="43" s="1"/>
  <c r="BO222" i="43" s="1"/>
  <c r="AO222" i="42"/>
  <c r="AP222" i="42" s="1"/>
  <c r="AQ222" i="42" s="1"/>
  <c r="BO222" i="42" s="1"/>
  <c r="AR222" i="42" s="1"/>
  <c r="AQ210" i="31"/>
  <c r="BO210" i="31" s="1"/>
  <c r="AR222" i="43" l="1"/>
  <c r="AM223" i="42"/>
  <c r="AU222" i="42"/>
  <c r="AR210" i="31"/>
  <c r="AM223" i="43" l="1"/>
  <c r="AU222" i="43"/>
  <c r="AT223" i="42"/>
  <c r="AN223" i="42" s="1"/>
  <c r="BN223" i="42" s="1"/>
  <c r="AU210" i="31"/>
  <c r="AM211" i="31"/>
  <c r="AT211" i="31" s="1"/>
  <c r="AO223" i="42" l="1"/>
  <c r="AP223" i="42" s="1"/>
  <c r="AQ223" i="42" s="1"/>
  <c r="BO223" i="42" s="1"/>
  <c r="AT223" i="43"/>
  <c r="AN223" i="43" s="1"/>
  <c r="BN223" i="43" s="1"/>
  <c r="AO223" i="43" l="1"/>
  <c r="AP223" i="43" s="1"/>
  <c r="AQ223" i="43" s="1"/>
  <c r="BO223" i="43" s="1"/>
  <c r="AR223" i="42"/>
  <c r="AN211" i="31"/>
  <c r="BN211" i="31" s="1"/>
  <c r="AR223" i="43" l="1"/>
  <c r="AM224" i="42"/>
  <c r="AU223" i="42"/>
  <c r="AO211" i="31"/>
  <c r="AP211" i="31" s="1"/>
  <c r="AM224" i="43" l="1"/>
  <c r="AU223" i="43"/>
  <c r="AT224" i="42"/>
  <c r="AN224" i="42" s="1"/>
  <c r="BN224" i="42" s="1"/>
  <c r="AQ211" i="31"/>
  <c r="BO211" i="31" s="1"/>
  <c r="AO224" i="42" l="1"/>
  <c r="AP224" i="42" s="1"/>
  <c r="AQ224" i="42" s="1"/>
  <c r="BO224" i="42" s="1"/>
  <c r="AT224" i="43"/>
  <c r="AN224" i="43" s="1"/>
  <c r="BN224" i="43" s="1"/>
  <c r="AR211" i="31"/>
  <c r="AO224" i="43" l="1"/>
  <c r="AP224" i="43" s="1"/>
  <c r="AQ224" i="43" s="1"/>
  <c r="BO224" i="43" s="1"/>
  <c r="AR224" i="42"/>
  <c r="AM212" i="31"/>
  <c r="AT212" i="31" s="1"/>
  <c r="AU211" i="31"/>
  <c r="AR224" i="43" l="1"/>
  <c r="AM225" i="42"/>
  <c r="AU224" i="42"/>
  <c r="AM225" i="43" l="1"/>
  <c r="AU224" i="43"/>
  <c r="AT225" i="42"/>
  <c r="AN225" i="42" s="1"/>
  <c r="BN225" i="42" s="1"/>
  <c r="AN212" i="31"/>
  <c r="BN212" i="31" s="1"/>
  <c r="AO225" i="42" l="1"/>
  <c r="AP225" i="42" s="1"/>
  <c r="AQ225" i="42" s="1"/>
  <c r="BO225" i="42" s="1"/>
  <c r="AT225" i="43"/>
  <c r="AN225" i="43" s="1"/>
  <c r="BN225" i="43" s="1"/>
  <c r="AO212" i="31"/>
  <c r="AP212" i="31" s="1"/>
  <c r="AO225" i="43" l="1"/>
  <c r="AP225" i="43" s="1"/>
  <c r="AQ225" i="43" s="1"/>
  <c r="BO225" i="43" s="1"/>
  <c r="AR225" i="42"/>
  <c r="AQ212" i="31"/>
  <c r="BO212" i="31" s="1"/>
  <c r="AR225" i="43" l="1"/>
  <c r="AM226" i="42"/>
  <c r="AU225" i="42"/>
  <c r="AR212" i="31"/>
  <c r="AM226" i="43" l="1"/>
  <c r="AU225" i="43"/>
  <c r="AT226" i="42"/>
  <c r="AN226" i="42" s="1"/>
  <c r="BN226" i="42" s="1"/>
  <c r="AM213" i="31"/>
  <c r="AT213" i="31" s="1"/>
  <c r="AU212" i="31"/>
  <c r="AO226" i="42" l="1"/>
  <c r="AP226" i="42" s="1"/>
  <c r="AQ226" i="42" s="1"/>
  <c r="BO226" i="42" s="1"/>
  <c r="AR226" i="42" s="1"/>
  <c r="AT226" i="43"/>
  <c r="AN226" i="43" s="1"/>
  <c r="BN226" i="43" s="1"/>
  <c r="AO226" i="43" l="1"/>
  <c r="AP226" i="43" s="1"/>
  <c r="AQ226" i="43" s="1"/>
  <c r="BO226" i="43" s="1"/>
  <c r="AR226" i="43" s="1"/>
  <c r="AM227" i="42"/>
  <c r="AU226" i="42"/>
  <c r="AN213" i="31"/>
  <c r="BN213" i="31" s="1"/>
  <c r="AM227" i="43" l="1"/>
  <c r="AU226" i="43"/>
  <c r="AT227" i="42"/>
  <c r="AN227" i="42" s="1"/>
  <c r="BN227" i="42" s="1"/>
  <c r="AO213" i="31"/>
  <c r="AP213" i="31" s="1"/>
  <c r="AO227" i="42" l="1"/>
  <c r="AP227" i="42" s="1"/>
  <c r="AQ227" i="42" s="1"/>
  <c r="BO227" i="42" s="1"/>
  <c r="AT227" i="43"/>
  <c r="AN227" i="43" s="1"/>
  <c r="BN227" i="43" s="1"/>
  <c r="AQ213" i="31"/>
  <c r="AO227" i="43" l="1"/>
  <c r="AP227" i="43" s="1"/>
  <c r="AQ227" i="43" s="1"/>
  <c r="BO227" i="43" s="1"/>
  <c r="AR227" i="42"/>
  <c r="BO213" i="31"/>
  <c r="AR213" i="31" s="1"/>
  <c r="AR227" i="43" l="1"/>
  <c r="AM228" i="42"/>
  <c r="AU227" i="42"/>
  <c r="AM214" i="31"/>
  <c r="AT214" i="31" s="1"/>
  <c r="AU213" i="31"/>
  <c r="AM228" i="43" l="1"/>
  <c r="AU227" i="43"/>
  <c r="AT228" i="42"/>
  <c r="AN228" i="42" s="1"/>
  <c r="BN228" i="42" s="1"/>
  <c r="AN214" i="31"/>
  <c r="BN214" i="31" s="1"/>
  <c r="AO228" i="42" l="1"/>
  <c r="AP228" i="42" s="1"/>
  <c r="AQ228" i="42" s="1"/>
  <c r="BO228" i="42" s="1"/>
  <c r="AT228" i="43"/>
  <c r="AN228" i="43" s="1"/>
  <c r="BN228" i="43" s="1"/>
  <c r="AO214" i="31"/>
  <c r="AP214" i="31" s="1"/>
  <c r="AO228" i="43" l="1"/>
  <c r="AP228" i="43" s="1"/>
  <c r="AQ228" i="43" s="1"/>
  <c r="BO228" i="43" s="1"/>
  <c r="AR228" i="42"/>
  <c r="AQ214" i="31"/>
  <c r="AR228" i="43" l="1"/>
  <c r="AM229" i="42"/>
  <c r="AU228" i="42"/>
  <c r="BO214" i="31"/>
  <c r="AR214" i="31" s="1"/>
  <c r="AM229" i="43" l="1"/>
  <c r="AU228" i="43"/>
  <c r="AT229" i="42"/>
  <c r="AN229" i="42" s="1"/>
  <c r="BN229" i="42" s="1"/>
  <c r="AU214" i="31"/>
  <c r="AM215" i="31"/>
  <c r="AT215" i="31" s="1"/>
  <c r="AO229" i="42" l="1"/>
  <c r="AP229" i="42" s="1"/>
  <c r="AQ229" i="42" s="1"/>
  <c r="BO229" i="42" s="1"/>
  <c r="AT229" i="43"/>
  <c r="AN229" i="43" s="1"/>
  <c r="BN229" i="43" s="1"/>
  <c r="AN215" i="31"/>
  <c r="BN215" i="31" s="1"/>
  <c r="AO229" i="43" l="1"/>
  <c r="AP229" i="43" s="1"/>
  <c r="AQ229" i="43" s="1"/>
  <c r="BO229" i="43" s="1"/>
  <c r="AR229" i="42"/>
  <c r="AO215" i="31"/>
  <c r="AP215" i="31" s="1"/>
  <c r="AR229" i="43" l="1"/>
  <c r="AM230" i="42"/>
  <c r="AU229" i="42"/>
  <c r="AQ215" i="31"/>
  <c r="AM230" i="43" l="1"/>
  <c r="AU229" i="43"/>
  <c r="AT230" i="42"/>
  <c r="AN230" i="42" s="1"/>
  <c r="BN230" i="42" s="1"/>
  <c r="BO215" i="31"/>
  <c r="AR215" i="31" s="1"/>
  <c r="AO230" i="42" l="1"/>
  <c r="AP230" i="42" s="1"/>
  <c r="AQ230" i="42" s="1"/>
  <c r="BO230" i="42" s="1"/>
  <c r="AR230" i="42" s="1"/>
  <c r="AT230" i="43"/>
  <c r="AN230" i="43" s="1"/>
  <c r="BN230" i="43" s="1"/>
  <c r="AU215" i="31"/>
  <c r="AM216" i="31"/>
  <c r="AT216" i="31" s="1"/>
  <c r="AO230" i="43" l="1"/>
  <c r="AP230" i="43" s="1"/>
  <c r="AQ230" i="43" s="1"/>
  <c r="BO230" i="43" s="1"/>
  <c r="AM231" i="42"/>
  <c r="AU230" i="42"/>
  <c r="AN216" i="31"/>
  <c r="BN216" i="31" s="1"/>
  <c r="AR230" i="43" l="1"/>
  <c r="AT231" i="42"/>
  <c r="AN231" i="42" s="1"/>
  <c r="BN231" i="42" s="1"/>
  <c r="AO216" i="31"/>
  <c r="AP216" i="31" s="1"/>
  <c r="AO231" i="42" l="1"/>
  <c r="AP231" i="42" s="1"/>
  <c r="AQ231" i="42" s="1"/>
  <c r="BO231" i="42" s="1"/>
  <c r="AM231" i="43"/>
  <c r="AU230" i="43"/>
  <c r="AQ216" i="31"/>
  <c r="BO216" i="31" s="1"/>
  <c r="AT231" i="43" l="1"/>
  <c r="AN231" i="43" s="1"/>
  <c r="BN231" i="43" s="1"/>
  <c r="AR231" i="42"/>
  <c r="AM232" i="42" s="1"/>
  <c r="AR216" i="31"/>
  <c r="AO231" i="43" l="1"/>
  <c r="AP231" i="43" s="1"/>
  <c r="AQ231" i="43" s="1"/>
  <c r="BO231" i="43" s="1"/>
  <c r="AU231" i="42"/>
  <c r="AT232" i="42"/>
  <c r="AN232" i="42" s="1"/>
  <c r="BN232" i="42" s="1"/>
  <c r="AU216" i="31"/>
  <c r="AM217" i="31"/>
  <c r="AT217" i="31" s="1"/>
  <c r="AO232" i="42" l="1"/>
  <c r="AP232" i="42" s="1"/>
  <c r="AQ232" i="42" s="1"/>
  <c r="BO232" i="42" s="1"/>
  <c r="AR231" i="43"/>
  <c r="AM232" i="43" l="1"/>
  <c r="AU231" i="43"/>
  <c r="AR232" i="42"/>
  <c r="AN217" i="31"/>
  <c r="BN217" i="31" s="1"/>
  <c r="AT232" i="43" l="1"/>
  <c r="AN232" i="43" s="1"/>
  <c r="BN232" i="43" s="1"/>
  <c r="AM233" i="42"/>
  <c r="AU232" i="42"/>
  <c r="AO217" i="31"/>
  <c r="AP217" i="31" s="1"/>
  <c r="AO232" i="43" l="1"/>
  <c r="AP232" i="43" s="1"/>
  <c r="AQ232" i="43" s="1"/>
  <c r="BO232" i="43" s="1"/>
  <c r="AT233" i="42"/>
  <c r="AN233" i="42" s="1"/>
  <c r="BN233" i="42" s="1"/>
  <c r="AQ217" i="31"/>
  <c r="AO233" i="42" l="1"/>
  <c r="AP233" i="42" s="1"/>
  <c r="AQ233" i="42" s="1"/>
  <c r="BO233" i="42" s="1"/>
  <c r="AR232" i="43"/>
  <c r="BO217" i="31"/>
  <c r="AR217" i="31" s="1"/>
  <c r="AM233" i="43" l="1"/>
  <c r="AU232" i="43"/>
  <c r="AR233" i="42"/>
  <c r="AU217" i="31"/>
  <c r="AM218" i="31"/>
  <c r="AT218" i="31" s="1"/>
  <c r="AT233" i="43" l="1"/>
  <c r="AN233" i="43" s="1"/>
  <c r="BN233" i="43" s="1"/>
  <c r="AM234" i="42"/>
  <c r="AU233" i="42"/>
  <c r="AN218" i="31"/>
  <c r="BN218" i="31" s="1"/>
  <c r="AO233" i="43" l="1"/>
  <c r="AP233" i="43" s="1"/>
  <c r="AQ233" i="43" s="1"/>
  <c r="BO233" i="43" s="1"/>
  <c r="AT234" i="42"/>
  <c r="AN234" i="42" s="1"/>
  <c r="BN234" i="42" s="1"/>
  <c r="AO218" i="31"/>
  <c r="AP218" i="31" s="1"/>
  <c r="AO234" i="42" l="1"/>
  <c r="AP234" i="42" s="1"/>
  <c r="AQ234" i="42" s="1"/>
  <c r="BO234" i="42" s="1"/>
  <c r="AR233" i="43"/>
  <c r="AQ218" i="31"/>
  <c r="BO218" i="31" s="1"/>
  <c r="AM234" i="43" l="1"/>
  <c r="AU233" i="43"/>
  <c r="AR234" i="42"/>
  <c r="AR218" i="31"/>
  <c r="AT234" i="43" l="1"/>
  <c r="AN234" i="43" s="1"/>
  <c r="BN234" i="43" s="1"/>
  <c r="AM235" i="42"/>
  <c r="AU234" i="42"/>
  <c r="AM219" i="31"/>
  <c r="AT219" i="31" s="1"/>
  <c r="AU218" i="31"/>
  <c r="AO234" i="43" l="1"/>
  <c r="AP234" i="43" s="1"/>
  <c r="AQ234" i="43" s="1"/>
  <c r="BO234" i="43" s="1"/>
  <c r="AT235" i="42"/>
  <c r="AN235" i="42" s="1"/>
  <c r="BN235" i="42" s="1"/>
  <c r="AO235" i="42" l="1"/>
  <c r="AP235" i="42" s="1"/>
  <c r="AQ235" i="42" s="1"/>
  <c r="BO235" i="42" s="1"/>
  <c r="AR234" i="43"/>
  <c r="AN219" i="31"/>
  <c r="BN219" i="31" s="1"/>
  <c r="AM235" i="43" l="1"/>
  <c r="AU234" i="43"/>
  <c r="AR235" i="42"/>
  <c r="AO219" i="31"/>
  <c r="AP219" i="31" s="1"/>
  <c r="AT235" i="43" l="1"/>
  <c r="AN235" i="43" s="1"/>
  <c r="BN235" i="43" s="1"/>
  <c r="AM236" i="42"/>
  <c r="AU235" i="42"/>
  <c r="AQ219" i="31"/>
  <c r="AO235" i="43" l="1"/>
  <c r="AP235" i="43" s="1"/>
  <c r="AQ235" i="43" s="1"/>
  <c r="BO235" i="43" s="1"/>
  <c r="AT236" i="42"/>
  <c r="AN236" i="42" s="1"/>
  <c r="BN236" i="42" s="1"/>
  <c r="BO219" i="31"/>
  <c r="AR219" i="31" s="1"/>
  <c r="AO236" i="42" l="1"/>
  <c r="AP236" i="42" s="1"/>
  <c r="AQ236" i="42" s="1"/>
  <c r="BO236" i="42" s="1"/>
  <c r="AR235" i="43"/>
  <c r="AM220" i="31"/>
  <c r="AT220" i="31" s="1"/>
  <c r="AU219" i="31"/>
  <c r="AM236" i="43" l="1"/>
  <c r="AU235" i="43"/>
  <c r="AR236" i="42"/>
  <c r="AN220" i="31"/>
  <c r="BN220" i="31" s="1"/>
  <c r="AT236" i="43" l="1"/>
  <c r="AN236" i="43" s="1"/>
  <c r="BN236" i="43" s="1"/>
  <c r="AM237" i="42"/>
  <c r="AU236" i="42"/>
  <c r="AO220" i="31"/>
  <c r="AP220" i="31" s="1"/>
  <c r="AO236" i="43" l="1"/>
  <c r="AP236" i="43" s="1"/>
  <c r="AQ236" i="43" s="1"/>
  <c r="BO236" i="43" s="1"/>
  <c r="AT237" i="42"/>
  <c r="AN237" i="42" s="1"/>
  <c r="BN237" i="42" s="1"/>
  <c r="AQ220" i="31"/>
  <c r="AO237" i="42" l="1"/>
  <c r="AP237" i="42" s="1"/>
  <c r="AQ237" i="42" s="1"/>
  <c r="BO237" i="42" s="1"/>
  <c r="AR236" i="43"/>
  <c r="BO220" i="31"/>
  <c r="AR220" i="31" s="1"/>
  <c r="AM237" i="43" l="1"/>
  <c r="AU236" i="43"/>
  <c r="AR237" i="42"/>
  <c r="AM221" i="31"/>
  <c r="AT221" i="31" s="1"/>
  <c r="AU220" i="31"/>
  <c r="AT237" i="43" l="1"/>
  <c r="AN237" i="43" s="1"/>
  <c r="BN237" i="43" s="1"/>
  <c r="AM238" i="42"/>
  <c r="AU237" i="42"/>
  <c r="AN221" i="31"/>
  <c r="BN221" i="31" s="1"/>
  <c r="AO237" i="43" l="1"/>
  <c r="AP237" i="43" s="1"/>
  <c r="AQ237" i="43" s="1"/>
  <c r="BO237" i="43" s="1"/>
  <c r="AT238" i="42"/>
  <c r="AN238" i="42" s="1"/>
  <c r="BN238" i="42" s="1"/>
  <c r="AO221" i="31"/>
  <c r="AP221" i="31" s="1"/>
  <c r="AO238" i="42" l="1"/>
  <c r="AP238" i="42" s="1"/>
  <c r="AQ238" i="42" s="1"/>
  <c r="BO238" i="42" s="1"/>
  <c r="AR237" i="43"/>
  <c r="AQ221" i="31"/>
  <c r="BO221" i="31" s="1"/>
  <c r="AM238" i="43" l="1"/>
  <c r="AU237" i="43"/>
  <c r="AR238" i="42"/>
  <c r="AR221" i="31"/>
  <c r="AT238" i="43" l="1"/>
  <c r="AN238" i="43" s="1"/>
  <c r="BN238" i="43" s="1"/>
  <c r="AM239" i="42"/>
  <c r="AU238" i="42"/>
  <c r="AM222" i="31"/>
  <c r="AT222" i="31" s="1"/>
  <c r="AU221" i="31"/>
  <c r="AO238" i="43" l="1"/>
  <c r="AP238" i="43" s="1"/>
  <c r="AQ238" i="43" s="1"/>
  <c r="BO238" i="43" s="1"/>
  <c r="AT239" i="42"/>
  <c r="AN239" i="42" s="1"/>
  <c r="BN239" i="42" s="1"/>
  <c r="AO239" i="42" l="1"/>
  <c r="AP239" i="42" s="1"/>
  <c r="AQ239" i="42" s="1"/>
  <c r="BO239" i="42" s="1"/>
  <c r="AR238" i="43"/>
  <c r="AN222" i="31"/>
  <c r="BN222" i="31" s="1"/>
  <c r="AM239" i="43" l="1"/>
  <c r="AU238" i="43"/>
  <c r="AR239" i="42"/>
  <c r="AO222" i="31"/>
  <c r="AP222" i="31" s="1"/>
  <c r="AT239" i="43" l="1"/>
  <c r="AN239" i="43" s="1"/>
  <c r="BN239" i="43" s="1"/>
  <c r="AM240" i="42"/>
  <c r="AU239" i="42"/>
  <c r="AQ222" i="31"/>
  <c r="AO239" i="43" l="1"/>
  <c r="AP239" i="43" s="1"/>
  <c r="AQ239" i="43" s="1"/>
  <c r="BO239" i="43" s="1"/>
  <c r="AT240" i="42"/>
  <c r="AN240" i="42" s="1"/>
  <c r="BN240" i="42" s="1"/>
  <c r="BO222" i="31"/>
  <c r="AR222" i="31" s="1"/>
  <c r="AO240" i="42" l="1"/>
  <c r="AP240" i="42" s="1"/>
  <c r="AQ240" i="42" s="1"/>
  <c r="BO240" i="42" s="1"/>
  <c r="AR239" i="43"/>
  <c r="AM223" i="31"/>
  <c r="AT223" i="31" s="1"/>
  <c r="AU222" i="31"/>
  <c r="AM240" i="43" l="1"/>
  <c r="AU239" i="43"/>
  <c r="AR240" i="42"/>
  <c r="AN223" i="31"/>
  <c r="BN223" i="31" s="1"/>
  <c r="AT240" i="43" l="1"/>
  <c r="AN240" i="43" s="1"/>
  <c r="BN240" i="43" s="1"/>
  <c r="AM241" i="42"/>
  <c r="AU240" i="42"/>
  <c r="AO223" i="31"/>
  <c r="AP223" i="31" s="1"/>
  <c r="AO240" i="43" l="1"/>
  <c r="AP240" i="43" s="1"/>
  <c r="AQ240" i="43" s="1"/>
  <c r="BO240" i="43" s="1"/>
  <c r="AT241" i="42"/>
  <c r="AN241" i="42" s="1"/>
  <c r="BN241" i="42" s="1"/>
  <c r="AQ223" i="31"/>
  <c r="BO223" i="31" s="1"/>
  <c r="AO241" i="42" l="1"/>
  <c r="AP241" i="42" s="1"/>
  <c r="AQ241" i="42" s="1"/>
  <c r="BO241" i="42" s="1"/>
  <c r="AR240" i="43"/>
  <c r="AR223" i="31"/>
  <c r="AM241" i="43" l="1"/>
  <c r="AU240" i="43"/>
  <c r="AR241" i="42"/>
  <c r="AM224" i="31"/>
  <c r="AT224" i="31" s="1"/>
  <c r="AU223" i="31"/>
  <c r="AT241" i="43" l="1"/>
  <c r="AN241" i="43" s="1"/>
  <c r="BN241" i="43" s="1"/>
  <c r="AM242" i="42"/>
  <c r="AU241" i="42"/>
  <c r="AO241" i="43" l="1"/>
  <c r="AP241" i="43" s="1"/>
  <c r="AQ241" i="43" s="1"/>
  <c r="BO241" i="43" s="1"/>
  <c r="AT242" i="42"/>
  <c r="AN242" i="42" s="1"/>
  <c r="BN242" i="42" s="1"/>
  <c r="AN224" i="31"/>
  <c r="BN224" i="31" s="1"/>
  <c r="AO242" i="42" l="1"/>
  <c r="AP242" i="42" s="1"/>
  <c r="AQ242" i="42" s="1"/>
  <c r="BO242" i="42" s="1"/>
  <c r="AR241" i="43"/>
  <c r="AO224" i="31"/>
  <c r="AP224" i="31" s="1"/>
  <c r="AM242" i="43" l="1"/>
  <c r="AU241" i="43"/>
  <c r="AR242" i="42"/>
  <c r="AQ224" i="31"/>
  <c r="AT242" i="43" l="1"/>
  <c r="AN242" i="43" s="1"/>
  <c r="BN242" i="43" s="1"/>
  <c r="AM243" i="42"/>
  <c r="AU242" i="42"/>
  <c r="BO224" i="31"/>
  <c r="AR224" i="31" s="1"/>
  <c r="AO242" i="43" l="1"/>
  <c r="AP242" i="43" s="1"/>
  <c r="AQ242" i="43" s="1"/>
  <c r="BO242" i="43" s="1"/>
  <c r="AT243" i="42"/>
  <c r="AN243" i="42" s="1"/>
  <c r="BN243" i="42" s="1"/>
  <c r="AO243" i="42" s="1"/>
  <c r="AP243" i="42" s="1"/>
  <c r="AU224" i="31"/>
  <c r="AM225" i="31"/>
  <c r="AT225" i="31" s="1"/>
  <c r="AR242" i="43" l="1"/>
  <c r="AM243" i="43" s="1"/>
  <c r="AQ243" i="42"/>
  <c r="BO243" i="42" s="1"/>
  <c r="AN225" i="31"/>
  <c r="BN225" i="31" s="1"/>
  <c r="AU242" i="43" l="1"/>
  <c r="AT243" i="43"/>
  <c r="AN243" i="43" s="1"/>
  <c r="BN243" i="43" s="1"/>
  <c r="AR243" i="42"/>
  <c r="AO225" i="31"/>
  <c r="AP225" i="31" s="1"/>
  <c r="AO243" i="43" l="1"/>
  <c r="AP243" i="43" s="1"/>
  <c r="AQ243" i="43" s="1"/>
  <c r="BO243" i="43" s="1"/>
  <c r="AM244" i="42"/>
  <c r="AU243" i="42"/>
  <c r="AQ225" i="31"/>
  <c r="AR243" i="43" l="1"/>
  <c r="AT244" i="42"/>
  <c r="AN244" i="42" s="1"/>
  <c r="BN244" i="42" s="1"/>
  <c r="BO225" i="31"/>
  <c r="AR225" i="31" s="1"/>
  <c r="AO244" i="42" l="1"/>
  <c r="AP244" i="42" s="1"/>
  <c r="AQ244" i="42" s="1"/>
  <c r="BO244" i="42" s="1"/>
  <c r="AM244" i="43"/>
  <c r="AU243" i="43"/>
  <c r="AM226" i="31"/>
  <c r="AT226" i="31" s="1"/>
  <c r="AU225" i="31"/>
  <c r="AT244" i="43" l="1"/>
  <c r="AN244" i="43" s="1"/>
  <c r="BN244" i="43" s="1"/>
  <c r="AR244" i="42"/>
  <c r="AN226" i="31"/>
  <c r="BN226" i="31" s="1"/>
  <c r="AO244" i="43" l="1"/>
  <c r="AP244" i="43" s="1"/>
  <c r="AQ244" i="43" s="1"/>
  <c r="BO244" i="43" s="1"/>
  <c r="AM245" i="42"/>
  <c r="AU244" i="42"/>
  <c r="AO226" i="31"/>
  <c r="AP226" i="31" s="1"/>
  <c r="AR244" i="43" l="1"/>
  <c r="AT245" i="42"/>
  <c r="AN245" i="42" s="1"/>
  <c r="BN245" i="42" s="1"/>
  <c r="AQ226" i="31"/>
  <c r="BO226" i="31" s="1"/>
  <c r="AO245" i="42" l="1"/>
  <c r="AP245" i="42" s="1"/>
  <c r="AQ245" i="42" s="1"/>
  <c r="BO245" i="42" s="1"/>
  <c r="AM245" i="43"/>
  <c r="AU244" i="43"/>
  <c r="AR226" i="31"/>
  <c r="AT245" i="43" l="1"/>
  <c r="AN245" i="43" s="1"/>
  <c r="BN245" i="43" s="1"/>
  <c r="AR245" i="42"/>
  <c r="AM227" i="31"/>
  <c r="AT227" i="31" s="1"/>
  <c r="AU226" i="31"/>
  <c r="AO245" i="43" l="1"/>
  <c r="AP245" i="43" s="1"/>
  <c r="AQ245" i="43" s="1"/>
  <c r="BO245" i="43" s="1"/>
  <c r="AM246" i="42"/>
  <c r="AU245" i="42"/>
  <c r="AR245" i="43" l="1"/>
  <c r="AT246" i="42"/>
  <c r="AN246" i="42" s="1"/>
  <c r="BN246" i="42" s="1"/>
  <c r="AN227" i="31"/>
  <c r="BN227" i="31" s="1"/>
  <c r="AO246" i="42" l="1"/>
  <c r="AM246" i="43"/>
  <c r="AU245" i="43"/>
  <c r="AO227" i="31"/>
  <c r="AP227" i="31" s="1"/>
  <c r="AP246" i="42" l="1"/>
  <c r="AQ246" i="42" s="1"/>
  <c r="BO246" i="42" s="1"/>
  <c r="AT246" i="43"/>
  <c r="AN246" i="43" s="1"/>
  <c r="BN246" i="43" s="1"/>
  <c r="AQ227" i="31"/>
  <c r="AO246" i="43" l="1"/>
  <c r="AP246" i="43" s="1"/>
  <c r="AQ246" i="43" s="1"/>
  <c r="BO246" i="43" s="1"/>
  <c r="AR246" i="43" s="1"/>
  <c r="AR246" i="42"/>
  <c r="AM247" i="42" s="1"/>
  <c r="BO227" i="31"/>
  <c r="AR227" i="31" s="1"/>
  <c r="AU246" i="42" l="1"/>
  <c r="AM247" i="43"/>
  <c r="AU246" i="43"/>
  <c r="AT247" i="42"/>
  <c r="AN247" i="42" s="1"/>
  <c r="BN247" i="42" s="1"/>
  <c r="AM228" i="31"/>
  <c r="AT228" i="31" s="1"/>
  <c r="AU227" i="31"/>
  <c r="AO247" i="42" l="1"/>
  <c r="AP247" i="42" s="1"/>
  <c r="AQ247" i="42" s="1"/>
  <c r="BO247" i="42" s="1"/>
  <c r="AT247" i="43"/>
  <c r="AN247" i="43" s="1"/>
  <c r="BN247" i="43" s="1"/>
  <c r="AN228" i="31"/>
  <c r="BN228" i="31" s="1"/>
  <c r="AO247" i="43" l="1"/>
  <c r="AP247" i="43" s="1"/>
  <c r="AQ247" i="43" s="1"/>
  <c r="BO247" i="43" s="1"/>
  <c r="AR247" i="42"/>
  <c r="AM248" i="42" s="1"/>
  <c r="AO228" i="31"/>
  <c r="AP228" i="31" s="1"/>
  <c r="AR247" i="43" l="1"/>
  <c r="AU247" i="42"/>
  <c r="AT248" i="42"/>
  <c r="AN248" i="42" s="1"/>
  <c r="BN248" i="42" s="1"/>
  <c r="AQ228" i="31"/>
  <c r="BO228" i="31" s="1"/>
  <c r="AO248" i="42" l="1"/>
  <c r="AP248" i="42" s="1"/>
  <c r="AQ248" i="42" s="1"/>
  <c r="BO248" i="42" s="1"/>
  <c r="AM248" i="43"/>
  <c r="AU247" i="43"/>
  <c r="AR228" i="31"/>
  <c r="AT248" i="43" l="1"/>
  <c r="AN248" i="43" s="1"/>
  <c r="BN248" i="43" s="1"/>
  <c r="AR248" i="42"/>
  <c r="AM229" i="31"/>
  <c r="AT229" i="31" s="1"/>
  <c r="AU228" i="31"/>
  <c r="AO248" i="43" l="1"/>
  <c r="AP248" i="43" s="1"/>
  <c r="AQ248" i="43" s="1"/>
  <c r="BO248" i="43" s="1"/>
  <c r="AM249" i="42"/>
  <c r="AU248" i="42"/>
  <c r="AR248" i="43" l="1"/>
  <c r="AT249" i="42"/>
  <c r="AN249" i="42" s="1"/>
  <c r="BN249" i="42" s="1"/>
  <c r="AN229" i="31"/>
  <c r="BN229" i="31" s="1"/>
  <c r="AO249" i="42" l="1"/>
  <c r="AP249" i="42" s="1"/>
  <c r="AQ249" i="42" s="1"/>
  <c r="BO249" i="42" s="1"/>
  <c r="AM249" i="43"/>
  <c r="AU248" i="43"/>
  <c r="AO229" i="31"/>
  <c r="AP229" i="31" s="1"/>
  <c r="AT249" i="43" l="1"/>
  <c r="AN249" i="43" s="1"/>
  <c r="BN249" i="43" s="1"/>
  <c r="AR249" i="42"/>
  <c r="AQ229" i="31"/>
  <c r="AO249" i="43" l="1"/>
  <c r="AP249" i="43" s="1"/>
  <c r="AQ249" i="43" s="1"/>
  <c r="BO249" i="43" s="1"/>
  <c r="AM250" i="42"/>
  <c r="AU249" i="42"/>
  <c r="BO229" i="31"/>
  <c r="AR229" i="31" s="1"/>
  <c r="AR249" i="43" l="1"/>
  <c r="AU249" i="43" s="1"/>
  <c r="AT250" i="42"/>
  <c r="AN250" i="42" s="1"/>
  <c r="BN250" i="42" s="1"/>
  <c r="AM230" i="31"/>
  <c r="AT230" i="31" s="1"/>
  <c r="AU229" i="31"/>
  <c r="AO250" i="42" l="1"/>
  <c r="AP250" i="42" s="1"/>
  <c r="AQ250" i="42" s="1"/>
  <c r="BO250" i="42" s="1"/>
  <c r="AM250" i="43"/>
  <c r="AT250" i="43" s="1"/>
  <c r="AN250" i="43" s="1"/>
  <c r="BN250" i="43" s="1"/>
  <c r="AN230" i="31"/>
  <c r="BN230" i="31" s="1"/>
  <c r="AO250" i="43" l="1"/>
  <c r="AP250" i="43" s="1"/>
  <c r="AQ250" i="43" s="1"/>
  <c r="BO250" i="43" s="1"/>
  <c r="AR250" i="42"/>
  <c r="AO230" i="31"/>
  <c r="AP230" i="31" s="1"/>
  <c r="AR250" i="43" l="1"/>
  <c r="AM251" i="42"/>
  <c r="AU250" i="42"/>
  <c r="AQ230" i="31"/>
  <c r="AM251" i="43" l="1"/>
  <c r="AU250" i="43"/>
  <c r="AT251" i="42"/>
  <c r="AN251" i="42" s="1"/>
  <c r="BN251" i="42" s="1"/>
  <c r="BO230" i="31"/>
  <c r="AR230" i="31" s="1"/>
  <c r="AO251" i="42" l="1"/>
  <c r="AP251" i="42" s="1"/>
  <c r="AQ251" i="42" s="1"/>
  <c r="BO251" i="42" s="1"/>
  <c r="AT251" i="43"/>
  <c r="AN251" i="43" s="1"/>
  <c r="BN251" i="43" s="1"/>
  <c r="AM231" i="31"/>
  <c r="AT231" i="31" s="1"/>
  <c r="AU230" i="31"/>
  <c r="AO251" i="43" l="1"/>
  <c r="AP251" i="43" s="1"/>
  <c r="AQ251" i="43" s="1"/>
  <c r="BO251" i="43" s="1"/>
  <c r="AR251" i="42"/>
  <c r="AM252" i="42" s="1"/>
  <c r="AN231" i="31"/>
  <c r="BN231" i="31" s="1"/>
  <c r="AR251" i="43" l="1"/>
  <c r="AU251" i="42"/>
  <c r="AT252" i="42"/>
  <c r="AN252" i="42" s="1"/>
  <c r="BN252" i="42" s="1"/>
  <c r="AO231" i="31"/>
  <c r="AP231" i="31" s="1"/>
  <c r="AO252" i="42" l="1"/>
  <c r="AP252" i="42" s="1"/>
  <c r="AQ252" i="42" s="1"/>
  <c r="BO252" i="42" s="1"/>
  <c r="AM252" i="43"/>
  <c r="AU251" i="43"/>
  <c r="AQ231" i="31"/>
  <c r="AT252" i="43" l="1"/>
  <c r="AN252" i="43" s="1"/>
  <c r="BN252" i="43" s="1"/>
  <c r="AR252" i="42"/>
  <c r="BO231" i="31"/>
  <c r="AR231" i="31" s="1"/>
  <c r="AO252" i="43" l="1"/>
  <c r="AP252" i="43" s="1"/>
  <c r="AQ252" i="43" s="1"/>
  <c r="BO252" i="43" s="1"/>
  <c r="AM253" i="42"/>
  <c r="AU252" i="42"/>
  <c r="AM232" i="31"/>
  <c r="AT232" i="31" s="1"/>
  <c r="AU231" i="31"/>
  <c r="AR252" i="43" l="1"/>
  <c r="AT253" i="42"/>
  <c r="AN253" i="42" s="1"/>
  <c r="BN253" i="42" s="1"/>
  <c r="AN232" i="31"/>
  <c r="BN232" i="31" s="1"/>
  <c r="AO253" i="42" l="1"/>
  <c r="AP253" i="42" s="1"/>
  <c r="AQ253" i="42" s="1"/>
  <c r="BO253" i="42" s="1"/>
  <c r="AM253" i="43"/>
  <c r="AU252" i="43"/>
  <c r="AO232" i="31"/>
  <c r="AP232" i="31" s="1"/>
  <c r="AT253" i="43" l="1"/>
  <c r="AN253" i="43" s="1"/>
  <c r="BN253" i="43" s="1"/>
  <c r="AR253" i="42"/>
  <c r="AQ232" i="31"/>
  <c r="BO232" i="31" s="1"/>
  <c r="AO253" i="43" l="1"/>
  <c r="AP253" i="43" s="1"/>
  <c r="AQ253" i="43" s="1"/>
  <c r="BO253" i="43" s="1"/>
  <c r="AM254" i="42"/>
  <c r="AU253" i="42"/>
  <c r="AR232" i="31"/>
  <c r="AR253" i="43" l="1"/>
  <c r="AU253" i="43" s="1"/>
  <c r="AT254" i="42"/>
  <c r="AN254" i="42" s="1"/>
  <c r="BN254" i="42" s="1"/>
  <c r="AM233" i="31"/>
  <c r="AT233" i="31" s="1"/>
  <c r="AU232" i="31"/>
  <c r="AO254" i="42" l="1"/>
  <c r="AP254" i="42" s="1"/>
  <c r="AQ254" i="42" s="1"/>
  <c r="BO254" i="42" s="1"/>
  <c r="AM254" i="43"/>
  <c r="AT254" i="43" s="1"/>
  <c r="AN254" i="43" s="1"/>
  <c r="BN254" i="43" s="1"/>
  <c r="AO254" i="43" l="1"/>
  <c r="AP254" i="43" s="1"/>
  <c r="AQ254" i="43" s="1"/>
  <c r="BO254" i="43" s="1"/>
  <c r="AR254" i="43" s="1"/>
  <c r="AR254" i="42"/>
  <c r="AM255" i="42" s="1"/>
  <c r="AN233" i="31"/>
  <c r="BN233" i="31" s="1"/>
  <c r="AM255" i="43" l="1"/>
  <c r="AU254" i="43"/>
  <c r="AU254" i="42"/>
  <c r="AT255" i="42"/>
  <c r="AN255" i="42" s="1"/>
  <c r="BN255" i="42" s="1"/>
  <c r="AO233" i="31"/>
  <c r="AP233" i="31" s="1"/>
  <c r="AO255" i="42" l="1"/>
  <c r="AP255" i="42" s="1"/>
  <c r="AQ255" i="42" s="1"/>
  <c r="BO255" i="42" s="1"/>
  <c r="AT255" i="43"/>
  <c r="AN255" i="43" s="1"/>
  <c r="BN255" i="43" s="1"/>
  <c r="AQ233" i="31"/>
  <c r="BO233" i="31" s="1"/>
  <c r="AO255" i="43" l="1"/>
  <c r="AP255" i="43" s="1"/>
  <c r="AQ255" i="43" s="1"/>
  <c r="BO255" i="43" s="1"/>
  <c r="AR255" i="42"/>
  <c r="AR233" i="31"/>
  <c r="AR255" i="43" l="1"/>
  <c r="AM256" i="42"/>
  <c r="AU255" i="42"/>
  <c r="AM234" i="31"/>
  <c r="AT234" i="31" s="1"/>
  <c r="AU233" i="31"/>
  <c r="AM256" i="43" l="1"/>
  <c r="AU255" i="43"/>
  <c r="AT256" i="42"/>
  <c r="AN256" i="42" s="1"/>
  <c r="BN256" i="42" s="1"/>
  <c r="AO256" i="42" l="1"/>
  <c r="AP256" i="42" s="1"/>
  <c r="AQ256" i="42" s="1"/>
  <c r="BO256" i="42" s="1"/>
  <c r="AT256" i="43"/>
  <c r="AN256" i="43" s="1"/>
  <c r="BN256" i="43" s="1"/>
  <c r="AN234" i="31"/>
  <c r="BN234" i="31" s="1"/>
  <c r="AO256" i="43" l="1"/>
  <c r="AP256" i="43" s="1"/>
  <c r="AQ256" i="43" s="1"/>
  <c r="BO256" i="43" s="1"/>
  <c r="AR256" i="42"/>
  <c r="AO234" i="31"/>
  <c r="AP234" i="31" s="1"/>
  <c r="AR256" i="43" l="1"/>
  <c r="AM257" i="42"/>
  <c r="AU256" i="42"/>
  <c r="AQ234" i="31"/>
  <c r="BO234" i="31" s="1"/>
  <c r="AM257" i="43" l="1"/>
  <c r="AU256" i="43"/>
  <c r="AT257" i="42"/>
  <c r="AN257" i="42" s="1"/>
  <c r="BN257" i="42" s="1"/>
  <c r="AR234" i="31"/>
  <c r="AO257" i="42" l="1"/>
  <c r="AP257" i="42" s="1"/>
  <c r="AQ257" i="42" s="1"/>
  <c r="BO257" i="42" s="1"/>
  <c r="AT257" i="43"/>
  <c r="AN257" i="43" s="1"/>
  <c r="BN257" i="43" s="1"/>
  <c r="AU234" i="31"/>
  <c r="AM235" i="31"/>
  <c r="AT235" i="31" s="1"/>
  <c r="AO257" i="43" l="1"/>
  <c r="AP257" i="43" s="1"/>
  <c r="AQ257" i="43" s="1"/>
  <c r="BO257" i="43" s="1"/>
  <c r="AR257" i="42"/>
  <c r="AR257" i="43" l="1"/>
  <c r="AM258" i="42"/>
  <c r="AU257" i="42"/>
  <c r="AN235" i="31"/>
  <c r="BN235" i="31" s="1"/>
  <c r="AM258" i="43" l="1"/>
  <c r="AU257" i="43"/>
  <c r="AT258" i="42"/>
  <c r="AN258" i="42" s="1"/>
  <c r="AO235" i="31"/>
  <c r="AP235" i="31" s="1"/>
  <c r="BN258" i="42" l="1"/>
  <c r="AO258" i="42" s="1"/>
  <c r="AP258" i="42" s="1"/>
  <c r="AQ258" i="42" s="1"/>
  <c r="BO258" i="42" s="1"/>
  <c r="AR258" i="42" s="1"/>
  <c r="AT258" i="43"/>
  <c r="AN258" i="43" s="1"/>
  <c r="BN258" i="43" s="1"/>
  <c r="AQ235" i="31"/>
  <c r="AO258" i="43" l="1"/>
  <c r="AP258" i="43" s="1"/>
  <c r="AQ258" i="43" s="1"/>
  <c r="BO258" i="43" s="1"/>
  <c r="AM259" i="42"/>
  <c r="AU258" i="42"/>
  <c r="BO235" i="31"/>
  <c r="AR235" i="31" s="1"/>
  <c r="AR258" i="43" l="1"/>
  <c r="AO259" i="42"/>
  <c r="AP259" i="42" s="1"/>
  <c r="AT259" i="42"/>
  <c r="AU235" i="31"/>
  <c r="AM236" i="31"/>
  <c r="AT236" i="31" s="1"/>
  <c r="AM259" i="43" l="1"/>
  <c r="AU258" i="43"/>
  <c r="AQ259" i="42"/>
  <c r="BO259" i="42" s="1"/>
  <c r="AN236" i="31"/>
  <c r="BN236" i="31" s="1"/>
  <c r="AO259" i="43" l="1"/>
  <c r="AP259" i="43" s="1"/>
  <c r="AT259" i="43"/>
  <c r="AR259" i="42"/>
  <c r="AO236" i="31"/>
  <c r="AP236" i="31" s="1"/>
  <c r="AQ259" i="43" l="1"/>
  <c r="BO259" i="43" s="1"/>
  <c r="AM260" i="42"/>
  <c r="AU259" i="42"/>
  <c r="AQ236" i="31"/>
  <c r="AR259" i="43" l="1"/>
  <c r="AO260" i="42"/>
  <c r="AP260" i="42" s="1"/>
  <c r="AT260" i="42"/>
  <c r="BO236" i="31"/>
  <c r="AR236" i="31" s="1"/>
  <c r="AM260" i="43" l="1"/>
  <c r="AU259" i="43"/>
  <c r="AQ260" i="42"/>
  <c r="BO260" i="42" s="1"/>
  <c r="AU236" i="31"/>
  <c r="AM237" i="31"/>
  <c r="AT237" i="31" s="1"/>
  <c r="AO260" i="43" l="1"/>
  <c r="AP260" i="43" s="1"/>
  <c r="AT260" i="43"/>
  <c r="AR260" i="42"/>
  <c r="AN237" i="31"/>
  <c r="BN237" i="31" s="1"/>
  <c r="AQ260" i="43" l="1"/>
  <c r="BO260" i="43" s="1"/>
  <c r="AM261" i="42"/>
  <c r="AU260" i="42"/>
  <c r="AO237" i="31"/>
  <c r="AP237" i="31" s="1"/>
  <c r="AR260" i="43" l="1"/>
  <c r="AO261" i="42"/>
  <c r="AP261" i="42" s="1"/>
  <c r="AT261" i="42"/>
  <c r="AQ237" i="31"/>
  <c r="AM261" i="43" l="1"/>
  <c r="AU260" i="43"/>
  <c r="AQ261" i="42"/>
  <c r="BO261" i="42" s="1"/>
  <c r="BO237" i="31"/>
  <c r="AR237" i="31" s="1"/>
  <c r="AO261" i="43" l="1"/>
  <c r="AP261" i="43" s="1"/>
  <c r="AT261" i="43"/>
  <c r="AR261" i="42"/>
  <c r="AM238" i="31"/>
  <c r="AT238" i="31" s="1"/>
  <c r="AU237" i="31"/>
  <c r="AQ261" i="43" l="1"/>
  <c r="BO261" i="43" s="1"/>
  <c r="AM262" i="42"/>
  <c r="AU261" i="42"/>
  <c r="AN238" i="31"/>
  <c r="BN238" i="31" s="1"/>
  <c r="AR261" i="43" l="1"/>
  <c r="AO262" i="42"/>
  <c r="AP262" i="42" s="1"/>
  <c r="AT262" i="42"/>
  <c r="AO238" i="31"/>
  <c r="AP238" i="31" s="1"/>
  <c r="AM262" i="43" l="1"/>
  <c r="AU261" i="43"/>
  <c r="AQ262" i="42"/>
  <c r="BO262" i="42" s="1"/>
  <c r="AR262" i="42" s="1"/>
  <c r="AQ238" i="31"/>
  <c r="AO262" i="43" l="1"/>
  <c r="AP262" i="43" s="1"/>
  <c r="AT262" i="43"/>
  <c r="AM263" i="42"/>
  <c r="AU262" i="42"/>
  <c r="BO238" i="31"/>
  <c r="AR238" i="31" s="1"/>
  <c r="AQ262" i="43" l="1"/>
  <c r="BO262" i="43" s="1"/>
  <c r="AO263" i="42"/>
  <c r="AP263" i="42" s="1"/>
  <c r="AT263" i="42"/>
  <c r="AU238" i="31"/>
  <c r="AM239" i="31"/>
  <c r="AT239" i="31" s="1"/>
  <c r="AR262" i="43" l="1"/>
  <c r="AM263" i="43" s="1"/>
  <c r="AQ263" i="42"/>
  <c r="BO263" i="42" s="1"/>
  <c r="AN239" i="31"/>
  <c r="BN239" i="31" s="1"/>
  <c r="AU262" i="43" l="1"/>
  <c r="AO263" i="43"/>
  <c r="AP263" i="43" s="1"/>
  <c r="AT263" i="43"/>
  <c r="AR263" i="42"/>
  <c r="AM264" i="42" s="1"/>
  <c r="AO239" i="31"/>
  <c r="AP239" i="31" s="1"/>
  <c r="AQ263" i="43" l="1"/>
  <c r="BO263" i="43" s="1"/>
  <c r="AU263" i="42"/>
  <c r="AO264" i="42"/>
  <c r="AP264" i="42" s="1"/>
  <c r="AT264" i="42"/>
  <c r="AQ239" i="31"/>
  <c r="AR263" i="43" l="1"/>
  <c r="AQ264" i="42"/>
  <c r="BO264" i="42" s="1"/>
  <c r="BO239" i="31"/>
  <c r="AR239" i="31" s="1"/>
  <c r="AM264" i="43" l="1"/>
  <c r="AU263" i="43"/>
  <c r="AR264" i="42"/>
  <c r="AM240" i="31"/>
  <c r="AT240" i="31" s="1"/>
  <c r="AU239" i="31"/>
  <c r="AO264" i="43" l="1"/>
  <c r="AP264" i="43" s="1"/>
  <c r="AT264" i="43"/>
  <c r="AM265" i="42"/>
  <c r="AU264" i="42"/>
  <c r="AN240" i="31"/>
  <c r="BN240" i="31" s="1"/>
  <c r="AQ264" i="43" l="1"/>
  <c r="BO264" i="43" s="1"/>
  <c r="AO265" i="42"/>
  <c r="AP265" i="42" s="1"/>
  <c r="AT265" i="42"/>
  <c r="AO240" i="31"/>
  <c r="AP240" i="31" s="1"/>
  <c r="AR264" i="43" l="1"/>
  <c r="AQ265" i="42"/>
  <c r="BO265" i="42" s="1"/>
  <c r="AQ240" i="31"/>
  <c r="BO240" i="31" s="1"/>
  <c r="AM265" i="43" l="1"/>
  <c r="AU264" i="43"/>
  <c r="AR265" i="42"/>
  <c r="AR240" i="31"/>
  <c r="AM241" i="31" s="1"/>
  <c r="AT241" i="31" s="1"/>
  <c r="AO265" i="43" l="1"/>
  <c r="AP265" i="43" s="1"/>
  <c r="AT265" i="43"/>
  <c r="AM266" i="42"/>
  <c r="AU265" i="42"/>
  <c r="AU240" i="31"/>
  <c r="AQ265" i="43" l="1"/>
  <c r="BO265" i="43" s="1"/>
  <c r="AO266" i="42"/>
  <c r="AP266" i="42" s="1"/>
  <c r="AT266" i="42"/>
  <c r="AN241" i="31"/>
  <c r="BN241" i="31" s="1"/>
  <c r="AR265" i="43" l="1"/>
  <c r="AQ266" i="42"/>
  <c r="BO266" i="42" s="1"/>
  <c r="AR266" i="42" s="1"/>
  <c r="AO241" i="31"/>
  <c r="AP241" i="31" s="1"/>
  <c r="AM266" i="43" l="1"/>
  <c r="AU265" i="43"/>
  <c r="AM267" i="42"/>
  <c r="AU266" i="42"/>
  <c r="AQ241" i="31"/>
  <c r="AO266" i="43" l="1"/>
  <c r="AP266" i="43" s="1"/>
  <c r="AT266" i="43"/>
  <c r="AO267" i="42"/>
  <c r="AP267" i="42" s="1"/>
  <c r="AT267" i="42"/>
  <c r="BO241" i="31"/>
  <c r="AR241" i="31" s="1"/>
  <c r="AQ266" i="43" l="1"/>
  <c r="BO266" i="43" s="1"/>
  <c r="AR266" i="43" s="1"/>
  <c r="AQ267" i="42"/>
  <c r="BO267" i="42" s="1"/>
  <c r="AU241" i="31"/>
  <c r="AM242" i="31"/>
  <c r="AT242" i="31" s="1"/>
  <c r="AM267" i="43" l="1"/>
  <c r="AU266" i="43"/>
  <c r="AR267" i="42"/>
  <c r="AN242" i="31"/>
  <c r="BN242" i="31" s="1"/>
  <c r="AO267" i="43" l="1"/>
  <c r="AP267" i="43" s="1"/>
  <c r="AT267" i="43"/>
  <c r="AM268" i="42"/>
  <c r="AU267" i="42"/>
  <c r="AO242" i="31"/>
  <c r="AP242" i="31" s="1"/>
  <c r="AQ267" i="43" l="1"/>
  <c r="BO267" i="43" s="1"/>
  <c r="AO268" i="42"/>
  <c r="AP268" i="42" s="1"/>
  <c r="AT268" i="42"/>
  <c r="AQ242" i="31"/>
  <c r="AR267" i="43" l="1"/>
  <c r="AQ268" i="42"/>
  <c r="BO268" i="42" s="1"/>
  <c r="BO242" i="31"/>
  <c r="AR242" i="31" s="1"/>
  <c r="AM268" i="43" l="1"/>
  <c r="AU267" i="43"/>
  <c r="AR268" i="42"/>
  <c r="AU242" i="31"/>
  <c r="AM243" i="31"/>
  <c r="AT243" i="31" s="1"/>
  <c r="AO268" i="43" l="1"/>
  <c r="AP268" i="43" s="1"/>
  <c r="AT268" i="43"/>
  <c r="AM269" i="42"/>
  <c r="AU268" i="42"/>
  <c r="AN243" i="31"/>
  <c r="BN243" i="31" s="1"/>
  <c r="AQ268" i="43" l="1"/>
  <c r="BO268" i="43" s="1"/>
  <c r="AO269" i="42"/>
  <c r="AP269" i="42" s="1"/>
  <c r="AT269" i="42"/>
  <c r="AO243" i="31"/>
  <c r="AP243" i="31" s="1"/>
  <c r="AR268" i="43" l="1"/>
  <c r="AQ269" i="42"/>
  <c r="BO269" i="42" s="1"/>
  <c r="AQ243" i="31"/>
  <c r="BO243" i="31" s="1"/>
  <c r="AM269" i="43" l="1"/>
  <c r="AU268" i="43"/>
  <c r="AR269" i="42"/>
  <c r="AR243" i="31"/>
  <c r="AO269" i="43" l="1"/>
  <c r="AP269" i="43" s="1"/>
  <c r="AT269" i="43"/>
  <c r="AM270" i="42"/>
  <c r="AU269" i="42"/>
  <c r="AM244" i="31"/>
  <c r="AT244" i="31" s="1"/>
  <c r="AU243" i="31"/>
  <c r="AQ269" i="43" l="1"/>
  <c r="BO269" i="43" s="1"/>
  <c r="AO270" i="42"/>
  <c r="AP270" i="42" s="1"/>
  <c r="AT270" i="42"/>
  <c r="AR269" i="43" l="1"/>
  <c r="AM270" i="43" s="1"/>
  <c r="AQ270" i="42"/>
  <c r="BO270" i="42" s="1"/>
  <c r="AN244" i="31"/>
  <c r="BN244" i="31" s="1"/>
  <c r="AU269" i="43" l="1"/>
  <c r="AO270" i="43"/>
  <c r="AP270" i="43" s="1"/>
  <c r="AT270" i="43"/>
  <c r="AR270" i="42"/>
  <c r="AO244" i="31"/>
  <c r="AP244" i="31" s="1"/>
  <c r="AQ270" i="43" l="1"/>
  <c r="BO270" i="43" s="1"/>
  <c r="AM271" i="42"/>
  <c r="AU270" i="42"/>
  <c r="AQ244" i="31"/>
  <c r="AR270" i="43" l="1"/>
  <c r="AO271" i="42"/>
  <c r="AP271" i="42" s="1"/>
  <c r="AT271" i="42"/>
  <c r="BO244" i="31"/>
  <c r="AR244" i="31" s="1"/>
  <c r="AM271" i="43" l="1"/>
  <c r="AU270" i="43"/>
  <c r="AQ271" i="42"/>
  <c r="BO271" i="42" s="1"/>
  <c r="AR271" i="42" s="1"/>
  <c r="AU244" i="31"/>
  <c r="AM245" i="31"/>
  <c r="AT245" i="31" s="1"/>
  <c r="AO271" i="43" l="1"/>
  <c r="AP271" i="43" s="1"/>
  <c r="AT271" i="43"/>
  <c r="AM272" i="42"/>
  <c r="AU271" i="42"/>
  <c r="AN245" i="31"/>
  <c r="BN245" i="31" s="1"/>
  <c r="AQ271" i="43" l="1"/>
  <c r="BO271" i="43" s="1"/>
  <c r="AO272" i="42"/>
  <c r="AP272" i="42" s="1"/>
  <c r="AT272" i="42"/>
  <c r="AO245" i="31"/>
  <c r="AP245" i="31" s="1"/>
  <c r="AR271" i="43" l="1"/>
  <c r="AQ272" i="42"/>
  <c r="BO272" i="42" s="1"/>
  <c r="AQ245" i="31"/>
  <c r="AM272" i="43" l="1"/>
  <c r="AU271" i="43"/>
  <c r="AR272" i="42"/>
  <c r="BO245" i="31"/>
  <c r="AR245" i="31" s="1"/>
  <c r="AO272" i="43" l="1"/>
  <c r="AP272" i="43" s="1"/>
  <c r="AT272" i="43"/>
  <c r="AM273" i="42"/>
  <c r="AU272" i="42"/>
  <c r="AU245" i="31"/>
  <c r="AM246" i="31"/>
  <c r="AT246" i="31" s="1"/>
  <c r="AQ272" i="43" l="1"/>
  <c r="BO272" i="43" s="1"/>
  <c r="AO273" i="42"/>
  <c r="AP273" i="42" s="1"/>
  <c r="AT273" i="42"/>
  <c r="AN246" i="31"/>
  <c r="BN246" i="31" s="1"/>
  <c r="AR272" i="43" l="1"/>
  <c r="AQ273" i="42"/>
  <c r="BO273" i="42" s="1"/>
  <c r="AO246" i="31"/>
  <c r="AP246" i="31" l="1"/>
  <c r="AQ246" i="31" s="1"/>
  <c r="AM273" i="43"/>
  <c r="AU272" i="43"/>
  <c r="AR273" i="42"/>
  <c r="AM274" i="42" s="1"/>
  <c r="AU273" i="42" l="1"/>
  <c r="AO273" i="43"/>
  <c r="AP273" i="43" s="1"/>
  <c r="AT273" i="43"/>
  <c r="AO274" i="42"/>
  <c r="AP274" i="42" s="1"/>
  <c r="AT274" i="42"/>
  <c r="BO246" i="31"/>
  <c r="AR246" i="31" s="1"/>
  <c r="AQ273" i="43" l="1"/>
  <c r="BO273" i="43" s="1"/>
  <c r="AQ274" i="42"/>
  <c r="BO274" i="42" s="1"/>
  <c r="AR274" i="42" s="1"/>
  <c r="AM247" i="31"/>
  <c r="AT247" i="31" s="1"/>
  <c r="AU246" i="31"/>
  <c r="AR273" i="43" l="1"/>
  <c r="AM275" i="42"/>
  <c r="AU274" i="42"/>
  <c r="AN247" i="31"/>
  <c r="AM274" i="43" l="1"/>
  <c r="AU273" i="43"/>
  <c r="AO275" i="42"/>
  <c r="AP275" i="42" s="1"/>
  <c r="AT275" i="42"/>
  <c r="BN247" i="31"/>
  <c r="AO247" i="31" s="1"/>
  <c r="AP247" i="31" s="1"/>
  <c r="AQ247" i="31" s="1"/>
  <c r="AO274" i="43" l="1"/>
  <c r="AP274" i="43" s="1"/>
  <c r="AT274" i="43"/>
  <c r="AQ275" i="42"/>
  <c r="BO275" i="42" s="1"/>
  <c r="AR275" i="42" s="1"/>
  <c r="BO247" i="31"/>
  <c r="AR247" i="31" s="1"/>
  <c r="AQ274" i="43" l="1"/>
  <c r="BO274" i="43" s="1"/>
  <c r="AM276" i="42"/>
  <c r="AU275" i="42"/>
  <c r="AU247" i="31"/>
  <c r="AM248" i="31"/>
  <c r="AT248" i="31" s="1"/>
  <c r="AN248" i="31" s="1"/>
  <c r="AR274" i="43" l="1"/>
  <c r="AO276" i="42"/>
  <c r="AP276" i="42" s="1"/>
  <c r="AT276" i="42"/>
  <c r="BN248" i="31"/>
  <c r="AO248" i="31" s="1"/>
  <c r="AP248" i="31" s="1"/>
  <c r="AM275" i="43" l="1"/>
  <c r="AU274" i="43"/>
  <c r="AQ276" i="42"/>
  <c r="BO276" i="42" s="1"/>
  <c r="AQ248" i="31"/>
  <c r="BO248" i="31" s="1"/>
  <c r="AO275" i="43" l="1"/>
  <c r="AP275" i="43" s="1"/>
  <c r="AT275" i="43"/>
  <c r="AR276" i="42"/>
  <c r="AR248" i="31"/>
  <c r="AQ275" i="43" l="1"/>
  <c r="BO275" i="43" s="1"/>
  <c r="AM277" i="42"/>
  <c r="AU276" i="42"/>
  <c r="AU248" i="31"/>
  <c r="AM249" i="31"/>
  <c r="AT249" i="31" s="1"/>
  <c r="AN249" i="31" s="1"/>
  <c r="AR275" i="43" l="1"/>
  <c r="AO277" i="42"/>
  <c r="AP277" i="42" s="1"/>
  <c r="AT277" i="42"/>
  <c r="BN249" i="31"/>
  <c r="AO249" i="31" s="1"/>
  <c r="AP249" i="31" s="1"/>
  <c r="AM276" i="43" l="1"/>
  <c r="AU275" i="43"/>
  <c r="AQ277" i="42"/>
  <c r="BO277" i="42" s="1"/>
  <c r="AQ249" i="31"/>
  <c r="BO249" i="31" s="1"/>
  <c r="AO276" i="43" l="1"/>
  <c r="AP276" i="43" s="1"/>
  <c r="AT276" i="43"/>
  <c r="AR277" i="42"/>
  <c r="AR249" i="31"/>
  <c r="AQ276" i="43" l="1"/>
  <c r="BO276" i="43" s="1"/>
  <c r="AM278" i="42"/>
  <c r="AU277" i="42"/>
  <c r="AU249" i="31"/>
  <c r="AM250" i="31"/>
  <c r="AT250" i="31" s="1"/>
  <c r="AN250" i="31" s="1"/>
  <c r="AR276" i="43" l="1"/>
  <c r="AO278" i="42"/>
  <c r="AP278" i="42" s="1"/>
  <c r="AT278" i="42"/>
  <c r="BN250" i="31"/>
  <c r="AO250" i="31" s="1"/>
  <c r="AP250" i="31" s="1"/>
  <c r="AM277" i="43" l="1"/>
  <c r="AU276" i="43"/>
  <c r="AQ278" i="42"/>
  <c r="BO278" i="42" s="1"/>
  <c r="AR278" i="42" s="1"/>
  <c r="AQ250" i="31"/>
  <c r="BO250" i="31" s="1"/>
  <c r="AO277" i="43" l="1"/>
  <c r="AP277" i="43" s="1"/>
  <c r="AT277" i="43"/>
  <c r="AM279" i="42"/>
  <c r="AU278" i="42"/>
  <c r="AR250" i="31"/>
  <c r="AQ277" i="43" l="1"/>
  <c r="BO277" i="43" s="1"/>
  <c r="AO279" i="42"/>
  <c r="AP279" i="42" s="1"/>
  <c r="AT279" i="42"/>
  <c r="AU250" i="31"/>
  <c r="AM251" i="31"/>
  <c r="AT251" i="31" s="1"/>
  <c r="AN251" i="31" s="1"/>
  <c r="AR277" i="43" l="1"/>
  <c r="AQ279" i="42"/>
  <c r="BO279" i="42" s="1"/>
  <c r="BN251" i="31"/>
  <c r="AO251" i="31" s="1"/>
  <c r="AP251" i="31" s="1"/>
  <c r="AQ251" i="31" s="1"/>
  <c r="AM278" i="43" l="1"/>
  <c r="AU277" i="43"/>
  <c r="AR279" i="42"/>
  <c r="BO251" i="31"/>
  <c r="AR251" i="31" s="1"/>
  <c r="AO278" i="43" l="1"/>
  <c r="AP278" i="43" s="1"/>
  <c r="AT278" i="43"/>
  <c r="AM280" i="42"/>
  <c r="AU279" i="42"/>
  <c r="AU251" i="31"/>
  <c r="AM252" i="31"/>
  <c r="AT252" i="31" s="1"/>
  <c r="AN252" i="31" s="1"/>
  <c r="AQ278" i="43" l="1"/>
  <c r="BO278" i="43" s="1"/>
  <c r="AO280" i="42"/>
  <c r="AP280" i="42" s="1"/>
  <c r="AT280" i="42"/>
  <c r="BN252" i="31"/>
  <c r="AO252" i="31" s="1"/>
  <c r="AP252" i="31" s="1"/>
  <c r="AR278" i="43" l="1"/>
  <c r="AM279" i="43" s="1"/>
  <c r="AQ280" i="42"/>
  <c r="BO280" i="42" s="1"/>
  <c r="AQ252" i="31"/>
  <c r="BO252" i="31" s="1"/>
  <c r="AU278" i="43" l="1"/>
  <c r="AO279" i="43"/>
  <c r="AP279" i="43" s="1"/>
  <c r="AT279" i="43"/>
  <c r="AR280" i="42"/>
  <c r="AR252" i="31"/>
  <c r="AQ279" i="43" l="1"/>
  <c r="BO279" i="43" s="1"/>
  <c r="AM281" i="42"/>
  <c r="AU280" i="42"/>
  <c r="AU252" i="31"/>
  <c r="AM253" i="31"/>
  <c r="AT253" i="31" s="1"/>
  <c r="AN253" i="31" s="1"/>
  <c r="AR279" i="43" l="1"/>
  <c r="AO281" i="42"/>
  <c r="AP281" i="42" s="1"/>
  <c r="AT281" i="42"/>
  <c r="BN253" i="31"/>
  <c r="AO253" i="31" s="1"/>
  <c r="AP253" i="31" s="1"/>
  <c r="AQ253" i="31" s="1"/>
  <c r="AM280" i="43" l="1"/>
  <c r="AU279" i="43"/>
  <c r="AQ281" i="42"/>
  <c r="BO281" i="42" s="1"/>
  <c r="BO253" i="31"/>
  <c r="AR253" i="31" s="1"/>
  <c r="AO280" i="43" l="1"/>
  <c r="AP280" i="43" s="1"/>
  <c r="AT280" i="43"/>
  <c r="AR281" i="42"/>
  <c r="AM254" i="31"/>
  <c r="AT254" i="31" s="1"/>
  <c r="AN254" i="31" s="1"/>
  <c r="AU253" i="31"/>
  <c r="AQ280" i="43" l="1"/>
  <c r="BO280" i="43" s="1"/>
  <c r="AM282" i="42"/>
  <c r="AU281" i="42"/>
  <c r="BN254" i="31"/>
  <c r="AO254" i="31" s="1"/>
  <c r="AP254" i="31" s="1"/>
  <c r="AR280" i="43" l="1"/>
  <c r="AO282" i="42"/>
  <c r="AP282" i="42" s="1"/>
  <c r="AT282" i="42"/>
  <c r="AQ254" i="31"/>
  <c r="BO254" i="31" s="1"/>
  <c r="AM281" i="43" l="1"/>
  <c r="AU280" i="43"/>
  <c r="AQ282" i="42"/>
  <c r="BO282" i="42" s="1"/>
  <c r="AR282" i="42" s="1"/>
  <c r="AR254" i="31"/>
  <c r="AO281" i="43" l="1"/>
  <c r="AP281" i="43" s="1"/>
  <c r="AT281" i="43"/>
  <c r="AM283" i="42"/>
  <c r="AU282" i="42"/>
  <c r="AM255" i="31"/>
  <c r="AT255" i="31" s="1"/>
  <c r="AN255" i="31" s="1"/>
  <c r="AU254" i="31"/>
  <c r="AQ281" i="43" l="1"/>
  <c r="BO281" i="43" s="1"/>
  <c r="AO283" i="42"/>
  <c r="AP283" i="42" s="1"/>
  <c r="AT283" i="42"/>
  <c r="BN255" i="31"/>
  <c r="AO255" i="31" s="1"/>
  <c r="AP255" i="31" s="1"/>
  <c r="AQ255" i="31" s="1"/>
  <c r="AR281" i="43" l="1"/>
  <c r="AQ283" i="42"/>
  <c r="BO283" i="42" s="1"/>
  <c r="BO255" i="31"/>
  <c r="AR255" i="31" s="1"/>
  <c r="AM282" i="43" l="1"/>
  <c r="AU281" i="43"/>
  <c r="AR283" i="42"/>
  <c r="AU255" i="31"/>
  <c r="AM256" i="31"/>
  <c r="AT256" i="31" s="1"/>
  <c r="AN256" i="31" s="1"/>
  <c r="AO282" i="43" l="1"/>
  <c r="AP282" i="43" s="1"/>
  <c r="AT282" i="43"/>
  <c r="AM284" i="42"/>
  <c r="AU283" i="42"/>
  <c r="BN256" i="31"/>
  <c r="AO256" i="31" s="1"/>
  <c r="AP256" i="31" s="1"/>
  <c r="AQ282" i="43" l="1"/>
  <c r="BO282" i="43" s="1"/>
  <c r="AR282" i="43" s="1"/>
  <c r="AO284" i="42"/>
  <c r="AP284" i="42" s="1"/>
  <c r="AT284" i="42"/>
  <c r="AQ256" i="31"/>
  <c r="BO256" i="31" s="1"/>
  <c r="AM283" i="43" l="1"/>
  <c r="AU282" i="43"/>
  <c r="AQ284" i="42"/>
  <c r="BO284" i="42" s="1"/>
  <c r="AR256" i="31"/>
  <c r="AO283" i="43" l="1"/>
  <c r="AP283" i="43" s="1"/>
  <c r="AT283" i="43"/>
  <c r="AR284" i="42"/>
  <c r="AU256" i="31"/>
  <c r="AM257" i="31"/>
  <c r="AT257" i="31" s="1"/>
  <c r="AN257" i="31" s="1"/>
  <c r="AQ283" i="43" l="1"/>
  <c r="BO283" i="43" s="1"/>
  <c r="AM285" i="42"/>
  <c r="AU284" i="42"/>
  <c r="BN257" i="31"/>
  <c r="AO257" i="31" s="1"/>
  <c r="AP257" i="31" s="1"/>
  <c r="AR283" i="43" l="1"/>
  <c r="AU283" i="43" s="1"/>
  <c r="AO285" i="42"/>
  <c r="AP285" i="42" s="1"/>
  <c r="AT285" i="42"/>
  <c r="AQ257" i="31"/>
  <c r="BO257" i="31" s="1"/>
  <c r="AM284" i="43" l="1"/>
  <c r="AO284" i="43" s="1"/>
  <c r="AP284" i="43" s="1"/>
  <c r="AQ285" i="42"/>
  <c r="BO285" i="42" s="1"/>
  <c r="AR257" i="31"/>
  <c r="AT284" i="43" l="1"/>
  <c r="AQ284" i="43"/>
  <c r="BO284" i="43" s="1"/>
  <c r="AR285" i="42"/>
  <c r="AM258" i="31"/>
  <c r="AT258" i="31" s="1"/>
  <c r="AN258" i="31" s="1"/>
  <c r="AU257" i="31"/>
  <c r="AR284" i="43" l="1"/>
  <c r="AM286" i="42"/>
  <c r="AU285" i="42"/>
  <c r="BN258" i="31"/>
  <c r="AO258" i="31" s="1"/>
  <c r="AP258" i="31" s="1"/>
  <c r="AM285" i="43" l="1"/>
  <c r="AU284" i="43"/>
  <c r="AO286" i="42"/>
  <c r="AP286" i="42" s="1"/>
  <c r="AT286" i="42"/>
  <c r="AQ258" i="31"/>
  <c r="BO258" i="31" s="1"/>
  <c r="AO285" i="43" l="1"/>
  <c r="AP285" i="43" s="1"/>
  <c r="AT285" i="43"/>
  <c r="AQ286" i="42"/>
  <c r="BO286" i="42" s="1"/>
  <c r="AR258" i="31"/>
  <c r="AM259" i="31" s="1"/>
  <c r="AT259" i="31" s="1"/>
  <c r="AQ285" i="43" l="1"/>
  <c r="BO285" i="43" s="1"/>
  <c r="AR286" i="42"/>
  <c r="AM287" i="42" s="1"/>
  <c r="AU258" i="31"/>
  <c r="AN259" i="31"/>
  <c r="AR285" i="43" l="1"/>
  <c r="AU286" i="42"/>
  <c r="AO287" i="42"/>
  <c r="AP287" i="42" s="1"/>
  <c r="AT287" i="42"/>
  <c r="BN259" i="31"/>
  <c r="AO259" i="31" s="1"/>
  <c r="AP259" i="31" s="1"/>
  <c r="AM286" i="43" l="1"/>
  <c r="AU285" i="43"/>
  <c r="AQ287" i="42"/>
  <c r="BO287" i="42" s="1"/>
  <c r="AQ259" i="31"/>
  <c r="BO259" i="31" s="1"/>
  <c r="AR259" i="31" s="1"/>
  <c r="AO286" i="43" l="1"/>
  <c r="AP286" i="43" s="1"/>
  <c r="AT286" i="43"/>
  <c r="AR287" i="42"/>
  <c r="AM260" i="31"/>
  <c r="AT260" i="31" s="1"/>
  <c r="AU259" i="31"/>
  <c r="AQ286" i="43" l="1"/>
  <c r="BO286" i="43" s="1"/>
  <c r="AM288" i="42"/>
  <c r="AU287" i="42"/>
  <c r="AN260" i="31"/>
  <c r="AR286" i="43" l="1"/>
  <c r="AO288" i="42"/>
  <c r="AP288" i="42" s="1"/>
  <c r="AT288" i="42"/>
  <c r="BN260" i="31"/>
  <c r="AO260" i="31" s="1"/>
  <c r="AP260" i="31" s="1"/>
  <c r="AM287" i="43" l="1"/>
  <c r="AU286" i="43"/>
  <c r="AQ288" i="42"/>
  <c r="BO288" i="42" s="1"/>
  <c r="AQ260" i="31"/>
  <c r="BO260" i="31" s="1"/>
  <c r="AO287" i="43" l="1"/>
  <c r="AP287" i="43" s="1"/>
  <c r="AT287" i="43"/>
  <c r="AR288" i="42"/>
  <c r="AR260" i="31"/>
  <c r="AQ287" i="43" l="1"/>
  <c r="BO287" i="43" s="1"/>
  <c r="AM289" i="42"/>
  <c r="AU288" i="42"/>
  <c r="AM261" i="31"/>
  <c r="AT261" i="31" s="1"/>
  <c r="AN261" i="31" s="1"/>
  <c r="AU260" i="31"/>
  <c r="AR287" i="43" l="1"/>
  <c r="AO289" i="42"/>
  <c r="AP289" i="42" s="1"/>
  <c r="AT289" i="42"/>
  <c r="BN261" i="31"/>
  <c r="AO261" i="31" s="1"/>
  <c r="AP261" i="31" s="1"/>
  <c r="AM288" i="43" l="1"/>
  <c r="AU287" i="43"/>
  <c r="AQ289" i="42"/>
  <c r="BO289" i="42" s="1"/>
  <c r="AQ261" i="31"/>
  <c r="BO261" i="31" s="1"/>
  <c r="AO288" i="43" l="1"/>
  <c r="AP288" i="43" s="1"/>
  <c r="AT288" i="43"/>
  <c r="AR289" i="42"/>
  <c r="AR261" i="31"/>
  <c r="AQ288" i="43" l="1"/>
  <c r="BO288" i="43" s="1"/>
  <c r="AM290" i="42"/>
  <c r="AU289" i="42"/>
  <c r="AM262" i="31"/>
  <c r="AT262" i="31" s="1"/>
  <c r="AN262" i="31" s="1"/>
  <c r="AU261" i="31"/>
  <c r="AR288" i="43" l="1"/>
  <c r="AO290" i="42"/>
  <c r="AP290" i="42" s="1"/>
  <c r="AT290" i="42"/>
  <c r="BN262" i="31"/>
  <c r="AO262" i="31" s="1"/>
  <c r="AP262" i="31" s="1"/>
  <c r="AM289" i="43" l="1"/>
  <c r="AU288" i="43"/>
  <c r="AQ290" i="42"/>
  <c r="BO290" i="42" s="1"/>
  <c r="AR290" i="42" s="1"/>
  <c r="AQ262" i="31"/>
  <c r="BO262" i="31" s="1"/>
  <c r="AO289" i="43" l="1"/>
  <c r="AP289" i="43" s="1"/>
  <c r="AT289" i="43"/>
  <c r="AM291" i="42"/>
  <c r="AU290" i="42"/>
  <c r="AR262" i="31"/>
  <c r="AQ289" i="43" l="1"/>
  <c r="BO289" i="43" s="1"/>
  <c r="AO291" i="42"/>
  <c r="AP291" i="42" s="1"/>
  <c r="AT291" i="42"/>
  <c r="AU262" i="31"/>
  <c r="AM263" i="31"/>
  <c r="AT263" i="31" s="1"/>
  <c r="AN263" i="31" s="1"/>
  <c r="AR289" i="43" l="1"/>
  <c r="AQ291" i="42"/>
  <c r="BO291" i="42" s="1"/>
  <c r="BN263" i="31"/>
  <c r="AO263" i="31" s="1"/>
  <c r="AP263" i="31" s="1"/>
  <c r="AM290" i="43" l="1"/>
  <c r="AU289" i="43"/>
  <c r="AR291" i="42"/>
  <c r="AQ263" i="31"/>
  <c r="BO263" i="31" s="1"/>
  <c r="AO290" i="43" l="1"/>
  <c r="AP290" i="43" s="1"/>
  <c r="AT290" i="43"/>
  <c r="AM292" i="42"/>
  <c r="AU291" i="42"/>
  <c r="AR263" i="31"/>
  <c r="AQ290" i="43" l="1"/>
  <c r="BO290" i="43" s="1"/>
  <c r="AO292" i="42"/>
  <c r="AP292" i="42" s="1"/>
  <c r="AT292" i="42"/>
  <c r="AM264" i="31"/>
  <c r="AT264" i="31" s="1"/>
  <c r="AN264" i="31" s="1"/>
  <c r="AU263" i="31"/>
  <c r="AR290" i="43" l="1"/>
  <c r="AQ292" i="42"/>
  <c r="BO292" i="42" s="1"/>
  <c r="BN264" i="31"/>
  <c r="AO264" i="31" s="1"/>
  <c r="AP264" i="31" s="1"/>
  <c r="AM291" i="43" l="1"/>
  <c r="AU290" i="43"/>
  <c r="AR292" i="42"/>
  <c r="AQ264" i="31"/>
  <c r="BO264" i="31" s="1"/>
  <c r="AO291" i="43" l="1"/>
  <c r="AP291" i="43" s="1"/>
  <c r="AT291" i="43"/>
  <c r="AM293" i="42"/>
  <c r="AU292" i="42"/>
  <c r="AR264" i="31"/>
  <c r="AQ291" i="43" l="1"/>
  <c r="BO291" i="43" s="1"/>
  <c r="AR291" i="43" s="1"/>
  <c r="AO293" i="42"/>
  <c r="AP293" i="42" s="1"/>
  <c r="AT293" i="42"/>
  <c r="AU264" i="31"/>
  <c r="AM265" i="31"/>
  <c r="AT265" i="31" s="1"/>
  <c r="AN265" i="31" s="1"/>
  <c r="AM292" i="43" l="1"/>
  <c r="AU291" i="43"/>
  <c r="AQ293" i="42"/>
  <c r="BO293" i="42" s="1"/>
  <c r="BN265" i="31"/>
  <c r="AO265" i="31" s="1"/>
  <c r="AP265" i="31" s="1"/>
  <c r="AO292" i="43" l="1"/>
  <c r="AP292" i="43" s="1"/>
  <c r="AT292" i="43"/>
  <c r="AR293" i="42"/>
  <c r="AQ265" i="31"/>
  <c r="BO265" i="31" s="1"/>
  <c r="AQ292" i="43" l="1"/>
  <c r="BO292" i="43" s="1"/>
  <c r="AM294" i="42"/>
  <c r="AU293" i="42"/>
  <c r="AR265" i="31"/>
  <c r="AR292" i="43" l="1"/>
  <c r="AO294" i="42"/>
  <c r="AP294" i="42" s="1"/>
  <c r="AT294" i="42"/>
  <c r="AU265" i="31"/>
  <c r="AM266" i="31"/>
  <c r="AT266" i="31" s="1"/>
  <c r="AN266" i="31" s="1"/>
  <c r="AM293" i="43" l="1"/>
  <c r="AU292" i="43"/>
  <c r="AQ294" i="42"/>
  <c r="BO294" i="42" s="1"/>
  <c r="AR294" i="42" s="1"/>
  <c r="BN266" i="31"/>
  <c r="AO266" i="31" s="1"/>
  <c r="AP266" i="31" s="1"/>
  <c r="AO293" i="43" l="1"/>
  <c r="AP293" i="43" s="1"/>
  <c r="AT293" i="43"/>
  <c r="AM295" i="42"/>
  <c r="AU294" i="42"/>
  <c r="AQ266" i="31"/>
  <c r="BO266" i="31" s="1"/>
  <c r="AQ293" i="43" l="1"/>
  <c r="BO293" i="43" s="1"/>
  <c r="AO295" i="42"/>
  <c r="AP295" i="42" s="1"/>
  <c r="AT295" i="42"/>
  <c r="AR266" i="31"/>
  <c r="AR293" i="43" l="1"/>
  <c r="AQ295" i="42"/>
  <c r="BO295" i="42" s="1"/>
  <c r="AM267" i="31"/>
  <c r="AT267" i="31" s="1"/>
  <c r="AN267" i="31" s="1"/>
  <c r="AU266" i="31"/>
  <c r="AM294" i="43" l="1"/>
  <c r="AU293" i="43"/>
  <c r="AR295" i="42"/>
  <c r="BN267" i="31"/>
  <c r="AO267" i="31" s="1"/>
  <c r="AP267" i="31" s="1"/>
  <c r="AO294" i="43" l="1"/>
  <c r="AP294" i="43" s="1"/>
  <c r="AT294" i="43"/>
  <c r="AM296" i="42"/>
  <c r="AU295" i="42"/>
  <c r="AQ267" i="31"/>
  <c r="BO267" i="31" s="1"/>
  <c r="AQ294" i="43" l="1"/>
  <c r="BO294" i="43" s="1"/>
  <c r="AO296" i="42"/>
  <c r="AP296" i="42" s="1"/>
  <c r="AT296" i="42"/>
  <c r="AR267" i="31"/>
  <c r="AR294" i="43" l="1"/>
  <c r="AQ296" i="42"/>
  <c r="BO296" i="42" s="1"/>
  <c r="AU267" i="31"/>
  <c r="AM268" i="31"/>
  <c r="AT268" i="31" s="1"/>
  <c r="AN268" i="31" s="1"/>
  <c r="AM295" i="43" l="1"/>
  <c r="AU294" i="43"/>
  <c r="AR296" i="42"/>
  <c r="BN268" i="31"/>
  <c r="AO268" i="31" s="1"/>
  <c r="AP268" i="31" s="1"/>
  <c r="AO295" i="43" l="1"/>
  <c r="AP295" i="43" s="1"/>
  <c r="AT295" i="43"/>
  <c r="AM297" i="42"/>
  <c r="AU296" i="42"/>
  <c r="AQ268" i="31"/>
  <c r="BO268" i="31" s="1"/>
  <c r="AQ295" i="43" l="1"/>
  <c r="BO295" i="43" s="1"/>
  <c r="AO297" i="42"/>
  <c r="AP297" i="42" s="1"/>
  <c r="AT297" i="42"/>
  <c r="AR268" i="31"/>
  <c r="AR295" i="43" l="1"/>
  <c r="AQ297" i="42"/>
  <c r="BO297" i="42" s="1"/>
  <c r="AU268" i="31"/>
  <c r="AM269" i="31"/>
  <c r="AT269" i="31" s="1"/>
  <c r="AN269" i="31" s="1"/>
  <c r="AM296" i="43" l="1"/>
  <c r="AU295" i="43"/>
  <c r="AR297" i="42"/>
  <c r="BN269" i="31"/>
  <c r="AO269" i="31" s="1"/>
  <c r="AP269" i="31" s="1"/>
  <c r="AO296" i="43" l="1"/>
  <c r="AP296" i="43" s="1"/>
  <c r="AT296" i="43"/>
  <c r="AM298" i="42"/>
  <c r="AU297" i="42"/>
  <c r="AQ269" i="31"/>
  <c r="BO269" i="31" s="1"/>
  <c r="AQ296" i="43" l="1"/>
  <c r="BO296" i="43" s="1"/>
  <c r="AO298" i="42"/>
  <c r="AP298" i="42" s="1"/>
  <c r="AT298" i="42"/>
  <c r="AR269" i="31"/>
  <c r="AR296" i="43" l="1"/>
  <c r="AQ298" i="42"/>
  <c r="BO298" i="42" s="1"/>
  <c r="AM270" i="31"/>
  <c r="AT270" i="31" s="1"/>
  <c r="AN270" i="31" s="1"/>
  <c r="AU269" i="31"/>
  <c r="AM297" i="43" l="1"/>
  <c r="AU296" i="43"/>
  <c r="AR298" i="42"/>
  <c r="BN270" i="31"/>
  <c r="AO270" i="31" s="1"/>
  <c r="AP270" i="31" s="1"/>
  <c r="AO297" i="43" l="1"/>
  <c r="AP297" i="43" s="1"/>
  <c r="AT297" i="43"/>
  <c r="AM299" i="42"/>
  <c r="AU298" i="42"/>
  <c r="AQ270" i="31"/>
  <c r="BO270" i="31" s="1"/>
  <c r="AQ297" i="43" l="1"/>
  <c r="BO297" i="43" s="1"/>
  <c r="AO299" i="42"/>
  <c r="AP299" i="42" s="1"/>
  <c r="AT299" i="42"/>
  <c r="AR270" i="31"/>
  <c r="AR297" i="43" l="1"/>
  <c r="AM298" i="43" s="1"/>
  <c r="AQ299" i="42"/>
  <c r="BO299" i="42" s="1"/>
  <c r="AR299" i="42" s="1"/>
  <c r="AU270" i="31"/>
  <c r="AM271" i="31"/>
  <c r="AT271" i="31" s="1"/>
  <c r="AN271" i="31" s="1"/>
  <c r="AU297" i="43" l="1"/>
  <c r="AO298" i="43"/>
  <c r="AP298" i="43" s="1"/>
  <c r="AT298" i="43"/>
  <c r="AM300" i="42"/>
  <c r="AU299" i="42"/>
  <c r="BN271" i="31"/>
  <c r="AO271" i="31" s="1"/>
  <c r="AP271" i="31" s="1"/>
  <c r="AQ298" i="43" l="1"/>
  <c r="BO298" i="43" s="1"/>
  <c r="AO300" i="42"/>
  <c r="AP300" i="42" s="1"/>
  <c r="AT300" i="42"/>
  <c r="AQ271" i="31"/>
  <c r="BO271" i="31" s="1"/>
  <c r="AR298" i="43" l="1"/>
  <c r="AQ300" i="42"/>
  <c r="BO300" i="42" s="1"/>
  <c r="AR271" i="31"/>
  <c r="AM299" i="43" l="1"/>
  <c r="AU298" i="43"/>
  <c r="AR300" i="42"/>
  <c r="AM272" i="31"/>
  <c r="AT272" i="31" s="1"/>
  <c r="AN272" i="31" s="1"/>
  <c r="AU271" i="31"/>
  <c r="AO299" i="43" l="1"/>
  <c r="AP299" i="43" s="1"/>
  <c r="AT299" i="43"/>
  <c r="AM301" i="42"/>
  <c r="AU300" i="42"/>
  <c r="BN272" i="31"/>
  <c r="AO272" i="31" s="1"/>
  <c r="AP272" i="31" s="1"/>
  <c r="AQ299" i="43" l="1"/>
  <c r="BO299" i="43" s="1"/>
  <c r="AR299" i="43" s="1"/>
  <c r="AO301" i="42"/>
  <c r="AP301" i="42" s="1"/>
  <c r="AT301" i="42"/>
  <c r="AQ272" i="31"/>
  <c r="BO272" i="31" s="1"/>
  <c r="AM300" i="43" l="1"/>
  <c r="AU299" i="43"/>
  <c r="AQ301" i="42"/>
  <c r="BO301" i="42" s="1"/>
  <c r="AR272" i="31"/>
  <c r="AO300" i="43" l="1"/>
  <c r="AP300" i="43" s="1"/>
  <c r="AT300" i="43"/>
  <c r="AR301" i="42"/>
  <c r="AM273" i="31"/>
  <c r="AT273" i="31" s="1"/>
  <c r="AN273" i="31" s="1"/>
  <c r="AU272" i="31"/>
  <c r="AQ300" i="43" l="1"/>
  <c r="BO300" i="43" s="1"/>
  <c r="AM302" i="42"/>
  <c r="AU301" i="42"/>
  <c r="BN273" i="31"/>
  <c r="AO273" i="31" s="1"/>
  <c r="AP273" i="31" s="1"/>
  <c r="AR300" i="43" l="1"/>
  <c r="AO302" i="42"/>
  <c r="AP302" i="42" s="1"/>
  <c r="AT302" i="42"/>
  <c r="AQ273" i="31"/>
  <c r="BO273" i="31" s="1"/>
  <c r="AM301" i="43" l="1"/>
  <c r="AU300" i="43"/>
  <c r="AQ302" i="42"/>
  <c r="BO302" i="42" s="1"/>
  <c r="AR273" i="31"/>
  <c r="AO301" i="43" l="1"/>
  <c r="AP301" i="43" s="1"/>
  <c r="AT301" i="43"/>
  <c r="AR302" i="42"/>
  <c r="AM274" i="31"/>
  <c r="AT274" i="31" s="1"/>
  <c r="AN274" i="31" s="1"/>
  <c r="AU273" i="31"/>
  <c r="AQ301" i="43" l="1"/>
  <c r="BO301" i="43" s="1"/>
  <c r="AM303" i="42"/>
  <c r="AU302" i="42"/>
  <c r="BN274" i="31"/>
  <c r="AO274" i="31" s="1"/>
  <c r="AP274" i="31" s="1"/>
  <c r="AR301" i="43" l="1"/>
  <c r="AO303" i="42"/>
  <c r="AP303" i="42" s="1"/>
  <c r="AT303" i="42"/>
  <c r="AQ274" i="31"/>
  <c r="BO274" i="31" s="1"/>
  <c r="AM302" i="43" l="1"/>
  <c r="AU301" i="43"/>
  <c r="AQ303" i="42"/>
  <c r="BO303" i="42" s="1"/>
  <c r="AR303" i="42" s="1"/>
  <c r="AR274" i="31"/>
  <c r="AO302" i="43" l="1"/>
  <c r="AP302" i="43" s="1"/>
  <c r="AT302" i="43"/>
  <c r="AM304" i="42"/>
  <c r="AU303" i="42"/>
  <c r="AM275" i="31"/>
  <c r="AT275" i="31" s="1"/>
  <c r="AN275" i="31" s="1"/>
  <c r="AU274" i="31"/>
  <c r="AQ302" i="43" l="1"/>
  <c r="BO302" i="43" s="1"/>
  <c r="AO304" i="42"/>
  <c r="AP304" i="42" s="1"/>
  <c r="AT304" i="42"/>
  <c r="BN275" i="31"/>
  <c r="AO275" i="31" s="1"/>
  <c r="AP275" i="31" s="1"/>
  <c r="AR302" i="43" l="1"/>
  <c r="AQ304" i="42"/>
  <c r="BO304" i="42" s="1"/>
  <c r="AQ275" i="31"/>
  <c r="BO275" i="31" s="1"/>
  <c r="AM303" i="43" l="1"/>
  <c r="AU302" i="43"/>
  <c r="AR304" i="42"/>
  <c r="AR275" i="31"/>
  <c r="AO303" i="43" l="1"/>
  <c r="AP303" i="43" s="1"/>
  <c r="AT303" i="43"/>
  <c r="AM305" i="42"/>
  <c r="AU304" i="42"/>
  <c r="AU275" i="31"/>
  <c r="AM276" i="31"/>
  <c r="AT276" i="31" s="1"/>
  <c r="AN276" i="31" s="1"/>
  <c r="AQ303" i="43" l="1"/>
  <c r="BO303" i="43" s="1"/>
  <c r="AO305" i="42"/>
  <c r="AP305" i="42" s="1"/>
  <c r="AT305" i="42"/>
  <c r="BN276" i="31"/>
  <c r="AO276" i="31" s="1"/>
  <c r="AP276" i="31" s="1"/>
  <c r="AR303" i="43" l="1"/>
  <c r="AQ305" i="42"/>
  <c r="BO305" i="42" s="1"/>
  <c r="AQ276" i="31"/>
  <c r="BO276" i="31" s="1"/>
  <c r="AM304" i="43" l="1"/>
  <c r="AU303" i="43"/>
  <c r="AR305" i="42"/>
  <c r="AR276" i="31"/>
  <c r="AO304" i="43" l="1"/>
  <c r="AP304" i="43" s="1"/>
  <c r="AT304" i="43"/>
  <c r="AM306" i="42"/>
  <c r="AU305" i="42"/>
  <c r="AM277" i="31"/>
  <c r="AT277" i="31" s="1"/>
  <c r="AN277" i="31" s="1"/>
  <c r="AU276" i="31"/>
  <c r="AQ304" i="43" l="1"/>
  <c r="BO304" i="43" s="1"/>
  <c r="AO306" i="42"/>
  <c r="AP306" i="42" s="1"/>
  <c r="AT306" i="42"/>
  <c r="BN277" i="31"/>
  <c r="AO277" i="31" s="1"/>
  <c r="AP277" i="31" s="1"/>
  <c r="AR304" i="43" l="1"/>
  <c r="AQ306" i="42"/>
  <c r="BO306" i="42" s="1"/>
  <c r="AQ277" i="31"/>
  <c r="BO277" i="31" s="1"/>
  <c r="AM305" i="43" l="1"/>
  <c r="AU304" i="43"/>
  <c r="AR306" i="42"/>
  <c r="AR277" i="31"/>
  <c r="AO305" i="43" l="1"/>
  <c r="AP305" i="43" s="1"/>
  <c r="AT305" i="43"/>
  <c r="AM307" i="42"/>
  <c r="AU306" i="42"/>
  <c r="AM278" i="31"/>
  <c r="AT278" i="31" s="1"/>
  <c r="AN278" i="31" s="1"/>
  <c r="AU277" i="31"/>
  <c r="AQ305" i="43" l="1"/>
  <c r="BO305" i="43" s="1"/>
  <c r="AO307" i="42"/>
  <c r="AP307" i="42" s="1"/>
  <c r="AT307" i="42"/>
  <c r="BN278" i="31"/>
  <c r="AO278" i="31" s="1"/>
  <c r="AP278" i="31" s="1"/>
  <c r="AR305" i="43" l="1"/>
  <c r="AQ307" i="42"/>
  <c r="BO307" i="42" s="1"/>
  <c r="AQ278" i="31"/>
  <c r="BO278" i="31" s="1"/>
  <c r="AM306" i="43" l="1"/>
  <c r="AU305" i="43"/>
  <c r="AR307" i="42"/>
  <c r="AR278" i="31"/>
  <c r="AO306" i="43" l="1"/>
  <c r="AP306" i="43" s="1"/>
  <c r="AT306" i="43"/>
  <c r="AM308" i="42"/>
  <c r="AU307" i="42"/>
  <c r="AU278" i="31"/>
  <c r="AM279" i="31"/>
  <c r="AT279" i="31" s="1"/>
  <c r="AN279" i="31" s="1"/>
  <c r="AQ306" i="43" l="1"/>
  <c r="BO306" i="43" s="1"/>
  <c r="AO308" i="42"/>
  <c r="AP308" i="42" s="1"/>
  <c r="AT308" i="42"/>
  <c r="BN279" i="31"/>
  <c r="AO279" i="31" s="1"/>
  <c r="AP279" i="31" s="1"/>
  <c r="AR306" i="43" l="1"/>
  <c r="AM307" i="43" s="1"/>
  <c r="AQ308" i="42"/>
  <c r="BO308" i="42" s="1"/>
  <c r="AQ279" i="31"/>
  <c r="BO279" i="31" s="1"/>
  <c r="AU306" i="43" l="1"/>
  <c r="AO307" i="43"/>
  <c r="AP307" i="43" s="1"/>
  <c r="AT307" i="43"/>
  <c r="AR308" i="42"/>
  <c r="AM309" i="42" s="1"/>
  <c r="AR279" i="31"/>
  <c r="AU308" i="42" l="1"/>
  <c r="AQ307" i="43"/>
  <c r="BO307" i="43" s="1"/>
  <c r="AO309" i="42"/>
  <c r="AP309" i="42" s="1"/>
  <c r="AT309" i="42"/>
  <c r="AU279" i="31"/>
  <c r="AM280" i="31"/>
  <c r="AT280" i="31" s="1"/>
  <c r="AN280" i="31" s="1"/>
  <c r="AR307" i="43" l="1"/>
  <c r="AM308" i="43" s="1"/>
  <c r="AQ309" i="42"/>
  <c r="BO309" i="42" s="1"/>
  <c r="BN280" i="31"/>
  <c r="AO280" i="31" s="1"/>
  <c r="AP280" i="31" s="1"/>
  <c r="AU307" i="43" l="1"/>
  <c r="AO308" i="43"/>
  <c r="AP308" i="43" s="1"/>
  <c r="AT308" i="43"/>
  <c r="AR309" i="42"/>
  <c r="AQ280" i="31"/>
  <c r="BO280" i="31" s="1"/>
  <c r="AQ308" i="43" l="1"/>
  <c r="BO308" i="43" s="1"/>
  <c r="AM310" i="42"/>
  <c r="AU309" i="42"/>
  <c r="AR280" i="31"/>
  <c r="AR308" i="43" l="1"/>
  <c r="AO310" i="42"/>
  <c r="AP310" i="42" s="1"/>
  <c r="AT310" i="42"/>
  <c r="AU280" i="31"/>
  <c r="AM281" i="31"/>
  <c r="AT281" i="31" s="1"/>
  <c r="AN281" i="31" s="1"/>
  <c r="AM309" i="43" l="1"/>
  <c r="AU308" i="43"/>
  <c r="AQ310" i="42"/>
  <c r="BO310" i="42" s="1"/>
  <c r="BN281" i="31"/>
  <c r="AO281" i="31" s="1"/>
  <c r="AP281" i="31" s="1"/>
  <c r="AQ281" i="31" s="1"/>
  <c r="AO309" i="43" l="1"/>
  <c r="AP309" i="43" s="1"/>
  <c r="AT309" i="43"/>
  <c r="AR310" i="42"/>
  <c r="BO281" i="31"/>
  <c r="AR281" i="31" s="1"/>
  <c r="AQ309" i="43" l="1"/>
  <c r="BO309" i="43" s="1"/>
  <c r="AM311" i="42"/>
  <c r="AU310" i="42"/>
  <c r="AM282" i="31"/>
  <c r="AT282" i="31" s="1"/>
  <c r="AN282" i="31" s="1"/>
  <c r="AU281" i="31"/>
  <c r="AR309" i="43" l="1"/>
  <c r="AO311" i="42"/>
  <c r="AP311" i="42" s="1"/>
  <c r="AT311" i="42"/>
  <c r="BN282" i="31"/>
  <c r="AO282" i="31" s="1"/>
  <c r="AP282" i="31" s="1"/>
  <c r="AM310" i="43" l="1"/>
  <c r="AU309" i="43"/>
  <c r="AQ311" i="42"/>
  <c r="BO311" i="42" s="1"/>
  <c r="AR311" i="42" s="1"/>
  <c r="AQ282" i="31"/>
  <c r="BO282" i="31" s="1"/>
  <c r="AO310" i="43" l="1"/>
  <c r="AP310" i="43" s="1"/>
  <c r="AT310" i="43"/>
  <c r="AM312" i="42"/>
  <c r="AU311" i="42"/>
  <c r="AR282" i="31"/>
  <c r="AQ310" i="43" l="1"/>
  <c r="BO310" i="43" s="1"/>
  <c r="AO312" i="42"/>
  <c r="AP312" i="42" s="1"/>
  <c r="AT312" i="42"/>
  <c r="AU282" i="31"/>
  <c r="AM283" i="31"/>
  <c r="AT283" i="31" s="1"/>
  <c r="AN283" i="31" s="1"/>
  <c r="AR310" i="43" l="1"/>
  <c r="AQ312" i="42"/>
  <c r="BO312" i="42" s="1"/>
  <c r="BN283" i="31"/>
  <c r="AO283" i="31" s="1"/>
  <c r="AP283" i="31" s="1"/>
  <c r="AM311" i="43" l="1"/>
  <c r="AU310" i="43"/>
  <c r="AR312" i="42"/>
  <c r="AQ283" i="31"/>
  <c r="BO283" i="31" s="1"/>
  <c r="AO311" i="43" l="1"/>
  <c r="AP311" i="43" s="1"/>
  <c r="AT311" i="43"/>
  <c r="AM313" i="42"/>
  <c r="AU312" i="42"/>
  <c r="AR283" i="31"/>
  <c r="AQ311" i="43" l="1"/>
  <c r="BO311" i="43" s="1"/>
  <c r="AR311" i="43" s="1"/>
  <c r="AO313" i="42"/>
  <c r="AP313" i="42" s="1"/>
  <c r="AT313" i="42"/>
  <c r="AU283" i="31"/>
  <c r="AM284" i="31"/>
  <c r="AT284" i="31" s="1"/>
  <c r="AN284" i="31" s="1"/>
  <c r="AM312" i="43" l="1"/>
  <c r="AU311" i="43"/>
  <c r="AQ313" i="42"/>
  <c r="BO313" i="42" s="1"/>
  <c r="BN284" i="31"/>
  <c r="AO284" i="31" s="1"/>
  <c r="AP284" i="31" s="1"/>
  <c r="AO312" i="43" l="1"/>
  <c r="AP312" i="43" s="1"/>
  <c r="AT312" i="43"/>
  <c r="AR313" i="42"/>
  <c r="AQ284" i="31"/>
  <c r="BO284" i="31" s="1"/>
  <c r="AQ312" i="43" l="1"/>
  <c r="BO312" i="43" s="1"/>
  <c r="AM314" i="42"/>
  <c r="AU313" i="42"/>
  <c r="AR284" i="31"/>
  <c r="AR312" i="43" l="1"/>
  <c r="AO314" i="42"/>
  <c r="AP314" i="42" s="1"/>
  <c r="AT314" i="42"/>
  <c r="AM285" i="31"/>
  <c r="AT285" i="31" s="1"/>
  <c r="AN285" i="31" s="1"/>
  <c r="AU284" i="31"/>
  <c r="AM313" i="43" l="1"/>
  <c r="AU312" i="43"/>
  <c r="AQ314" i="42"/>
  <c r="BO314" i="42" s="1"/>
  <c r="BN285" i="31"/>
  <c r="AO285" i="31" s="1"/>
  <c r="AP285" i="31" s="1"/>
  <c r="AO313" i="43" l="1"/>
  <c r="AP313" i="43" s="1"/>
  <c r="AT313" i="43"/>
  <c r="AR314" i="42"/>
  <c r="AQ285" i="31"/>
  <c r="BO285" i="31" s="1"/>
  <c r="AQ313" i="43" l="1"/>
  <c r="BO313" i="43" s="1"/>
  <c r="AM315" i="42"/>
  <c r="AU314" i="42"/>
  <c r="AR285" i="31"/>
  <c r="AR313" i="43" l="1"/>
  <c r="AO315" i="42"/>
  <c r="AP315" i="42" s="1"/>
  <c r="AT315" i="42"/>
  <c r="AM286" i="31"/>
  <c r="AT286" i="31" s="1"/>
  <c r="AN286" i="31" s="1"/>
  <c r="AU285" i="31"/>
  <c r="AM314" i="43" l="1"/>
  <c r="AU313" i="43"/>
  <c r="AQ315" i="42"/>
  <c r="BO315" i="42" s="1"/>
  <c r="BN286" i="31"/>
  <c r="AO286" i="31" s="1"/>
  <c r="AP286" i="31" s="1"/>
  <c r="AO314" i="43" l="1"/>
  <c r="AP314" i="43" s="1"/>
  <c r="AT314" i="43"/>
  <c r="AR315" i="42"/>
  <c r="AQ286" i="31"/>
  <c r="BO286" i="31" s="1"/>
  <c r="AQ314" i="43" l="1"/>
  <c r="BO314" i="43" s="1"/>
  <c r="AM316" i="42"/>
  <c r="AU315" i="42"/>
  <c r="AR286" i="31"/>
  <c r="AR314" i="43" l="1"/>
  <c r="AO316" i="42"/>
  <c r="AP316" i="42" s="1"/>
  <c r="AT316" i="42"/>
  <c r="AU286" i="31"/>
  <c r="AM287" i="31"/>
  <c r="AT287" i="31" s="1"/>
  <c r="AN287" i="31" s="1"/>
  <c r="AM315" i="43" l="1"/>
  <c r="AU314" i="43"/>
  <c r="AQ316" i="42"/>
  <c r="BO316" i="42" s="1"/>
  <c r="BN287" i="31"/>
  <c r="AO287" i="31" s="1"/>
  <c r="AP287" i="31" s="1"/>
  <c r="AO315" i="43" l="1"/>
  <c r="AP315" i="43" s="1"/>
  <c r="AT315" i="43"/>
  <c r="AR316" i="42"/>
  <c r="AQ287" i="31"/>
  <c r="BO287" i="31" s="1"/>
  <c r="AQ315" i="43" l="1"/>
  <c r="BO315" i="43" s="1"/>
  <c r="AM317" i="42"/>
  <c r="AU316" i="42"/>
  <c r="AR287" i="31"/>
  <c r="AR315" i="43" l="1"/>
  <c r="AO317" i="42"/>
  <c r="AP317" i="42" s="1"/>
  <c r="AT317" i="42"/>
  <c r="AM288" i="31"/>
  <c r="AT288" i="31" s="1"/>
  <c r="AN288" i="31" s="1"/>
  <c r="AU287" i="31"/>
  <c r="AM316" i="43" l="1"/>
  <c r="AU315" i="43"/>
  <c r="AQ317" i="42"/>
  <c r="BO317" i="42" s="1"/>
  <c r="BN288" i="31"/>
  <c r="AO288" i="31" s="1"/>
  <c r="AP288" i="31" s="1"/>
  <c r="AO316" i="43" l="1"/>
  <c r="AP316" i="43" s="1"/>
  <c r="AT316" i="43"/>
  <c r="AR317" i="42"/>
  <c r="AQ288" i="31"/>
  <c r="BO288" i="31" s="1"/>
  <c r="AQ316" i="43" l="1"/>
  <c r="BO316" i="43" s="1"/>
  <c r="AM318" i="42"/>
  <c r="AU317" i="42"/>
  <c r="AR288" i="31"/>
  <c r="AR316" i="43" l="1"/>
  <c r="AO318" i="42"/>
  <c r="AP318" i="42" s="1"/>
  <c r="AT318" i="42"/>
  <c r="AM289" i="31"/>
  <c r="AT289" i="31" s="1"/>
  <c r="AN289" i="31" s="1"/>
  <c r="AU288" i="31"/>
  <c r="AM317" i="43" l="1"/>
  <c r="AU316" i="43"/>
  <c r="AQ318" i="42"/>
  <c r="BO318" i="42" s="1"/>
  <c r="BN289" i="31"/>
  <c r="AO289" i="31" s="1"/>
  <c r="AP289" i="31" s="1"/>
  <c r="AO317" i="43" l="1"/>
  <c r="AP317" i="43" s="1"/>
  <c r="AT317" i="43"/>
  <c r="AR318" i="42"/>
  <c r="AQ289" i="31"/>
  <c r="BO289" i="31" s="1"/>
  <c r="AQ317" i="43" l="1"/>
  <c r="BO317" i="43" s="1"/>
  <c r="AM319" i="42"/>
  <c r="AU318" i="42"/>
  <c r="AR289" i="31"/>
  <c r="AR317" i="43" l="1"/>
  <c r="AO319" i="42"/>
  <c r="AP319" i="42" s="1"/>
  <c r="AT319" i="42"/>
  <c r="AM290" i="31"/>
  <c r="AT290" i="31" s="1"/>
  <c r="AN290" i="31" s="1"/>
  <c r="AU289" i="31"/>
  <c r="AM318" i="43" l="1"/>
  <c r="AU317" i="43"/>
  <c r="AQ319" i="42"/>
  <c r="BO319" i="42" s="1"/>
  <c r="AR319" i="42" s="1"/>
  <c r="BN290" i="31"/>
  <c r="AO290" i="31" s="1"/>
  <c r="AP290" i="31" s="1"/>
  <c r="AO318" i="43" l="1"/>
  <c r="AP318" i="43" s="1"/>
  <c r="AT318" i="43"/>
  <c r="AM320" i="42"/>
  <c r="AU319" i="42"/>
  <c r="AQ290" i="31"/>
  <c r="BO290" i="31" s="1"/>
  <c r="AQ318" i="43" l="1"/>
  <c r="BO318" i="43" s="1"/>
  <c r="AR318" i="43" s="1"/>
  <c r="AO320" i="42"/>
  <c r="AP320" i="42" s="1"/>
  <c r="AT320" i="42"/>
  <c r="AR290" i="31"/>
  <c r="AM319" i="43" l="1"/>
  <c r="AU318" i="43"/>
  <c r="AQ320" i="42"/>
  <c r="BO320" i="42" s="1"/>
  <c r="AM291" i="31"/>
  <c r="AT291" i="31" s="1"/>
  <c r="AN291" i="31" s="1"/>
  <c r="AU290" i="31"/>
  <c r="AO319" i="43" l="1"/>
  <c r="AP319" i="43" s="1"/>
  <c r="AT319" i="43"/>
  <c r="AR320" i="42"/>
  <c r="BN291" i="31"/>
  <c r="AO291" i="31" s="1"/>
  <c r="AP291" i="31" s="1"/>
  <c r="AQ319" i="43" l="1"/>
  <c r="BO319" i="43" s="1"/>
  <c r="AM321" i="42"/>
  <c r="AU320" i="42"/>
  <c r="AQ291" i="31"/>
  <c r="BO291" i="31" s="1"/>
  <c r="AR319" i="43" l="1"/>
  <c r="AO321" i="42"/>
  <c r="AP321" i="42" s="1"/>
  <c r="AT321" i="42"/>
  <c r="AR291" i="31"/>
  <c r="AM320" i="43" l="1"/>
  <c r="AU319" i="43"/>
  <c r="AQ321" i="42"/>
  <c r="BO321" i="42" s="1"/>
  <c r="AU291" i="31"/>
  <c r="AM292" i="31"/>
  <c r="AT292" i="31" s="1"/>
  <c r="AN292" i="31" s="1"/>
  <c r="AO320" i="43" l="1"/>
  <c r="AP320" i="43" s="1"/>
  <c r="AT320" i="43"/>
  <c r="AR321" i="42"/>
  <c r="BN292" i="31"/>
  <c r="AO292" i="31" s="1"/>
  <c r="AP292" i="31" s="1"/>
  <c r="AQ320" i="43" l="1"/>
  <c r="BO320" i="43" s="1"/>
  <c r="AM322" i="42"/>
  <c r="AU321" i="42"/>
  <c r="AQ292" i="31"/>
  <c r="BO292" i="31" s="1"/>
  <c r="AR320" i="43" l="1"/>
  <c r="AO322" i="42"/>
  <c r="AP322" i="42" s="1"/>
  <c r="AT322" i="42"/>
  <c r="AR292" i="31"/>
  <c r="AM321" i="43" l="1"/>
  <c r="AU320" i="43"/>
  <c r="AQ322" i="42"/>
  <c r="BO322" i="42" s="1"/>
  <c r="AU292" i="31"/>
  <c r="AM293" i="31"/>
  <c r="AT293" i="31" s="1"/>
  <c r="AN293" i="31" s="1"/>
  <c r="AO321" i="43" l="1"/>
  <c r="AP321" i="43" s="1"/>
  <c r="AT321" i="43"/>
  <c r="AR322" i="42"/>
  <c r="BN293" i="31"/>
  <c r="AO293" i="31" s="1"/>
  <c r="AP293" i="31" s="1"/>
  <c r="AQ321" i="43" l="1"/>
  <c r="BO321" i="43" s="1"/>
  <c r="AM323" i="42"/>
  <c r="AU322" i="42"/>
  <c r="AQ293" i="31"/>
  <c r="BO293" i="31" s="1"/>
  <c r="AR321" i="43" l="1"/>
  <c r="AO323" i="42"/>
  <c r="AP323" i="42" s="1"/>
  <c r="AT323" i="42"/>
  <c r="AR293" i="31"/>
  <c r="AM322" i="43" l="1"/>
  <c r="AU321" i="43"/>
  <c r="AQ323" i="42"/>
  <c r="BO323" i="42" s="1"/>
  <c r="AR323" i="42" s="1"/>
  <c r="AU293" i="31"/>
  <c r="AM294" i="31"/>
  <c r="AT294" i="31" s="1"/>
  <c r="AN294" i="31" s="1"/>
  <c r="AO322" i="43" l="1"/>
  <c r="AP322" i="43" s="1"/>
  <c r="AT322" i="43"/>
  <c r="AM324" i="42"/>
  <c r="AU323" i="42"/>
  <c r="BN294" i="31"/>
  <c r="AO294" i="31" s="1"/>
  <c r="AP294" i="31" s="1"/>
  <c r="AQ322" i="43" l="1"/>
  <c r="BO322" i="43" s="1"/>
  <c r="AR322" i="43" s="1"/>
  <c r="AO324" i="42"/>
  <c r="AP324" i="42" s="1"/>
  <c r="AT324" i="42"/>
  <c r="AQ294" i="31"/>
  <c r="BO294" i="31" s="1"/>
  <c r="AM323" i="43" l="1"/>
  <c r="AU322" i="43"/>
  <c r="AQ324" i="42"/>
  <c r="BO324" i="42" s="1"/>
  <c r="AR294" i="31"/>
  <c r="AO323" i="43" l="1"/>
  <c r="AP323" i="43" s="1"/>
  <c r="AT323" i="43"/>
  <c r="AR324" i="42"/>
  <c r="AU294" i="31"/>
  <c r="AM295" i="31"/>
  <c r="AT295" i="31" s="1"/>
  <c r="AN295" i="31" s="1"/>
  <c r="AQ323" i="43" l="1"/>
  <c r="BO323" i="43" s="1"/>
  <c r="AM325" i="42"/>
  <c r="AU324" i="42"/>
  <c r="BN295" i="31"/>
  <c r="AO295" i="31" s="1"/>
  <c r="AP295" i="31" s="1"/>
  <c r="AR323" i="43" l="1"/>
  <c r="AO325" i="42"/>
  <c r="AP325" i="42" s="1"/>
  <c r="AT325" i="42"/>
  <c r="AQ295" i="31"/>
  <c r="BO295" i="31" s="1"/>
  <c r="AM324" i="43" l="1"/>
  <c r="AU323" i="43"/>
  <c r="AQ325" i="42"/>
  <c r="BO325" i="42" s="1"/>
  <c r="AR325" i="42" s="1"/>
  <c r="AR295" i="31"/>
  <c r="AO324" i="43" l="1"/>
  <c r="AP324" i="43" s="1"/>
  <c r="AT324" i="43"/>
  <c r="AM326" i="42"/>
  <c r="AU325" i="42"/>
  <c r="AM296" i="31"/>
  <c r="AT296" i="31" s="1"/>
  <c r="AN296" i="31" s="1"/>
  <c r="AU295" i="31"/>
  <c r="AQ324" i="43" l="1"/>
  <c r="BO324" i="43" s="1"/>
  <c r="AO326" i="42"/>
  <c r="AP326" i="42" s="1"/>
  <c r="AT326" i="42"/>
  <c r="BN296" i="31"/>
  <c r="AO296" i="31" s="1"/>
  <c r="AP296" i="31" s="1"/>
  <c r="AR324" i="43" l="1"/>
  <c r="AQ326" i="42"/>
  <c r="BO326" i="42" s="1"/>
  <c r="AQ296" i="31"/>
  <c r="BO296" i="31" s="1"/>
  <c r="AM325" i="43" l="1"/>
  <c r="AU324" i="43"/>
  <c r="AR326" i="42"/>
  <c r="AR296" i="31"/>
  <c r="AO325" i="43" l="1"/>
  <c r="AP325" i="43" s="1"/>
  <c r="AT325" i="43"/>
  <c r="AM327" i="42"/>
  <c r="AU326" i="42"/>
  <c r="AU296" i="31"/>
  <c r="AM297" i="31"/>
  <c r="AT297" i="31" s="1"/>
  <c r="AN297" i="31" s="1"/>
  <c r="AQ325" i="43" l="1"/>
  <c r="BO325" i="43" s="1"/>
  <c r="AO327" i="42"/>
  <c r="AP327" i="42" s="1"/>
  <c r="AT327" i="42"/>
  <c r="BN297" i="31"/>
  <c r="AO297" i="31" s="1"/>
  <c r="AP297" i="31" s="1"/>
  <c r="AR325" i="43" l="1"/>
  <c r="AQ327" i="42"/>
  <c r="BO327" i="42" s="1"/>
  <c r="AR327" i="42" s="1"/>
  <c r="AQ297" i="31"/>
  <c r="BO297" i="31" s="1"/>
  <c r="AM326" i="43" l="1"/>
  <c r="AU325" i="43"/>
  <c r="AM328" i="42"/>
  <c r="AU327" i="42"/>
  <c r="AR297" i="31"/>
  <c r="AO326" i="43" l="1"/>
  <c r="AP326" i="43" s="1"/>
  <c r="AT326" i="43"/>
  <c r="AO328" i="42"/>
  <c r="AP328" i="42" s="1"/>
  <c r="AT328" i="42"/>
  <c r="AM298" i="31"/>
  <c r="AT298" i="31" s="1"/>
  <c r="AN298" i="31" s="1"/>
  <c r="AU297" i="31"/>
  <c r="AQ326" i="43" l="1"/>
  <c r="BO326" i="43" s="1"/>
  <c r="AQ328" i="42"/>
  <c r="BO328" i="42" s="1"/>
  <c r="BN298" i="31"/>
  <c r="AO298" i="31" s="1"/>
  <c r="AP298" i="31" s="1"/>
  <c r="AR326" i="43" l="1"/>
  <c r="AR328" i="42"/>
  <c r="AQ298" i="31"/>
  <c r="BO298" i="31" s="1"/>
  <c r="AM327" i="43" l="1"/>
  <c r="AU326" i="43"/>
  <c r="AM329" i="42"/>
  <c r="AU328" i="42"/>
  <c r="AR298" i="31"/>
  <c r="AO327" i="43" l="1"/>
  <c r="AP327" i="43" s="1"/>
  <c r="AT327" i="43"/>
  <c r="AO329" i="42"/>
  <c r="AP329" i="42" s="1"/>
  <c r="AT329" i="42"/>
  <c r="AU298" i="31"/>
  <c r="AM299" i="31"/>
  <c r="AT299" i="31" s="1"/>
  <c r="AN299" i="31" s="1"/>
  <c r="AQ327" i="43" l="1"/>
  <c r="BO327" i="43" s="1"/>
  <c r="AQ329" i="42"/>
  <c r="BO329" i="42" s="1"/>
  <c r="AR329" i="42" s="1"/>
  <c r="BN299" i="31"/>
  <c r="AO299" i="31" s="1"/>
  <c r="AP299" i="31" s="1"/>
  <c r="AR327" i="43" l="1"/>
  <c r="AM330" i="42"/>
  <c r="AU329" i="42"/>
  <c r="AQ299" i="31"/>
  <c r="BO299" i="31" s="1"/>
  <c r="AM328" i="43" l="1"/>
  <c r="AU327" i="43"/>
  <c r="AO330" i="42"/>
  <c r="AP330" i="42" s="1"/>
  <c r="AT330" i="42"/>
  <c r="AR299" i="31"/>
  <c r="AO328" i="43" l="1"/>
  <c r="AP328" i="43" s="1"/>
  <c r="AT328" i="43"/>
  <c r="AQ330" i="42"/>
  <c r="BO330" i="42" s="1"/>
  <c r="AM300" i="31"/>
  <c r="AT300" i="31" s="1"/>
  <c r="AN300" i="31" s="1"/>
  <c r="AU299" i="31"/>
  <c r="AQ328" i="43" l="1"/>
  <c r="BO328" i="43" s="1"/>
  <c r="AR330" i="42"/>
  <c r="BN300" i="31"/>
  <c r="AO300" i="31" s="1"/>
  <c r="AP300" i="31" s="1"/>
  <c r="AR328" i="43" l="1"/>
  <c r="AM331" i="42"/>
  <c r="AU330" i="42"/>
  <c r="AQ300" i="31"/>
  <c r="BO300" i="31" s="1"/>
  <c r="AM329" i="43" l="1"/>
  <c r="AU328" i="43"/>
  <c r="AO331" i="42"/>
  <c r="AP331" i="42" s="1"/>
  <c r="AT331" i="42"/>
  <c r="AR300" i="31"/>
  <c r="AO329" i="43" l="1"/>
  <c r="AP329" i="43" s="1"/>
  <c r="AT329" i="43"/>
  <c r="AQ331" i="42"/>
  <c r="BO331" i="42" s="1"/>
  <c r="AU300" i="31"/>
  <c r="AM301" i="31"/>
  <c r="AT301" i="31" s="1"/>
  <c r="AN301" i="31" s="1"/>
  <c r="AQ329" i="43" l="1"/>
  <c r="BO329" i="43" s="1"/>
  <c r="AR331" i="42"/>
  <c r="BN301" i="31"/>
  <c r="AO301" i="31" s="1"/>
  <c r="AP301" i="31" s="1"/>
  <c r="AR329" i="43" l="1"/>
  <c r="AM332" i="42"/>
  <c r="AU331" i="42"/>
  <c r="AQ301" i="31"/>
  <c r="BO301" i="31" s="1"/>
  <c r="AM330" i="43" l="1"/>
  <c r="AU329" i="43"/>
  <c r="AO332" i="42"/>
  <c r="AP332" i="42" s="1"/>
  <c r="AT332" i="42"/>
  <c r="AR301" i="31"/>
  <c r="AO330" i="43" l="1"/>
  <c r="AP330" i="43" s="1"/>
  <c r="AT330" i="43"/>
  <c r="AQ332" i="42"/>
  <c r="BO332" i="42" s="1"/>
  <c r="AM302" i="31"/>
  <c r="AT302" i="31" s="1"/>
  <c r="AN302" i="31" s="1"/>
  <c r="AU301" i="31"/>
  <c r="AQ330" i="43" l="1"/>
  <c r="BO330" i="43" s="1"/>
  <c r="AR332" i="42"/>
  <c r="BN302" i="31"/>
  <c r="AO302" i="31" s="1"/>
  <c r="AP302" i="31" s="1"/>
  <c r="AR330" i="43" l="1"/>
  <c r="AM331" i="43" s="1"/>
  <c r="AM333" i="42"/>
  <c r="AU332" i="42"/>
  <c r="AQ302" i="31"/>
  <c r="BO302" i="31" s="1"/>
  <c r="AU330" i="43" l="1"/>
  <c r="AO331" i="43"/>
  <c r="AP331" i="43" s="1"/>
  <c r="AT331" i="43"/>
  <c r="AO333" i="42"/>
  <c r="AP333" i="42" s="1"/>
  <c r="AT333" i="42"/>
  <c r="AR302" i="31"/>
  <c r="AQ331" i="43" l="1"/>
  <c r="BO331" i="43" s="1"/>
  <c r="AQ333" i="42"/>
  <c r="BO333" i="42" s="1"/>
  <c r="AR333" i="42" s="1"/>
  <c r="AU302" i="31"/>
  <c r="AM303" i="31"/>
  <c r="AT303" i="31" s="1"/>
  <c r="AN303" i="31" s="1"/>
  <c r="AR331" i="43" l="1"/>
  <c r="AM334" i="42"/>
  <c r="AU333" i="42"/>
  <c r="BN303" i="31"/>
  <c r="AO303" i="31" s="1"/>
  <c r="AP303" i="31" s="1"/>
  <c r="AM332" i="43" l="1"/>
  <c r="AU331" i="43"/>
  <c r="AO334" i="42"/>
  <c r="AP334" i="42" s="1"/>
  <c r="AT334" i="42"/>
  <c r="AQ303" i="31"/>
  <c r="BO303" i="31" s="1"/>
  <c r="AO332" i="43" l="1"/>
  <c r="AP332" i="43" s="1"/>
  <c r="AT332" i="43"/>
  <c r="AQ334" i="42"/>
  <c r="BO334" i="42" s="1"/>
  <c r="AR303" i="31"/>
  <c r="AQ332" i="43" l="1"/>
  <c r="BO332" i="43" s="1"/>
  <c r="AR334" i="42"/>
  <c r="AM304" i="31"/>
  <c r="AT304" i="31" s="1"/>
  <c r="AN304" i="31" s="1"/>
  <c r="AU303" i="31"/>
  <c r="AR332" i="43" l="1"/>
  <c r="AM335" i="42"/>
  <c r="AU334" i="42"/>
  <c r="BN304" i="31"/>
  <c r="AO304" i="31" s="1"/>
  <c r="AP304" i="31" s="1"/>
  <c r="AM333" i="43" l="1"/>
  <c r="AU332" i="43"/>
  <c r="AO335" i="42"/>
  <c r="AP335" i="42" s="1"/>
  <c r="AT335" i="42"/>
  <c r="AQ304" i="31"/>
  <c r="BO304" i="31" s="1"/>
  <c r="AO333" i="43" l="1"/>
  <c r="AP333" i="43" s="1"/>
  <c r="AT333" i="43"/>
  <c r="AQ335" i="42"/>
  <c r="BO335" i="42" s="1"/>
  <c r="AR304" i="31"/>
  <c r="AQ333" i="43" l="1"/>
  <c r="BO333" i="43" s="1"/>
  <c r="AR335" i="42"/>
  <c r="AM305" i="31"/>
  <c r="AT305" i="31" s="1"/>
  <c r="AN305" i="31" s="1"/>
  <c r="AU304" i="31"/>
  <c r="AR333" i="43" l="1"/>
  <c r="AM336" i="42"/>
  <c r="AU335" i="42"/>
  <c r="BN305" i="31"/>
  <c r="AO305" i="31" s="1"/>
  <c r="AP305" i="31" s="1"/>
  <c r="AM334" i="43" l="1"/>
  <c r="AU333" i="43"/>
  <c r="AO336" i="42"/>
  <c r="AP336" i="42" s="1"/>
  <c r="AT336" i="42"/>
  <c r="AQ305" i="31"/>
  <c r="BO305" i="31" s="1"/>
  <c r="AO334" i="43" l="1"/>
  <c r="AP334" i="43" s="1"/>
  <c r="AT334" i="43"/>
  <c r="AQ336" i="42"/>
  <c r="BO336" i="42" s="1"/>
  <c r="AR305" i="31"/>
  <c r="AQ334" i="43" l="1"/>
  <c r="BO334" i="43" s="1"/>
  <c r="AR336" i="42"/>
  <c r="AM306" i="31"/>
  <c r="AT306" i="31" s="1"/>
  <c r="AN306" i="31" s="1"/>
  <c r="AU305" i="31"/>
  <c r="AR334" i="43" l="1"/>
  <c r="AM337" i="42"/>
  <c r="AU336" i="42"/>
  <c r="BN306" i="31"/>
  <c r="AO306" i="31" s="1"/>
  <c r="AP306" i="31" s="1"/>
  <c r="AM335" i="43" l="1"/>
  <c r="AU334" i="43"/>
  <c r="AO337" i="42"/>
  <c r="AP337" i="42" s="1"/>
  <c r="AT337" i="42"/>
  <c r="AQ306" i="31"/>
  <c r="BO306" i="31" s="1"/>
  <c r="AO335" i="43" l="1"/>
  <c r="AP335" i="43" s="1"/>
  <c r="AT335" i="43"/>
  <c r="AQ337" i="42"/>
  <c r="BO337" i="42" s="1"/>
  <c r="AR306" i="31"/>
  <c r="AQ335" i="43" l="1"/>
  <c r="BO335" i="43" s="1"/>
  <c r="AR337" i="42"/>
  <c r="AU306" i="31"/>
  <c r="AM307" i="31"/>
  <c r="AT307" i="31" s="1"/>
  <c r="AN307" i="31" s="1"/>
  <c r="AR335" i="43" l="1"/>
  <c r="AM338" i="42"/>
  <c r="AU337" i="42"/>
  <c r="BN307" i="31"/>
  <c r="AO307" i="31" s="1"/>
  <c r="AP307" i="31" s="1"/>
  <c r="AM336" i="43" l="1"/>
  <c r="AU335" i="43"/>
  <c r="AO338" i="42"/>
  <c r="AP338" i="42" s="1"/>
  <c r="AT338" i="42"/>
  <c r="AQ307" i="31"/>
  <c r="BO307" i="31" s="1"/>
  <c r="AO336" i="43" l="1"/>
  <c r="AP336" i="43" s="1"/>
  <c r="AT336" i="43"/>
  <c r="AQ338" i="42"/>
  <c r="BO338" i="42" s="1"/>
  <c r="AR307" i="31"/>
  <c r="AQ336" i="43" l="1"/>
  <c r="BO336" i="43" s="1"/>
  <c r="AR338" i="42"/>
  <c r="AM308" i="31"/>
  <c r="AT308" i="31" s="1"/>
  <c r="AN308" i="31" s="1"/>
  <c r="AU307" i="31"/>
  <c r="AR336" i="43" l="1"/>
  <c r="AM339" i="42"/>
  <c r="AU338" i="42"/>
  <c r="BN308" i="31"/>
  <c r="AO308" i="31" s="1"/>
  <c r="AP308" i="31" s="1"/>
  <c r="AM337" i="43" l="1"/>
  <c r="AU336" i="43"/>
  <c r="AO339" i="42"/>
  <c r="AP339" i="42" s="1"/>
  <c r="AT339" i="42"/>
  <c r="AQ308" i="31"/>
  <c r="BO308" i="31" s="1"/>
  <c r="AO337" i="43" l="1"/>
  <c r="AP337" i="43" s="1"/>
  <c r="AT337" i="43"/>
  <c r="AQ339" i="42"/>
  <c r="BO339" i="42" s="1"/>
  <c r="AR308" i="31"/>
  <c r="AQ337" i="43" l="1"/>
  <c r="BO337" i="43" s="1"/>
  <c r="AR337" i="43" s="1"/>
  <c r="AR339" i="42"/>
  <c r="AM309" i="31"/>
  <c r="AT309" i="31" s="1"/>
  <c r="AN309" i="31" s="1"/>
  <c r="AU308" i="31"/>
  <c r="AM338" i="43" l="1"/>
  <c r="AU337" i="43"/>
  <c r="AM340" i="42"/>
  <c r="AU339" i="42"/>
  <c r="BN309" i="31"/>
  <c r="AO309" i="31" s="1"/>
  <c r="AP309" i="31" s="1"/>
  <c r="AO338" i="43" l="1"/>
  <c r="AP338" i="43" s="1"/>
  <c r="AT338" i="43"/>
  <c r="AO340" i="42"/>
  <c r="AP340" i="42" s="1"/>
  <c r="AT340" i="42"/>
  <c r="AQ309" i="31"/>
  <c r="BO309" i="31" s="1"/>
  <c r="AQ338" i="43" l="1"/>
  <c r="BO338" i="43" s="1"/>
  <c r="AQ340" i="42"/>
  <c r="BO340" i="42" s="1"/>
  <c r="AR340" i="42" s="1"/>
  <c r="AR309" i="31"/>
  <c r="AR338" i="43" l="1"/>
  <c r="AM341" i="42"/>
  <c r="AU340" i="42"/>
  <c r="AM310" i="31"/>
  <c r="AT310" i="31" s="1"/>
  <c r="AN310" i="31" s="1"/>
  <c r="AU309" i="31"/>
  <c r="AM339" i="43" l="1"/>
  <c r="AU338" i="43"/>
  <c r="AO341" i="42"/>
  <c r="AP341" i="42" s="1"/>
  <c r="AT341" i="42"/>
  <c r="BN310" i="31"/>
  <c r="AO310" i="31" s="1"/>
  <c r="AP310" i="31" s="1"/>
  <c r="AO339" i="43" l="1"/>
  <c r="AP339" i="43" s="1"/>
  <c r="AT339" i="43"/>
  <c r="AQ341" i="42"/>
  <c r="BO341" i="42" s="1"/>
  <c r="AQ310" i="31"/>
  <c r="BO310" i="31" s="1"/>
  <c r="AQ339" i="43" l="1"/>
  <c r="BO339" i="43" s="1"/>
  <c r="AR341" i="42"/>
  <c r="AR310" i="31"/>
  <c r="AR339" i="43" l="1"/>
  <c r="AM342" i="42"/>
  <c r="AU341" i="42"/>
  <c r="AU310" i="31"/>
  <c r="AM311" i="31"/>
  <c r="AT311" i="31" s="1"/>
  <c r="AN311" i="31" s="1"/>
  <c r="AM340" i="43" l="1"/>
  <c r="AU339" i="43"/>
  <c r="AO342" i="42"/>
  <c r="AP342" i="42" s="1"/>
  <c r="AT342" i="42"/>
  <c r="BN311" i="31"/>
  <c r="AO311" i="31" s="1"/>
  <c r="AP311" i="31" s="1"/>
  <c r="AO340" i="43" l="1"/>
  <c r="AP340" i="43" s="1"/>
  <c r="AT340" i="43"/>
  <c r="AQ342" i="42"/>
  <c r="BO342" i="42" s="1"/>
  <c r="AQ311" i="31"/>
  <c r="BO311" i="31" s="1"/>
  <c r="AQ340" i="43" l="1"/>
  <c r="BO340" i="43" s="1"/>
  <c r="AR342" i="42"/>
  <c r="AR311" i="31"/>
  <c r="AR340" i="43" l="1"/>
  <c r="AM343" i="42"/>
  <c r="AU342" i="42"/>
  <c r="AU311" i="31"/>
  <c r="AM312" i="31"/>
  <c r="AT312" i="31" s="1"/>
  <c r="AN312" i="31" s="1"/>
  <c r="AM341" i="43" l="1"/>
  <c r="AU340" i="43"/>
  <c r="AO343" i="42"/>
  <c r="AP343" i="42" s="1"/>
  <c r="AT343" i="42"/>
  <c r="BN312" i="31"/>
  <c r="AO312" i="31" s="1"/>
  <c r="AP312" i="31" s="1"/>
  <c r="AO341" i="43" l="1"/>
  <c r="AP341" i="43" s="1"/>
  <c r="AT341" i="43"/>
  <c r="AQ343" i="42"/>
  <c r="BO343" i="42" s="1"/>
  <c r="AQ312" i="31"/>
  <c r="BO312" i="31" s="1"/>
  <c r="AQ341" i="43" l="1"/>
  <c r="BO341" i="43" s="1"/>
  <c r="AR341" i="43" s="1"/>
  <c r="AR343" i="42"/>
  <c r="AR312" i="31"/>
  <c r="AM342" i="43" l="1"/>
  <c r="AU341" i="43"/>
  <c r="AM344" i="42"/>
  <c r="AU343" i="42"/>
  <c r="AM313" i="31"/>
  <c r="AT313" i="31" s="1"/>
  <c r="AN313" i="31" s="1"/>
  <c r="AU312" i="31"/>
  <c r="AO342" i="43" l="1"/>
  <c r="AP342" i="43" s="1"/>
  <c r="AT342" i="43"/>
  <c r="AO344" i="42"/>
  <c r="AP344" i="42" s="1"/>
  <c r="AT344" i="42"/>
  <c r="BN313" i="31"/>
  <c r="AO313" i="31" s="1"/>
  <c r="AP313" i="31" s="1"/>
  <c r="AQ342" i="43" l="1"/>
  <c r="BO342" i="43" s="1"/>
  <c r="AQ344" i="42"/>
  <c r="BO344" i="42" s="1"/>
  <c r="AR344" i="42" s="1"/>
  <c r="AQ313" i="31"/>
  <c r="BO313" i="31" s="1"/>
  <c r="AR342" i="43" l="1"/>
  <c r="AM345" i="42"/>
  <c r="AU344" i="42"/>
  <c r="AR313" i="31"/>
  <c r="AM343" i="43" l="1"/>
  <c r="AU342" i="43"/>
  <c r="AO345" i="42"/>
  <c r="AP345" i="42" s="1"/>
  <c r="AT345" i="42"/>
  <c r="AU313" i="31"/>
  <c r="AM314" i="31"/>
  <c r="AT314" i="31" s="1"/>
  <c r="AN314" i="31" s="1"/>
  <c r="AO343" i="43" l="1"/>
  <c r="AP343" i="43" s="1"/>
  <c r="AT343" i="43"/>
  <c r="AQ345" i="42"/>
  <c r="BO345" i="42" s="1"/>
  <c r="BN314" i="31"/>
  <c r="AO314" i="31" s="1"/>
  <c r="AP314" i="31" s="1"/>
  <c r="AQ343" i="43" l="1"/>
  <c r="BO343" i="43" s="1"/>
  <c r="AR345" i="42"/>
  <c r="AQ314" i="31"/>
  <c r="BO314" i="31" s="1"/>
  <c r="AR343" i="43" l="1"/>
  <c r="AM346" i="42"/>
  <c r="AU345" i="42"/>
  <c r="AR314" i="31"/>
  <c r="AM344" i="43" l="1"/>
  <c r="AU343" i="43"/>
  <c r="AO346" i="42"/>
  <c r="AP346" i="42" s="1"/>
  <c r="AT346" i="42"/>
  <c r="AU314" i="31"/>
  <c r="AM315" i="31"/>
  <c r="AT315" i="31" s="1"/>
  <c r="AN315" i="31" s="1"/>
  <c r="AO344" i="43" l="1"/>
  <c r="AP344" i="43" s="1"/>
  <c r="AT344" i="43"/>
  <c r="AQ346" i="42"/>
  <c r="BO346" i="42" s="1"/>
  <c r="BN315" i="31"/>
  <c r="AO315" i="31" s="1"/>
  <c r="AP315" i="31" s="1"/>
  <c r="AQ344" i="43" l="1"/>
  <c r="BO344" i="43" s="1"/>
  <c r="AR346" i="42"/>
  <c r="AQ315" i="31"/>
  <c r="BO315" i="31" s="1"/>
  <c r="AR344" i="43" l="1"/>
  <c r="AM347" i="42"/>
  <c r="AU346" i="42"/>
  <c r="AR315" i="31"/>
  <c r="AM345" i="43" l="1"/>
  <c r="AU344" i="43"/>
  <c r="AO347" i="42"/>
  <c r="AP347" i="42" s="1"/>
  <c r="AT347" i="42"/>
  <c r="AM316" i="31"/>
  <c r="AT316" i="31" s="1"/>
  <c r="AN316" i="31" s="1"/>
  <c r="AU315" i="31"/>
  <c r="AO345" i="43" l="1"/>
  <c r="AP345" i="43" s="1"/>
  <c r="AT345" i="43"/>
  <c r="AQ347" i="42"/>
  <c r="BO347" i="42" s="1"/>
  <c r="BN316" i="31"/>
  <c r="AO316" i="31" s="1"/>
  <c r="AP316" i="31" s="1"/>
  <c r="AQ345" i="43" l="1"/>
  <c r="BO345" i="43" s="1"/>
  <c r="AR345" i="43" s="1"/>
  <c r="AR347" i="42"/>
  <c r="AQ316" i="31"/>
  <c r="BO316" i="31" s="1"/>
  <c r="AM346" i="43" l="1"/>
  <c r="AU345" i="43"/>
  <c r="AM348" i="42"/>
  <c r="AU347" i="42"/>
  <c r="AR316" i="31"/>
  <c r="AO346" i="43" l="1"/>
  <c r="AP346" i="43" s="1"/>
  <c r="AT346" i="43"/>
  <c r="AO348" i="42"/>
  <c r="AP348" i="42" s="1"/>
  <c r="AT348" i="42"/>
  <c r="AU316" i="31"/>
  <c r="AM317" i="31"/>
  <c r="AT317" i="31" s="1"/>
  <c r="AN317" i="31" s="1"/>
  <c r="AQ346" i="43" l="1"/>
  <c r="BO346" i="43" s="1"/>
  <c r="AQ348" i="42"/>
  <c r="BO348" i="42" s="1"/>
  <c r="AR348" i="42" s="1"/>
  <c r="BN317" i="31"/>
  <c r="AO317" i="31" s="1"/>
  <c r="AP317" i="31" s="1"/>
  <c r="AR346" i="43" l="1"/>
  <c r="AM349" i="42"/>
  <c r="AU348" i="42"/>
  <c r="AQ317" i="31"/>
  <c r="BO317" i="31" s="1"/>
  <c r="AM347" i="43" l="1"/>
  <c r="AU346" i="43"/>
  <c r="AO349" i="42"/>
  <c r="AP349" i="42" s="1"/>
  <c r="AT349" i="42"/>
  <c r="AR317" i="31"/>
  <c r="AO347" i="43" l="1"/>
  <c r="AP347" i="43" s="1"/>
  <c r="AT347" i="43"/>
  <c r="AQ349" i="42"/>
  <c r="BO349" i="42" s="1"/>
  <c r="AM318" i="31"/>
  <c r="AT318" i="31" s="1"/>
  <c r="AN318" i="31" s="1"/>
  <c r="AU317" i="31"/>
  <c r="AQ347" i="43" l="1"/>
  <c r="BO347" i="43" s="1"/>
  <c r="AR349" i="42"/>
  <c r="BN318" i="31"/>
  <c r="AO318" i="31" s="1"/>
  <c r="AP318" i="31" s="1"/>
  <c r="AR347" i="43" l="1"/>
  <c r="AM350" i="42"/>
  <c r="AU349" i="42"/>
  <c r="AQ318" i="31"/>
  <c r="BO318" i="31" s="1"/>
  <c r="AM348" i="43" l="1"/>
  <c r="AU347" i="43"/>
  <c r="AO350" i="42"/>
  <c r="AP350" i="42" s="1"/>
  <c r="AT350" i="42"/>
  <c r="AR318" i="31"/>
  <c r="AO348" i="43" l="1"/>
  <c r="AP348" i="43" s="1"/>
  <c r="AT348" i="43"/>
  <c r="AQ350" i="42"/>
  <c r="BO350" i="42" s="1"/>
  <c r="AM319" i="31"/>
  <c r="AT319" i="31" s="1"/>
  <c r="AN319" i="31" s="1"/>
  <c r="AU318" i="31"/>
  <c r="AQ348" i="43" l="1"/>
  <c r="BO348" i="43" s="1"/>
  <c r="AR350" i="42"/>
  <c r="BN319" i="31"/>
  <c r="AO319" i="31" s="1"/>
  <c r="AP319" i="31" s="1"/>
  <c r="AR348" i="43" l="1"/>
  <c r="AM351" i="42"/>
  <c r="AU350" i="42"/>
  <c r="AQ319" i="31"/>
  <c r="BO319" i="31" s="1"/>
  <c r="AM349" i="43" l="1"/>
  <c r="AU348" i="43"/>
  <c r="AO351" i="42"/>
  <c r="AP351" i="42" s="1"/>
  <c r="AT351" i="42"/>
  <c r="AR319" i="31"/>
  <c r="AO349" i="43" l="1"/>
  <c r="AP349" i="43" s="1"/>
  <c r="AT349" i="43"/>
  <c r="AQ351" i="42"/>
  <c r="BO351" i="42" s="1"/>
  <c r="AU319" i="31"/>
  <c r="AM320" i="31"/>
  <c r="AT320" i="31" s="1"/>
  <c r="AN320" i="31" s="1"/>
  <c r="AQ349" i="43" l="1"/>
  <c r="BO349" i="43" s="1"/>
  <c r="AR349" i="43" s="1"/>
  <c r="AR351" i="42"/>
  <c r="BN320" i="31"/>
  <c r="AO320" i="31" s="1"/>
  <c r="AP320" i="31" s="1"/>
  <c r="AQ320" i="31" s="1"/>
  <c r="AM350" i="43" l="1"/>
  <c r="AU349" i="43"/>
  <c r="AM352" i="42"/>
  <c r="AU351" i="42"/>
  <c r="BO320" i="31"/>
  <c r="AR320" i="31" s="1"/>
  <c r="AO350" i="43" l="1"/>
  <c r="AP350" i="43" s="1"/>
  <c r="AT350" i="43"/>
  <c r="AO352" i="42"/>
  <c r="AP352" i="42" s="1"/>
  <c r="AT352" i="42"/>
  <c r="AU320" i="31"/>
  <c r="AM321" i="31"/>
  <c r="AT321" i="31" s="1"/>
  <c r="AN321" i="31" s="1"/>
  <c r="AQ350" i="43" l="1"/>
  <c r="BO350" i="43" s="1"/>
  <c r="AQ352" i="42"/>
  <c r="BO352" i="42" s="1"/>
  <c r="BN321" i="31"/>
  <c r="AO321" i="31" s="1"/>
  <c r="AP321" i="31" s="1"/>
  <c r="AR350" i="43" l="1"/>
  <c r="AR352" i="42"/>
  <c r="AQ321" i="31"/>
  <c r="BO321" i="31" s="1"/>
  <c r="AM351" i="43" l="1"/>
  <c r="AU350" i="43"/>
  <c r="AM353" i="42"/>
  <c r="AU352" i="42"/>
  <c r="AR321" i="31"/>
  <c r="AO351" i="43" l="1"/>
  <c r="AP351" i="43" s="1"/>
  <c r="AT351" i="43"/>
  <c r="AO353" i="42"/>
  <c r="AP353" i="42" s="1"/>
  <c r="AT353" i="42"/>
  <c r="AU321" i="31"/>
  <c r="AM322" i="31"/>
  <c r="AT322" i="31" s="1"/>
  <c r="AN322" i="31" s="1"/>
  <c r="AQ351" i="43" l="1"/>
  <c r="BO351" i="43" s="1"/>
  <c r="AR351" i="43" s="1"/>
  <c r="AQ353" i="42"/>
  <c r="BO353" i="42" s="1"/>
  <c r="BN322" i="31"/>
  <c r="AO322" i="31" s="1"/>
  <c r="AP322" i="31" s="1"/>
  <c r="AQ322" i="31" s="1"/>
  <c r="AM352" i="43" l="1"/>
  <c r="AU351" i="43"/>
  <c r="AR353" i="42"/>
  <c r="BO322" i="31"/>
  <c r="AR322" i="31" s="1"/>
  <c r="AO352" i="43" l="1"/>
  <c r="AP352" i="43" s="1"/>
  <c r="AT352" i="43"/>
  <c r="AM354" i="42"/>
  <c r="AU353" i="42"/>
  <c r="AM323" i="31"/>
  <c r="AT323" i="31" s="1"/>
  <c r="AN323" i="31" s="1"/>
  <c r="BN323" i="31" s="1"/>
  <c r="AO323" i="31" s="1"/>
  <c r="AP323" i="31" s="1"/>
  <c r="AQ323" i="31" s="1"/>
  <c r="AU322" i="31"/>
  <c r="AQ352" i="43" l="1"/>
  <c r="BO352" i="43" s="1"/>
  <c r="AO354" i="42"/>
  <c r="AP354" i="42" s="1"/>
  <c r="AT354" i="42"/>
  <c r="BO323" i="31"/>
  <c r="AR323" i="31" s="1"/>
  <c r="AR352" i="43" l="1"/>
  <c r="AQ354" i="42"/>
  <c r="BO354" i="42" s="1"/>
  <c r="AR354" i="42" s="1"/>
  <c r="AU323" i="31"/>
  <c r="AM324" i="31"/>
  <c r="AT324" i="31" s="1"/>
  <c r="AN324" i="31" s="1"/>
  <c r="AM353" i="43" l="1"/>
  <c r="AU352" i="43"/>
  <c r="AM355" i="42"/>
  <c r="AU354" i="42"/>
  <c r="BN324" i="31"/>
  <c r="AO324" i="31" s="1"/>
  <c r="AP324" i="31" s="1"/>
  <c r="AQ324" i="31" s="1"/>
  <c r="AO353" i="43" l="1"/>
  <c r="AP353" i="43" s="1"/>
  <c r="AT353" i="43"/>
  <c r="AO355" i="42"/>
  <c r="AP355" i="42" s="1"/>
  <c r="AT355" i="42"/>
  <c r="BO324" i="31"/>
  <c r="AR324" i="31" s="1"/>
  <c r="AQ353" i="43" l="1"/>
  <c r="BO353" i="43" s="1"/>
  <c r="AQ355" i="42"/>
  <c r="BO355" i="42" s="1"/>
  <c r="AU324" i="31"/>
  <c r="AM325" i="31"/>
  <c r="AT325" i="31" s="1"/>
  <c r="AN325" i="31" s="1"/>
  <c r="AR353" i="43" l="1"/>
  <c r="AR355" i="42"/>
  <c r="BN325" i="31"/>
  <c r="AO325" i="31" s="1"/>
  <c r="AP325" i="31" s="1"/>
  <c r="AQ325" i="31" s="1"/>
  <c r="AM354" i="43" l="1"/>
  <c r="AU353" i="43"/>
  <c r="AM356" i="42"/>
  <c r="AU355" i="42"/>
  <c r="BO325" i="31"/>
  <c r="AR325" i="31" s="1"/>
  <c r="AO354" i="43" l="1"/>
  <c r="AP354" i="43" s="1"/>
  <c r="AT354" i="43"/>
  <c r="AO356" i="42"/>
  <c r="AP356" i="42" s="1"/>
  <c r="AT356" i="42"/>
  <c r="AU325" i="31"/>
  <c r="AM326" i="31"/>
  <c r="AT326" i="31" s="1"/>
  <c r="AN326" i="31" s="1"/>
  <c r="AQ354" i="43" l="1"/>
  <c r="BO354" i="43" s="1"/>
  <c r="AQ356" i="42"/>
  <c r="BO356" i="42" s="1"/>
  <c r="BN326" i="31"/>
  <c r="AO326" i="31" s="1"/>
  <c r="AP326" i="31" s="1"/>
  <c r="AQ326" i="31" s="1"/>
  <c r="AR354" i="43" l="1"/>
  <c r="AR356" i="42"/>
  <c r="BO326" i="31"/>
  <c r="AR326" i="31" s="1"/>
  <c r="AM355" i="43" l="1"/>
  <c r="AU354" i="43"/>
  <c r="AM357" i="42"/>
  <c r="AU356" i="42"/>
  <c r="AU326" i="31"/>
  <c r="AM327" i="31"/>
  <c r="AT327" i="31" s="1"/>
  <c r="AN327" i="31" s="1"/>
  <c r="AO355" i="43" l="1"/>
  <c r="AP355" i="43" s="1"/>
  <c r="AT355" i="43"/>
  <c r="AO357" i="42"/>
  <c r="AP357" i="42" s="1"/>
  <c r="AT357" i="42"/>
  <c r="BN327" i="31"/>
  <c r="AO327" i="31" s="1"/>
  <c r="AP327" i="31" s="1"/>
  <c r="AQ355" i="43" l="1"/>
  <c r="BO355" i="43" s="1"/>
  <c r="AQ357" i="42"/>
  <c r="BO357" i="42" s="1"/>
  <c r="AQ327" i="31"/>
  <c r="BO327" i="31" s="1"/>
  <c r="AR355" i="43" l="1"/>
  <c r="AR357" i="42"/>
  <c r="AR327" i="31"/>
  <c r="AM356" i="43" l="1"/>
  <c r="AU355" i="43"/>
  <c r="AM358" i="42"/>
  <c r="AU357" i="42"/>
  <c r="AM328" i="31"/>
  <c r="AT328" i="31" s="1"/>
  <c r="AN328" i="31" s="1"/>
  <c r="AU327" i="31"/>
  <c r="AO356" i="43" l="1"/>
  <c r="AP356" i="43" s="1"/>
  <c r="AT356" i="43"/>
  <c r="AO358" i="42"/>
  <c r="AP358" i="42" s="1"/>
  <c r="AT358" i="42"/>
  <c r="BN328" i="31"/>
  <c r="AO328" i="31" s="1"/>
  <c r="AP328" i="31" s="1"/>
  <c r="AQ328" i="31" s="1"/>
  <c r="AQ356" i="43" l="1"/>
  <c r="BO356" i="43" s="1"/>
  <c r="AQ358" i="42"/>
  <c r="BO358" i="42" s="1"/>
  <c r="AR358" i="42" s="1"/>
  <c r="BO328" i="31"/>
  <c r="AR328" i="31" s="1"/>
  <c r="AR356" i="43" l="1"/>
  <c r="AM359" i="42"/>
  <c r="AU358" i="42"/>
  <c r="AU328" i="31"/>
  <c r="AM329" i="31"/>
  <c r="AT329" i="31" s="1"/>
  <c r="AN329" i="31" s="1"/>
  <c r="AM357" i="43" l="1"/>
  <c r="AU356" i="43"/>
  <c r="AO359" i="42"/>
  <c r="AP359" i="42" s="1"/>
  <c r="AT359" i="42"/>
  <c r="BN329" i="31"/>
  <c r="AO329" i="31" s="1"/>
  <c r="AP329" i="31" s="1"/>
  <c r="AO357" i="43" l="1"/>
  <c r="AP357" i="43" s="1"/>
  <c r="AT357" i="43"/>
  <c r="AQ359" i="42"/>
  <c r="BO359" i="42" s="1"/>
  <c r="AQ329" i="31"/>
  <c r="BO329" i="31" s="1"/>
  <c r="AQ357" i="43" l="1"/>
  <c r="BO357" i="43" s="1"/>
  <c r="AR359" i="42"/>
  <c r="AR329" i="31"/>
  <c r="AR357" i="43" l="1"/>
  <c r="AM360" i="42"/>
  <c r="AU359" i="42"/>
  <c r="AU329" i="31"/>
  <c r="AM330" i="31"/>
  <c r="AT330" i="31" s="1"/>
  <c r="AN330" i="31" s="1"/>
  <c r="AM358" i="43" l="1"/>
  <c r="AU357" i="43"/>
  <c r="AO360" i="42"/>
  <c r="AP360" i="42" s="1"/>
  <c r="AT360" i="42"/>
  <c r="BN330" i="31"/>
  <c r="AO330" i="31" s="1"/>
  <c r="AP330" i="31" s="1"/>
  <c r="AO358" i="43" l="1"/>
  <c r="AP358" i="43" s="1"/>
  <c r="AT358" i="43"/>
  <c r="AQ360" i="42"/>
  <c r="BO360" i="42" s="1"/>
  <c r="AQ330" i="31"/>
  <c r="BO330" i="31" s="1"/>
  <c r="AQ358" i="43" l="1"/>
  <c r="BO358" i="43" s="1"/>
  <c r="AR360" i="42"/>
  <c r="AM361" i="42" s="1"/>
  <c r="AR330" i="31"/>
  <c r="AU360" i="42" l="1"/>
  <c r="AR358" i="43"/>
  <c r="AO361" i="42"/>
  <c r="AP361" i="42" s="1"/>
  <c r="AT361" i="42"/>
  <c r="AM331" i="31"/>
  <c r="AT331" i="31" s="1"/>
  <c r="AN331" i="31" s="1"/>
  <c r="AU330" i="31"/>
  <c r="AM359" i="43" l="1"/>
  <c r="AU358" i="43"/>
  <c r="AQ361" i="42"/>
  <c r="BO361" i="42" s="1"/>
  <c r="BN331" i="31"/>
  <c r="AO331" i="31" s="1"/>
  <c r="AP331" i="31" s="1"/>
  <c r="AO359" i="43" l="1"/>
  <c r="AP359" i="43" s="1"/>
  <c r="AT359" i="43"/>
  <c r="AR361" i="42"/>
  <c r="AQ331" i="31"/>
  <c r="BO331" i="31" s="1"/>
  <c r="AQ359" i="43" l="1"/>
  <c r="BO359" i="43" s="1"/>
  <c r="AM362" i="42"/>
  <c r="AU361" i="42"/>
  <c r="AR331" i="31"/>
  <c r="AR359" i="43" l="1"/>
  <c r="AM360" i="43" s="1"/>
  <c r="AO362" i="42"/>
  <c r="AP362" i="42" s="1"/>
  <c r="AT362" i="42"/>
  <c r="AM332" i="31"/>
  <c r="AT332" i="31" s="1"/>
  <c r="AN332" i="31" s="1"/>
  <c r="AU331" i="31"/>
  <c r="AU359" i="43" l="1"/>
  <c r="AO360" i="43"/>
  <c r="AP360" i="43" s="1"/>
  <c r="AT360" i="43"/>
  <c r="AQ362" i="42"/>
  <c r="BO362" i="42" s="1"/>
  <c r="AR362" i="42" s="1"/>
  <c r="BN332" i="31"/>
  <c r="AO332" i="31" s="1"/>
  <c r="AP332" i="31" s="1"/>
  <c r="AQ332" i="31" s="1"/>
  <c r="AQ360" i="43" l="1"/>
  <c r="BO360" i="43" s="1"/>
  <c r="AM363" i="42"/>
  <c r="AU362" i="42"/>
  <c r="BO332" i="31"/>
  <c r="AR332" i="31" s="1"/>
  <c r="AR360" i="43" l="1"/>
  <c r="AO363" i="42"/>
  <c r="AP363" i="42" s="1"/>
  <c r="AT363" i="42"/>
  <c r="AM333" i="31"/>
  <c r="AT333" i="31" s="1"/>
  <c r="AN333" i="31" s="1"/>
  <c r="BN333" i="31" s="1"/>
  <c r="AO333" i="31" s="1"/>
  <c r="AP333" i="31" s="1"/>
  <c r="AU332" i="31"/>
  <c r="AM361" i="43" l="1"/>
  <c r="AU360" i="43"/>
  <c r="AQ363" i="42"/>
  <c r="BO363" i="42" s="1"/>
  <c r="AQ333" i="31"/>
  <c r="BO333" i="31" s="1"/>
  <c r="AO361" i="43" l="1"/>
  <c r="AP361" i="43" s="1"/>
  <c r="AT361" i="43"/>
  <c r="AR363" i="42"/>
  <c r="AR333" i="31"/>
  <c r="AQ361" i="43" l="1"/>
  <c r="BO361" i="43" s="1"/>
  <c r="AM364" i="42"/>
  <c r="AU363" i="42"/>
  <c r="AM334" i="31"/>
  <c r="AT334" i="31" s="1"/>
  <c r="AN334" i="31" s="1"/>
  <c r="AU333" i="31"/>
  <c r="AR361" i="43" l="1"/>
  <c r="AO364" i="42"/>
  <c r="AP364" i="42" s="1"/>
  <c r="AT364" i="42"/>
  <c r="BN334" i="31"/>
  <c r="AO334" i="31" s="1"/>
  <c r="AP334" i="31" s="1"/>
  <c r="AM362" i="43" l="1"/>
  <c r="AU361" i="43"/>
  <c r="AQ364" i="42"/>
  <c r="BO364" i="42" s="1"/>
  <c r="AQ334" i="31"/>
  <c r="BO334" i="31" s="1"/>
  <c r="AO362" i="43" l="1"/>
  <c r="AP362" i="43" s="1"/>
  <c r="AT362" i="43"/>
  <c r="AR364" i="42"/>
  <c r="AR334" i="31"/>
  <c r="AQ362" i="43" l="1"/>
  <c r="BO362" i="43" s="1"/>
  <c r="AM365" i="42"/>
  <c r="AU364" i="42"/>
  <c r="AM335" i="31"/>
  <c r="AT335" i="31" s="1"/>
  <c r="AN335" i="31" s="1"/>
  <c r="AU334" i="31"/>
  <c r="AR362" i="43" l="1"/>
  <c r="AO365" i="42"/>
  <c r="AP365" i="42" s="1"/>
  <c r="AT365" i="42"/>
  <c r="BN335" i="31"/>
  <c r="AO335" i="31" s="1"/>
  <c r="AP335" i="31" s="1"/>
  <c r="AQ335" i="31" s="1"/>
  <c r="AM363" i="43" l="1"/>
  <c r="AU362" i="43"/>
  <c r="AQ365" i="42"/>
  <c r="BO365" i="42" s="1"/>
  <c r="BO335" i="31"/>
  <c r="AR335" i="31" s="1"/>
  <c r="AO363" i="43" l="1"/>
  <c r="AP363" i="43" s="1"/>
  <c r="AT363" i="43"/>
  <c r="AR365" i="42"/>
  <c r="AU335" i="31"/>
  <c r="AM336" i="31"/>
  <c r="AT336" i="31" s="1"/>
  <c r="AN336" i="31" s="1"/>
  <c r="BN336" i="31" s="1"/>
  <c r="AO336" i="31" s="1"/>
  <c r="AP336" i="31" s="1"/>
  <c r="AQ336" i="31" s="1"/>
  <c r="AQ363" i="43" l="1"/>
  <c r="BO363" i="43" s="1"/>
  <c r="AM366" i="42"/>
  <c r="AU365" i="42"/>
  <c r="BO336" i="31"/>
  <c r="AR336" i="31" s="1"/>
  <c r="AR363" i="43" l="1"/>
  <c r="AO366" i="42"/>
  <c r="AP366" i="42" s="1"/>
  <c r="AT366" i="42"/>
  <c r="AM337" i="31"/>
  <c r="AT337" i="31" s="1"/>
  <c r="AN337" i="31" s="1"/>
  <c r="AU336" i="31"/>
  <c r="AM364" i="43" l="1"/>
  <c r="AU363" i="43"/>
  <c r="AQ366" i="42"/>
  <c r="BO366" i="42" s="1"/>
  <c r="AR366" i="42" s="1"/>
  <c r="BN337" i="31"/>
  <c r="AO337" i="31" s="1"/>
  <c r="AP337" i="31" s="1"/>
  <c r="AO364" i="43" l="1"/>
  <c r="AP364" i="43" s="1"/>
  <c r="AT364" i="43"/>
  <c r="AM367" i="42"/>
  <c r="AU366" i="42"/>
  <c r="AQ337" i="31"/>
  <c r="BO337" i="31" s="1"/>
  <c r="AQ364" i="43" l="1"/>
  <c r="BO364" i="43" s="1"/>
  <c r="AO367" i="42"/>
  <c r="AP367" i="42" s="1"/>
  <c r="AT367" i="42"/>
  <c r="AR337" i="31"/>
  <c r="AR364" i="43" l="1"/>
  <c r="AQ367" i="42"/>
  <c r="BO367" i="42" s="1"/>
  <c r="AU337" i="31"/>
  <c r="AM338" i="31"/>
  <c r="AT338" i="31" s="1"/>
  <c r="AN338" i="31" s="1"/>
  <c r="AM365" i="43" l="1"/>
  <c r="AU364" i="43"/>
  <c r="AR367" i="42"/>
  <c r="AU367" i="42" s="1"/>
  <c r="BN338" i="31"/>
  <c r="AO338" i="31" s="1"/>
  <c r="AP338" i="31" s="1"/>
  <c r="AQ338" i="31" s="1"/>
  <c r="AO365" i="43" l="1"/>
  <c r="AP365" i="43" s="1"/>
  <c r="AT365" i="43"/>
  <c r="BO338" i="31"/>
  <c r="AR338" i="31" s="1"/>
  <c r="AQ365" i="43" l="1"/>
  <c r="BO365" i="43" s="1"/>
  <c r="AU338" i="31"/>
  <c r="AM339" i="31"/>
  <c r="AT339" i="31" s="1"/>
  <c r="AN339" i="31" s="1"/>
  <c r="AR365" i="43" l="1"/>
  <c r="BN339" i="31"/>
  <c r="AO339" i="31" s="1"/>
  <c r="AP339" i="31" s="1"/>
  <c r="AQ339" i="31" s="1"/>
  <c r="AM366" i="43" l="1"/>
  <c r="AU365" i="43"/>
  <c r="BO339" i="31"/>
  <c r="AR339" i="31" s="1"/>
  <c r="AO366" i="43" l="1"/>
  <c r="AP366" i="43" s="1"/>
  <c r="AT366" i="43"/>
  <c r="AU339" i="31"/>
  <c r="AM340" i="31"/>
  <c r="AT340" i="31" s="1"/>
  <c r="AN340" i="31" s="1"/>
  <c r="AQ366" i="43" l="1"/>
  <c r="BO366" i="43" s="1"/>
  <c r="BN340" i="31"/>
  <c r="AO340" i="31" s="1"/>
  <c r="AP340" i="31" s="1"/>
  <c r="AQ340" i="31" s="1"/>
  <c r="AR366" i="43" l="1"/>
  <c r="BO340" i="31"/>
  <c r="AR340" i="31" s="1"/>
  <c r="AM367" i="43" l="1"/>
  <c r="AU366" i="43"/>
  <c r="AU340" i="31"/>
  <c r="AM341" i="31"/>
  <c r="AT341" i="31" s="1"/>
  <c r="AN341" i="31" s="1"/>
  <c r="AO367" i="43" l="1"/>
  <c r="AP367" i="43" s="1"/>
  <c r="AT367" i="43"/>
  <c r="BN341" i="31"/>
  <c r="AO341" i="31" s="1"/>
  <c r="AP341" i="31" s="1"/>
  <c r="AQ341" i="31" s="1"/>
  <c r="AQ367" i="43" l="1"/>
  <c r="BO367" i="43" s="1"/>
  <c r="AR367" i="43" s="1"/>
  <c r="AU367" i="43" s="1"/>
  <c r="BO341" i="31"/>
  <c r="AR341" i="31" s="1"/>
  <c r="AU341" i="31" l="1"/>
  <c r="AM342" i="31"/>
  <c r="AT342" i="31" s="1"/>
  <c r="AN342" i="31" s="1"/>
  <c r="BN342" i="31" l="1"/>
  <c r="AO342" i="31" s="1"/>
  <c r="AP342" i="31" s="1"/>
  <c r="AQ342" i="31" s="1"/>
  <c r="BO342" i="31" l="1"/>
  <c r="AR342" i="31" s="1"/>
  <c r="AM343" i="31" l="1"/>
  <c r="AT343" i="31" s="1"/>
  <c r="AN343" i="31" s="1"/>
  <c r="AU342" i="31"/>
  <c r="BN343" i="31" l="1"/>
  <c r="AO343" i="31" s="1"/>
  <c r="AP343" i="31" s="1"/>
  <c r="AQ343" i="31" s="1"/>
  <c r="BO343" i="31" l="1"/>
  <c r="AR343" i="31" s="1"/>
  <c r="AU343" i="31" l="1"/>
  <c r="AM344" i="31"/>
  <c r="AT344" i="31" s="1"/>
  <c r="AN344" i="31" s="1"/>
  <c r="BN344" i="31" l="1"/>
  <c r="AO344" i="31" s="1"/>
  <c r="AP344" i="31" s="1"/>
  <c r="AQ344" i="31" s="1"/>
  <c r="BO344" i="31" l="1"/>
  <c r="AR344" i="31" s="1"/>
  <c r="AU344" i="31" l="1"/>
  <c r="AM345" i="31"/>
  <c r="AT345" i="31" s="1"/>
  <c r="AN345" i="31" s="1"/>
  <c r="BN345" i="31" l="1"/>
  <c r="AO345" i="31" s="1"/>
  <c r="AP345" i="31" s="1"/>
  <c r="AQ345" i="31" l="1"/>
  <c r="BO345" i="31" s="1"/>
  <c r="AR345" i="31" l="1"/>
  <c r="AU345" i="31" l="1"/>
  <c r="AM346" i="31"/>
  <c r="AT346" i="31" s="1"/>
  <c r="AN346" i="31" s="1"/>
  <c r="BN346" i="31" l="1"/>
  <c r="AO346" i="31" s="1"/>
  <c r="AP346" i="31" s="1"/>
  <c r="AQ346" i="31" s="1"/>
  <c r="BO346" i="31" l="1"/>
  <c r="AR346" i="31" s="1"/>
  <c r="AU346" i="31" l="1"/>
  <c r="AM347" i="31"/>
  <c r="AT347" i="31" s="1"/>
  <c r="AN347" i="31" s="1"/>
  <c r="BN347" i="31" s="1"/>
  <c r="AO347" i="31" s="1"/>
  <c r="AP347" i="31" s="1"/>
  <c r="AQ347" i="31" l="1"/>
  <c r="BO347" i="31" s="1"/>
  <c r="AR347" i="31" l="1"/>
  <c r="AM348" i="31" l="1"/>
  <c r="AT348" i="31" s="1"/>
  <c r="AN348" i="31" s="1"/>
  <c r="AU347" i="31"/>
  <c r="BN348" i="31" l="1"/>
  <c r="AO348" i="31" s="1"/>
  <c r="AP348" i="31" s="1"/>
  <c r="AQ348" i="31" l="1"/>
  <c r="BO348" i="31" s="1"/>
  <c r="AR348" i="31" l="1"/>
  <c r="AM349" i="31" l="1"/>
  <c r="AT349" i="31" s="1"/>
  <c r="AN349" i="31" s="1"/>
  <c r="AU348" i="31"/>
  <c r="BN349" i="31" l="1"/>
  <c r="AO349" i="31" s="1"/>
  <c r="AP349" i="31" s="1"/>
  <c r="AQ349" i="31" s="1"/>
  <c r="BO349" i="31" l="1"/>
  <c r="AR349" i="31" s="1"/>
  <c r="AU349" i="31" l="1"/>
  <c r="AM350" i="31"/>
  <c r="AT350" i="31" s="1"/>
  <c r="AN350" i="31" s="1"/>
  <c r="BN350" i="31" s="1"/>
  <c r="AO350" i="31" s="1"/>
  <c r="AP350" i="31" s="1"/>
  <c r="AQ350" i="31" l="1"/>
  <c r="BO350" i="31" s="1"/>
  <c r="AR350" i="31" l="1"/>
  <c r="AM351" i="31" l="1"/>
  <c r="AT351" i="31" s="1"/>
  <c r="AN351" i="31" s="1"/>
  <c r="AU350" i="31"/>
  <c r="BN351" i="31" l="1"/>
  <c r="AO351" i="31" s="1"/>
  <c r="AP351" i="31" s="1"/>
  <c r="AQ351" i="31" s="1"/>
  <c r="BO351" i="31" l="1"/>
  <c r="AR351" i="31" s="1"/>
  <c r="AU351" i="31" l="1"/>
  <c r="AM352" i="31"/>
  <c r="AT352" i="31" s="1"/>
  <c r="AN352" i="31" s="1"/>
  <c r="BN352" i="31" l="1"/>
  <c r="AO352" i="31" s="1"/>
  <c r="AP352" i="31" s="1"/>
  <c r="AQ352" i="31" s="1"/>
  <c r="BO352" i="31" l="1"/>
  <c r="AR352" i="31" s="1"/>
  <c r="AU352" i="31" l="1"/>
  <c r="AM353" i="31"/>
  <c r="AT353" i="31" s="1"/>
  <c r="AN353" i="31" s="1"/>
  <c r="BN353" i="31" l="1"/>
  <c r="AO353" i="31" s="1"/>
  <c r="AP353" i="31" s="1"/>
  <c r="AQ353" i="31" s="1"/>
  <c r="BO353" i="31" l="1"/>
  <c r="AR353" i="31" s="1"/>
  <c r="AM354" i="31" l="1"/>
  <c r="AT354" i="31" s="1"/>
  <c r="AN354" i="31" s="1"/>
  <c r="AU353" i="31"/>
  <c r="BN354" i="31" l="1"/>
  <c r="AO354" i="31" s="1"/>
  <c r="AP354" i="31" s="1"/>
  <c r="AQ354" i="31" l="1"/>
  <c r="BO354" i="31" s="1"/>
  <c r="AR354" i="31" l="1"/>
  <c r="AM355" i="31" l="1"/>
  <c r="AT355" i="31" s="1"/>
  <c r="AN355" i="31" s="1"/>
  <c r="AU354" i="31"/>
  <c r="BN355" i="31" l="1"/>
  <c r="AO355" i="31" s="1"/>
  <c r="AP355" i="31" s="1"/>
  <c r="AQ355" i="31" l="1"/>
  <c r="BO355" i="31" s="1"/>
  <c r="AR355" i="31" l="1"/>
  <c r="AU355" i="31" l="1"/>
  <c r="AM356" i="31"/>
  <c r="AT356" i="31" s="1"/>
  <c r="AN356" i="31" s="1"/>
  <c r="BN356" i="31" l="1"/>
  <c r="AO356" i="31" s="1"/>
  <c r="AP356" i="31" s="1"/>
  <c r="AQ356" i="31" l="1"/>
  <c r="BO356" i="31" s="1"/>
  <c r="AR356" i="31" l="1"/>
  <c r="AM357" i="31" l="1"/>
  <c r="AT357" i="31" s="1"/>
  <c r="AN357" i="31" s="1"/>
  <c r="AU356" i="31"/>
  <c r="BN357" i="31" l="1"/>
  <c r="AO357" i="31" s="1"/>
  <c r="AP357" i="31" s="1"/>
  <c r="AQ357" i="31" l="1"/>
  <c r="BO357" i="31" s="1"/>
  <c r="AR357" i="31" l="1"/>
  <c r="AM358" i="31" l="1"/>
  <c r="AT358" i="31" s="1"/>
  <c r="AN358" i="31" s="1"/>
  <c r="AU357" i="31"/>
  <c r="BN358" i="31" l="1"/>
  <c r="AO358" i="31" s="1"/>
  <c r="AP358" i="31" s="1"/>
  <c r="AQ358" i="31" l="1"/>
  <c r="BO358" i="31" s="1"/>
  <c r="AR358" i="31" l="1"/>
  <c r="AM359" i="31" l="1"/>
  <c r="AT359" i="31" s="1"/>
  <c r="AN359" i="31" s="1"/>
  <c r="AU358" i="31"/>
  <c r="BN359" i="31" l="1"/>
  <c r="AO359" i="31" s="1"/>
  <c r="AP359" i="31" s="1"/>
  <c r="AQ359" i="31" s="1"/>
  <c r="BO359" i="31" l="1"/>
  <c r="AR359" i="31" s="1"/>
  <c r="AM360" i="31" l="1"/>
  <c r="AT360" i="31" s="1"/>
  <c r="AN360" i="31" s="1"/>
  <c r="AU359" i="31"/>
  <c r="BN360" i="31" l="1"/>
  <c r="AO360" i="31" s="1"/>
  <c r="AP360" i="31" s="1"/>
  <c r="AQ360" i="31" l="1"/>
  <c r="BO360" i="31" s="1"/>
  <c r="AR360" i="31" l="1"/>
  <c r="AM361" i="31" l="1"/>
  <c r="AT361" i="31" s="1"/>
  <c r="AN361" i="31" s="1"/>
  <c r="AU360" i="31"/>
  <c r="BN361" i="31" l="1"/>
  <c r="AO361" i="31" s="1"/>
  <c r="AP361" i="31" s="1"/>
  <c r="AQ361" i="31" l="1"/>
  <c r="BO361" i="31" s="1"/>
  <c r="AR361" i="31" l="1"/>
  <c r="AM362" i="31" l="1"/>
  <c r="AT362" i="31" s="1"/>
  <c r="AN362" i="31" s="1"/>
  <c r="AU361" i="31"/>
  <c r="BN362" i="31" l="1"/>
  <c r="AO362" i="31" s="1"/>
  <c r="AP362" i="31" s="1"/>
  <c r="AQ362" i="31" l="1"/>
  <c r="BO362" i="31" s="1"/>
  <c r="AR362" i="31" l="1"/>
  <c r="AU362" i="31" l="1"/>
  <c r="AM363" i="31"/>
  <c r="AT363" i="31" s="1"/>
  <c r="AN363" i="31" s="1"/>
  <c r="BN363" i="31" l="1"/>
  <c r="AO363" i="31" s="1"/>
  <c r="AP363" i="31" s="1"/>
  <c r="AQ363" i="31" s="1"/>
  <c r="BO363" i="31" l="1"/>
  <c r="AR363" i="31" s="1"/>
  <c r="AU363" i="31" l="1"/>
  <c r="AM364" i="31"/>
  <c r="AT364" i="31" s="1"/>
  <c r="AN364" i="31" s="1"/>
  <c r="BN364" i="31" l="1"/>
  <c r="AO364" i="31" s="1"/>
  <c r="AP364" i="31" s="1"/>
  <c r="AQ364" i="31" l="1"/>
  <c r="BO364" i="31" s="1"/>
  <c r="AR364" i="31" l="1"/>
  <c r="AM365" i="31" l="1"/>
  <c r="AT365" i="31" s="1"/>
  <c r="AN365" i="31" s="1"/>
  <c r="AU364" i="31"/>
  <c r="BN365" i="31" l="1"/>
  <c r="AO365" i="31" s="1"/>
  <c r="AP365" i="31" s="1"/>
  <c r="AQ365" i="31" l="1"/>
  <c r="BO365" i="31" s="1"/>
  <c r="AR365" i="31" l="1"/>
  <c r="AU365" i="31" l="1"/>
  <c r="AM366" i="31"/>
  <c r="AT366" i="31" s="1"/>
  <c r="AN366" i="31" s="1"/>
  <c r="BN366" i="31" l="1"/>
  <c r="AO366" i="31" s="1"/>
  <c r="AP366" i="31" s="1"/>
  <c r="AQ366" i="31" l="1"/>
  <c r="BO366" i="31" s="1"/>
  <c r="AR366" i="31" l="1"/>
  <c r="AM367" i="31" l="1"/>
  <c r="AT367" i="31" s="1"/>
  <c r="AN367" i="31" s="1"/>
  <c r="BN367" i="31" s="1"/>
  <c r="AU366" i="31"/>
  <c r="AO367" i="31" l="1"/>
  <c r="AP367" i="31" s="1"/>
  <c r="AQ367" i="31" l="1"/>
  <c r="BO367" i="31" s="1"/>
  <c r="AR367" i="31" l="1"/>
  <c r="AU367" i="31" s="1"/>
  <c r="BI305" i="31" l="1"/>
  <c r="BI155" i="31"/>
  <c r="BI74" i="31"/>
  <c r="BI70" i="31"/>
  <c r="BI80" i="31"/>
  <c r="BI302" i="31"/>
  <c r="BI87" i="31"/>
  <c r="BI270" i="31"/>
  <c r="BI52" i="31"/>
  <c r="BI266" i="31"/>
  <c r="BI84" i="31"/>
  <c r="BI230" i="31"/>
  <c r="BI46" i="31"/>
  <c r="BI244" i="31"/>
  <c r="BI95" i="31"/>
  <c r="BI183" i="31"/>
  <c r="BI48" i="31"/>
  <c r="BI226" i="31"/>
  <c r="BI161" i="31"/>
  <c r="BI64" i="31"/>
  <c r="BI139" i="31"/>
  <c r="BI63" i="31"/>
  <c r="BI123" i="31"/>
  <c r="BI211" i="31"/>
  <c r="BI165" i="31"/>
  <c r="BI41" i="31"/>
  <c r="BI279" i="31"/>
  <c r="BI201" i="31"/>
  <c r="BI148" i="31"/>
  <c r="BI100" i="31"/>
  <c r="BI58" i="31"/>
  <c r="BI286" i="31"/>
  <c r="BI65" i="31"/>
  <c r="BI344" i="31"/>
  <c r="BI362" i="31"/>
  <c r="BI327" i="31"/>
  <c r="BI353" i="31"/>
  <c r="BI364" i="31"/>
  <c r="BI329" i="31"/>
  <c r="BI351" i="31"/>
  <c r="BI328" i="31"/>
  <c r="BI365" i="31"/>
  <c r="BI323" i="31"/>
  <c r="BI352" i="31"/>
  <c r="BI61" i="31"/>
  <c r="BI49" i="31"/>
  <c r="BI208" i="31"/>
  <c r="BI115" i="31"/>
  <c r="BI59" i="31"/>
  <c r="BI281" i="31"/>
  <c r="BI37" i="31"/>
  <c r="BI298" i="31"/>
  <c r="BI221" i="31"/>
  <c r="BI178" i="31"/>
  <c r="BI107" i="31"/>
  <c r="BI10" i="31"/>
  <c r="BI140" i="31"/>
  <c r="BI176" i="31"/>
  <c r="BI25" i="31"/>
  <c r="BI54" i="31"/>
  <c r="BI193" i="31"/>
  <c r="BI171" i="31"/>
  <c r="BI12" i="31"/>
  <c r="BI72" i="31"/>
  <c r="BI172" i="31"/>
  <c r="BI202" i="31"/>
  <c r="BI210" i="31"/>
  <c r="BI101" i="31"/>
  <c r="BI130" i="31"/>
  <c r="BI75" i="31"/>
  <c r="BI88" i="31"/>
  <c r="BI44" i="31"/>
  <c r="BI154" i="31"/>
  <c r="BI60" i="31"/>
  <c r="BI253" i="31"/>
  <c r="BI53" i="31"/>
  <c r="BI108" i="31"/>
  <c r="BI133" i="31"/>
  <c r="BI311" i="31"/>
  <c r="BI325" i="31"/>
  <c r="BI334" i="31"/>
  <c r="BI350" i="31"/>
  <c r="BI337" i="31"/>
  <c r="BI333" i="31"/>
  <c r="BI326" i="31"/>
  <c r="BI324" i="31"/>
  <c r="BI249" i="31"/>
  <c r="BI152" i="31"/>
  <c r="BI220" i="31"/>
  <c r="BI90" i="31"/>
  <c r="BI203" i="31"/>
  <c r="BI94" i="31"/>
  <c r="BI289" i="31"/>
  <c r="BI127" i="31"/>
  <c r="BI306" i="31"/>
  <c r="BI96" i="31"/>
  <c r="BI35" i="31"/>
  <c r="BI158" i="31"/>
  <c r="BI128" i="31"/>
  <c r="BI200" i="31"/>
  <c r="BI42" i="31"/>
  <c r="BI217" i="31"/>
  <c r="BI189" i="31"/>
  <c r="BI181" i="31"/>
  <c r="BI269" i="31"/>
  <c r="BI282" i="31"/>
  <c r="BI174" i="31"/>
  <c r="BI143" i="31"/>
  <c r="BI232" i="31"/>
  <c r="BI51" i="31"/>
  <c r="BI276" i="31"/>
  <c r="BI137" i="31"/>
  <c r="BI280" i="31"/>
  <c r="BI162" i="31"/>
  <c r="BI227" i="31"/>
  <c r="BI92" i="31"/>
  <c r="BI294" i="31"/>
  <c r="BI149" i="31"/>
  <c r="BI125" i="31"/>
  <c r="BI234" i="31"/>
  <c r="BI238" i="31"/>
  <c r="BI268" i="31"/>
  <c r="BI82" i="31"/>
  <c r="BI290" i="31"/>
  <c r="BI177" i="31"/>
  <c r="BI191" i="31"/>
  <c r="BI246" i="31"/>
  <c r="BI102" i="31"/>
  <c r="BI243" i="31"/>
  <c r="BI68" i="31"/>
  <c r="BI98" i="31"/>
  <c r="BI233" i="31"/>
  <c r="BI264" i="31"/>
  <c r="BI122" i="31"/>
  <c r="BI109" i="31"/>
  <c r="BI105" i="31"/>
  <c r="BI166" i="31"/>
  <c r="BI146" i="31"/>
  <c r="BI129" i="31"/>
  <c r="BI255" i="31"/>
  <c r="BI190" i="31"/>
  <c r="BI50" i="31"/>
  <c r="BI195" i="31"/>
  <c r="BI132" i="31"/>
  <c r="BI224" i="31"/>
  <c r="BI93" i="31"/>
  <c r="BI185" i="31"/>
  <c r="BI97" i="31"/>
  <c r="BI22" i="31"/>
  <c r="BI252" i="31"/>
  <c r="BI159" i="31"/>
  <c r="BI251" i="31"/>
  <c r="BI273" i="31"/>
  <c r="BI39" i="31"/>
  <c r="BI222" i="31"/>
  <c r="BI147" i="31"/>
  <c r="BI112" i="31"/>
  <c r="BI316" i="31"/>
  <c r="BI332" i="31"/>
  <c r="BI347" i="31"/>
  <c r="BI361" i="31"/>
  <c r="BI314" i="31"/>
  <c r="BI359" i="31"/>
  <c r="BI336" i="31"/>
  <c r="BI340" i="31"/>
  <c r="BI349" i="31"/>
  <c r="BI367" i="31"/>
  <c r="BI126" i="31"/>
  <c r="BI62" i="31"/>
  <c r="BI23" i="31"/>
  <c r="BI11" i="31"/>
  <c r="BI173" i="31"/>
  <c r="BI9" i="31"/>
  <c r="BI250" i="31"/>
  <c r="BI272" i="31"/>
  <c r="BI303" i="31"/>
  <c r="BI257" i="31"/>
  <c r="BI285" i="31"/>
  <c r="BI141" i="31"/>
  <c r="BI260" i="31"/>
  <c r="BI76" i="31"/>
  <c r="BI194" i="31"/>
  <c r="BI30" i="31"/>
  <c r="BI145" i="31"/>
  <c r="BI134" i="31"/>
  <c r="BI144" i="31"/>
  <c r="BI160" i="31"/>
  <c r="BI73" i="31"/>
  <c r="BI299" i="31"/>
  <c r="BI47" i="31"/>
  <c r="BI40" i="31"/>
  <c r="BI300" i="31"/>
  <c r="BI28" i="31"/>
  <c r="BI198" i="31"/>
  <c r="BI113" i="31"/>
  <c r="BI117" i="31"/>
  <c r="BI179" i="31"/>
  <c r="BI182" i="31"/>
  <c r="BI71" i="31"/>
  <c r="BI197" i="31"/>
  <c r="BI184" i="31"/>
  <c r="BI262" i="31"/>
  <c r="BI66" i="31"/>
  <c r="BI335" i="31"/>
  <c r="BI357" i="31"/>
  <c r="BI330" i="31"/>
  <c r="BI363" i="31"/>
  <c r="BI341" i="31"/>
  <c r="BI358" i="31"/>
  <c r="BI231" i="31"/>
  <c r="BI157" i="31"/>
  <c r="BI86" i="31"/>
  <c r="BI36" i="31"/>
  <c r="BI212" i="31"/>
  <c r="BI192" i="31"/>
  <c r="BI291" i="31"/>
  <c r="BI77" i="31"/>
  <c r="BI13" i="31"/>
  <c r="BI150" i="31"/>
  <c r="BI219" i="31"/>
  <c r="BI241" i="31"/>
  <c r="BI18" i="31"/>
  <c r="BI239" i="31"/>
  <c r="BI261" i="31"/>
  <c r="BI121" i="31"/>
  <c r="BI186" i="31"/>
  <c r="BI14" i="31"/>
  <c r="BI34" i="31"/>
  <c r="BI168" i="31"/>
  <c r="BI38" i="31"/>
  <c r="BI156" i="31"/>
  <c r="BI278" i="31"/>
  <c r="BI142" i="31"/>
  <c r="BI81" i="31"/>
  <c r="BI229" i="31"/>
  <c r="BI55" i="31"/>
  <c r="BI32" i="31"/>
  <c r="BI136" i="31"/>
  <c r="BI69" i="31"/>
  <c r="BI135" i="31"/>
  <c r="BI78" i="31"/>
  <c r="BI99" i="31"/>
  <c r="BI228" i="31"/>
  <c r="BI16" i="31"/>
  <c r="BI106" i="31"/>
  <c r="BI339" i="31"/>
  <c r="BI346" i="31"/>
  <c r="BI313" i="31"/>
  <c r="BI338" i="31"/>
  <c r="BI57" i="31"/>
  <c r="BI274" i="31"/>
  <c r="BI131" i="31"/>
  <c r="BI196" i="31"/>
  <c r="BI288" i="31"/>
  <c r="BI297" i="31"/>
  <c r="BI33" i="31"/>
  <c r="BI110" i="31"/>
  <c r="BI263" i="31"/>
  <c r="BI118" i="31"/>
  <c r="BI209" i="31"/>
  <c r="BI267" i="31"/>
  <c r="BI85" i="31"/>
  <c r="BI83" i="31"/>
  <c r="BI180" i="31"/>
  <c r="BI21" i="31"/>
  <c r="BI236" i="31"/>
  <c r="BI304" i="31"/>
  <c r="BI26" i="31"/>
  <c r="BI237" i="31"/>
  <c r="BI277" i="31"/>
  <c r="BI114" i="31"/>
  <c r="BI206" i="31"/>
  <c r="BI225" i="31"/>
  <c r="BI215" i="31"/>
  <c r="BI169" i="31"/>
  <c r="BI296" i="31"/>
  <c r="BI27" i="31"/>
  <c r="BI104" i="31"/>
  <c r="BI204" i="31"/>
  <c r="BI216" i="31"/>
  <c r="BI284" i="31"/>
  <c r="BI275" i="31"/>
  <c r="BI301" i="31"/>
  <c r="BI293" i="31"/>
  <c r="BI20" i="31"/>
  <c r="BI218" i="31"/>
  <c r="BI258" i="31"/>
  <c r="BI242" i="31"/>
  <c r="BI15" i="31"/>
  <c r="BI111" i="31"/>
  <c r="BI120" i="31"/>
  <c r="BI116" i="31"/>
  <c r="BI207" i="31"/>
  <c r="BI29" i="31"/>
  <c r="BI163" i="31"/>
  <c r="BI164" i="31"/>
  <c r="BI119" i="31"/>
  <c r="BI265" i="31"/>
  <c r="BI245" i="31"/>
  <c r="BI170" i="31"/>
  <c r="BI45" i="31"/>
  <c r="BI199" i="31"/>
  <c r="BI8" i="31"/>
  <c r="BI287" i="31"/>
  <c r="BI256" i="31"/>
  <c r="BI240" i="31"/>
  <c r="BI138" i="31"/>
  <c r="BI89" i="31"/>
  <c r="BI254" i="31"/>
  <c r="BI213" i="31"/>
  <c r="BI17" i="31"/>
  <c r="BI214" i="31"/>
  <c r="BI124" i="31"/>
  <c r="BI167" i="31"/>
  <c r="BI24" i="31"/>
  <c r="BI318" i="31"/>
  <c r="BI317" i="31"/>
  <c r="BI308" i="31"/>
  <c r="BI315" i="31"/>
  <c r="BI312" i="31"/>
  <c r="BI320" i="31"/>
  <c r="BI321" i="31"/>
  <c r="BI345" i="31"/>
  <c r="BI310" i="31"/>
  <c r="BI322" i="31"/>
  <c r="BI366" i="31"/>
  <c r="BI309" i="31"/>
  <c r="BI342" i="31"/>
  <c r="BI360" i="31"/>
  <c r="BI354" i="31"/>
  <c r="BI356" i="31"/>
  <c r="BI331" i="31"/>
  <c r="BI343" i="31"/>
  <c r="BI355" i="31"/>
  <c r="BI319" i="31"/>
  <c r="BI307" i="31"/>
  <c r="BI283" i="31"/>
  <c r="BI295" i="31"/>
  <c r="BI247" i="31"/>
  <c r="BI271" i="31"/>
  <c r="BI259" i="31"/>
  <c r="BI223" i="31"/>
  <c r="BI235" i="31"/>
  <c r="BI31" i="31"/>
  <c r="BI19" i="31"/>
  <c r="BI103" i="31"/>
  <c r="BI175" i="31"/>
  <c r="BI91" i="31"/>
  <c r="BI79" i="31"/>
  <c r="BI43" i="31"/>
  <c r="BI187" i="31"/>
  <c r="BI67" i="31"/>
  <c r="BI151" i="31"/>
  <c r="AZ22" i="31" l="1"/>
  <c r="AZ31" i="31"/>
  <c r="AZ15" i="31"/>
  <c r="AZ9" i="31"/>
  <c r="AZ34" i="31"/>
  <c r="AZ27" i="31"/>
  <c r="AZ19" i="31"/>
  <c r="AZ35" i="31"/>
  <c r="AZ23" i="31"/>
  <c r="AZ11" i="31"/>
  <c r="AZ30" i="31"/>
  <c r="AZ12" i="31"/>
  <c r="AZ13" i="31"/>
  <c r="AZ14" i="31"/>
  <c r="AZ33" i="31"/>
  <c r="AZ16" i="31"/>
  <c r="AZ25" i="31"/>
  <c r="AZ32" i="31"/>
  <c r="AZ26" i="31"/>
  <c r="AZ28" i="31"/>
  <c r="AZ8" i="31"/>
  <c r="AZ17" i="31"/>
  <c r="AZ24" i="31"/>
  <c r="AZ21" i="31"/>
  <c r="AZ29" i="31"/>
  <c r="AZ36" i="31"/>
  <c r="BI248" i="31"/>
  <c r="BI188" i="31"/>
  <c r="AZ20" i="31"/>
  <c r="BI205" i="31"/>
  <c r="BI348" i="31"/>
  <c r="BI56" i="31"/>
  <c r="BI292" i="31"/>
  <c r="BI153" i="31"/>
  <c r="AZ18" i="31"/>
  <c r="AZ10" i="31"/>
  <c r="CD367" i="31" l="1"/>
  <c r="AX16" i="31" l="1"/>
  <c r="BG115" i="31"/>
  <c r="L115" i="31" s="1"/>
  <c r="AA42" i="35" l="1"/>
  <c r="AA43" i="35" l="1"/>
  <c r="CD259" i="31" l="1"/>
  <c r="CD260" i="31" l="1"/>
  <c r="CD261" i="31" l="1"/>
  <c r="CD262" i="31" l="1"/>
  <c r="CD263" i="31" l="1"/>
  <c r="CD264" i="31" l="1"/>
  <c r="CD265" i="31" l="1"/>
  <c r="CD266" i="31" l="1"/>
  <c r="CD267" i="31" l="1"/>
  <c r="CD268" i="31" l="1"/>
  <c r="CD269" i="31" l="1"/>
  <c r="CD270" i="31" l="1"/>
  <c r="CD271" i="31" l="1"/>
  <c r="CD272" i="31" l="1"/>
  <c r="CD273" i="31" l="1"/>
  <c r="CD274" i="31" l="1"/>
  <c r="CD275" i="31" l="1"/>
  <c r="CD276" i="31" l="1"/>
  <c r="CD277" i="31" l="1"/>
  <c r="CD278" i="31" l="1"/>
  <c r="CD279" i="31" l="1"/>
  <c r="CD280" i="31" l="1"/>
  <c r="CD281" i="31" l="1"/>
  <c r="CD282" i="31" l="1"/>
  <c r="CD283" i="31" l="1"/>
  <c r="CD284" i="31" l="1"/>
  <c r="CD285" i="31" l="1"/>
  <c r="CD286" i="31" l="1"/>
  <c r="CD287" i="31" l="1"/>
  <c r="CD288" i="31" l="1"/>
  <c r="CD289" i="31" l="1"/>
  <c r="CD290" i="31" l="1"/>
  <c r="CD291" i="31" l="1"/>
  <c r="CD292" i="31" l="1"/>
  <c r="CD293" i="31" l="1"/>
  <c r="CD294" i="31" l="1"/>
  <c r="CD295" i="31" l="1"/>
  <c r="CD296" i="31" l="1"/>
  <c r="CD297" i="31" l="1"/>
  <c r="CD298" i="31" l="1"/>
  <c r="CD299" i="31" l="1"/>
  <c r="CD300" i="31" l="1"/>
  <c r="CD301" i="31" l="1"/>
  <c r="CD302" i="31" l="1"/>
  <c r="CD303" i="31" l="1"/>
  <c r="CD304" i="31" l="1"/>
  <c r="CD305" i="31" l="1"/>
  <c r="CD306" i="31" l="1"/>
  <c r="CD307" i="31" l="1"/>
  <c r="CD308" i="31" l="1"/>
  <c r="CD309" i="31" l="1"/>
  <c r="CD310" i="31" l="1"/>
  <c r="CD311" i="31" l="1"/>
  <c r="CD312" i="31" l="1"/>
  <c r="CD313" i="31" l="1"/>
  <c r="CD314" i="31" l="1"/>
  <c r="CD315" i="31" l="1"/>
  <c r="CD316" i="31" l="1"/>
  <c r="CD317" i="31" l="1"/>
  <c r="CD318" i="31" l="1"/>
  <c r="CD319" i="31" l="1"/>
  <c r="CD320" i="31" l="1"/>
  <c r="CD321" i="31" l="1"/>
  <c r="CD322" i="31" l="1"/>
  <c r="CD323" i="31" l="1"/>
  <c r="CD324" i="31" l="1"/>
  <c r="CD325" i="31" l="1"/>
  <c r="CD326" i="31" l="1"/>
  <c r="CD327" i="31" l="1"/>
  <c r="CD328" i="31" l="1"/>
  <c r="CD330" i="31" l="1"/>
  <c r="CD329" i="31" l="1"/>
  <c r="CD331" i="31" l="1"/>
  <c r="CD332" i="31" l="1"/>
  <c r="CD333" i="31" l="1"/>
  <c r="CD334" i="31" l="1"/>
  <c r="CD335" i="31" l="1"/>
  <c r="CD336" i="31" l="1"/>
  <c r="CD337" i="31" l="1"/>
  <c r="CD338" i="31" l="1"/>
  <c r="CD339" i="31" l="1"/>
  <c r="CD340" i="31" l="1"/>
  <c r="CD341" i="31" l="1"/>
  <c r="CD342" i="31" l="1"/>
  <c r="CD343" i="31" l="1"/>
  <c r="CD344" i="31" l="1"/>
  <c r="CD345" i="31" l="1"/>
  <c r="CD346" i="31" l="1"/>
  <c r="CD347" i="31" l="1"/>
  <c r="CD348" i="31" l="1"/>
  <c r="CD349" i="31" l="1"/>
  <c r="CD350" i="31" l="1"/>
  <c r="CD351" i="31" l="1"/>
  <c r="CD352" i="31" l="1"/>
  <c r="CD353" i="31" l="1"/>
  <c r="CD354" i="31" l="1"/>
  <c r="CD355" i="31" l="1"/>
  <c r="CD356" i="31" l="1"/>
  <c r="CD357" i="31" l="1"/>
  <c r="CD358" i="31" l="1"/>
  <c r="CD359" i="31" l="1"/>
  <c r="CD360" i="31" l="1"/>
  <c r="CD361" i="31" l="1"/>
  <c r="CD362" i="31" l="1"/>
  <c r="CD363" i="31" l="1"/>
  <c r="CD364" i="31" l="1"/>
  <c r="CD365" i="31" l="1"/>
  <c r="CD366" i="31" l="1"/>
  <c r="AA34" i="35" l="1"/>
  <c r="AA35" i="35" l="1"/>
  <c r="AA70" i="35" l="1"/>
  <c r="AA75" i="35" l="1"/>
  <c r="AA45" i="35" l="1"/>
  <c r="AA80" i="35" l="1"/>
  <c r="AA85" i="35" l="1"/>
  <c r="AA50" i="35" l="1"/>
  <c r="CD247" i="31" l="1"/>
  <c r="CD247" i="42"/>
  <c r="CD247" i="43" l="1"/>
  <c r="CD248" i="31" l="1"/>
  <c r="CD248" i="42"/>
  <c r="CD248" i="43" l="1"/>
  <c r="CD249" i="31" l="1"/>
  <c r="CD249" i="42"/>
  <c r="CD249" i="43" l="1"/>
  <c r="CD250" i="42" l="1"/>
  <c r="CD250" i="31"/>
  <c r="CD250" i="43" l="1"/>
  <c r="CD251" i="31" l="1"/>
  <c r="CD251" i="42"/>
  <c r="CD251" i="43" l="1"/>
  <c r="CD252" i="42" l="1"/>
  <c r="CD252" i="31"/>
  <c r="CD252" i="43" l="1"/>
  <c r="CD253" i="42" l="1"/>
  <c r="CD253" i="31"/>
  <c r="Q253" i="43" l="1"/>
  <c r="BH253" i="43" l="1"/>
  <c r="CD253" i="43"/>
  <c r="CD254" i="42" l="1"/>
  <c r="CD254" i="31" l="1"/>
  <c r="Q254" i="43" l="1"/>
  <c r="BH254" i="43" s="1"/>
  <c r="CD255" i="42" l="1"/>
  <c r="CD255" i="31" l="1"/>
  <c r="Q255" i="43" l="1"/>
  <c r="BH255" i="43" s="1"/>
  <c r="CD255" i="43"/>
  <c r="CD256" i="42" l="1"/>
  <c r="CD256" i="43" l="1"/>
  <c r="Q256" i="43"/>
  <c r="BH256" i="43" s="1"/>
  <c r="CD256" i="31" l="1"/>
  <c r="CD257" i="42" l="1"/>
  <c r="Q257" i="43"/>
  <c r="BH257" i="43" s="1"/>
  <c r="CD257" i="43"/>
  <c r="CD257" i="31" l="1"/>
  <c r="CD258" i="43" l="1"/>
  <c r="CD258" i="42" l="1"/>
  <c r="CD258" i="31" l="1"/>
  <c r="F8" i="2" l="1"/>
  <c r="G8" i="2" l="1"/>
  <c r="Q258" i="43" l="1"/>
  <c r="BH258" i="43" s="1"/>
  <c r="CD254" i="43"/>
  <c r="Q252" i="43"/>
  <c r="BH252" i="43" s="1"/>
  <c r="Q251" i="43"/>
  <c r="BH251" i="43" s="1"/>
  <c r="Q250" i="43"/>
  <c r="BH250" i="43" s="1"/>
  <c r="Q249" i="43"/>
  <c r="BH249" i="43" s="1"/>
  <c r="Q248" i="43"/>
  <c r="BH248" i="43" s="1"/>
  <c r="Q247" i="43"/>
  <c r="AA40" i="35"/>
  <c r="BH247" i="43" l="1"/>
  <c r="AY27" i="43"/>
  <c r="D72" i="2" l="1"/>
  <c r="A72" i="2" s="1"/>
  <c r="D73" i="2" l="1"/>
  <c r="A73" i="2" s="1"/>
  <c r="D74" i="2" l="1"/>
  <c r="A74" i="2" s="1"/>
  <c r="F34" i="2" l="1"/>
  <c r="G34" i="2" s="1"/>
  <c r="N7" i="43"/>
  <c r="N7" i="42"/>
  <c r="N7" i="31"/>
  <c r="CC7" i="31" l="1"/>
  <c r="CE7" i="31" s="1"/>
  <c r="CF7" i="31" s="1"/>
  <c r="AH7" i="31"/>
  <c r="CC7" i="43"/>
  <c r="CE7" i="43" s="1"/>
  <c r="CF7" i="43" s="1"/>
  <c r="AH7" i="43"/>
  <c r="CC7" i="42"/>
  <c r="CE7" i="42" s="1"/>
  <c r="CF7" i="42" s="1"/>
  <c r="AH7" i="42"/>
  <c r="BH247" i="42" l="1"/>
  <c r="BH248" i="42" l="1"/>
  <c r="BH249" i="42" l="1"/>
  <c r="BH250" i="42" l="1"/>
  <c r="BH251" i="42" l="1"/>
  <c r="BH258" i="42" l="1"/>
  <c r="BH259" i="42" l="1"/>
  <c r="BH261" i="42" l="1"/>
  <c r="BH262" i="42" l="1"/>
  <c r="BH263" i="42" l="1"/>
  <c r="AY27" i="42" l="1"/>
  <c r="AY28" i="42"/>
  <c r="AY29" i="42"/>
  <c r="AY30" i="42"/>
  <c r="AY31" i="42"/>
  <c r="AY32" i="42"/>
  <c r="AY33" i="42"/>
  <c r="AY34" i="42"/>
  <c r="AY35" i="42"/>
  <c r="BJ7" i="31" l="1"/>
  <c r="BJ8" i="31" l="1"/>
  <c r="BJ9" i="31" l="1"/>
  <c r="BJ10" i="31" l="1"/>
  <c r="AY36" i="42" l="1"/>
  <c r="BJ11" i="31" l="1"/>
  <c r="BJ12" i="31" l="1"/>
  <c r="BJ13" i="31" l="1"/>
  <c r="BJ14" i="31" l="1"/>
  <c r="BJ15" i="31" l="1"/>
  <c r="BJ16" i="31" l="1"/>
  <c r="BJ17" i="31" l="1"/>
  <c r="BJ18" i="31" l="1"/>
  <c r="BJ19" i="31" l="1"/>
  <c r="BJ20" i="31" l="1"/>
  <c r="BJ21" i="31" l="1"/>
  <c r="BJ22" i="31" l="1"/>
  <c r="BJ23" i="31" l="1"/>
  <c r="BJ24" i="31" l="1"/>
  <c r="BJ25" i="31" l="1"/>
  <c r="BJ26" i="31" l="1"/>
  <c r="BJ27" i="31" l="1"/>
  <c r="BJ28" i="31" l="1"/>
  <c r="BJ29" i="31" l="1"/>
  <c r="BJ30" i="31" l="1"/>
  <c r="BJ31" i="31" l="1"/>
  <c r="BJ32" i="31" l="1"/>
  <c r="BJ33" i="31" l="1"/>
  <c r="BJ34" i="31" l="1"/>
  <c r="BJ35" i="31" l="1"/>
  <c r="BJ36" i="31" l="1"/>
  <c r="BJ37" i="31" l="1"/>
  <c r="BJ38" i="31" l="1"/>
  <c r="BJ39" i="31" l="1"/>
  <c r="BJ40" i="31" l="1"/>
  <c r="BJ41" i="31" l="1"/>
  <c r="BJ42" i="31" l="1"/>
  <c r="BJ43" i="31" l="1"/>
  <c r="BJ44" i="31" l="1"/>
  <c r="BJ45" i="31" l="1"/>
  <c r="BJ46" i="31" l="1"/>
  <c r="BJ47" i="31" l="1"/>
  <c r="BJ48" i="31" l="1"/>
  <c r="BJ49" i="31" l="1"/>
  <c r="BJ50" i="31" l="1"/>
  <c r="BJ51" i="31" l="1"/>
  <c r="BJ52" i="31" l="1"/>
  <c r="BJ53" i="31" l="1"/>
  <c r="BJ54" i="31" l="1"/>
  <c r="BJ55" i="31" l="1"/>
  <c r="BJ56" i="31" l="1"/>
  <c r="BJ57" i="31" l="1"/>
  <c r="BJ58" i="31" l="1"/>
  <c r="BJ59" i="31" l="1"/>
  <c r="BJ60" i="31" l="1"/>
  <c r="BJ61" i="31" l="1"/>
  <c r="BJ62" i="31" l="1"/>
  <c r="BJ63" i="31" l="1"/>
  <c r="BJ64" i="31" l="1"/>
  <c r="BJ65" i="31" l="1"/>
  <c r="BJ66" i="31" l="1"/>
  <c r="BJ67" i="31" l="1"/>
  <c r="BJ68" i="31" l="1"/>
  <c r="BJ69" i="31" l="1"/>
  <c r="BJ70" i="31" l="1"/>
  <c r="BJ71" i="31" l="1"/>
  <c r="BJ72" i="31" l="1"/>
  <c r="BJ73" i="31" l="1"/>
  <c r="BJ74" i="31" l="1"/>
  <c r="BJ75" i="31" l="1"/>
  <c r="BJ76" i="31" l="1"/>
  <c r="BJ77" i="31" l="1"/>
  <c r="BJ78" i="31" l="1"/>
  <c r="BJ79" i="31" l="1"/>
  <c r="BJ80" i="31" l="1"/>
  <c r="BJ81" i="31" l="1"/>
  <c r="BJ82" i="31" l="1"/>
  <c r="BJ83" i="31" l="1"/>
  <c r="BJ84" i="31" l="1"/>
  <c r="BJ85" i="31" l="1"/>
  <c r="BJ86" i="31" l="1"/>
  <c r="BJ87" i="31" l="1"/>
  <c r="BJ88" i="31" l="1"/>
  <c r="BJ89" i="31" l="1"/>
  <c r="BJ90" i="31" l="1"/>
  <c r="BJ91" i="31" l="1"/>
  <c r="BJ92" i="31" l="1"/>
  <c r="BJ93" i="31" l="1"/>
  <c r="BJ94" i="31" l="1"/>
  <c r="BJ95" i="31" l="1"/>
  <c r="BJ96" i="31" l="1"/>
  <c r="BJ97" i="31" l="1"/>
  <c r="BJ98" i="31" l="1"/>
  <c r="BJ99" i="31" l="1"/>
  <c r="BJ100" i="31" l="1"/>
  <c r="BJ101" i="31" l="1"/>
  <c r="BJ102" i="31" l="1"/>
  <c r="BJ103" i="31" l="1"/>
  <c r="BJ104" i="31" l="1"/>
  <c r="BJ105" i="31" l="1"/>
  <c r="BJ106" i="31" l="1"/>
  <c r="BJ107" i="31" l="1"/>
  <c r="BJ108" i="31" l="1"/>
  <c r="BJ109" i="31" l="1"/>
  <c r="BJ110" i="31" l="1"/>
  <c r="BJ111" i="31" l="1"/>
  <c r="BJ112" i="31" l="1"/>
  <c r="BJ113" i="31" l="1"/>
  <c r="BJ114" i="31" l="1"/>
  <c r="BJ115" i="31" l="1"/>
  <c r="BJ116" i="31" l="1"/>
  <c r="BJ117" i="31" l="1"/>
  <c r="BJ118" i="31" l="1"/>
  <c r="BJ119" i="31" l="1"/>
  <c r="BJ120" i="31" l="1"/>
  <c r="BJ121" i="31" l="1"/>
  <c r="BJ122" i="31" l="1"/>
  <c r="BJ123" i="31" l="1"/>
  <c r="BJ124" i="31" l="1"/>
  <c r="BJ125" i="31" l="1"/>
  <c r="BJ126" i="31" l="1"/>
  <c r="BJ127" i="31" l="1"/>
  <c r="BJ128" i="31" l="1"/>
  <c r="BJ129" i="31" l="1"/>
  <c r="BJ130" i="31" l="1"/>
  <c r="BJ131" i="31" l="1"/>
  <c r="BJ132" i="31" l="1"/>
  <c r="BJ133" i="31" l="1"/>
  <c r="BJ134" i="31" l="1"/>
  <c r="BJ135" i="31" l="1"/>
  <c r="BJ136" i="31" l="1"/>
  <c r="BJ137" i="31" l="1"/>
  <c r="BJ138" i="31" l="1"/>
  <c r="BJ139" i="31" l="1"/>
  <c r="BJ140" i="31" l="1"/>
  <c r="BJ141" i="31" l="1"/>
  <c r="BJ142" i="31" l="1"/>
  <c r="BJ143" i="31" l="1"/>
  <c r="BJ144" i="31" l="1"/>
  <c r="BJ145" i="31" l="1"/>
  <c r="BJ146" i="31" l="1"/>
  <c r="BJ147" i="31" l="1"/>
  <c r="BJ148" i="31" l="1"/>
  <c r="BJ149" i="31" l="1"/>
  <c r="BJ150" i="31" l="1"/>
  <c r="BJ151" i="31" l="1"/>
  <c r="BJ152" i="31" l="1"/>
  <c r="BJ153" i="31" l="1"/>
  <c r="BJ154" i="31" l="1"/>
  <c r="BJ155" i="31" l="1"/>
  <c r="BJ156" i="31" l="1"/>
  <c r="BJ157" i="31" l="1"/>
  <c r="BJ158" i="31" l="1"/>
  <c r="BJ159" i="31" l="1"/>
  <c r="BJ160" i="31" l="1"/>
  <c r="BJ161" i="31" l="1"/>
  <c r="BJ162" i="31" l="1"/>
  <c r="BJ163" i="31" l="1"/>
  <c r="BJ164" i="31" l="1"/>
  <c r="BJ165" i="31" l="1"/>
  <c r="BJ166" i="31" l="1"/>
  <c r="BJ167" i="31" l="1"/>
  <c r="BJ168" i="31" l="1"/>
  <c r="BJ169" i="31" l="1"/>
  <c r="BJ170" i="31" l="1"/>
  <c r="BJ171" i="31" l="1"/>
  <c r="BJ172" i="31" l="1"/>
  <c r="BJ173" i="31" l="1"/>
  <c r="BJ174" i="31" l="1"/>
  <c r="BJ175" i="31" l="1"/>
  <c r="BJ176" i="31" l="1"/>
  <c r="BJ177" i="31" l="1"/>
  <c r="BJ178" i="31" l="1"/>
  <c r="BJ179" i="31" l="1"/>
  <c r="BJ180" i="31" l="1"/>
  <c r="BJ181" i="31" l="1"/>
  <c r="BJ182" i="31" l="1"/>
  <c r="BJ183" i="31" l="1"/>
  <c r="BJ184" i="31" l="1"/>
  <c r="BJ185" i="31" l="1"/>
  <c r="BJ186" i="31" l="1"/>
  <c r="BJ187" i="31" l="1"/>
  <c r="BJ188" i="31" l="1"/>
  <c r="BJ189" i="31" l="1"/>
  <c r="BJ190" i="31" l="1"/>
  <c r="BJ191" i="31" l="1"/>
  <c r="BJ192" i="31" l="1"/>
  <c r="BJ193" i="31" l="1"/>
  <c r="BJ194" i="31" l="1"/>
  <c r="BJ195" i="31" l="1"/>
  <c r="BJ196" i="31" l="1"/>
  <c r="BJ197" i="31" l="1"/>
  <c r="BJ198" i="31" l="1"/>
  <c r="BJ199" i="31" l="1"/>
  <c r="BJ200" i="31" l="1"/>
  <c r="BJ201" i="31" l="1"/>
  <c r="BJ202" i="31" l="1"/>
  <c r="BJ203" i="31" l="1"/>
  <c r="BJ204" i="31" l="1"/>
  <c r="BJ205" i="31" l="1"/>
  <c r="BJ206" i="31" l="1"/>
  <c r="BJ207" i="31" l="1"/>
  <c r="BJ208" i="31" l="1"/>
  <c r="BJ209" i="31" l="1"/>
  <c r="BJ210" i="31" l="1"/>
  <c r="BJ211" i="31" l="1"/>
  <c r="BJ212" i="31" l="1"/>
  <c r="BJ213" i="31" l="1"/>
  <c r="BJ214" i="31" l="1"/>
  <c r="BJ215" i="31" l="1"/>
  <c r="BJ216" i="31" l="1"/>
  <c r="BJ217" i="31" l="1"/>
  <c r="BJ218" i="31" l="1"/>
  <c r="BJ219" i="31" l="1"/>
  <c r="BJ220" i="31" l="1"/>
  <c r="BJ221" i="31" l="1"/>
  <c r="BJ222" i="31" l="1"/>
  <c r="BJ223" i="31" l="1"/>
  <c r="BJ224" i="31" l="1"/>
  <c r="BJ225" i="31" l="1"/>
  <c r="BJ226" i="31" l="1"/>
  <c r="BJ227" i="31" l="1"/>
  <c r="BJ228" i="31" l="1"/>
  <c r="BJ229" i="31" l="1"/>
  <c r="BJ230" i="31" l="1"/>
  <c r="BJ231" i="31" l="1"/>
  <c r="BJ232" i="31" l="1"/>
  <c r="BJ233" i="31" l="1"/>
  <c r="BJ234" i="31" l="1"/>
  <c r="BJ235" i="31" l="1"/>
  <c r="BJ236" i="31" l="1"/>
  <c r="BJ237" i="31" l="1"/>
  <c r="BJ238" i="31" l="1"/>
  <c r="BJ239" i="31" l="1"/>
  <c r="BJ240" i="31" l="1"/>
  <c r="BJ241" i="31" l="1"/>
  <c r="BJ242" i="31" l="1"/>
  <c r="BJ243" i="31" l="1"/>
  <c r="BJ244" i="31" l="1"/>
  <c r="BJ245" i="31" l="1"/>
  <c r="BJ246" i="31" l="1"/>
  <c r="BH247" i="31" l="1"/>
  <c r="BJ247" i="31" l="1"/>
  <c r="BH248" i="31" l="1"/>
  <c r="BJ248" i="31" l="1"/>
  <c r="BH249" i="31" l="1"/>
  <c r="BJ249" i="31" l="1"/>
  <c r="BH250" i="31" l="1"/>
  <c r="BJ250" i="31" l="1"/>
  <c r="BH251" i="31" l="1"/>
  <c r="BJ251" i="31" l="1"/>
  <c r="BJ252" i="31" l="1"/>
  <c r="BH252" i="31" l="1"/>
  <c r="BJ253" i="31" l="1"/>
  <c r="BH253" i="31"/>
  <c r="BJ254" i="31" l="1"/>
  <c r="BH254" i="31"/>
  <c r="BJ255" i="31" l="1"/>
  <c r="BH255" i="31"/>
  <c r="BJ256" i="31" l="1"/>
  <c r="BH256" i="31"/>
  <c r="BJ257" i="31" l="1"/>
  <c r="BH257" i="31"/>
  <c r="BJ258" i="31" l="1"/>
  <c r="BH258" i="31"/>
  <c r="BH259" i="31" l="1"/>
  <c r="BJ259" i="31" l="1"/>
  <c r="BJ260" i="31" l="1"/>
  <c r="BH260" i="31"/>
  <c r="BH261" i="31" l="1"/>
  <c r="BJ261" i="31" l="1"/>
  <c r="BH262" i="31" l="1"/>
  <c r="BJ262" i="31" l="1"/>
  <c r="BH263" i="31" l="1"/>
  <c r="BJ263" i="31" l="1"/>
  <c r="BJ264" i="31" l="1"/>
  <c r="BH264" i="31" l="1"/>
  <c r="BJ265" i="31" l="1"/>
  <c r="BH265" i="31" l="1"/>
  <c r="BJ266" i="31" l="1"/>
  <c r="BH266" i="31"/>
  <c r="BJ267" i="31" l="1"/>
  <c r="BH267" i="31" l="1"/>
  <c r="BJ268" i="31" l="1"/>
  <c r="BH268" i="31" l="1"/>
  <c r="BJ269" i="31" l="1"/>
  <c r="BH269" i="31" l="1"/>
  <c r="BJ270" i="31" l="1"/>
  <c r="BH270" i="31"/>
  <c r="BH271" i="31" l="1"/>
  <c r="BJ271" i="31" l="1"/>
  <c r="BH272" i="31" l="1"/>
  <c r="BJ272" i="31" l="1"/>
  <c r="BH273" i="31" l="1"/>
  <c r="BJ273" i="31" l="1"/>
  <c r="BH274" i="31" l="1"/>
  <c r="BJ274" i="31" l="1"/>
  <c r="BH275" i="31" l="1"/>
  <c r="BJ275" i="31" l="1"/>
  <c r="BJ276" i="31" l="1"/>
  <c r="BH276" i="31" l="1"/>
  <c r="BJ277" i="31" l="1"/>
  <c r="BH277" i="31"/>
  <c r="BJ278" i="31" l="1"/>
  <c r="BH278" i="31"/>
  <c r="BJ279" i="31" l="1"/>
  <c r="BH279" i="31" l="1"/>
  <c r="BJ280" i="31" l="1"/>
  <c r="BH280" i="31" l="1"/>
  <c r="BJ281" i="31" l="1"/>
  <c r="BH281" i="31"/>
  <c r="BJ282" i="31" l="1"/>
  <c r="BH282" i="31"/>
  <c r="BH283" i="31" l="1"/>
  <c r="BJ283" i="31" l="1"/>
  <c r="BH284" i="31" l="1"/>
  <c r="BJ284" i="31" l="1"/>
  <c r="BH285" i="31" l="1"/>
  <c r="BJ285" i="31" l="1"/>
  <c r="BH286" i="31" l="1"/>
  <c r="BJ286" i="31" l="1"/>
  <c r="BH287" i="31" l="1"/>
  <c r="BJ287" i="31" l="1"/>
  <c r="BJ288" i="31" l="1"/>
  <c r="BH288" i="31" l="1"/>
  <c r="BJ289" i="31" l="1"/>
  <c r="BH289" i="31"/>
  <c r="BJ290" i="31" l="1"/>
  <c r="BH290" i="31"/>
  <c r="BH291" i="31" l="1"/>
  <c r="BJ291" i="31" l="1"/>
  <c r="BJ292" i="31" l="1"/>
  <c r="BH292" i="31" l="1"/>
  <c r="BJ293" i="31" l="1"/>
  <c r="BH293" i="31" l="1"/>
  <c r="BJ294" i="31" l="1"/>
  <c r="BH294" i="31" l="1"/>
  <c r="BH295" i="31" l="1"/>
  <c r="BJ295" i="31" l="1"/>
  <c r="BH296" i="31" l="1"/>
  <c r="BJ296" i="31" l="1"/>
  <c r="BH297" i="31" l="1"/>
  <c r="BJ297" i="31" l="1"/>
  <c r="BH298" i="31" l="1"/>
  <c r="BJ298" i="31" l="1"/>
  <c r="BH299" i="31" l="1"/>
  <c r="BJ299" i="31" l="1"/>
  <c r="BJ300" i="31" l="1"/>
  <c r="BH300" i="31" l="1"/>
  <c r="BJ301" i="31" l="1"/>
  <c r="BH301" i="31" l="1"/>
  <c r="BJ302" i="31" l="1"/>
  <c r="BH302" i="31"/>
  <c r="BH303" i="31" l="1"/>
  <c r="BJ303" i="31" l="1"/>
  <c r="BJ304" i="31" l="1"/>
  <c r="BH304" i="31" l="1"/>
  <c r="BJ305" i="31" l="1"/>
  <c r="BH305" i="31"/>
  <c r="BH306" i="31" l="1"/>
  <c r="BJ306" i="31" l="1"/>
  <c r="BH307" i="31" l="1"/>
  <c r="BJ307" i="31" l="1"/>
  <c r="BH308" i="31" l="1"/>
  <c r="BJ308" i="31" l="1"/>
  <c r="BH309" i="31" l="1"/>
  <c r="BJ309" i="31" l="1"/>
  <c r="BH310" i="31" l="1"/>
  <c r="BJ310" i="31" l="1"/>
  <c r="BH311" i="31" l="1"/>
  <c r="BJ311" i="31" l="1"/>
  <c r="BJ312" i="31" l="1"/>
  <c r="BH312" i="31" l="1"/>
  <c r="BJ313" i="31" l="1"/>
  <c r="BH313" i="31" l="1"/>
  <c r="BJ314" i="31" l="1"/>
  <c r="BH314" i="31"/>
  <c r="BJ315" i="31" l="1"/>
  <c r="BH315" i="31" l="1"/>
  <c r="BJ316" i="31" l="1"/>
  <c r="BH316" i="31" l="1"/>
  <c r="BJ317" i="31" l="1"/>
  <c r="BH317" i="31"/>
  <c r="BJ318" i="31" l="1"/>
  <c r="BH318" i="31" l="1"/>
  <c r="BH319" i="31" l="1"/>
  <c r="BJ319" i="31" l="1"/>
  <c r="BH320" i="31" l="1"/>
  <c r="BJ320" i="31" l="1"/>
  <c r="BH321" i="31" l="1"/>
  <c r="BJ321" i="31" l="1"/>
  <c r="BH322" i="31" l="1"/>
  <c r="BJ322" i="31" l="1"/>
  <c r="BH323" i="31" l="1"/>
  <c r="BJ323" i="31" l="1"/>
  <c r="BJ324" i="31" l="1"/>
  <c r="BH324" i="31" l="1"/>
  <c r="BJ325" i="31" l="1"/>
  <c r="BH325" i="31" l="1"/>
  <c r="BJ326" i="31" l="1"/>
  <c r="BH326" i="31" l="1"/>
  <c r="BJ327" i="31" l="1"/>
  <c r="BH327" i="31" l="1"/>
  <c r="BJ328" i="31" l="1"/>
  <c r="BH328" i="31" l="1"/>
  <c r="BJ329" i="31" l="1"/>
  <c r="BH329" i="31" l="1"/>
  <c r="BJ330" i="31" l="1"/>
  <c r="BH330" i="31"/>
  <c r="BH331" i="31" l="1"/>
  <c r="BJ331" i="31" l="1"/>
  <c r="BH332" i="31" l="1"/>
  <c r="BJ332" i="31" l="1"/>
  <c r="BH333" i="31" l="1"/>
  <c r="BJ333" i="31" l="1"/>
  <c r="BH334" i="31" l="1"/>
  <c r="BJ334" i="31" l="1"/>
  <c r="BH335" i="31" l="1"/>
  <c r="BJ335" i="31" l="1"/>
  <c r="BJ336" i="31" l="1"/>
  <c r="BH336" i="31" l="1"/>
  <c r="BJ337" i="31" l="1"/>
  <c r="BH337" i="31" l="1"/>
  <c r="BJ338" i="31" l="1"/>
  <c r="BH338" i="31" l="1"/>
  <c r="BJ339" i="31" l="1"/>
  <c r="BH339" i="31"/>
  <c r="BJ340" i="31" l="1"/>
  <c r="BH340" i="31" l="1"/>
  <c r="BJ341" i="31" l="1"/>
  <c r="BH341" i="31"/>
  <c r="BJ342" i="31" l="1"/>
  <c r="BH342" i="31" l="1"/>
  <c r="BH343" i="31" l="1"/>
  <c r="BJ343" i="31" l="1"/>
  <c r="BH344" i="31" l="1"/>
  <c r="BJ344" i="31" l="1"/>
  <c r="BH345" i="31" l="1"/>
  <c r="BJ345" i="31" l="1"/>
  <c r="BH346" i="31" l="1"/>
  <c r="BJ346" i="31" l="1"/>
  <c r="BH347" i="31" l="1"/>
  <c r="BJ347" i="31" l="1"/>
  <c r="BJ348" i="31" l="1"/>
  <c r="BH348" i="31" l="1"/>
  <c r="BJ349" i="31" l="1"/>
  <c r="BH349" i="31" l="1"/>
  <c r="BJ350" i="31" l="1"/>
  <c r="BH350" i="31" l="1"/>
  <c r="BJ351" i="31" l="1"/>
  <c r="BH351" i="31" l="1"/>
  <c r="BJ352" i="31" l="1"/>
  <c r="BH352" i="31"/>
  <c r="BJ353" i="31" l="1"/>
  <c r="BH353" i="31" l="1"/>
  <c r="BJ354" i="31" l="1"/>
  <c r="BH354" i="31" l="1"/>
  <c r="BH355" i="31" l="1"/>
  <c r="BJ355" i="31" l="1"/>
  <c r="BH356" i="31" l="1"/>
  <c r="BJ356" i="31" l="1"/>
  <c r="BH357" i="31" l="1"/>
  <c r="BJ357" i="31" l="1"/>
  <c r="BH358" i="31" l="1"/>
  <c r="BJ358" i="31" l="1"/>
  <c r="BH359" i="31" l="1"/>
  <c r="BJ359" i="31" l="1"/>
  <c r="BJ360" i="31" l="1"/>
  <c r="BH360" i="31" l="1"/>
  <c r="BJ361" i="31" l="1"/>
  <c r="BH361" i="31" l="1"/>
  <c r="BJ362" i="31" l="1"/>
  <c r="BH362" i="31" l="1"/>
  <c r="BJ363" i="31" l="1"/>
  <c r="BH363" i="31" l="1"/>
  <c r="BJ364" i="31" l="1"/>
  <c r="BH364" i="31" l="1"/>
  <c r="BJ365" i="31" l="1"/>
  <c r="BH365" i="31" l="1"/>
  <c r="BJ366" i="31" l="1"/>
  <c r="BH366" i="31" l="1"/>
  <c r="BH367" i="31" l="1"/>
  <c r="AY27" i="31"/>
  <c r="AY28" i="31"/>
  <c r="AY29" i="31"/>
  <c r="AY30" i="31"/>
  <c r="AY31" i="31"/>
  <c r="AY32" i="31"/>
  <c r="AY33" i="31"/>
  <c r="AY34" i="31"/>
  <c r="AY35" i="31"/>
  <c r="AY36" i="31"/>
  <c r="BJ367" i="31" l="1"/>
  <c r="BA7" i="31"/>
  <c r="BA8" i="31"/>
  <c r="BA9" i="31"/>
  <c r="BA10" i="31"/>
  <c r="BA11" i="31"/>
  <c r="BA12" i="31"/>
  <c r="BA13" i="31"/>
  <c r="BA14" i="31"/>
  <c r="BA15" i="31"/>
  <c r="BA16" i="31"/>
  <c r="BA17" i="31"/>
  <c r="BA18" i="31"/>
  <c r="BA19" i="31"/>
  <c r="BA20" i="31"/>
  <c r="BA21" i="31"/>
  <c r="BA22" i="31"/>
  <c r="BA23" i="31"/>
  <c r="BA24" i="31"/>
  <c r="BA25" i="31"/>
  <c r="BA26" i="31"/>
  <c r="BA27" i="31"/>
  <c r="BA28" i="31"/>
  <c r="BA29" i="31"/>
  <c r="BA30" i="31"/>
  <c r="BA31" i="31"/>
  <c r="BA32" i="31"/>
  <c r="BA33" i="31"/>
  <c r="BA34" i="31"/>
  <c r="BA35" i="31"/>
  <c r="BA36" i="31"/>
  <c r="BH367" i="42" l="1"/>
  <c r="BH366" i="42"/>
  <c r="BH365" i="42"/>
  <c r="BH364" i="42"/>
  <c r="BH363" i="42"/>
  <c r="BH362" i="42"/>
  <c r="BH361" i="42"/>
  <c r="BH360" i="42"/>
  <c r="BH359" i="42"/>
  <c r="BH358" i="42"/>
  <c r="BH357" i="42"/>
  <c r="BH356" i="42"/>
  <c r="BH355" i="42"/>
  <c r="BH354" i="42"/>
  <c r="BH353" i="42"/>
  <c r="BH352" i="42"/>
  <c r="BH351" i="42"/>
  <c r="BH350" i="42"/>
  <c r="BH349" i="42"/>
  <c r="BH348" i="42"/>
  <c r="BH347" i="42"/>
  <c r="BH346" i="42"/>
  <c r="BH345" i="42"/>
  <c r="BH344" i="42"/>
  <c r="BH343" i="42"/>
  <c r="BH342" i="42"/>
  <c r="BH341" i="42"/>
  <c r="BH340" i="42"/>
  <c r="BH339" i="42"/>
  <c r="BH338" i="42"/>
  <c r="BH337" i="42"/>
  <c r="BH336" i="42"/>
  <c r="BH335" i="42"/>
  <c r="BH334" i="42"/>
  <c r="BH333" i="42"/>
  <c r="BH332" i="42"/>
  <c r="BH331" i="42"/>
  <c r="BH330" i="42"/>
  <c r="BH329" i="42"/>
  <c r="BH328" i="42"/>
  <c r="BH327" i="42"/>
  <c r="BH326" i="42"/>
  <c r="BH325" i="42"/>
  <c r="BH324" i="42"/>
  <c r="BH323" i="42"/>
  <c r="BH322" i="42"/>
  <c r="BH321" i="42"/>
  <c r="BH320" i="42"/>
  <c r="BH319" i="42"/>
  <c r="BH318" i="42"/>
  <c r="BH317" i="42"/>
  <c r="BH316" i="42"/>
  <c r="BH315" i="42"/>
  <c r="BH314" i="42"/>
  <c r="BH313" i="42"/>
  <c r="BH312" i="42"/>
  <c r="BH311" i="42"/>
  <c r="BH310" i="42"/>
  <c r="BH309" i="42"/>
  <c r="BH308" i="42"/>
  <c r="BH307" i="42"/>
  <c r="BH306" i="42"/>
  <c r="BH305" i="42"/>
  <c r="BH304" i="42"/>
  <c r="BH303" i="42"/>
  <c r="BH302" i="42"/>
  <c r="BH301" i="42"/>
  <c r="BH300" i="42"/>
  <c r="BH299" i="42"/>
  <c r="BH298" i="42"/>
  <c r="BH297" i="42"/>
  <c r="BH296" i="42"/>
  <c r="BH295" i="42"/>
  <c r="BH294" i="42"/>
  <c r="BH293" i="42"/>
  <c r="BH292" i="42"/>
  <c r="BH291" i="42"/>
  <c r="BH290" i="42"/>
  <c r="BH289" i="42"/>
  <c r="BH288" i="42"/>
  <c r="BH287" i="42"/>
  <c r="BH286" i="42"/>
  <c r="BH285" i="42"/>
  <c r="BH284" i="42"/>
  <c r="BH283" i="42"/>
  <c r="BH282" i="42"/>
  <c r="BH281" i="42"/>
  <c r="BH280" i="42"/>
  <c r="BH279" i="42"/>
  <c r="BH278" i="42"/>
  <c r="BH277" i="42"/>
  <c r="BH276" i="42"/>
  <c r="BH275" i="42"/>
  <c r="BH274" i="42"/>
  <c r="BH273" i="42"/>
  <c r="BH272" i="42"/>
  <c r="BH271" i="42"/>
  <c r="BH270" i="42"/>
  <c r="BH269" i="42"/>
  <c r="BH268" i="42"/>
  <c r="BH267" i="42"/>
  <c r="BH266" i="42"/>
  <c r="BH265" i="42"/>
  <c r="BH264" i="42"/>
  <c r="BH260" i="42"/>
  <c r="BH257" i="42"/>
  <c r="BH256" i="42"/>
  <c r="BH255" i="42"/>
  <c r="BH254" i="42"/>
  <c r="BH253" i="42"/>
  <c r="BH252" i="42"/>
  <c r="F7" i="2"/>
  <c r="G7" i="2" s="1"/>
  <c r="P7" i="43"/>
  <c r="Q7" i="43" s="1"/>
  <c r="P7" i="31"/>
  <c r="Q7" i="31" s="1"/>
  <c r="P7" i="42"/>
  <c r="Q7" i="42" s="1"/>
  <c r="BH7" i="43" l="1"/>
  <c r="W7" i="43" s="1"/>
  <c r="BH7" i="31"/>
  <c r="BH7" i="42"/>
  <c r="M7" i="43" l="1"/>
  <c r="O7" i="43" s="1"/>
  <c r="X7" i="43"/>
  <c r="W7" i="42"/>
  <c r="W7" i="31"/>
  <c r="M7" i="42" l="1"/>
  <c r="O7" i="42" s="1"/>
  <c r="X7" i="42"/>
  <c r="M7" i="31"/>
  <c r="O7" i="31" s="1"/>
  <c r="X7" i="31"/>
  <c r="Y7" i="31" s="1"/>
  <c r="Y7" i="43"/>
  <c r="BL7" i="43" l="1"/>
  <c r="BP7" i="43" s="1"/>
  <c r="Y7" i="42"/>
  <c r="Z7" i="43" l="1"/>
  <c r="BL7" i="31"/>
  <c r="BL7" i="42"/>
  <c r="BP7" i="42" s="1"/>
  <c r="AD7" i="43" l="1"/>
  <c r="AE7" i="43"/>
  <c r="N8" i="43"/>
  <c r="AH8" i="43" s="1"/>
  <c r="BP7" i="31"/>
  <c r="Z7" i="31"/>
  <c r="AE7" i="31" s="1"/>
  <c r="Z7" i="42"/>
  <c r="AE7" i="42" s="1"/>
  <c r="CC8" i="43" l="1"/>
  <c r="CE8" i="43" s="1"/>
  <c r="CF8" i="43" s="1"/>
  <c r="P8" i="43"/>
  <c r="Q8" i="43" s="1"/>
  <c r="CH8" i="31"/>
  <c r="N8" i="31"/>
  <c r="AD7" i="31"/>
  <c r="N8" i="42"/>
  <c r="AD7" i="42"/>
  <c r="BH8" i="43" l="1"/>
  <c r="W8" i="43" s="1"/>
  <c r="X8" i="43" s="1"/>
  <c r="AH8" i="31"/>
  <c r="CC8" i="31"/>
  <c r="CE8" i="31" s="1"/>
  <c r="CF8" i="31" s="1"/>
  <c r="P8" i="31"/>
  <c r="Q8" i="31" s="1"/>
  <c r="AH8" i="42"/>
  <c r="CC8" i="42"/>
  <c r="CE8" i="42" s="1"/>
  <c r="CF8" i="42" s="1"/>
  <c r="P8" i="42"/>
  <c r="Q8" i="42" s="1"/>
  <c r="M8" i="43" l="1"/>
  <c r="O8" i="43" s="1"/>
  <c r="Y8" i="43"/>
  <c r="BH8" i="42"/>
  <c r="W8" i="42" s="1"/>
  <c r="BH8" i="31"/>
  <c r="W8" i="31" s="1"/>
  <c r="M8" i="42" l="1"/>
  <c r="O8" i="42" s="1"/>
  <c r="X8" i="42"/>
  <c r="M8" i="31"/>
  <c r="O8" i="31" s="1"/>
  <c r="X8" i="31"/>
  <c r="Y8" i="31" s="1"/>
  <c r="BL8" i="43"/>
  <c r="BP8" i="43" l="1"/>
  <c r="Z8" i="43"/>
  <c r="AE8" i="43" s="1"/>
  <c r="Y8" i="42"/>
  <c r="N9" i="43" l="1"/>
  <c r="AD8" i="43"/>
  <c r="BL8" i="31"/>
  <c r="BP8" i="31" s="1"/>
  <c r="BL8" i="42"/>
  <c r="Z8" i="31" l="1"/>
  <c r="AH9" i="43"/>
  <c r="CC9" i="43"/>
  <c r="CE9" i="43" s="1"/>
  <c r="CF9" i="43" s="1"/>
  <c r="P9" i="43"/>
  <c r="Q9" i="43" s="1"/>
  <c r="BP8" i="42"/>
  <c r="Z8" i="42"/>
  <c r="AE8" i="42" s="1"/>
  <c r="N9" i="31" l="1"/>
  <c r="CC9" i="31" s="1"/>
  <c r="CE9" i="31" s="1"/>
  <c r="CF9" i="31" s="1"/>
  <c r="AE8" i="31"/>
  <c r="CH9" i="31"/>
  <c r="AD8" i="31"/>
  <c r="N9" i="42"/>
  <c r="AD8" i="42"/>
  <c r="BH9" i="43"/>
  <c r="W9" i="43" s="1"/>
  <c r="AH9" i="31" l="1"/>
  <c r="P9" i="31"/>
  <c r="Q9" i="31" s="1"/>
  <c r="M9" i="43"/>
  <c r="O9" i="43" s="1"/>
  <c r="X9" i="43"/>
  <c r="AH9" i="42"/>
  <c r="CC9" i="42"/>
  <c r="CE9" i="42" s="1"/>
  <c r="CF9" i="42" s="1"/>
  <c r="P9" i="42"/>
  <c r="Q9" i="42" s="1"/>
  <c r="BH9" i="31" l="1"/>
  <c r="W9" i="31" s="1"/>
  <c r="BH9" i="42"/>
  <c r="W9" i="42" s="1"/>
  <c r="Y9" i="43"/>
  <c r="M9" i="42" l="1"/>
  <c r="O9" i="42" s="1"/>
  <c r="X9" i="42"/>
  <c r="BL9" i="43"/>
  <c r="M9" i="31"/>
  <c r="O9" i="31" s="1"/>
  <c r="X9" i="31"/>
  <c r="Y9" i="31" s="1"/>
  <c r="Y9" i="42" l="1"/>
  <c r="BP9" i="43"/>
  <c r="Z9" i="43"/>
  <c r="AE9" i="43" s="1"/>
  <c r="BL9" i="31" l="1"/>
  <c r="BP9" i="31" s="1"/>
  <c r="N10" i="43"/>
  <c r="AD9" i="43"/>
  <c r="BL9" i="42"/>
  <c r="Z9" i="31" l="1"/>
  <c r="AH10" i="43"/>
  <c r="CC10" i="43"/>
  <c r="CE10" i="43" s="1"/>
  <c r="CF10" i="43" s="1"/>
  <c r="BP9" i="42"/>
  <c r="Z9" i="42"/>
  <c r="AE9" i="42" s="1"/>
  <c r="P10" i="43"/>
  <c r="Q10" i="43" s="1"/>
  <c r="AD9" i="31" l="1"/>
  <c r="AE9" i="31"/>
  <c r="CH10" i="31"/>
  <c r="N10" i="31"/>
  <c r="CC10" i="31" s="1"/>
  <c r="CE10" i="31" s="1"/>
  <c r="CF10" i="31" s="1"/>
  <c r="BH10" i="43"/>
  <c r="W10" i="43" s="1"/>
  <c r="N10" i="42"/>
  <c r="AD9" i="42"/>
  <c r="AH10" i="31" l="1"/>
  <c r="P10" i="31"/>
  <c r="Q10" i="31" s="1"/>
  <c r="BH10" i="31" s="1"/>
  <c r="AH10" i="42"/>
  <c r="CC10" i="42"/>
  <c r="CE10" i="42" s="1"/>
  <c r="CF10" i="42" s="1"/>
  <c r="M10" i="43"/>
  <c r="O10" i="43" s="1"/>
  <c r="X10" i="43"/>
  <c r="P10" i="42"/>
  <c r="Q10" i="42" s="1"/>
  <c r="Y10" i="43" l="1"/>
  <c r="W10" i="31"/>
  <c r="BH10" i="42"/>
  <c r="W10" i="42" s="1"/>
  <c r="BL10" i="43" l="1"/>
  <c r="M10" i="42"/>
  <c r="O10" i="42" s="1"/>
  <c r="X10" i="42"/>
  <c r="M10" i="31"/>
  <c r="O10" i="31" s="1"/>
  <c r="X10" i="31"/>
  <c r="Y10" i="31" s="1"/>
  <c r="Y10" i="42" l="1"/>
  <c r="BP10" i="43"/>
  <c r="Z10" i="43"/>
  <c r="AE10" i="43" s="1"/>
  <c r="BL10" i="42" l="1"/>
  <c r="BP10" i="42" s="1"/>
  <c r="BL10" i="31"/>
  <c r="BP10" i="31" s="1"/>
  <c r="N11" i="43"/>
  <c r="AD10" i="43"/>
  <c r="Z10" i="31" l="1"/>
  <c r="Z10" i="42"/>
  <c r="P11" i="43"/>
  <c r="Q11" i="43" s="1"/>
  <c r="AH11" i="43"/>
  <c r="CC11" i="43"/>
  <c r="CE11" i="43" s="1"/>
  <c r="CF11" i="43" s="1"/>
  <c r="N11" i="42" l="1"/>
  <c r="AH11" i="42" s="1"/>
  <c r="AE10" i="42"/>
  <c r="CH11" i="31"/>
  <c r="AE10" i="31"/>
  <c r="N11" i="31"/>
  <c r="CC11" i="31" s="1"/>
  <c r="CE11" i="31" s="1"/>
  <c r="CF11" i="31" s="1"/>
  <c r="AD10" i="31"/>
  <c r="AD10" i="42"/>
  <c r="BH11" i="43"/>
  <c r="CC11" i="42" l="1"/>
  <c r="CE11" i="42" s="1"/>
  <c r="CF11" i="42" s="1"/>
  <c r="P11" i="42"/>
  <c r="Q11" i="42" s="1"/>
  <c r="BH11" i="42" s="1"/>
  <c r="W11" i="42" s="1"/>
  <c r="AH11" i="31"/>
  <c r="P11" i="31"/>
  <c r="Q11" i="31" s="1"/>
  <c r="BH11" i="31" s="1"/>
  <c r="W11" i="43"/>
  <c r="M11" i="42" l="1"/>
  <c r="O11" i="42" s="1"/>
  <c r="X11" i="42"/>
  <c r="W11" i="31"/>
  <c r="M11" i="43"/>
  <c r="O11" i="43" s="1"/>
  <c r="X11" i="43"/>
  <c r="Y11" i="42" l="1"/>
  <c r="Y11" i="43"/>
  <c r="M11" i="31"/>
  <c r="O11" i="31" s="1"/>
  <c r="X11" i="31"/>
  <c r="Y11" i="31" s="1"/>
  <c r="BL11" i="42" l="1"/>
  <c r="BP11" i="42" s="1"/>
  <c r="BL11" i="43"/>
  <c r="BP11" i="43" l="1"/>
  <c r="Z11" i="43"/>
  <c r="AE11" i="43" s="1"/>
  <c r="BL11" i="31"/>
  <c r="Z11" i="42"/>
  <c r="AE11" i="42" s="1"/>
  <c r="N12" i="42" l="1"/>
  <c r="AD11" i="42"/>
  <c r="N12" i="43"/>
  <c r="AD11" i="43"/>
  <c r="BP11" i="31"/>
  <c r="Z11" i="31"/>
  <c r="AE11" i="31" s="1"/>
  <c r="AH12" i="42" l="1"/>
  <c r="CC12" i="42"/>
  <c r="CE12" i="42" s="1"/>
  <c r="CF12" i="42" s="1"/>
  <c r="AH12" i="43"/>
  <c r="CC12" i="43"/>
  <c r="CE12" i="43" s="1"/>
  <c r="CF12" i="43" s="1"/>
  <c r="N12" i="31"/>
  <c r="CH12" i="31"/>
  <c r="AD11" i="31"/>
  <c r="P12" i="42"/>
  <c r="Q12" i="42" s="1"/>
  <c r="BH12" i="42" s="1"/>
  <c r="P12" i="43"/>
  <c r="Q12" i="43" s="1"/>
  <c r="BH12" i="43" s="1"/>
  <c r="AH12" i="31" l="1"/>
  <c r="CC12" i="31"/>
  <c r="CE12" i="31" s="1"/>
  <c r="CF12" i="31" s="1"/>
  <c r="W12" i="42"/>
  <c r="P12" i="31"/>
  <c r="Q12" i="31" s="1"/>
  <c r="BH12" i="31" s="1"/>
  <c r="W12" i="43"/>
  <c r="W12" i="31" l="1"/>
  <c r="M12" i="43"/>
  <c r="O12" i="43" s="1"/>
  <c r="X12" i="43"/>
  <c r="M12" i="42"/>
  <c r="O12" i="42" s="1"/>
  <c r="X12" i="42"/>
  <c r="Y12" i="42" l="1"/>
  <c r="BL12" i="42" s="1"/>
  <c r="BP12" i="42" s="1"/>
  <c r="M12" i="31"/>
  <c r="O12" i="31" s="1"/>
  <c r="X12" i="31"/>
  <c r="Y12" i="31" s="1"/>
  <c r="Y12" i="43"/>
  <c r="BL12" i="43" s="1"/>
  <c r="BP12" i="43" s="1"/>
  <c r="Z12" i="43" l="1"/>
  <c r="AE12" i="43" s="1"/>
  <c r="Z12" i="42"/>
  <c r="AE12" i="42" s="1"/>
  <c r="BL12" i="31"/>
  <c r="BP12" i="31" s="1"/>
  <c r="N13" i="43" l="1"/>
  <c r="AD12" i="43"/>
  <c r="N13" i="42"/>
  <c r="AD12" i="42"/>
  <c r="Z12" i="31"/>
  <c r="AE12" i="31" s="1"/>
  <c r="AH13" i="43" l="1"/>
  <c r="CC13" i="43"/>
  <c r="CE13" i="43" s="1"/>
  <c r="CF13" i="43" s="1"/>
  <c r="AH13" i="42"/>
  <c r="CC13" i="42"/>
  <c r="CE13" i="42" s="1"/>
  <c r="CF13" i="42" s="1"/>
  <c r="N13" i="31"/>
  <c r="CH13" i="31"/>
  <c r="AD12" i="31"/>
  <c r="P13" i="43"/>
  <c r="Q13" i="43" s="1"/>
  <c r="BH13" i="43" s="1"/>
  <c r="P13" i="42"/>
  <c r="Q13" i="42" s="1"/>
  <c r="BH13" i="42" s="1"/>
  <c r="P13" i="31" l="1"/>
  <c r="Q13" i="31" s="1"/>
  <c r="BH13" i="31" s="1"/>
  <c r="W13" i="42"/>
  <c r="AH13" i="31"/>
  <c r="CC13" i="31"/>
  <c r="CE13" i="31" s="1"/>
  <c r="CF13" i="31" s="1"/>
  <c r="W13" i="43"/>
  <c r="M13" i="42" l="1"/>
  <c r="O13" i="42" s="1"/>
  <c r="X13" i="42"/>
  <c r="W13" i="31"/>
  <c r="M13" i="43"/>
  <c r="O13" i="43" s="1"/>
  <c r="X13" i="43"/>
  <c r="Y13" i="43" l="1"/>
  <c r="BL13" i="43" s="1"/>
  <c r="BP13" i="43" s="1"/>
  <c r="Y13" i="42"/>
  <c r="BL13" i="42" s="1"/>
  <c r="BP13" i="42" s="1"/>
  <c r="M13" i="31"/>
  <c r="O13" i="31" s="1"/>
  <c r="X13" i="31"/>
  <c r="Y13" i="31" s="1"/>
  <c r="Z13" i="43" l="1"/>
  <c r="AE13" i="43" s="1"/>
  <c r="BL13" i="31"/>
  <c r="BP13" i="31" s="1"/>
  <c r="Z13" i="42"/>
  <c r="AE13" i="42" s="1"/>
  <c r="N14" i="43" l="1"/>
  <c r="AD13" i="43"/>
  <c r="AD13" i="42"/>
  <c r="N14" i="42"/>
  <c r="Z13" i="31"/>
  <c r="AE13" i="31" s="1"/>
  <c r="AH14" i="43" l="1"/>
  <c r="CC14" i="43"/>
  <c r="CE14" i="43" s="1"/>
  <c r="CF14" i="43" s="1"/>
  <c r="P14" i="43"/>
  <c r="Q14" i="43" s="1"/>
  <c r="BH14" i="43" s="1"/>
  <c r="N14" i="31"/>
  <c r="CH14" i="31"/>
  <c r="AD13" i="31"/>
  <c r="P14" i="42"/>
  <c r="Q14" i="42" s="1"/>
  <c r="BH14" i="42" s="1"/>
  <c r="AH14" i="42"/>
  <c r="CC14" i="42"/>
  <c r="CE14" i="42" s="1"/>
  <c r="CF14" i="42" s="1"/>
  <c r="P14" i="31" l="1"/>
  <c r="Q14" i="31" s="1"/>
  <c r="BH14" i="31" s="1"/>
  <c r="W14" i="42"/>
  <c r="W14" i="43"/>
  <c r="AH14" i="31"/>
  <c r="CC14" i="31"/>
  <c r="CE14" i="31" s="1"/>
  <c r="CF14" i="31" s="1"/>
  <c r="M14" i="42" l="1"/>
  <c r="O14" i="42" s="1"/>
  <c r="X14" i="42"/>
  <c r="M14" i="43"/>
  <c r="O14" i="43" s="1"/>
  <c r="X14" i="43"/>
  <c r="W14" i="31"/>
  <c r="M14" i="31" l="1"/>
  <c r="O14" i="31" s="1"/>
  <c r="X14" i="31"/>
  <c r="Y14" i="31" s="1"/>
  <c r="Y14" i="43"/>
  <c r="BL14" i="43" s="1"/>
  <c r="BP14" i="43" s="1"/>
  <c r="Y14" i="42"/>
  <c r="BL14" i="42" s="1"/>
  <c r="BP14" i="42" s="1"/>
  <c r="Z14" i="42" l="1"/>
  <c r="AE14" i="42" s="1"/>
  <c r="BL14" i="31"/>
  <c r="BP14" i="31" s="1"/>
  <c r="Z14" i="43"/>
  <c r="AE14" i="43" s="1"/>
  <c r="N15" i="42" l="1"/>
  <c r="AD14" i="42"/>
  <c r="N15" i="43"/>
  <c r="AD14" i="43"/>
  <c r="Z14" i="31"/>
  <c r="AE14" i="31" s="1"/>
  <c r="AH15" i="42" l="1"/>
  <c r="CC15" i="42"/>
  <c r="CE15" i="42" s="1"/>
  <c r="CF15" i="42" s="1"/>
  <c r="P15" i="43"/>
  <c r="Q15" i="43" s="1"/>
  <c r="BH15" i="43" s="1"/>
  <c r="CH15" i="31"/>
  <c r="N15" i="31"/>
  <c r="AD14" i="31"/>
  <c r="P15" i="42"/>
  <c r="Q15" i="42" s="1"/>
  <c r="BH15" i="42" s="1"/>
  <c r="AH15" i="43"/>
  <c r="CC15" i="43"/>
  <c r="CE15" i="43" s="1"/>
  <c r="CF15" i="43" s="1"/>
  <c r="P15" i="31" l="1"/>
  <c r="Q15" i="31" s="1"/>
  <c r="BH15" i="31" s="1"/>
  <c r="W15" i="43"/>
  <c r="W15" i="42"/>
  <c r="AH15" i="31"/>
  <c r="CC15" i="31"/>
  <c r="CE15" i="31" s="1"/>
  <c r="CF15" i="31" s="1"/>
  <c r="M15" i="43" l="1"/>
  <c r="O15" i="43" s="1"/>
  <c r="X15" i="43"/>
  <c r="M15" i="42"/>
  <c r="O15" i="42" s="1"/>
  <c r="X15" i="42"/>
  <c r="W15" i="31"/>
  <c r="M15" i="31" l="1"/>
  <c r="O15" i="31" s="1"/>
  <c r="X15" i="31"/>
  <c r="Y15" i="31" s="1"/>
  <c r="Y15" i="43"/>
  <c r="BL15" i="43" s="1"/>
  <c r="BP15" i="43" s="1"/>
  <c r="Y15" i="42"/>
  <c r="BL15" i="42" s="1"/>
  <c r="BP15" i="42" s="1"/>
  <c r="BL15" i="31" l="1"/>
  <c r="BP15" i="31" s="1"/>
  <c r="Z15" i="42"/>
  <c r="AE15" i="42" s="1"/>
  <c r="Z15" i="43"/>
  <c r="AE15" i="43" s="1"/>
  <c r="Z15" i="31" l="1"/>
  <c r="AE15" i="31" s="1"/>
  <c r="AD15" i="42"/>
  <c r="N16" i="42"/>
  <c r="N16" i="43"/>
  <c r="AD15" i="43"/>
  <c r="P16" i="43" l="1"/>
  <c r="Q16" i="43" s="1"/>
  <c r="BH16" i="43" s="1"/>
  <c r="CH16" i="31"/>
  <c r="N16" i="31"/>
  <c r="AD15" i="31"/>
  <c r="P16" i="42"/>
  <c r="Q16" i="42" s="1"/>
  <c r="BH16" i="42" s="1"/>
  <c r="AH16" i="42"/>
  <c r="CC16" i="42"/>
  <c r="CE16" i="42" s="1"/>
  <c r="CF16" i="42" s="1"/>
  <c r="AH16" i="43"/>
  <c r="CC16" i="43"/>
  <c r="CE16" i="43" s="1"/>
  <c r="CF16" i="43" s="1"/>
  <c r="AH16" i="31" l="1"/>
  <c r="CC16" i="31"/>
  <c r="CE16" i="31" s="1"/>
  <c r="CF16" i="31" s="1"/>
  <c r="P16" i="31"/>
  <c r="Q16" i="31" s="1"/>
  <c r="BH16" i="31" s="1"/>
  <c r="W16" i="42"/>
  <c r="W16" i="43"/>
  <c r="M16" i="43" l="1"/>
  <c r="O16" i="43" s="1"/>
  <c r="X16" i="43"/>
  <c r="M16" i="42"/>
  <c r="O16" i="42" s="1"/>
  <c r="X16" i="42"/>
  <c r="W16" i="31"/>
  <c r="M16" i="31" l="1"/>
  <c r="O16" i="31" s="1"/>
  <c r="X16" i="31"/>
  <c r="Y16" i="31" s="1"/>
  <c r="Y16" i="43"/>
  <c r="BL16" i="43" s="1"/>
  <c r="BP16" i="43" s="1"/>
  <c r="Y16" i="42"/>
  <c r="BL16" i="42" s="1"/>
  <c r="BP16" i="42" s="1"/>
  <c r="Z16" i="42" l="1"/>
  <c r="AE16" i="42" s="1"/>
  <c r="BL16" i="31"/>
  <c r="BP16" i="31" s="1"/>
  <c r="Z16" i="43"/>
  <c r="AE16" i="43" s="1"/>
  <c r="N17" i="42" l="1"/>
  <c r="AD16" i="42"/>
  <c r="N17" i="43"/>
  <c r="AD16" i="43"/>
  <c r="Z16" i="31"/>
  <c r="AE16" i="31" s="1"/>
  <c r="CH17" i="31" l="1"/>
  <c r="N17" i="31"/>
  <c r="AD16" i="31"/>
  <c r="P17" i="42"/>
  <c r="Q17" i="42" s="1"/>
  <c r="BH17" i="42" s="1"/>
  <c r="AH17" i="43"/>
  <c r="CC17" i="43"/>
  <c r="CE17" i="43" s="1"/>
  <c r="CF17" i="43" s="1"/>
  <c r="AH17" i="42"/>
  <c r="CC17" i="42"/>
  <c r="CE17" i="42" s="1"/>
  <c r="CF17" i="42" s="1"/>
  <c r="P17" i="43"/>
  <c r="Q17" i="43" s="1"/>
  <c r="BH17" i="43" s="1"/>
  <c r="W17" i="42" l="1"/>
  <c r="AH17" i="31"/>
  <c r="CC17" i="31"/>
  <c r="CE17" i="31" s="1"/>
  <c r="CF17" i="31" s="1"/>
  <c r="P17" i="31"/>
  <c r="Q17" i="31" s="1"/>
  <c r="BH17" i="31" s="1"/>
  <c r="W17" i="43"/>
  <c r="M17" i="42" l="1"/>
  <c r="O17" i="42" s="1"/>
  <c r="X17" i="42"/>
  <c r="X17" i="43"/>
  <c r="M17" i="43"/>
  <c r="O17" i="43" s="1"/>
  <c r="W17" i="31"/>
  <c r="Y17" i="42" l="1"/>
  <c r="BL17" i="42" s="1"/>
  <c r="BP17" i="42" s="1"/>
  <c r="M17" i="31"/>
  <c r="O17" i="31" s="1"/>
  <c r="X17" i="31"/>
  <c r="Y17" i="31" s="1"/>
  <c r="Y17" i="43"/>
  <c r="BL17" i="43" s="1"/>
  <c r="BP17" i="43" s="1"/>
  <c r="Z17" i="43" l="1"/>
  <c r="AE17" i="43" s="1"/>
  <c r="Z17" i="42"/>
  <c r="AE17" i="42" s="1"/>
  <c r="BL17" i="31"/>
  <c r="BP17" i="31" s="1"/>
  <c r="N18" i="43" l="1"/>
  <c r="AD17" i="43"/>
  <c r="AD17" i="42"/>
  <c r="N18" i="42"/>
  <c r="Z17" i="31"/>
  <c r="AE17" i="31" s="1"/>
  <c r="AH18" i="43" l="1"/>
  <c r="CC18" i="43"/>
  <c r="CE18" i="43" s="1"/>
  <c r="CF18" i="43" s="1"/>
  <c r="CH18" i="31"/>
  <c r="N18" i="31"/>
  <c r="AD17" i="31"/>
  <c r="P18" i="43"/>
  <c r="Q18" i="43" s="1"/>
  <c r="BH18" i="43" s="1"/>
  <c r="P18" i="42"/>
  <c r="Q18" i="42" s="1"/>
  <c r="BH18" i="42" s="1"/>
  <c r="AH18" i="42"/>
  <c r="CC18" i="42"/>
  <c r="CE18" i="42" s="1"/>
  <c r="CF18" i="42" s="1"/>
  <c r="AH18" i="31" l="1"/>
  <c r="CC18" i="31"/>
  <c r="CE18" i="31" s="1"/>
  <c r="CF18" i="31" s="1"/>
  <c r="P18" i="31"/>
  <c r="Q18" i="31" s="1"/>
  <c r="BH18" i="31" s="1"/>
  <c r="W18" i="43"/>
  <c r="W18" i="42"/>
  <c r="W18" i="31" l="1"/>
  <c r="M18" i="42"/>
  <c r="O18" i="42" s="1"/>
  <c r="X18" i="42"/>
  <c r="M18" i="43"/>
  <c r="O18" i="43" s="1"/>
  <c r="X18" i="43"/>
  <c r="Y18" i="43" l="1"/>
  <c r="BL18" i="43" s="1"/>
  <c r="BP18" i="43" s="1"/>
  <c r="M18" i="31"/>
  <c r="O18" i="31" s="1"/>
  <c r="X18" i="31"/>
  <c r="Y18" i="31" s="1"/>
  <c r="AB67" i="35"/>
  <c r="Y18" i="42"/>
  <c r="BL18" i="42" s="1"/>
  <c r="BP18" i="42" s="1"/>
  <c r="BL18" i="31" l="1"/>
  <c r="BP18" i="31" s="1"/>
  <c r="Z18" i="43"/>
  <c r="AE18" i="43" s="1"/>
  <c r="AB32" i="35"/>
  <c r="Z18" i="42"/>
  <c r="AE18" i="42" s="1"/>
  <c r="N19" i="43" l="1"/>
  <c r="AD18" i="43"/>
  <c r="Z18" i="31"/>
  <c r="AE18" i="31" s="1"/>
  <c r="AF32" i="35" s="1"/>
  <c r="N19" i="42"/>
  <c r="AD18" i="42"/>
  <c r="AH19" i="43" l="1"/>
  <c r="CC19" i="43"/>
  <c r="CE19" i="43" s="1"/>
  <c r="CF19" i="43" s="1"/>
  <c r="AF67" i="35"/>
  <c r="P19" i="42"/>
  <c r="Q19" i="42" s="1"/>
  <c r="AD67" i="35"/>
  <c r="P19" i="43"/>
  <c r="Q19" i="43" s="1"/>
  <c r="CH19" i="31"/>
  <c r="N19" i="31"/>
  <c r="AD18" i="31"/>
  <c r="AH19" i="42"/>
  <c r="CC19" i="42"/>
  <c r="CE19" i="42" s="1"/>
  <c r="CF19" i="42" s="1"/>
  <c r="AE67" i="35" l="1"/>
  <c r="AH19" i="31"/>
  <c r="CC19" i="31"/>
  <c r="CE19" i="31" s="1"/>
  <c r="CF19" i="31" s="1"/>
  <c r="P19" i="31"/>
  <c r="Q19" i="31" s="1"/>
  <c r="AD32" i="35"/>
  <c r="BH19" i="42"/>
  <c r="W19" i="42" s="1"/>
  <c r="BH19" i="43"/>
  <c r="W19" i="43" s="1"/>
  <c r="G32" i="35"/>
  <c r="I32" i="35" l="1"/>
  <c r="H32" i="35"/>
  <c r="AE32" i="35"/>
  <c r="M19" i="43"/>
  <c r="O19" i="43" s="1"/>
  <c r="X19" i="43"/>
  <c r="BH19" i="31"/>
  <c r="W19" i="31" s="1"/>
  <c r="M19" i="42"/>
  <c r="O19" i="42" s="1"/>
  <c r="X19" i="42"/>
  <c r="M32" i="35"/>
  <c r="O32" i="35" l="1"/>
  <c r="N32" i="35"/>
  <c r="Y19" i="42"/>
  <c r="Y19" i="43"/>
  <c r="M19" i="31"/>
  <c r="O19" i="31" s="1"/>
  <c r="X19" i="31"/>
  <c r="Y19" i="31" s="1"/>
  <c r="BL19" i="42" l="1"/>
  <c r="BP19" i="42" s="1"/>
  <c r="BL19" i="43"/>
  <c r="BP19" i="43" s="1"/>
  <c r="BL19" i="31" l="1"/>
  <c r="BP19" i="31" s="1"/>
  <c r="Z19" i="42"/>
  <c r="AE19" i="42" s="1"/>
  <c r="Z19" i="43"/>
  <c r="AE19" i="43" s="1"/>
  <c r="Z19" i="31" l="1"/>
  <c r="N20" i="42"/>
  <c r="AD19" i="42"/>
  <c r="N20" i="43"/>
  <c r="AD19" i="43"/>
  <c r="CH20" i="31" l="1"/>
  <c r="AE19" i="31"/>
  <c r="AD19" i="31"/>
  <c r="N20" i="31"/>
  <c r="AH20" i="31" s="1"/>
  <c r="P20" i="43"/>
  <c r="Q20" i="43" s="1"/>
  <c r="AH20" i="42"/>
  <c r="CC20" i="42"/>
  <c r="CE20" i="42" s="1"/>
  <c r="CF20" i="42" s="1"/>
  <c r="P20" i="42"/>
  <c r="Q20" i="42" s="1"/>
  <c r="AH20" i="43"/>
  <c r="CC20" i="43"/>
  <c r="CE20" i="43" s="1"/>
  <c r="CF20" i="43" s="1"/>
  <c r="CC20" i="31" l="1"/>
  <c r="CE20" i="31" s="1"/>
  <c r="CF20" i="31" s="1"/>
  <c r="P20" i="31"/>
  <c r="Q20" i="31" s="1"/>
  <c r="BH20" i="31" s="1"/>
  <c r="BH20" i="43"/>
  <c r="W20" i="43" s="1"/>
  <c r="BH20" i="42"/>
  <c r="W20" i="42" s="1"/>
  <c r="M20" i="42" l="1"/>
  <c r="O20" i="42" s="1"/>
  <c r="X20" i="42"/>
  <c r="M20" i="43"/>
  <c r="O20" i="43" s="1"/>
  <c r="X20" i="43"/>
  <c r="W20" i="31"/>
  <c r="Y20" i="43" l="1"/>
  <c r="M20" i="31"/>
  <c r="O20" i="31" s="1"/>
  <c r="X20" i="31"/>
  <c r="Y20" i="31" s="1"/>
  <c r="Y20" i="42"/>
  <c r="BL20" i="42" l="1"/>
  <c r="BP20" i="42" s="1"/>
  <c r="BL20" i="43"/>
  <c r="Z20" i="42" l="1"/>
  <c r="AE20" i="42" s="1"/>
  <c r="BL20" i="31"/>
  <c r="BP20" i="31" s="1"/>
  <c r="BP20" i="43"/>
  <c r="Z20" i="43"/>
  <c r="AE20" i="43" s="1"/>
  <c r="Z20" i="31" l="1"/>
  <c r="N21" i="42"/>
  <c r="AD20" i="42"/>
  <c r="N21" i="43"/>
  <c r="AD20" i="43"/>
  <c r="CH21" i="31" l="1"/>
  <c r="AE20" i="31"/>
  <c r="AD20" i="31"/>
  <c r="N21" i="31"/>
  <c r="CC21" i="31" s="1"/>
  <c r="CE21" i="31" s="1"/>
  <c r="CF21" i="31" s="1"/>
  <c r="AH21" i="42"/>
  <c r="CC21" i="42"/>
  <c r="CE21" i="42" s="1"/>
  <c r="CF21" i="42" s="1"/>
  <c r="AH21" i="43"/>
  <c r="CC21" i="43"/>
  <c r="CE21" i="43" s="1"/>
  <c r="CF21" i="43" s="1"/>
  <c r="P21" i="43"/>
  <c r="Q21" i="43" s="1"/>
  <c r="P21" i="42"/>
  <c r="Q21" i="42" s="1"/>
  <c r="P21" i="31" l="1"/>
  <c r="Q21" i="31" s="1"/>
  <c r="BH21" i="31" s="1"/>
  <c r="W21" i="31" s="1"/>
  <c r="AH21" i="31"/>
  <c r="BH21" i="42"/>
  <c r="W21" i="42" s="1"/>
  <c r="BH21" i="43"/>
  <c r="W21" i="43" s="1"/>
  <c r="M21" i="31" l="1"/>
  <c r="O21" i="31" s="1"/>
  <c r="X21" i="31"/>
  <c r="Y21" i="31" s="1"/>
  <c r="X21" i="42"/>
  <c r="M21" i="42"/>
  <c r="O21" i="42" s="1"/>
  <c r="M21" i="43"/>
  <c r="O21" i="43" s="1"/>
  <c r="X21" i="43"/>
  <c r="Y21" i="43" l="1"/>
  <c r="Y21" i="42"/>
  <c r="BL21" i="31" l="1"/>
  <c r="BP21" i="31" s="1"/>
  <c r="BL21" i="42"/>
  <c r="BP21" i="42" s="1"/>
  <c r="BL21" i="43"/>
  <c r="Z21" i="42" l="1"/>
  <c r="N22" i="42" s="1"/>
  <c r="Z21" i="31"/>
  <c r="BP21" i="43"/>
  <c r="Z21" i="43"/>
  <c r="AE21" i="43" s="1"/>
  <c r="AD21" i="42" l="1"/>
  <c r="P22" i="42" s="1"/>
  <c r="Q22" i="42" s="1"/>
  <c r="AE21" i="42"/>
  <c r="CH22" i="31"/>
  <c r="AE21" i="31"/>
  <c r="N22" i="31"/>
  <c r="CC22" i="31" s="1"/>
  <c r="CE22" i="31" s="1"/>
  <c r="CF22" i="31" s="1"/>
  <c r="AD21" i="31"/>
  <c r="N22" i="43"/>
  <c r="AD21" i="43"/>
  <c r="AH22" i="42"/>
  <c r="CC22" i="42"/>
  <c r="CE22" i="42" s="1"/>
  <c r="CF22" i="42" s="1"/>
  <c r="AH22" i="31" l="1"/>
  <c r="P22" i="31"/>
  <c r="Q22" i="31" s="1"/>
  <c r="BH22" i="31" s="1"/>
  <c r="W22" i="31" s="1"/>
  <c r="AH22" i="43"/>
  <c r="CC22" i="43"/>
  <c r="CE22" i="43" s="1"/>
  <c r="CF22" i="43" s="1"/>
  <c r="BH22" i="42"/>
  <c r="W22" i="42" s="1"/>
  <c r="P22" i="43"/>
  <c r="Q22" i="43" s="1"/>
  <c r="M22" i="31" l="1"/>
  <c r="O22" i="31" s="1"/>
  <c r="X22" i="31"/>
  <c r="Y22" i="31" s="1"/>
  <c r="BH22" i="43"/>
  <c r="W22" i="43" s="1"/>
  <c r="X22" i="42"/>
  <c r="M22" i="42"/>
  <c r="O22" i="42" s="1"/>
  <c r="M22" i="43" l="1"/>
  <c r="O22" i="43" s="1"/>
  <c r="X22" i="43"/>
  <c r="Y22" i="42"/>
  <c r="BL22" i="42" l="1"/>
  <c r="BP22" i="42" s="1"/>
  <c r="Y22" i="43"/>
  <c r="BL22" i="31"/>
  <c r="BP22" i="31" s="1"/>
  <c r="Z22" i="42" l="1"/>
  <c r="AE22" i="42" s="1"/>
  <c r="BL22" i="43"/>
  <c r="BP22" i="43" s="1"/>
  <c r="Z22" i="31"/>
  <c r="AE22" i="31" s="1"/>
  <c r="N23" i="42" l="1"/>
  <c r="AD22" i="42"/>
  <c r="Z22" i="43"/>
  <c r="AE22" i="43" s="1"/>
  <c r="N23" i="31"/>
  <c r="CH23" i="31"/>
  <c r="AD22" i="31"/>
  <c r="AH23" i="42" l="1"/>
  <c r="CC23" i="42"/>
  <c r="CE23" i="42" s="1"/>
  <c r="CF23" i="42" s="1"/>
  <c r="P23" i="31"/>
  <c r="Q23" i="31" s="1"/>
  <c r="P23" i="42"/>
  <c r="Q23" i="42" s="1"/>
  <c r="N23" i="43"/>
  <c r="AD22" i="43"/>
  <c r="AH23" i="31"/>
  <c r="CC23" i="31"/>
  <c r="CE23" i="31" s="1"/>
  <c r="CF23" i="31" s="1"/>
  <c r="BH23" i="42" l="1"/>
  <c r="W23" i="42" s="1"/>
  <c r="BH23" i="31"/>
  <c r="W23" i="31" s="1"/>
  <c r="AH23" i="43"/>
  <c r="CC23" i="43"/>
  <c r="CE23" i="43" s="1"/>
  <c r="CF23" i="43" s="1"/>
  <c r="P23" i="43"/>
  <c r="Q23" i="43" s="1"/>
  <c r="M23" i="42" l="1"/>
  <c r="O23" i="42" s="1"/>
  <c r="X23" i="42"/>
  <c r="BH23" i="43"/>
  <c r="M23" i="31"/>
  <c r="O23" i="31" s="1"/>
  <c r="X23" i="31"/>
  <c r="Y23" i="31" s="1"/>
  <c r="W23" i="43" l="1"/>
  <c r="Y23" i="42"/>
  <c r="BL23" i="31" l="1"/>
  <c r="BP23" i="31" s="1"/>
  <c r="X23" i="43"/>
  <c r="M23" i="43"/>
  <c r="O23" i="43" s="1"/>
  <c r="BL23" i="42"/>
  <c r="BP23" i="42" s="1"/>
  <c r="Y23" i="43" l="1"/>
  <c r="Z23" i="31"/>
  <c r="AE23" i="31" s="1"/>
  <c r="Z23" i="42"/>
  <c r="AE23" i="42" s="1"/>
  <c r="BL23" i="43" l="1"/>
  <c r="CH24" i="31"/>
  <c r="N24" i="31"/>
  <c r="AD23" i="31"/>
  <c r="AD23" i="42"/>
  <c r="N24" i="42"/>
  <c r="P24" i="42" l="1"/>
  <c r="Q24" i="42" s="1"/>
  <c r="BH24" i="42" s="1"/>
  <c r="P24" i="31"/>
  <c r="Q24" i="31" s="1"/>
  <c r="BH24" i="31" s="1"/>
  <c r="BP23" i="43"/>
  <c r="Z23" i="43"/>
  <c r="AE23" i="43" s="1"/>
  <c r="AH24" i="42"/>
  <c r="CC24" i="42"/>
  <c r="CE24" i="42" s="1"/>
  <c r="CF24" i="42" s="1"/>
  <c r="AH24" i="31"/>
  <c r="CC24" i="31"/>
  <c r="CE24" i="31" s="1"/>
  <c r="CF24" i="31" s="1"/>
  <c r="W24" i="42" l="1"/>
  <c r="N24" i="43"/>
  <c r="AD23" i="43"/>
  <c r="W24" i="31"/>
  <c r="P24" i="43" l="1"/>
  <c r="Q24" i="43" s="1"/>
  <c r="BH24" i="43" s="1"/>
  <c r="M24" i="31"/>
  <c r="O24" i="31" s="1"/>
  <c r="X24" i="31"/>
  <c r="Y24" i="31" s="1"/>
  <c r="M24" i="42"/>
  <c r="O24" i="42" s="1"/>
  <c r="X24" i="42"/>
  <c r="AH24" i="43"/>
  <c r="CC24" i="43"/>
  <c r="CE24" i="43" s="1"/>
  <c r="CF24" i="43" s="1"/>
  <c r="Y24" i="42" l="1"/>
  <c r="BL24" i="42" s="1"/>
  <c r="BP24" i="42" s="1"/>
  <c r="W24" i="43"/>
  <c r="BL24" i="31"/>
  <c r="BP24" i="31" s="1"/>
  <c r="Z24" i="31" l="1"/>
  <c r="AE24" i="31" s="1"/>
  <c r="Z24" i="42"/>
  <c r="AE24" i="42" s="1"/>
  <c r="M24" i="43"/>
  <c r="O24" i="43" s="1"/>
  <c r="X24" i="43"/>
  <c r="N25" i="42" l="1"/>
  <c r="AD24" i="42"/>
  <c r="CH25" i="31"/>
  <c r="N25" i="31"/>
  <c r="AD24" i="31"/>
  <c r="Y24" i="43"/>
  <c r="BL24" i="43" s="1"/>
  <c r="BP24" i="43" s="1"/>
  <c r="AH25" i="42" l="1"/>
  <c r="CC25" i="42"/>
  <c r="CE25" i="42" s="1"/>
  <c r="CF25" i="42" s="1"/>
  <c r="P25" i="31"/>
  <c r="Q25" i="31" s="1"/>
  <c r="BH25" i="31" s="1"/>
  <c r="P25" i="42"/>
  <c r="Q25" i="42" s="1"/>
  <c r="BH25" i="42" s="1"/>
  <c r="Z24" i="43"/>
  <c r="AE24" i="43" s="1"/>
  <c r="AH25" i="31"/>
  <c r="CC25" i="31"/>
  <c r="CE25" i="31" s="1"/>
  <c r="CF25" i="31" s="1"/>
  <c r="N25" i="43" l="1"/>
  <c r="AD24" i="43"/>
  <c r="W25" i="42"/>
  <c r="W25" i="31"/>
  <c r="M25" i="31" l="1"/>
  <c r="O25" i="31" s="1"/>
  <c r="X25" i="31"/>
  <c r="Y25" i="31" s="1"/>
  <c r="AH25" i="43"/>
  <c r="CC25" i="43"/>
  <c r="CE25" i="43" s="1"/>
  <c r="CF25" i="43" s="1"/>
  <c r="P25" i="43"/>
  <c r="Q25" i="43" s="1"/>
  <c r="BH25" i="43" s="1"/>
  <c r="X25" i="42"/>
  <c r="M25" i="42"/>
  <c r="O25" i="42" s="1"/>
  <c r="BL25" i="31" l="1"/>
  <c r="BP25" i="31" s="1"/>
  <c r="Y25" i="42"/>
  <c r="BL25" i="42" s="1"/>
  <c r="BP25" i="42" s="1"/>
  <c r="W25" i="43"/>
  <c r="M25" i="43" l="1"/>
  <c r="O25" i="43" s="1"/>
  <c r="X25" i="43"/>
  <c r="Z25" i="31"/>
  <c r="AE25" i="31" s="1"/>
  <c r="Z25" i="42"/>
  <c r="AE25" i="42" s="1"/>
  <c r="Y25" i="43" l="1"/>
  <c r="BL25" i="43" s="1"/>
  <c r="BP25" i="43" s="1"/>
  <c r="CH26" i="31"/>
  <c r="N26" i="31"/>
  <c r="AD25" i="31"/>
  <c r="N26" i="42"/>
  <c r="AD25" i="42"/>
  <c r="P26" i="31" l="1"/>
  <c r="Q26" i="31" s="1"/>
  <c r="BH26" i="31" s="1"/>
  <c r="AH26" i="42"/>
  <c r="CC26" i="42"/>
  <c r="CE26" i="42" s="1"/>
  <c r="CF26" i="42" s="1"/>
  <c r="Z25" i="43"/>
  <c r="AE25" i="43" s="1"/>
  <c r="P26" i="42"/>
  <c r="Q26" i="42" s="1"/>
  <c r="BH26" i="42" s="1"/>
  <c r="AH26" i="31"/>
  <c r="CC26" i="31"/>
  <c r="CE26" i="31" s="1"/>
  <c r="CF26" i="31" s="1"/>
  <c r="W26" i="42" l="1"/>
  <c r="N26" i="43"/>
  <c r="AD25" i="43"/>
  <c r="W26" i="31"/>
  <c r="X26" i="42" l="1"/>
  <c r="M26" i="42"/>
  <c r="O26" i="42" s="1"/>
  <c r="M26" i="31"/>
  <c r="O26" i="31" s="1"/>
  <c r="X26" i="31"/>
  <c r="Y26" i="31" s="1"/>
  <c r="AH26" i="43"/>
  <c r="CC26" i="43"/>
  <c r="CE26" i="43" s="1"/>
  <c r="CF26" i="43" s="1"/>
  <c r="P26" i="43"/>
  <c r="Q26" i="43" s="1"/>
  <c r="BH26" i="43" s="1"/>
  <c r="Y26" i="42" l="1"/>
  <c r="BL26" i="42" s="1"/>
  <c r="BP26" i="42" s="1"/>
  <c r="BL26" i="31"/>
  <c r="BP26" i="31" s="1"/>
  <c r="W26" i="43"/>
  <c r="Z26" i="31" l="1"/>
  <c r="Z26" i="42"/>
  <c r="AE26" i="42" s="1"/>
  <c r="M26" i="43"/>
  <c r="O26" i="43" s="1"/>
  <c r="X26" i="43"/>
  <c r="AD26" i="31" l="1"/>
  <c r="AE26" i="31"/>
  <c r="N27" i="31"/>
  <c r="CC27" i="31" s="1"/>
  <c r="CE27" i="31" s="1"/>
  <c r="CF27" i="31" s="1"/>
  <c r="CH27" i="31"/>
  <c r="Y26" i="43"/>
  <c r="BL26" i="43" s="1"/>
  <c r="BP26" i="43" s="1"/>
  <c r="AD26" i="42"/>
  <c r="N27" i="42"/>
  <c r="AH27" i="31" l="1"/>
  <c r="Z26" i="43"/>
  <c r="P27" i="31"/>
  <c r="Q27" i="31" s="1"/>
  <c r="BH27" i="31" s="1"/>
  <c r="AH27" i="42"/>
  <c r="CC27" i="42"/>
  <c r="CE27" i="42" s="1"/>
  <c r="CF27" i="42" s="1"/>
  <c r="P27" i="42"/>
  <c r="Q27" i="42" s="1"/>
  <c r="BH27" i="42" s="1"/>
  <c r="N27" i="43" l="1"/>
  <c r="CC27" i="43" s="1"/>
  <c r="CE27" i="43" s="1"/>
  <c r="CF27" i="43" s="1"/>
  <c r="AE26" i="43"/>
  <c r="AD26" i="43"/>
  <c r="W27" i="31"/>
  <c r="X27" i="31" s="1"/>
  <c r="Y27" i="31" s="1"/>
  <c r="W27" i="42"/>
  <c r="AH27" i="43" l="1"/>
  <c r="P27" i="43"/>
  <c r="Q27" i="43" s="1"/>
  <c r="BH27" i="43" s="1"/>
  <c r="M27" i="31"/>
  <c r="O27" i="31" s="1"/>
  <c r="BL27" i="31"/>
  <c r="BP27" i="31" s="1"/>
  <c r="X27" i="42"/>
  <c r="M27" i="42"/>
  <c r="O27" i="42" s="1"/>
  <c r="W27" i="43" l="1"/>
  <c r="X27" i="43" s="1"/>
  <c r="Y27" i="42"/>
  <c r="BL27" i="42" s="1"/>
  <c r="BP27" i="42" s="1"/>
  <c r="Z27" i="31"/>
  <c r="AE27" i="31" s="1"/>
  <c r="M27" i="43" l="1"/>
  <c r="O27" i="43" s="1"/>
  <c r="N28" i="31"/>
  <c r="CH28" i="31"/>
  <c r="AD27" i="31"/>
  <c r="Z27" i="42"/>
  <c r="AE27" i="42" s="1"/>
  <c r="Y27" i="43"/>
  <c r="BL27" i="43" s="1"/>
  <c r="BP27" i="43" s="1"/>
  <c r="AH28" i="31" l="1"/>
  <c r="CC28" i="31"/>
  <c r="CE28" i="31" s="1"/>
  <c r="CF28" i="31" s="1"/>
  <c r="P28" i="31"/>
  <c r="Q28" i="31" s="1"/>
  <c r="BH28" i="31" s="1"/>
  <c r="N28" i="42"/>
  <c r="AD27" i="42"/>
  <c r="Z27" i="43"/>
  <c r="AE27" i="43" s="1"/>
  <c r="N28" i="43" l="1"/>
  <c r="AD27" i="43"/>
  <c r="W28" i="31"/>
  <c r="AH28" i="42"/>
  <c r="CC28" i="42"/>
  <c r="CE28" i="42" s="1"/>
  <c r="CF28" i="42" s="1"/>
  <c r="P28" i="42"/>
  <c r="Q28" i="42" s="1"/>
  <c r="BH28" i="42" s="1"/>
  <c r="AH28" i="43" l="1"/>
  <c r="CC28" i="43"/>
  <c r="CE28" i="43" s="1"/>
  <c r="CF28" i="43" s="1"/>
  <c r="W28" i="42"/>
  <c r="P28" i="43"/>
  <c r="Q28" i="43" s="1"/>
  <c r="BH28" i="43" s="1"/>
  <c r="M28" i="31"/>
  <c r="O28" i="31" s="1"/>
  <c r="X28" i="31"/>
  <c r="Y28" i="31" s="1"/>
  <c r="X28" i="42" l="1"/>
  <c r="M28" i="42"/>
  <c r="O28" i="42" s="1"/>
  <c r="BL28" i="31"/>
  <c r="BP28" i="31" s="1"/>
  <c r="W28" i="43"/>
  <c r="Z28" i="31" l="1"/>
  <c r="Y28" i="42"/>
  <c r="BL28" i="42" s="1"/>
  <c r="BP28" i="42" s="1"/>
  <c r="M28" i="43"/>
  <c r="O28" i="43" s="1"/>
  <c r="X28" i="43"/>
  <c r="AD28" i="31" l="1"/>
  <c r="AE28" i="31"/>
  <c r="Z28" i="42"/>
  <c r="CH29" i="31"/>
  <c r="N29" i="31"/>
  <c r="AH29" i="31" s="1"/>
  <c r="Y28" i="43"/>
  <c r="BL28" i="43" s="1"/>
  <c r="BP28" i="43" s="1"/>
  <c r="AD28" i="42" l="1"/>
  <c r="AE28" i="42"/>
  <c r="CC29" i="31"/>
  <c r="CE29" i="31" s="1"/>
  <c r="CF29" i="31" s="1"/>
  <c r="P29" i="31"/>
  <c r="Q29" i="31" s="1"/>
  <c r="BH29" i="31" s="1"/>
  <c r="N29" i="42"/>
  <c r="AH29" i="42" s="1"/>
  <c r="Z28" i="43"/>
  <c r="AE28" i="43" s="1"/>
  <c r="AD28" i="43" l="1"/>
  <c r="N29" i="43"/>
  <c r="AH29" i="43" s="1"/>
  <c r="P29" i="42"/>
  <c r="Q29" i="42" s="1"/>
  <c r="BH29" i="42" s="1"/>
  <c r="CC29" i="42"/>
  <c r="CE29" i="42" s="1"/>
  <c r="CF29" i="42" s="1"/>
  <c r="W29" i="31"/>
  <c r="X29" i="31" s="1"/>
  <c r="Y29" i="31" s="1"/>
  <c r="P29" i="43" l="1"/>
  <c r="Q29" i="43" s="1"/>
  <c r="BH29" i="43" s="1"/>
  <c r="CC29" i="43"/>
  <c r="CE29" i="43" s="1"/>
  <c r="CF29" i="43" s="1"/>
  <c r="W29" i="42"/>
  <c r="X29" i="42" s="1"/>
  <c r="M29" i="31"/>
  <c r="O29" i="31" s="1"/>
  <c r="BL29" i="31"/>
  <c r="BP29" i="31" s="1"/>
  <c r="W29" i="43" l="1"/>
  <c r="X29" i="43" s="1"/>
  <c r="M29" i="42"/>
  <c r="O29" i="42" s="1"/>
  <c r="Y29" i="42"/>
  <c r="BL29" i="42" s="1"/>
  <c r="BP29" i="42" s="1"/>
  <c r="Z29" i="31"/>
  <c r="AE29" i="31" s="1"/>
  <c r="M29" i="43" l="1"/>
  <c r="O29" i="43" s="1"/>
  <c r="CH30" i="31"/>
  <c r="N30" i="31"/>
  <c r="AD29" i="31"/>
  <c r="Y29" i="43"/>
  <c r="BL29" i="43" s="1"/>
  <c r="BP29" i="43" s="1"/>
  <c r="Z29" i="42"/>
  <c r="AE29" i="42" s="1"/>
  <c r="Z29" i="43" l="1"/>
  <c r="AH30" i="31"/>
  <c r="CC30" i="31"/>
  <c r="CE30" i="31" s="1"/>
  <c r="CF30" i="31" s="1"/>
  <c r="P30" i="31"/>
  <c r="Q30" i="31" s="1"/>
  <c r="BH30" i="31" s="1"/>
  <c r="AD29" i="42"/>
  <c r="N30" i="42"/>
  <c r="N30" i="43" l="1"/>
  <c r="AH30" i="43" s="1"/>
  <c r="AE29" i="43"/>
  <c r="AD29" i="43"/>
  <c r="P30" i="42"/>
  <c r="Q30" i="42" s="1"/>
  <c r="BH30" i="42" s="1"/>
  <c r="W30" i="31"/>
  <c r="AH30" i="42"/>
  <c r="CC30" i="42"/>
  <c r="CE30" i="42" s="1"/>
  <c r="CF30" i="42" s="1"/>
  <c r="CC30" i="43" l="1"/>
  <c r="CE30" i="43" s="1"/>
  <c r="CF30" i="43" s="1"/>
  <c r="P30" i="43"/>
  <c r="Q30" i="43" s="1"/>
  <c r="BH30" i="43" s="1"/>
  <c r="M30" i="31"/>
  <c r="O30" i="31" s="1"/>
  <c r="X30" i="31"/>
  <c r="Y30" i="31" s="1"/>
  <c r="W30" i="42"/>
  <c r="BL30" i="31" l="1"/>
  <c r="BP30" i="31" s="1"/>
  <c r="W30" i="43"/>
  <c r="M30" i="43" s="1"/>
  <c r="O30" i="43" s="1"/>
  <c r="M30" i="42"/>
  <c r="O30" i="42" s="1"/>
  <c r="X30" i="42"/>
  <c r="AB33" i="35"/>
  <c r="X30" i="43" l="1"/>
  <c r="Y30" i="43" s="1"/>
  <c r="BL30" i="43" s="1"/>
  <c r="BP30" i="43" s="1"/>
  <c r="Y30" i="42"/>
  <c r="BL30" i="42" s="1"/>
  <c r="BP30" i="42" s="1"/>
  <c r="AB68" i="35"/>
  <c r="Z30" i="31"/>
  <c r="AE30" i="31" s="1"/>
  <c r="AF33" i="35" s="1"/>
  <c r="CH31" i="31" l="1"/>
  <c r="N31" i="31"/>
  <c r="AD30" i="31"/>
  <c r="Z30" i="43"/>
  <c r="AE30" i="43" s="1"/>
  <c r="Z30" i="42"/>
  <c r="AE30" i="42" s="1"/>
  <c r="AF68" i="35" s="1"/>
  <c r="N31" i="42" l="1"/>
  <c r="AD30" i="42"/>
  <c r="AH31" i="31"/>
  <c r="CC31" i="31"/>
  <c r="CE31" i="31" s="1"/>
  <c r="CF31" i="31" s="1"/>
  <c r="AD33" i="35"/>
  <c r="P31" i="31"/>
  <c r="Q31" i="31" s="1"/>
  <c r="N31" i="43"/>
  <c r="AD30" i="43"/>
  <c r="AE33" i="35" l="1"/>
  <c r="P31" i="43"/>
  <c r="Q31" i="43" s="1"/>
  <c r="AH31" i="42"/>
  <c r="CC31" i="42"/>
  <c r="CE31" i="42" s="1"/>
  <c r="CF31" i="42" s="1"/>
  <c r="BH31" i="31"/>
  <c r="W31" i="31" s="1"/>
  <c r="P31" i="42"/>
  <c r="Q31" i="42" s="1"/>
  <c r="AD68" i="35"/>
  <c r="AH31" i="43"/>
  <c r="CC31" i="43"/>
  <c r="CE31" i="43" s="1"/>
  <c r="CF31" i="43" s="1"/>
  <c r="M33" i="35"/>
  <c r="AE68" i="35" l="1"/>
  <c r="N33" i="35"/>
  <c r="O33" i="35"/>
  <c r="M31" i="31"/>
  <c r="O31" i="31" s="1"/>
  <c r="X31" i="31"/>
  <c r="Y31" i="31" s="1"/>
  <c r="BH31" i="43"/>
  <c r="W31" i="43" s="1"/>
  <c r="BH31" i="42"/>
  <c r="W31" i="42" s="1"/>
  <c r="G33" i="35"/>
  <c r="I33" i="35" l="1"/>
  <c r="H33" i="35"/>
  <c r="X31" i="42"/>
  <c r="M31" i="42"/>
  <c r="O31" i="42" s="1"/>
  <c r="M31" i="43"/>
  <c r="O31" i="43" s="1"/>
  <c r="X31" i="43"/>
  <c r="Y31" i="42" l="1"/>
  <c r="Y31" i="43"/>
  <c r="BL31" i="31"/>
  <c r="BP31" i="31" l="1"/>
  <c r="Z31" i="31"/>
  <c r="AE31" i="31" s="1"/>
  <c r="BL31" i="42"/>
  <c r="BP31" i="42" s="1"/>
  <c r="BL31" i="43"/>
  <c r="BP31" i="43" s="1"/>
  <c r="Z31" i="43" l="1"/>
  <c r="Z31" i="42"/>
  <c r="N32" i="42" s="1"/>
  <c r="N32" i="31"/>
  <c r="CH32" i="31"/>
  <c r="AD31" i="31"/>
  <c r="AD31" i="43" l="1"/>
  <c r="AE31" i="43"/>
  <c r="AD31" i="42"/>
  <c r="P32" i="42" s="1"/>
  <c r="Q32" i="42" s="1"/>
  <c r="AE31" i="42"/>
  <c r="N32" i="43"/>
  <c r="AH32" i="43" s="1"/>
  <c r="AH32" i="31"/>
  <c r="CC32" i="31"/>
  <c r="CE32" i="31" s="1"/>
  <c r="CF32" i="31" s="1"/>
  <c r="AH32" i="42"/>
  <c r="CC32" i="42"/>
  <c r="CE32" i="42" s="1"/>
  <c r="CF32" i="42" s="1"/>
  <c r="P32" i="31"/>
  <c r="Q32" i="31" s="1"/>
  <c r="CC32" i="43" l="1"/>
  <c r="CE32" i="43" s="1"/>
  <c r="CF32" i="43" s="1"/>
  <c r="P32" i="43"/>
  <c r="Q32" i="43" s="1"/>
  <c r="BH32" i="43" s="1"/>
  <c r="W32" i="43" s="1"/>
  <c r="BH32" i="42"/>
  <c r="W32" i="42" s="1"/>
  <c r="BH32" i="31"/>
  <c r="W32" i="31" s="1"/>
  <c r="M32" i="43" l="1"/>
  <c r="O32" i="43" s="1"/>
  <c r="X32" i="43"/>
  <c r="M32" i="31"/>
  <c r="O32" i="31" s="1"/>
  <c r="X32" i="31"/>
  <c r="Y32" i="31" s="1"/>
  <c r="X32" i="42"/>
  <c r="M32" i="42"/>
  <c r="O32" i="42" s="1"/>
  <c r="Y32" i="42" l="1"/>
  <c r="Y32" i="43"/>
  <c r="BL32" i="31" l="1"/>
  <c r="BP32" i="31" s="1"/>
  <c r="BL32" i="42"/>
  <c r="BP32" i="42" s="1"/>
  <c r="BL32" i="43"/>
  <c r="BP32" i="43" s="1"/>
  <c r="Z32" i="31" l="1"/>
  <c r="Z32" i="42"/>
  <c r="N33" i="42" s="1"/>
  <c r="Z32" i="43"/>
  <c r="AE32" i="43" s="1"/>
  <c r="AD32" i="42" l="1"/>
  <c r="AE32" i="42"/>
  <c r="AD32" i="31"/>
  <c r="AE32" i="31"/>
  <c r="CH33" i="31"/>
  <c r="N33" i="31"/>
  <c r="CC33" i="31" s="1"/>
  <c r="CE33" i="31" s="1"/>
  <c r="CF33" i="31" s="1"/>
  <c r="AH33" i="42"/>
  <c r="CC33" i="42"/>
  <c r="CE33" i="42" s="1"/>
  <c r="CF33" i="42" s="1"/>
  <c r="P33" i="42"/>
  <c r="Q33" i="42" s="1"/>
  <c r="N33" i="43"/>
  <c r="AD32" i="43"/>
  <c r="P33" i="31" l="1"/>
  <c r="Q33" i="31" s="1"/>
  <c r="BH33" i="31" s="1"/>
  <c r="AH33" i="31"/>
  <c r="AH33" i="43"/>
  <c r="CC33" i="43"/>
  <c r="CE33" i="43" s="1"/>
  <c r="CF33" i="43" s="1"/>
  <c r="BH33" i="42"/>
  <c r="P33" i="43"/>
  <c r="Q33" i="43" s="1"/>
  <c r="W33" i="42" l="1"/>
  <c r="BH33" i="43"/>
  <c r="W33" i="43" s="1"/>
  <c r="W33" i="31"/>
  <c r="M33" i="43" l="1"/>
  <c r="O33" i="43" s="1"/>
  <c r="X33" i="43"/>
  <c r="M33" i="42"/>
  <c r="O33" i="42" s="1"/>
  <c r="X33" i="42"/>
  <c r="M33" i="31"/>
  <c r="O33" i="31" s="1"/>
  <c r="X33" i="31"/>
  <c r="Y33" i="31" s="1"/>
  <c r="Y33" i="43" l="1"/>
  <c r="Y33" i="42"/>
  <c r="BL33" i="42" l="1"/>
  <c r="BP33" i="42" s="1"/>
  <c r="BL33" i="43"/>
  <c r="BP33" i="43" s="1"/>
  <c r="BL33" i="31"/>
  <c r="BP33" i="31" s="1"/>
  <c r="Z33" i="43" l="1"/>
  <c r="Z33" i="31"/>
  <c r="AE33" i="31" s="1"/>
  <c r="Z33" i="42"/>
  <c r="AE33" i="42" s="1"/>
  <c r="N34" i="43" l="1"/>
  <c r="AH34" i="43" s="1"/>
  <c r="AE33" i="43"/>
  <c r="AD33" i="43"/>
  <c r="N34" i="31"/>
  <c r="CH34" i="31"/>
  <c r="AD33" i="31"/>
  <c r="N34" i="42"/>
  <c r="AD33" i="42"/>
  <c r="CC34" i="43" l="1"/>
  <c r="CE34" i="43" s="1"/>
  <c r="CF34" i="43" s="1"/>
  <c r="P34" i="43"/>
  <c r="Q34" i="43" s="1"/>
  <c r="BH34" i="43" s="1"/>
  <c r="W34" i="43" s="1"/>
  <c r="P34" i="42"/>
  <c r="Q34" i="42" s="1"/>
  <c r="P34" i="31"/>
  <c r="Q34" i="31" s="1"/>
  <c r="AH34" i="42"/>
  <c r="CC34" i="42"/>
  <c r="CE34" i="42" s="1"/>
  <c r="CF34" i="42" s="1"/>
  <c r="AH34" i="31"/>
  <c r="CC34" i="31"/>
  <c r="CE34" i="31" s="1"/>
  <c r="CF34" i="31" s="1"/>
  <c r="M34" i="43" l="1"/>
  <c r="O34" i="43" s="1"/>
  <c r="X34" i="43"/>
  <c r="BH34" i="31"/>
  <c r="W34" i="31" s="1"/>
  <c r="BH34" i="42"/>
  <c r="W34" i="42" s="1"/>
  <c r="Y34" i="43" l="1"/>
  <c r="M34" i="31"/>
  <c r="O34" i="31" s="1"/>
  <c r="X34" i="31"/>
  <c r="Y34" i="31" s="1"/>
  <c r="M34" i="42"/>
  <c r="O34" i="42" s="1"/>
  <c r="X34" i="42"/>
  <c r="Y34" i="42" l="1"/>
  <c r="BL34" i="43"/>
  <c r="BP34" i="43" s="1"/>
  <c r="BL34" i="42" l="1"/>
  <c r="BP34" i="42" s="1"/>
  <c r="Z34" i="43"/>
  <c r="AE34" i="43" s="1"/>
  <c r="BL34" i="31"/>
  <c r="BP34" i="31" s="1"/>
  <c r="N35" i="43" l="1"/>
  <c r="AD34" i="43"/>
  <c r="Z34" i="42"/>
  <c r="AE34" i="42" s="1"/>
  <c r="Z34" i="31"/>
  <c r="AE34" i="31" s="1"/>
  <c r="AH35" i="43" l="1"/>
  <c r="CC35" i="43"/>
  <c r="CE35" i="43" s="1"/>
  <c r="CF35" i="43" s="1"/>
  <c r="P35" i="43"/>
  <c r="Q35" i="43" s="1"/>
  <c r="N35" i="42"/>
  <c r="AD34" i="42"/>
  <c r="N35" i="31"/>
  <c r="CH35" i="31"/>
  <c r="AD34" i="31"/>
  <c r="AH35" i="42" l="1"/>
  <c r="CC35" i="42"/>
  <c r="CE35" i="42" s="1"/>
  <c r="CF35" i="42" s="1"/>
  <c r="P35" i="42"/>
  <c r="Q35" i="42" s="1"/>
  <c r="BH35" i="43"/>
  <c r="W35" i="43" s="1"/>
  <c r="AH35" i="31"/>
  <c r="CC35" i="31"/>
  <c r="CE35" i="31" s="1"/>
  <c r="CF35" i="31" s="1"/>
  <c r="P35" i="31"/>
  <c r="Q35" i="31" s="1"/>
  <c r="BH35" i="31" l="1"/>
  <c r="W35" i="31" s="1"/>
  <c r="BH35" i="42"/>
  <c r="W35" i="42" s="1"/>
  <c r="M35" i="43"/>
  <c r="O35" i="43" s="1"/>
  <c r="X35" i="43"/>
  <c r="M35" i="42" l="1"/>
  <c r="O35" i="42" s="1"/>
  <c r="X35" i="42"/>
  <c r="M35" i="31"/>
  <c r="O35" i="31" s="1"/>
  <c r="X35" i="31"/>
  <c r="Y35" i="31" s="1"/>
  <c r="Y35" i="43"/>
  <c r="BL35" i="43" l="1"/>
  <c r="BP35" i="43" s="1"/>
  <c r="Y35" i="42"/>
  <c r="BL35" i="31" l="1"/>
  <c r="BP35" i="31" s="1"/>
  <c r="BL35" i="42"/>
  <c r="BP35" i="42" s="1"/>
  <c r="Z35" i="43"/>
  <c r="AE35" i="43" s="1"/>
  <c r="Z35" i="42" l="1"/>
  <c r="Z35" i="31"/>
  <c r="N36" i="43"/>
  <c r="AD35" i="43"/>
  <c r="AD35" i="42" l="1"/>
  <c r="AE35" i="42"/>
  <c r="N36" i="31"/>
  <c r="AH36" i="31" s="1"/>
  <c r="AE35" i="31"/>
  <c r="N36" i="42"/>
  <c r="AH36" i="42" s="1"/>
  <c r="AD35" i="31"/>
  <c r="CH36" i="31"/>
  <c r="P36" i="43"/>
  <c r="Q36" i="43" s="1"/>
  <c r="BH36" i="43" s="1"/>
  <c r="AH36" i="43"/>
  <c r="CC36" i="43"/>
  <c r="CE36" i="43" s="1"/>
  <c r="CF36" i="43" s="1"/>
  <c r="CC36" i="31" l="1"/>
  <c r="CE36" i="31" s="1"/>
  <c r="CF36" i="31" s="1"/>
  <c r="CC36" i="42"/>
  <c r="CE36" i="42" s="1"/>
  <c r="CF36" i="42" s="1"/>
  <c r="P36" i="42"/>
  <c r="Q36" i="42" s="1"/>
  <c r="BH36" i="42" s="1"/>
  <c r="P36" i="31"/>
  <c r="Q36" i="31" s="1"/>
  <c r="BH36" i="31" s="1"/>
  <c r="W36" i="43"/>
  <c r="W36" i="42" l="1"/>
  <c r="X36" i="42" s="1"/>
  <c r="W36" i="31"/>
  <c r="M36" i="31" s="1"/>
  <c r="O36" i="31" s="1"/>
  <c r="X36" i="43"/>
  <c r="M36" i="43"/>
  <c r="O36" i="43" s="1"/>
  <c r="M36" i="42" l="1"/>
  <c r="O36" i="42" s="1"/>
  <c r="X36" i="31"/>
  <c r="Y36" i="31" s="1"/>
  <c r="Y36" i="43"/>
  <c r="BL36" i="43" s="1"/>
  <c r="BP36" i="43" s="1"/>
  <c r="Y36" i="42"/>
  <c r="BL36" i="42" s="1"/>
  <c r="BP36" i="42" s="1"/>
  <c r="Z36" i="43" l="1"/>
  <c r="AE36" i="43" s="1"/>
  <c r="Z36" i="42"/>
  <c r="AE36" i="42" s="1"/>
  <c r="BL36" i="31" l="1"/>
  <c r="BP36" i="31" s="1"/>
  <c r="N37" i="43"/>
  <c r="AD36" i="43"/>
  <c r="N37" i="42"/>
  <c r="AD36" i="42"/>
  <c r="Z36" i="31" l="1"/>
  <c r="AE36" i="31" s="1"/>
  <c r="P37" i="43"/>
  <c r="Q37" i="43" s="1"/>
  <c r="BH37" i="43" s="1"/>
  <c r="AH37" i="42"/>
  <c r="CC37" i="42"/>
  <c r="CE37" i="42" s="1"/>
  <c r="CF37" i="42" s="1"/>
  <c r="P37" i="42"/>
  <c r="Q37" i="42" s="1"/>
  <c r="BH37" i="42" s="1"/>
  <c r="AH37" i="43"/>
  <c r="CC37" i="43"/>
  <c r="CE37" i="43" s="1"/>
  <c r="CF37" i="43" s="1"/>
  <c r="N37" i="31" l="1"/>
  <c r="CH37" i="31"/>
  <c r="AD36" i="31"/>
  <c r="W37" i="43"/>
  <c r="W37" i="42"/>
  <c r="AH37" i="31" l="1"/>
  <c r="CC37" i="31"/>
  <c r="CE37" i="31" s="1"/>
  <c r="CF37" i="31" s="1"/>
  <c r="P37" i="31"/>
  <c r="Q37" i="31" s="1"/>
  <c r="BH37" i="31" s="1"/>
  <c r="M37" i="42"/>
  <c r="O37" i="42" s="1"/>
  <c r="X37" i="42"/>
  <c r="M37" i="43"/>
  <c r="O37" i="43" s="1"/>
  <c r="X37" i="43"/>
  <c r="W37" i="31" l="1"/>
  <c r="Y37" i="43"/>
  <c r="BL37" i="43" s="1"/>
  <c r="BP37" i="43" s="1"/>
  <c r="Y37" i="42"/>
  <c r="BL37" i="42" s="1"/>
  <c r="BP37" i="42" s="1"/>
  <c r="M37" i="31" l="1"/>
  <c r="O37" i="31" s="1"/>
  <c r="X37" i="31"/>
  <c r="Y37" i="31" s="1"/>
  <c r="Z37" i="43"/>
  <c r="AE37" i="43" s="1"/>
  <c r="Z37" i="42"/>
  <c r="AE37" i="42" s="1"/>
  <c r="N38" i="43" l="1"/>
  <c r="AD37" i="43"/>
  <c r="N38" i="42"/>
  <c r="AD37" i="42"/>
  <c r="BL37" i="31" l="1"/>
  <c r="BP37" i="31" s="1"/>
  <c r="P38" i="43"/>
  <c r="Q38" i="43" s="1"/>
  <c r="BH38" i="43" s="1"/>
  <c r="AH38" i="42"/>
  <c r="CC38" i="42"/>
  <c r="CE38" i="42" s="1"/>
  <c r="CF38" i="42" s="1"/>
  <c r="P38" i="42"/>
  <c r="Q38" i="42" s="1"/>
  <c r="BH38" i="42" s="1"/>
  <c r="AH38" i="43"/>
  <c r="CC38" i="43"/>
  <c r="CE38" i="43" s="1"/>
  <c r="CF38" i="43" s="1"/>
  <c r="Z37" i="31" l="1"/>
  <c r="AE37" i="31" s="1"/>
  <c r="W38" i="42"/>
  <c r="M38" i="42" s="1"/>
  <c r="O38" i="42" s="1"/>
  <c r="W38" i="43"/>
  <c r="AD37" i="31" l="1"/>
  <c r="CH38" i="31"/>
  <c r="N38" i="31"/>
  <c r="X38" i="42"/>
  <c r="Y38" i="42" s="1"/>
  <c r="BL38" i="42" s="1"/>
  <c r="BP38" i="42" s="1"/>
  <c r="M38" i="43"/>
  <c r="O38" i="43" s="1"/>
  <c r="X38" i="43"/>
  <c r="P38" i="31" l="1"/>
  <c r="Q38" i="31" s="1"/>
  <c r="BH38" i="31" s="1"/>
  <c r="CC38" i="31"/>
  <c r="CE38" i="31" s="1"/>
  <c r="CF38" i="31" s="1"/>
  <c r="AH38" i="31"/>
  <c r="Z38" i="42"/>
  <c r="AE38" i="42" s="1"/>
  <c r="Y38" i="43"/>
  <c r="BL38" i="43" s="1"/>
  <c r="BP38" i="43" s="1"/>
  <c r="W38" i="31" l="1"/>
  <c r="Z38" i="43"/>
  <c r="N39" i="42"/>
  <c r="AD38" i="42"/>
  <c r="N39" i="43" l="1"/>
  <c r="CC39" i="43" s="1"/>
  <c r="CE39" i="43" s="1"/>
  <c r="CF39" i="43" s="1"/>
  <c r="AE38" i="43"/>
  <c r="X38" i="31"/>
  <c r="Y38" i="31" s="1"/>
  <c r="M38" i="31"/>
  <c r="O38" i="31" s="1"/>
  <c r="AD38" i="43"/>
  <c r="AH39" i="42"/>
  <c r="CC39" i="42"/>
  <c r="CE39" i="42" s="1"/>
  <c r="CF39" i="42" s="1"/>
  <c r="P39" i="42"/>
  <c r="Q39" i="42" s="1"/>
  <c r="BH39" i="42" s="1"/>
  <c r="P39" i="43" l="1"/>
  <c r="Q39" i="43" s="1"/>
  <c r="BH39" i="43" s="1"/>
  <c r="W39" i="43" s="1"/>
  <c r="M39" i="43" s="1"/>
  <c r="O39" i="43" s="1"/>
  <c r="AH39" i="43"/>
  <c r="BL38" i="31"/>
  <c r="BP38" i="31" s="1"/>
  <c r="W39" i="42"/>
  <c r="X39" i="43" l="1"/>
  <c r="Y39" i="43" s="1"/>
  <c r="BL39" i="43" s="1"/>
  <c r="BP39" i="43" s="1"/>
  <c r="Z38" i="31"/>
  <c r="AE38" i="31" s="1"/>
  <c r="M39" i="42"/>
  <c r="O39" i="42" s="1"/>
  <c r="X39" i="42"/>
  <c r="CH39" i="31" l="1"/>
  <c r="AD38" i="31"/>
  <c r="N39" i="31"/>
  <c r="Y39" i="42"/>
  <c r="BL39" i="42" s="1"/>
  <c r="BP39" i="42" s="1"/>
  <c r="Z39" i="43"/>
  <c r="AE39" i="43" s="1"/>
  <c r="P39" i="31" l="1"/>
  <c r="Q39" i="31" s="1"/>
  <c r="BH39" i="31" s="1"/>
  <c r="CC39" i="31"/>
  <c r="CE39" i="31" s="1"/>
  <c r="CF39" i="31" s="1"/>
  <c r="AH39" i="31"/>
  <c r="N40" i="43"/>
  <c r="AD39" i="43"/>
  <c r="Z39" i="42"/>
  <c r="AE39" i="42" s="1"/>
  <c r="W39" i="31" l="1"/>
  <c r="AH40" i="43"/>
  <c r="CC40" i="43"/>
  <c r="CE40" i="43" s="1"/>
  <c r="CF40" i="43" s="1"/>
  <c r="N40" i="42"/>
  <c r="AD39" i="42"/>
  <c r="P40" i="43"/>
  <c r="Q40" i="43" s="1"/>
  <c r="BH40" i="43" s="1"/>
  <c r="M39" i="31" l="1"/>
  <c r="O39" i="31" s="1"/>
  <c r="X39" i="31"/>
  <c r="Y39" i="31" s="1"/>
  <c r="P40" i="42"/>
  <c r="Q40" i="42" s="1"/>
  <c r="BH40" i="42" s="1"/>
  <c r="W40" i="43"/>
  <c r="AH40" i="42"/>
  <c r="CC40" i="42"/>
  <c r="CE40" i="42" s="1"/>
  <c r="CF40" i="42" s="1"/>
  <c r="BL39" i="31" l="1"/>
  <c r="BP39" i="31" s="1"/>
  <c r="W40" i="42"/>
  <c r="M40" i="43"/>
  <c r="O40" i="43" s="1"/>
  <c r="X40" i="43"/>
  <c r="Z39" i="31" l="1"/>
  <c r="AE39" i="31" s="1"/>
  <c r="Y40" i="43"/>
  <c r="BL40" i="43" s="1"/>
  <c r="BP40" i="43" s="1"/>
  <c r="M40" i="42"/>
  <c r="O40" i="42" s="1"/>
  <c r="X40" i="42"/>
  <c r="CH40" i="31" l="1"/>
  <c r="N40" i="31"/>
  <c r="AD39" i="31"/>
  <c r="Z40" i="43"/>
  <c r="AE40" i="43" s="1"/>
  <c r="Y40" i="42"/>
  <c r="BL40" i="42" s="1"/>
  <c r="BP40" i="42" s="1"/>
  <c r="CC40" i="31" l="1"/>
  <c r="CE40" i="31" s="1"/>
  <c r="CF40" i="31" s="1"/>
  <c r="AH40" i="31"/>
  <c r="P40" i="31"/>
  <c r="Q40" i="31" s="1"/>
  <c r="BH40" i="31" s="1"/>
  <c r="N41" i="43"/>
  <c r="AD40" i="43"/>
  <c r="Z40" i="42"/>
  <c r="AE40" i="42" s="1"/>
  <c r="W40" i="31" l="1"/>
  <c r="AH41" i="43"/>
  <c r="CC41" i="43"/>
  <c r="CE41" i="43" s="1"/>
  <c r="CF41" i="43" s="1"/>
  <c r="N41" i="42"/>
  <c r="AD40" i="42"/>
  <c r="P41" i="43"/>
  <c r="Q41" i="43" s="1"/>
  <c r="BH41" i="43" s="1"/>
  <c r="X40" i="31" l="1"/>
  <c r="Y40" i="31" s="1"/>
  <c r="M40" i="31"/>
  <c r="O40" i="31" s="1"/>
  <c r="P41" i="42"/>
  <c r="Q41" i="42" s="1"/>
  <c r="BH41" i="42" s="1"/>
  <c r="W41" i="43"/>
  <c r="AH41" i="42"/>
  <c r="CC41" i="42"/>
  <c r="CE41" i="42" s="1"/>
  <c r="CF41" i="42" s="1"/>
  <c r="BL40" i="31" l="1"/>
  <c r="BP40" i="31" s="1"/>
  <c r="M41" i="43"/>
  <c r="O41" i="43" s="1"/>
  <c r="X41" i="43"/>
  <c r="W41" i="42"/>
  <c r="Z40" i="31" l="1"/>
  <c r="AE40" i="31" s="1"/>
  <c r="X41" i="42"/>
  <c r="M41" i="42"/>
  <c r="O41" i="42" s="1"/>
  <c r="Y41" i="43"/>
  <c r="BL41" i="43" s="1"/>
  <c r="BP41" i="43" s="1"/>
  <c r="N41" i="31" l="1"/>
  <c r="CH41" i="31"/>
  <c r="AD40" i="31"/>
  <c r="Y41" i="42"/>
  <c r="BL41" i="42" s="1"/>
  <c r="BP41" i="42" s="1"/>
  <c r="Z41" i="43"/>
  <c r="AE41" i="43" s="1"/>
  <c r="CC41" i="31" l="1"/>
  <c r="CE41" i="31" s="1"/>
  <c r="CF41" i="31" s="1"/>
  <c r="AH41" i="31"/>
  <c r="P41" i="31"/>
  <c r="Q41" i="31" s="1"/>
  <c r="BH41" i="31" s="1"/>
  <c r="N42" i="43"/>
  <c r="AD41" i="43"/>
  <c r="Z41" i="42"/>
  <c r="AE41" i="42" s="1"/>
  <c r="W41" i="31" l="1"/>
  <c r="AH42" i="43"/>
  <c r="CC42" i="43"/>
  <c r="CE42" i="43" s="1"/>
  <c r="CF42" i="43" s="1"/>
  <c r="N42" i="42"/>
  <c r="AD41" i="42"/>
  <c r="P42" i="43"/>
  <c r="Q42" i="43" s="1"/>
  <c r="BH42" i="43" s="1"/>
  <c r="M41" i="31" l="1"/>
  <c r="O41" i="31" s="1"/>
  <c r="X41" i="31"/>
  <c r="Y41" i="31" s="1"/>
  <c r="P42" i="42"/>
  <c r="Q42" i="42" s="1"/>
  <c r="BH42" i="42" s="1"/>
  <c r="AH42" i="42"/>
  <c r="CC42" i="42"/>
  <c r="CE42" i="42" s="1"/>
  <c r="CF42" i="42" s="1"/>
  <c r="W42" i="43"/>
  <c r="BL41" i="31" l="1"/>
  <c r="BP41" i="31" s="1"/>
  <c r="M42" i="43"/>
  <c r="O42" i="43" s="1"/>
  <c r="X42" i="43"/>
  <c r="W42" i="42"/>
  <c r="Z41" i="31" l="1"/>
  <c r="AE41" i="31" s="1"/>
  <c r="M42" i="42"/>
  <c r="O42" i="42" s="1"/>
  <c r="X42" i="42"/>
  <c r="Y42" i="43"/>
  <c r="BL42" i="43" s="1"/>
  <c r="BP42" i="43" s="1"/>
  <c r="N42" i="31" l="1"/>
  <c r="AD41" i="31"/>
  <c r="CH42" i="31"/>
  <c r="AB69" i="35"/>
  <c r="Y42" i="42"/>
  <c r="BL42" i="42" s="1"/>
  <c r="BP42" i="42" s="1"/>
  <c r="Z42" i="43"/>
  <c r="AE42" i="43" s="1"/>
  <c r="CC42" i="31" l="1"/>
  <c r="CE42" i="31" s="1"/>
  <c r="CF42" i="31" s="1"/>
  <c r="AH42" i="31"/>
  <c r="P42" i="31"/>
  <c r="Q42" i="31" s="1"/>
  <c r="BH42" i="31" s="1"/>
  <c r="Z42" i="42"/>
  <c r="AE42" i="42" s="1"/>
  <c r="AF69" i="35" s="1"/>
  <c r="N43" i="43"/>
  <c r="AD42" i="43"/>
  <c r="W42" i="31" l="1"/>
  <c r="N43" i="42"/>
  <c r="AD42" i="42"/>
  <c r="AH43" i="43"/>
  <c r="CC43" i="43"/>
  <c r="CE43" i="43" s="1"/>
  <c r="CF43" i="43" s="1"/>
  <c r="P43" i="43"/>
  <c r="Q43" i="43" s="1"/>
  <c r="M42" i="31" l="1"/>
  <c r="O42" i="31" s="1"/>
  <c r="X42" i="31"/>
  <c r="Y42" i="31" s="1"/>
  <c r="AH43" i="42"/>
  <c r="CC43" i="42"/>
  <c r="CE43" i="42" s="1"/>
  <c r="CF43" i="42" s="1"/>
  <c r="AD69" i="35"/>
  <c r="P43" i="42"/>
  <c r="Q43" i="42" s="1"/>
  <c r="BH43" i="43"/>
  <c r="AE69" i="35" l="1"/>
  <c r="BL42" i="31"/>
  <c r="BP42" i="31" s="1"/>
  <c r="AB34" i="35"/>
  <c r="G34" i="35"/>
  <c r="BH43" i="42"/>
  <c r="W43" i="43"/>
  <c r="I34" i="35" l="1"/>
  <c r="H34" i="35"/>
  <c r="Z42" i="31"/>
  <c r="AE42" i="31" s="1"/>
  <c r="AF34" i="35" s="1"/>
  <c r="M43" i="43"/>
  <c r="O43" i="43" s="1"/>
  <c r="X43" i="43"/>
  <c r="W43" i="42"/>
  <c r="AD42" i="31" l="1"/>
  <c r="CH43" i="31"/>
  <c r="N43" i="31"/>
  <c r="Y43" i="43"/>
  <c r="M43" i="42"/>
  <c r="O43" i="42" s="1"/>
  <c r="X43" i="42"/>
  <c r="AD34" i="35" l="1"/>
  <c r="P43" i="31"/>
  <c r="Q43" i="31" s="1"/>
  <c r="BH43" i="31" s="1"/>
  <c r="W43" i="31" s="1"/>
  <c r="AH43" i="31"/>
  <c r="CC43" i="31"/>
  <c r="CE43" i="31" s="1"/>
  <c r="CF43" i="31" s="1"/>
  <c r="BL43" i="43"/>
  <c r="BP43" i="43" s="1"/>
  <c r="Y43" i="42"/>
  <c r="AE34" i="35" l="1"/>
  <c r="O34" i="35"/>
  <c r="M34" i="35"/>
  <c r="X43" i="31"/>
  <c r="Y43" i="31" s="1"/>
  <c r="M43" i="31"/>
  <c r="O43" i="31" s="1"/>
  <c r="BL43" i="42"/>
  <c r="Z43" i="43"/>
  <c r="AE43" i="43" s="1"/>
  <c r="BL43" i="31" l="1"/>
  <c r="N34" i="35"/>
  <c r="N44" i="43"/>
  <c r="AD43" i="43"/>
  <c r="BP43" i="42"/>
  <c r="Z43" i="42"/>
  <c r="AE43" i="42" s="1"/>
  <c r="BP43" i="31" l="1"/>
  <c r="Z43" i="31"/>
  <c r="AE43" i="31" s="1"/>
  <c r="AH44" i="43"/>
  <c r="CC44" i="43"/>
  <c r="CE44" i="43" s="1"/>
  <c r="CF44" i="43" s="1"/>
  <c r="N44" i="42"/>
  <c r="AD43" i="42"/>
  <c r="P44" i="43"/>
  <c r="Q44" i="43" s="1"/>
  <c r="CH44" i="31" l="1"/>
  <c r="AD43" i="31"/>
  <c r="N44" i="31"/>
  <c r="P44" i="31" s="1"/>
  <c r="Q44" i="31" s="1"/>
  <c r="BH44" i="43"/>
  <c r="W44" i="43" s="1"/>
  <c r="AH44" i="42"/>
  <c r="CC44" i="42"/>
  <c r="CE44" i="42" s="1"/>
  <c r="CF44" i="42" s="1"/>
  <c r="P44" i="42"/>
  <c r="Q44" i="42" s="1"/>
  <c r="CC44" i="31" l="1"/>
  <c r="CE44" i="31" s="1"/>
  <c r="CF44" i="31" s="1"/>
  <c r="AH44" i="31"/>
  <c r="M44" i="43"/>
  <c r="O44" i="43" s="1"/>
  <c r="X44" i="43"/>
  <c r="BH44" i="42"/>
  <c r="W44" i="42" s="1"/>
  <c r="BH44" i="31"/>
  <c r="W44" i="31" s="1"/>
  <c r="M44" i="31" l="1"/>
  <c r="O44" i="31" s="1"/>
  <c r="X44" i="31"/>
  <c r="Y44" i="31" s="1"/>
  <c r="M44" i="42"/>
  <c r="O44" i="42" s="1"/>
  <c r="X44" i="42"/>
  <c r="Y44" i="43"/>
  <c r="Y44" i="42" l="1"/>
  <c r="BL44" i="43"/>
  <c r="BP44" i="43" s="1"/>
  <c r="BL44" i="31" l="1"/>
  <c r="BP44" i="31" s="1"/>
  <c r="Z44" i="43"/>
  <c r="AE44" i="43" s="1"/>
  <c r="BL44" i="42"/>
  <c r="BP44" i="42" s="1"/>
  <c r="N45" i="43" l="1"/>
  <c r="AD44" i="43"/>
  <c r="Z44" i="31"/>
  <c r="AE44" i="31" s="1"/>
  <c r="Z44" i="42"/>
  <c r="AE44" i="42" s="1"/>
  <c r="CH45" i="31" l="1"/>
  <c r="N45" i="31"/>
  <c r="AD44" i="31"/>
  <c r="AD44" i="42"/>
  <c r="N45" i="42"/>
  <c r="AH45" i="43"/>
  <c r="CC45" i="43"/>
  <c r="CE45" i="43" s="1"/>
  <c r="CF45" i="43" s="1"/>
  <c r="P45" i="43"/>
  <c r="Q45" i="43" s="1"/>
  <c r="AH45" i="42" l="1"/>
  <c r="CC45" i="42"/>
  <c r="CE45" i="42" s="1"/>
  <c r="CF45" i="42" s="1"/>
  <c r="AH45" i="31"/>
  <c r="CC45" i="31"/>
  <c r="CE45" i="31" s="1"/>
  <c r="CF45" i="31" s="1"/>
  <c r="BH45" i="43"/>
  <c r="W45" i="43" s="1"/>
  <c r="P45" i="31"/>
  <c r="Q45" i="31" s="1"/>
  <c r="P45" i="42"/>
  <c r="Q45" i="42" s="1"/>
  <c r="BH45" i="31" l="1"/>
  <c r="W45" i="31" s="1"/>
  <c r="M45" i="43"/>
  <c r="O45" i="43" s="1"/>
  <c r="X45" i="43"/>
  <c r="BH45" i="42"/>
  <c r="W45" i="42" s="1"/>
  <c r="M45" i="31" l="1"/>
  <c r="O45" i="31" s="1"/>
  <c r="X45" i="31"/>
  <c r="Y45" i="31" s="1"/>
  <c r="M45" i="42"/>
  <c r="O45" i="42" s="1"/>
  <c r="X45" i="42"/>
  <c r="Y45" i="43"/>
  <c r="Y45" i="42" l="1"/>
  <c r="BL45" i="43"/>
  <c r="BP45" i="43" s="1"/>
  <c r="BL45" i="42" l="1"/>
  <c r="BP45" i="42" s="1"/>
  <c r="Z45" i="43"/>
  <c r="AE45" i="43" s="1"/>
  <c r="BL45" i="31"/>
  <c r="BP45" i="31" s="1"/>
  <c r="N46" i="43" l="1"/>
  <c r="AD45" i="43"/>
  <c r="Z45" i="42"/>
  <c r="AE45" i="42" s="1"/>
  <c r="Z45" i="31"/>
  <c r="AE45" i="31" s="1"/>
  <c r="AH46" i="43" l="1"/>
  <c r="CC46" i="43"/>
  <c r="CE46" i="43" s="1"/>
  <c r="CF46" i="43" s="1"/>
  <c r="N46" i="42"/>
  <c r="AD45" i="42"/>
  <c r="CH46" i="31"/>
  <c r="N46" i="31"/>
  <c r="AD45" i="31"/>
  <c r="P46" i="43"/>
  <c r="Q46" i="43" s="1"/>
  <c r="AH46" i="42" l="1"/>
  <c r="CC46" i="42"/>
  <c r="CE46" i="42" s="1"/>
  <c r="CF46" i="42" s="1"/>
  <c r="P46" i="31"/>
  <c r="Q46" i="31" s="1"/>
  <c r="P46" i="42"/>
  <c r="Q46" i="42" s="1"/>
  <c r="BH46" i="43"/>
  <c r="W46" i="43" s="1"/>
  <c r="AH46" i="31"/>
  <c r="CC46" i="31"/>
  <c r="CE46" i="31" s="1"/>
  <c r="CF46" i="31" s="1"/>
  <c r="M46" i="43" l="1"/>
  <c r="O46" i="43" s="1"/>
  <c r="X46" i="43"/>
  <c r="BH46" i="31"/>
  <c r="W46" i="31" s="1"/>
  <c r="BH46" i="42"/>
  <c r="W46" i="42" s="1"/>
  <c r="M46" i="42" l="1"/>
  <c r="O46" i="42" s="1"/>
  <c r="X46" i="42"/>
  <c r="M46" i="31"/>
  <c r="O46" i="31" s="1"/>
  <c r="X46" i="31"/>
  <c r="Y46" i="31" s="1"/>
  <c r="Y46" i="43"/>
  <c r="Y46" i="42" l="1"/>
  <c r="BL46" i="43"/>
  <c r="BP46" i="43" s="1"/>
  <c r="BL46" i="31" l="1"/>
  <c r="BP46" i="31" s="1"/>
  <c r="BL46" i="42"/>
  <c r="BP46" i="42" s="1"/>
  <c r="Z46" i="43"/>
  <c r="AE46" i="43" s="1"/>
  <c r="Z46" i="42" l="1"/>
  <c r="Z46" i="31"/>
  <c r="N47" i="43"/>
  <c r="AD46" i="43"/>
  <c r="AD46" i="42" l="1"/>
  <c r="AE46" i="42"/>
  <c r="N47" i="31"/>
  <c r="CC47" i="31" s="1"/>
  <c r="CE47" i="31" s="1"/>
  <c r="CF47" i="31" s="1"/>
  <c r="AE46" i="31"/>
  <c r="CH47" i="31"/>
  <c r="AD46" i="31"/>
  <c r="N47" i="42"/>
  <c r="AH47" i="42" s="1"/>
  <c r="AH47" i="43"/>
  <c r="CC47" i="43"/>
  <c r="CE47" i="43" s="1"/>
  <c r="CF47" i="43" s="1"/>
  <c r="P47" i="43"/>
  <c r="Q47" i="43" s="1"/>
  <c r="AH47" i="31" l="1"/>
  <c r="P47" i="31"/>
  <c r="Q47" i="31" s="1"/>
  <c r="BH47" i="31" s="1"/>
  <c r="P47" i="42"/>
  <c r="Q47" i="42" s="1"/>
  <c r="BH47" i="42" s="1"/>
  <c r="W47" i="42" s="1"/>
  <c r="CC47" i="42"/>
  <c r="CE47" i="42" s="1"/>
  <c r="CF47" i="42" s="1"/>
  <c r="BH47" i="43"/>
  <c r="M47" i="42" l="1"/>
  <c r="O47" i="42" s="1"/>
  <c r="X47" i="42"/>
  <c r="W47" i="43"/>
  <c r="W47" i="31"/>
  <c r="Y47" i="42" l="1"/>
  <c r="M47" i="31"/>
  <c r="O47" i="31" s="1"/>
  <c r="X47" i="31"/>
  <c r="Y47" i="31" s="1"/>
  <c r="M47" i="43"/>
  <c r="O47" i="43" s="1"/>
  <c r="X47" i="43"/>
  <c r="BL47" i="42" l="1"/>
  <c r="BP47" i="42" s="1"/>
  <c r="Y47" i="43"/>
  <c r="Z47" i="42" l="1"/>
  <c r="AE47" i="42" s="1"/>
  <c r="BL47" i="31"/>
  <c r="BP47" i="31" s="1"/>
  <c r="BL47" i="43"/>
  <c r="BP47" i="43" s="1"/>
  <c r="N48" i="42" l="1"/>
  <c r="AD47" i="42"/>
  <c r="Z47" i="43"/>
  <c r="AE47" i="43" s="1"/>
  <c r="Z47" i="31"/>
  <c r="AE47" i="31" s="1"/>
  <c r="P48" i="42" l="1"/>
  <c r="Q48" i="42" s="1"/>
  <c r="BH48" i="42" s="1"/>
  <c r="AH48" i="42"/>
  <c r="CC48" i="42"/>
  <c r="CE48" i="42" s="1"/>
  <c r="CF48" i="42" s="1"/>
  <c r="N48" i="43"/>
  <c r="AD47" i="43"/>
  <c r="CH48" i="31"/>
  <c r="N48" i="31"/>
  <c r="AD47" i="31"/>
  <c r="AH48" i="43" l="1"/>
  <c r="CC48" i="43"/>
  <c r="CE48" i="43" s="1"/>
  <c r="CF48" i="43" s="1"/>
  <c r="W48" i="42"/>
  <c r="AH48" i="31"/>
  <c r="CC48" i="31"/>
  <c r="CE48" i="31" s="1"/>
  <c r="CF48" i="31" s="1"/>
  <c r="P48" i="31"/>
  <c r="Q48" i="31" s="1"/>
  <c r="BH48" i="31" s="1"/>
  <c r="P48" i="43"/>
  <c r="Q48" i="43" s="1"/>
  <c r="BH48" i="43" s="1"/>
  <c r="M48" i="42" l="1"/>
  <c r="O48" i="42" s="1"/>
  <c r="X48" i="42"/>
  <c r="W48" i="43"/>
  <c r="W48" i="31"/>
  <c r="Y48" i="42" l="1"/>
  <c r="BL48" i="42" s="1"/>
  <c r="BP48" i="42" s="1"/>
  <c r="M48" i="31"/>
  <c r="O48" i="31" s="1"/>
  <c r="X48" i="31"/>
  <c r="Y48" i="31" s="1"/>
  <c r="M48" i="43"/>
  <c r="O48" i="43" s="1"/>
  <c r="X48" i="43"/>
  <c r="Y48" i="43" l="1"/>
  <c r="BL48" i="43" s="1"/>
  <c r="BP48" i="43" s="1"/>
  <c r="Z48" i="42"/>
  <c r="AE48" i="42" s="1"/>
  <c r="BL48" i="31"/>
  <c r="BP48" i="31" s="1"/>
  <c r="Z48" i="31" l="1"/>
  <c r="Z48" i="43"/>
  <c r="AE48" i="43" s="1"/>
  <c r="N49" i="42"/>
  <c r="AD48" i="42"/>
  <c r="N49" i="31" l="1"/>
  <c r="CC49" i="31" s="1"/>
  <c r="CE49" i="31" s="1"/>
  <c r="CF49" i="31" s="1"/>
  <c r="AE48" i="31"/>
  <c r="AD48" i="31"/>
  <c r="CH49" i="31"/>
  <c r="AH49" i="42"/>
  <c r="CC49" i="42"/>
  <c r="CE49" i="42" s="1"/>
  <c r="CF49" i="42" s="1"/>
  <c r="N49" i="43"/>
  <c r="AD48" i="43"/>
  <c r="P49" i="42"/>
  <c r="Q49" i="42" s="1"/>
  <c r="BH49" i="42" s="1"/>
  <c r="AH49" i="31" l="1"/>
  <c r="P49" i="31"/>
  <c r="Q49" i="31" s="1"/>
  <c r="BH49" i="31" s="1"/>
  <c r="P49" i="43"/>
  <c r="Q49" i="43" s="1"/>
  <c r="BH49" i="43" s="1"/>
  <c r="AH49" i="43"/>
  <c r="CC49" i="43"/>
  <c r="CE49" i="43" s="1"/>
  <c r="CF49" i="43" s="1"/>
  <c r="W49" i="42"/>
  <c r="W49" i="31" l="1"/>
  <c r="X49" i="31" s="1"/>
  <c r="Y49" i="31" s="1"/>
  <c r="M49" i="42"/>
  <c r="O49" i="42" s="1"/>
  <c r="X49" i="42"/>
  <c r="W49" i="43"/>
  <c r="M49" i="31" l="1"/>
  <c r="O49" i="31" s="1"/>
  <c r="BL49" i="31"/>
  <c r="BP49" i="31" s="1"/>
  <c r="Y49" i="42"/>
  <c r="BL49" i="42" s="1"/>
  <c r="BP49" i="42" s="1"/>
  <c r="M49" i="43"/>
  <c r="O49" i="43" s="1"/>
  <c r="X49" i="43"/>
  <c r="Z49" i="42" l="1"/>
  <c r="Y49" i="43"/>
  <c r="BL49" i="43" s="1"/>
  <c r="BP49" i="43" s="1"/>
  <c r="Z49" i="31"/>
  <c r="AE49" i="31" s="1"/>
  <c r="AD49" i="42" l="1"/>
  <c r="AE49" i="42"/>
  <c r="N50" i="42"/>
  <c r="N50" i="31"/>
  <c r="CH50" i="31"/>
  <c r="AD49" i="31"/>
  <c r="Z49" i="43"/>
  <c r="AE49" i="43" s="1"/>
  <c r="P50" i="42" l="1"/>
  <c r="Q50" i="42" s="1"/>
  <c r="BH50" i="42" s="1"/>
  <c r="CC50" i="42"/>
  <c r="CE50" i="42" s="1"/>
  <c r="CF50" i="42" s="1"/>
  <c r="AH50" i="42"/>
  <c r="AH50" i="31"/>
  <c r="CC50" i="31"/>
  <c r="CE50" i="31" s="1"/>
  <c r="CF50" i="31" s="1"/>
  <c r="N50" i="43"/>
  <c r="AD49" i="43"/>
  <c r="P50" i="31"/>
  <c r="Q50" i="31" s="1"/>
  <c r="BH50" i="31" s="1"/>
  <c r="W50" i="42" l="1"/>
  <c r="M50" i="42" s="1"/>
  <c r="O50" i="42" s="1"/>
  <c r="AH50" i="43"/>
  <c r="CC50" i="43"/>
  <c r="CE50" i="43" s="1"/>
  <c r="CF50" i="43" s="1"/>
  <c r="P50" i="43"/>
  <c r="Q50" i="43" s="1"/>
  <c r="BH50" i="43" s="1"/>
  <c r="W50" i="31"/>
  <c r="X50" i="42" l="1"/>
  <c r="Y50" i="42" s="1"/>
  <c r="BL50" i="42" s="1"/>
  <c r="BP50" i="42" s="1"/>
  <c r="M50" i="31"/>
  <c r="O50" i="31" s="1"/>
  <c r="X50" i="31"/>
  <c r="Y50" i="31" s="1"/>
  <c r="W50" i="43"/>
  <c r="M50" i="43" l="1"/>
  <c r="O50" i="43" s="1"/>
  <c r="X50" i="43"/>
  <c r="BL50" i="31"/>
  <c r="BP50" i="31" s="1"/>
  <c r="Z50" i="42"/>
  <c r="AE50" i="42" s="1"/>
  <c r="N51" i="42" l="1"/>
  <c r="AD50" i="42"/>
  <c r="Y50" i="43"/>
  <c r="BL50" i="43" s="1"/>
  <c r="BP50" i="43" s="1"/>
  <c r="Z50" i="31"/>
  <c r="AE50" i="31" s="1"/>
  <c r="AH51" i="42" l="1"/>
  <c r="CC51" i="42"/>
  <c r="CE51" i="42" s="1"/>
  <c r="CF51" i="42" s="1"/>
  <c r="N51" i="31"/>
  <c r="CH51" i="31"/>
  <c r="AD50" i="31"/>
  <c r="P51" i="42"/>
  <c r="Q51" i="42" s="1"/>
  <c r="BH51" i="42" s="1"/>
  <c r="Z50" i="43"/>
  <c r="AE50" i="43" s="1"/>
  <c r="W51" i="42" l="1"/>
  <c r="N51" i="43"/>
  <c r="AD50" i="43"/>
  <c r="P51" i="31"/>
  <c r="Q51" i="31" s="1"/>
  <c r="BH51" i="31" s="1"/>
  <c r="AH51" i="31"/>
  <c r="CC51" i="31"/>
  <c r="CE51" i="31" s="1"/>
  <c r="CF51" i="31" s="1"/>
  <c r="M51" i="42" l="1"/>
  <c r="O51" i="42" s="1"/>
  <c r="X51" i="42"/>
  <c r="AH51" i="43"/>
  <c r="CC51" i="43"/>
  <c r="CE51" i="43" s="1"/>
  <c r="CF51" i="43" s="1"/>
  <c r="P51" i="43"/>
  <c r="Q51" i="43" s="1"/>
  <c r="BH51" i="43" s="1"/>
  <c r="W51" i="31"/>
  <c r="W51" i="43" l="1"/>
  <c r="Y51" i="42"/>
  <c r="BL51" i="42" s="1"/>
  <c r="BP51" i="42" s="1"/>
  <c r="M51" i="31"/>
  <c r="O51" i="31" s="1"/>
  <c r="X51" i="31"/>
  <c r="Y51" i="31" s="1"/>
  <c r="M51" i="43" l="1"/>
  <c r="O51" i="43" s="1"/>
  <c r="X51" i="43"/>
  <c r="BL51" i="31"/>
  <c r="BP51" i="31" s="1"/>
  <c r="Z51" i="42"/>
  <c r="AE51" i="42" s="1"/>
  <c r="N52" i="42" l="1"/>
  <c r="AD51" i="42"/>
  <c r="Y51" i="43"/>
  <c r="BL51" i="43" s="1"/>
  <c r="BP51" i="43" s="1"/>
  <c r="Z51" i="31"/>
  <c r="AE51" i="31" s="1"/>
  <c r="AH52" i="42" l="1"/>
  <c r="CC52" i="42"/>
  <c r="CE52" i="42" s="1"/>
  <c r="CF52" i="42" s="1"/>
  <c r="CH52" i="31"/>
  <c r="N52" i="31"/>
  <c r="AD51" i="31"/>
  <c r="P52" i="42"/>
  <c r="Q52" i="42" s="1"/>
  <c r="BH52" i="42" s="1"/>
  <c r="Z51" i="43"/>
  <c r="AE51" i="43" s="1"/>
  <c r="AH52" i="31" l="1"/>
  <c r="CC52" i="31"/>
  <c r="CE52" i="31" s="1"/>
  <c r="CF52" i="31" s="1"/>
  <c r="N52" i="43"/>
  <c r="AD51" i="43"/>
  <c r="P52" i="31"/>
  <c r="Q52" i="31" s="1"/>
  <c r="BH52" i="31" s="1"/>
  <c r="W52" i="42"/>
  <c r="M52" i="42" l="1"/>
  <c r="O52" i="42" s="1"/>
  <c r="X52" i="42"/>
  <c r="P52" i="43"/>
  <c r="Q52" i="43" s="1"/>
  <c r="BH52" i="43" s="1"/>
  <c r="W52" i="31"/>
  <c r="AH52" i="43"/>
  <c r="CC52" i="43"/>
  <c r="CE52" i="43" s="1"/>
  <c r="CF52" i="43" s="1"/>
  <c r="W52" i="43" l="1"/>
  <c r="M52" i="31"/>
  <c r="O52" i="31" s="1"/>
  <c r="X52" i="31"/>
  <c r="Y52" i="31" s="1"/>
  <c r="Y52" i="42"/>
  <c r="BL52" i="42" s="1"/>
  <c r="BP52" i="42" s="1"/>
  <c r="Z52" i="42" l="1"/>
  <c r="N53" i="42" s="1"/>
  <c r="M52" i="43"/>
  <c r="O52" i="43" s="1"/>
  <c r="X52" i="43"/>
  <c r="BL52" i="31"/>
  <c r="BP52" i="31" s="1"/>
  <c r="AD52" i="42" l="1"/>
  <c r="P53" i="42" s="1"/>
  <c r="Q53" i="42" s="1"/>
  <c r="BH53" i="42" s="1"/>
  <c r="AE52" i="42"/>
  <c r="AH53" i="42"/>
  <c r="CC53" i="42"/>
  <c r="CE53" i="42" s="1"/>
  <c r="CF53" i="42" s="1"/>
  <c r="Y52" i="43"/>
  <c r="BL52" i="43" s="1"/>
  <c r="BP52" i="43" s="1"/>
  <c r="Z52" i="31"/>
  <c r="AE52" i="31" s="1"/>
  <c r="N53" i="31" l="1"/>
  <c r="CH53" i="31"/>
  <c r="AD52" i="31"/>
  <c r="Z52" i="43"/>
  <c r="AE52" i="43" s="1"/>
  <c r="W53" i="42"/>
  <c r="AH53" i="31" l="1"/>
  <c r="CC53" i="31"/>
  <c r="CE53" i="31" s="1"/>
  <c r="CF53" i="31" s="1"/>
  <c r="M53" i="42"/>
  <c r="O53" i="42" s="1"/>
  <c r="X53" i="42"/>
  <c r="P53" i="31"/>
  <c r="Q53" i="31" s="1"/>
  <c r="BH53" i="31" s="1"/>
  <c r="N53" i="43"/>
  <c r="AD52" i="43"/>
  <c r="AH53" i="43" l="1"/>
  <c r="CC53" i="43"/>
  <c r="CE53" i="43" s="1"/>
  <c r="CF53" i="43" s="1"/>
  <c r="Y53" i="42"/>
  <c r="BL53" i="42" s="1"/>
  <c r="BP53" i="42" s="1"/>
  <c r="P53" i="43"/>
  <c r="Q53" i="43" s="1"/>
  <c r="BH53" i="43" s="1"/>
  <c r="W53" i="31"/>
  <c r="Z53" i="42" l="1"/>
  <c r="M53" i="31"/>
  <c r="O53" i="31" s="1"/>
  <c r="X53" i="31"/>
  <c r="Y53" i="31" s="1"/>
  <c r="W53" i="43"/>
  <c r="N54" i="42" l="1"/>
  <c r="CC54" i="42" s="1"/>
  <c r="CE54" i="42" s="1"/>
  <c r="CF54" i="42" s="1"/>
  <c r="AE53" i="42"/>
  <c r="AD53" i="42"/>
  <c r="M53" i="43"/>
  <c r="O53" i="43" s="1"/>
  <c r="X53" i="43"/>
  <c r="BL53" i="31"/>
  <c r="BP53" i="31" s="1"/>
  <c r="AH54" i="42" l="1"/>
  <c r="P54" i="42"/>
  <c r="Q54" i="42" s="1"/>
  <c r="BH54" i="42" s="1"/>
  <c r="Y53" i="43"/>
  <c r="BL53" i="43" s="1"/>
  <c r="BP53" i="43" s="1"/>
  <c r="Z53" i="31"/>
  <c r="AE53" i="31" s="1"/>
  <c r="W54" i="42" l="1"/>
  <c r="X54" i="42" s="1"/>
  <c r="Z53" i="43"/>
  <c r="AE53" i="43" s="1"/>
  <c r="CH54" i="31"/>
  <c r="N54" i="31"/>
  <c r="AD53" i="31"/>
  <c r="M54" i="42" l="1"/>
  <c r="O54" i="42" s="1"/>
  <c r="N54" i="43"/>
  <c r="AD53" i="43"/>
  <c r="Y54" i="42"/>
  <c r="BL54" i="42" s="1"/>
  <c r="BP54" i="42" s="1"/>
  <c r="AB70" i="35"/>
  <c r="AH54" i="31"/>
  <c r="CC54" i="31"/>
  <c r="CE54" i="31" s="1"/>
  <c r="CF54" i="31" s="1"/>
  <c r="P54" i="31"/>
  <c r="Q54" i="31" s="1"/>
  <c r="BH54" i="31" s="1"/>
  <c r="AH54" i="43" l="1"/>
  <c r="CC54" i="43"/>
  <c r="CE54" i="43" s="1"/>
  <c r="CF54" i="43" s="1"/>
  <c r="P54" i="43"/>
  <c r="Q54" i="43" s="1"/>
  <c r="BH54" i="43" s="1"/>
  <c r="Z54" i="42"/>
  <c r="AE54" i="42" s="1"/>
  <c r="AF70" i="35" s="1"/>
  <c r="W54" i="31"/>
  <c r="M54" i="31" l="1"/>
  <c r="O54" i="31" s="1"/>
  <c r="X54" i="31"/>
  <c r="Y54" i="31" s="1"/>
  <c r="W54" i="43"/>
  <c r="N55" i="42"/>
  <c r="AD54" i="42"/>
  <c r="BL54" i="31" l="1"/>
  <c r="BP54" i="31" s="1"/>
  <c r="AB35" i="35"/>
  <c r="AH55" i="42"/>
  <c r="CC55" i="42"/>
  <c r="CE55" i="42" s="1"/>
  <c r="CF55" i="42" s="1"/>
  <c r="P55" i="42"/>
  <c r="Q55" i="42" s="1"/>
  <c r="AD70" i="35"/>
  <c r="M54" i="43"/>
  <c r="O54" i="43" s="1"/>
  <c r="X54" i="43"/>
  <c r="AE70" i="35" l="1"/>
  <c r="BH55" i="42"/>
  <c r="Y54" i="43"/>
  <c r="BL54" i="43" s="1"/>
  <c r="BP54" i="43" s="1"/>
  <c r="G35" i="35"/>
  <c r="Z54" i="31"/>
  <c r="AE54" i="31" s="1"/>
  <c r="AF35" i="35" s="1"/>
  <c r="H35" i="35" l="1"/>
  <c r="I35" i="35"/>
  <c r="CH55" i="31"/>
  <c r="N55" i="31"/>
  <c r="AD54" i="31"/>
  <c r="W55" i="42"/>
  <c r="Z54" i="43"/>
  <c r="AE54" i="43" s="1"/>
  <c r="M55" i="42" l="1"/>
  <c r="O55" i="42" s="1"/>
  <c r="X55" i="42"/>
  <c r="N55" i="43"/>
  <c r="AD54" i="43"/>
  <c r="AH55" i="31"/>
  <c r="CC55" i="31"/>
  <c r="CE55" i="31" s="1"/>
  <c r="CF55" i="31" s="1"/>
  <c r="P55" i="31"/>
  <c r="Q55" i="31" s="1"/>
  <c r="AD35" i="35"/>
  <c r="AE35" i="35" l="1"/>
  <c r="BH55" i="31"/>
  <c r="W55" i="31" s="1"/>
  <c r="Y55" i="42"/>
  <c r="AH55" i="43"/>
  <c r="CC55" i="43"/>
  <c r="CE55" i="43" s="1"/>
  <c r="CF55" i="43" s="1"/>
  <c r="M35" i="35"/>
  <c r="P55" i="43"/>
  <c r="Q55" i="43" s="1"/>
  <c r="O35" i="35" l="1"/>
  <c r="N35" i="35"/>
  <c r="M55" i="31"/>
  <c r="O55" i="31" s="1"/>
  <c r="X55" i="31"/>
  <c r="Y55" i="31" s="1"/>
  <c r="BL55" i="42"/>
  <c r="BP55" i="42" s="1"/>
  <c r="BH55" i="43"/>
  <c r="W55" i="43" s="1"/>
  <c r="Z55" i="42" l="1"/>
  <c r="M55" i="43"/>
  <c r="O55" i="43" s="1"/>
  <c r="X55" i="43"/>
  <c r="N56" i="42" l="1"/>
  <c r="CC56" i="42" s="1"/>
  <c r="CE56" i="42" s="1"/>
  <c r="CF56" i="42" s="1"/>
  <c r="AE55" i="42"/>
  <c r="AD55" i="42"/>
  <c r="BL55" i="31"/>
  <c r="Y55" i="43"/>
  <c r="P56" i="42" l="1"/>
  <c r="Q56" i="42" s="1"/>
  <c r="BH56" i="42" s="1"/>
  <c r="W56" i="42" s="1"/>
  <c r="AH56" i="42"/>
  <c r="BL55" i="43"/>
  <c r="BP55" i="43" s="1"/>
  <c r="BP55" i="31"/>
  <c r="Z55" i="31"/>
  <c r="AE55" i="31" s="1"/>
  <c r="Z55" i="43" l="1"/>
  <c r="AE55" i="43" s="1"/>
  <c r="N56" i="31"/>
  <c r="CH56" i="31"/>
  <c r="AD55" i="31"/>
  <c r="M56" i="42"/>
  <c r="O56" i="42" s="1"/>
  <c r="X56" i="42"/>
  <c r="Y56" i="42" l="1"/>
  <c r="N56" i="43"/>
  <c r="AD55" i="43"/>
  <c r="AH56" i="31"/>
  <c r="CC56" i="31"/>
  <c r="CE56" i="31" s="1"/>
  <c r="CF56" i="31" s="1"/>
  <c r="P56" i="31"/>
  <c r="Q56" i="31" s="1"/>
  <c r="BL56" i="42" l="1"/>
  <c r="BP56" i="42" s="1"/>
  <c r="BH56" i="31"/>
  <c r="W56" i="31" s="1"/>
  <c r="AH56" i="43"/>
  <c r="CC56" i="43"/>
  <c r="CE56" i="43" s="1"/>
  <c r="CF56" i="43" s="1"/>
  <c r="P56" i="43"/>
  <c r="Q56" i="43" s="1"/>
  <c r="Z56" i="42" l="1"/>
  <c r="M56" i="31"/>
  <c r="O56" i="31" s="1"/>
  <c r="X56" i="31"/>
  <c r="Y56" i="31" s="1"/>
  <c r="BH56" i="43"/>
  <c r="W56" i="43" s="1"/>
  <c r="N57" i="42" l="1"/>
  <c r="AH57" i="42" s="1"/>
  <c r="AE56" i="42"/>
  <c r="AD56" i="42"/>
  <c r="M56" i="43"/>
  <c r="O56" i="43" s="1"/>
  <c r="X56" i="43"/>
  <c r="CC57" i="42" l="1"/>
  <c r="CE57" i="42" s="1"/>
  <c r="CF57" i="42" s="1"/>
  <c r="P57" i="42"/>
  <c r="Q57" i="42" s="1"/>
  <c r="BH57" i="42" s="1"/>
  <c r="BL56" i="31"/>
  <c r="Y56" i="43"/>
  <c r="W57" i="42" l="1"/>
  <c r="BL56" i="43"/>
  <c r="BP56" i="43" s="1"/>
  <c r="BP56" i="31"/>
  <c r="Z56" i="31"/>
  <c r="AE56" i="31" s="1"/>
  <c r="Z56" i="43" l="1"/>
  <c r="N57" i="31"/>
  <c r="CH57" i="31"/>
  <c r="AD56" i="31"/>
  <c r="M57" i="42"/>
  <c r="O57" i="42" s="1"/>
  <c r="X57" i="42"/>
  <c r="AD56" i="43" l="1"/>
  <c r="AE56" i="43"/>
  <c r="N57" i="43"/>
  <c r="CC57" i="43" s="1"/>
  <c r="CE57" i="43" s="1"/>
  <c r="CF57" i="43" s="1"/>
  <c r="P57" i="31"/>
  <c r="Q57" i="31" s="1"/>
  <c r="Y57" i="42"/>
  <c r="AH57" i="31"/>
  <c r="CC57" i="31"/>
  <c r="CE57" i="31" s="1"/>
  <c r="CF57" i="31" s="1"/>
  <c r="AH57" i="43" l="1"/>
  <c r="P57" i="43"/>
  <c r="Q57" i="43" s="1"/>
  <c r="BH57" i="43" s="1"/>
  <c r="W57" i="43" s="1"/>
  <c r="BH57" i="31"/>
  <c r="W57" i="31" s="1"/>
  <c r="BL57" i="42"/>
  <c r="M57" i="31" l="1"/>
  <c r="O57" i="31" s="1"/>
  <c r="X57" i="31"/>
  <c r="Y57" i="31" s="1"/>
  <c r="BP57" i="42"/>
  <c r="Z57" i="42"/>
  <c r="AE57" i="42" s="1"/>
  <c r="M57" i="43"/>
  <c r="O57" i="43" s="1"/>
  <c r="X57" i="43"/>
  <c r="Y57" i="43" l="1"/>
  <c r="N58" i="42"/>
  <c r="AD57" i="42"/>
  <c r="BL57" i="31" l="1"/>
  <c r="AH58" i="42"/>
  <c r="CC58" i="42"/>
  <c r="CE58" i="42" s="1"/>
  <c r="CF58" i="42" s="1"/>
  <c r="P58" i="42"/>
  <c r="Q58" i="42" s="1"/>
  <c r="BL57" i="43"/>
  <c r="BP57" i="31" l="1"/>
  <c r="Z57" i="31"/>
  <c r="AE57" i="31" s="1"/>
  <c r="BP57" i="43"/>
  <c r="Z57" i="43"/>
  <c r="AE57" i="43" s="1"/>
  <c r="BH58" i="42"/>
  <c r="N58" i="43" l="1"/>
  <c r="AD57" i="43"/>
  <c r="W58" i="42"/>
  <c r="CH58" i="31"/>
  <c r="N58" i="31"/>
  <c r="AD57" i="31"/>
  <c r="AH58" i="43" l="1"/>
  <c r="CC58" i="43"/>
  <c r="CE58" i="43" s="1"/>
  <c r="CF58" i="43" s="1"/>
  <c r="P58" i="43"/>
  <c r="Q58" i="43" s="1"/>
  <c r="AH58" i="31"/>
  <c r="CC58" i="31"/>
  <c r="CE58" i="31" s="1"/>
  <c r="CF58" i="31" s="1"/>
  <c r="P58" i="31"/>
  <c r="Q58" i="31" s="1"/>
  <c r="M58" i="42"/>
  <c r="O58" i="42" s="1"/>
  <c r="X58" i="42"/>
  <c r="BH58" i="31" l="1"/>
  <c r="W58" i="31" s="1"/>
  <c r="BH58" i="43"/>
  <c r="W58" i="43" s="1"/>
  <c r="Y58" i="42"/>
  <c r="M58" i="31" l="1"/>
  <c r="O58" i="31" s="1"/>
  <c r="X58" i="31"/>
  <c r="Y58" i="31" s="1"/>
  <c r="M58" i="43"/>
  <c r="O58" i="43" s="1"/>
  <c r="X58" i="43"/>
  <c r="BL58" i="42"/>
  <c r="Y58" i="43" l="1"/>
  <c r="BP58" i="42"/>
  <c r="Z58" i="42"/>
  <c r="AE58" i="42" s="1"/>
  <c r="BL58" i="43" l="1"/>
  <c r="BP58" i="43" s="1"/>
  <c r="BL58" i="31"/>
  <c r="BP58" i="31" s="1"/>
  <c r="N59" i="42"/>
  <c r="AD58" i="42"/>
  <c r="Z58" i="31" l="1"/>
  <c r="AH59" i="42"/>
  <c r="CC59" i="42"/>
  <c r="CE59" i="42" s="1"/>
  <c r="CF59" i="42" s="1"/>
  <c r="P59" i="42"/>
  <c r="Q59" i="42" s="1"/>
  <c r="Z58" i="43"/>
  <c r="AE58" i="43" s="1"/>
  <c r="CH59" i="31" l="1"/>
  <c r="AE58" i="31"/>
  <c r="N59" i="31"/>
  <c r="AH59" i="31" s="1"/>
  <c r="AD58" i="31"/>
  <c r="BH59" i="42"/>
  <c r="W59" i="42" s="1"/>
  <c r="N59" i="43"/>
  <c r="AD58" i="43"/>
  <c r="P59" i="31" l="1"/>
  <c r="Q59" i="31" s="1"/>
  <c r="BH59" i="31" s="1"/>
  <c r="W59" i="31" s="1"/>
  <c r="CC59" i="31"/>
  <c r="CE59" i="31" s="1"/>
  <c r="CF59" i="31" s="1"/>
  <c r="P59" i="43"/>
  <c r="Q59" i="43" s="1"/>
  <c r="M59" i="42"/>
  <c r="O59" i="42" s="1"/>
  <c r="X59" i="42"/>
  <c r="AH59" i="43"/>
  <c r="CC59" i="43"/>
  <c r="CE59" i="43" s="1"/>
  <c r="CF59" i="43" s="1"/>
  <c r="M59" i="31" l="1"/>
  <c r="O59" i="31" s="1"/>
  <c r="X59" i="31"/>
  <c r="Y59" i="31" s="1"/>
  <c r="BH59" i="43"/>
  <c r="W59" i="43" s="1"/>
  <c r="Y59" i="42"/>
  <c r="M59" i="43" l="1"/>
  <c r="O59" i="43" s="1"/>
  <c r="X59" i="43"/>
  <c r="BL59" i="42"/>
  <c r="BP59" i="42" s="1"/>
  <c r="Z59" i="42" l="1"/>
  <c r="BL59" i="31"/>
  <c r="BP59" i="31" s="1"/>
  <c r="Y59" i="43"/>
  <c r="N60" i="42" l="1"/>
  <c r="AH60" i="42" s="1"/>
  <c r="AE59" i="42"/>
  <c r="AD59" i="42"/>
  <c r="Z59" i="31"/>
  <c r="AE59" i="31" s="1"/>
  <c r="BL59" i="43"/>
  <c r="BP59" i="43" s="1"/>
  <c r="CC60" i="42" l="1"/>
  <c r="CE60" i="42" s="1"/>
  <c r="CF60" i="42" s="1"/>
  <c r="P60" i="42"/>
  <c r="Q60" i="42" s="1"/>
  <c r="BH60" i="42" s="1"/>
  <c r="N60" i="31"/>
  <c r="CH60" i="31"/>
  <c r="AD59" i="31"/>
  <c r="Z59" i="43"/>
  <c r="AE59" i="43" s="1"/>
  <c r="W60" i="42" l="1"/>
  <c r="M60" i="42" s="1"/>
  <c r="O60" i="42" s="1"/>
  <c r="AH60" i="31"/>
  <c r="CC60" i="31"/>
  <c r="CE60" i="31" s="1"/>
  <c r="CF60" i="31" s="1"/>
  <c r="N60" i="43"/>
  <c r="AD59" i="43"/>
  <c r="P60" i="31"/>
  <c r="Q60" i="31" s="1"/>
  <c r="BH60" i="31" s="1"/>
  <c r="X60" i="42" l="1"/>
  <c r="Y60" i="42" s="1"/>
  <c r="BL60" i="42" s="1"/>
  <c r="BP60" i="42" s="1"/>
  <c r="AH60" i="43"/>
  <c r="CC60" i="43"/>
  <c r="CE60" i="43" s="1"/>
  <c r="CF60" i="43" s="1"/>
  <c r="P60" i="43"/>
  <c r="Q60" i="43" s="1"/>
  <c r="BH60" i="43" s="1"/>
  <c r="W60" i="31"/>
  <c r="M60" i="31" l="1"/>
  <c r="O60" i="31" s="1"/>
  <c r="X60" i="31"/>
  <c r="Y60" i="31" s="1"/>
  <c r="W60" i="43"/>
  <c r="Z60" i="42"/>
  <c r="AE60" i="42" s="1"/>
  <c r="BL60" i="31" l="1"/>
  <c r="BP60" i="31" s="1"/>
  <c r="M60" i="43"/>
  <c r="O60" i="43" s="1"/>
  <c r="X60" i="43"/>
  <c r="N61" i="42"/>
  <c r="AD60" i="42"/>
  <c r="P61" i="42" l="1"/>
  <c r="Q61" i="42" s="1"/>
  <c r="BH61" i="42" s="1"/>
  <c r="AH61" i="42"/>
  <c r="CC61" i="42"/>
  <c r="CE61" i="42" s="1"/>
  <c r="CF61" i="42" s="1"/>
  <c r="Z60" i="31"/>
  <c r="AE60" i="31" s="1"/>
  <c r="Y60" i="43"/>
  <c r="BL60" i="43" s="1"/>
  <c r="BP60" i="43" s="1"/>
  <c r="Z60" i="43" l="1"/>
  <c r="CH61" i="31"/>
  <c r="N61" i="31"/>
  <c r="AD60" i="31"/>
  <c r="W61" i="42"/>
  <c r="AD60" i="43" l="1"/>
  <c r="AE60" i="43"/>
  <c r="N61" i="43"/>
  <c r="AH61" i="43" s="1"/>
  <c r="M61" i="42"/>
  <c r="O61" i="42" s="1"/>
  <c r="X61" i="42"/>
  <c r="AH61" i="31"/>
  <c r="CC61" i="31"/>
  <c r="CE61" i="31" s="1"/>
  <c r="CF61" i="31" s="1"/>
  <c r="P61" i="31"/>
  <c r="Q61" i="31" s="1"/>
  <c r="BH61" i="31" s="1"/>
  <c r="P61" i="43" l="1"/>
  <c r="Q61" i="43" s="1"/>
  <c r="BH61" i="43" s="1"/>
  <c r="CC61" i="43"/>
  <c r="CE61" i="43" s="1"/>
  <c r="CF61" i="43" s="1"/>
  <c r="Y61" i="42"/>
  <c r="BL61" i="42" s="1"/>
  <c r="BP61" i="42" s="1"/>
  <c r="W61" i="31"/>
  <c r="W61" i="43" l="1"/>
  <c r="X61" i="43" s="1"/>
  <c r="Z61" i="42"/>
  <c r="AE61" i="42" s="1"/>
  <c r="M61" i="31"/>
  <c r="O61" i="31" s="1"/>
  <c r="X61" i="31"/>
  <c r="Y61" i="31" s="1"/>
  <c r="M61" i="43" l="1"/>
  <c r="O61" i="43" s="1"/>
  <c r="N62" i="42"/>
  <c r="AD61" i="42"/>
  <c r="BL61" i="31"/>
  <c r="BP61" i="31" s="1"/>
  <c r="Y61" i="43"/>
  <c r="BL61" i="43" s="1"/>
  <c r="BP61" i="43" s="1"/>
  <c r="AH62" i="42" l="1"/>
  <c r="CC62" i="42"/>
  <c r="CE62" i="42" s="1"/>
  <c r="CF62" i="42" s="1"/>
  <c r="Z61" i="43"/>
  <c r="AE61" i="43" s="1"/>
  <c r="P62" i="42"/>
  <c r="Q62" i="42" s="1"/>
  <c r="BH62" i="42" s="1"/>
  <c r="Z61" i="31"/>
  <c r="AE61" i="31" s="1"/>
  <c r="W62" i="42" l="1"/>
  <c r="N62" i="31"/>
  <c r="CH62" i="31"/>
  <c r="AD61" i="31"/>
  <c r="N62" i="43"/>
  <c r="AD61" i="43"/>
  <c r="M62" i="42" l="1"/>
  <c r="O62" i="42" s="1"/>
  <c r="X62" i="42"/>
  <c r="AH62" i="31"/>
  <c r="CC62" i="31"/>
  <c r="CE62" i="31" s="1"/>
  <c r="CF62" i="31" s="1"/>
  <c r="AH62" i="43"/>
  <c r="CC62" i="43"/>
  <c r="CE62" i="43" s="1"/>
  <c r="CF62" i="43" s="1"/>
  <c r="P62" i="43"/>
  <c r="Q62" i="43" s="1"/>
  <c r="BH62" i="43" s="1"/>
  <c r="P62" i="31"/>
  <c r="Q62" i="31" s="1"/>
  <c r="BH62" i="31" s="1"/>
  <c r="Y62" i="42" l="1"/>
  <c r="BL62" i="42" s="1"/>
  <c r="BP62" i="42" s="1"/>
  <c r="W62" i="31"/>
  <c r="W62" i="43"/>
  <c r="M62" i="31" l="1"/>
  <c r="O62" i="31" s="1"/>
  <c r="X62" i="31"/>
  <c r="Y62" i="31" s="1"/>
  <c r="Z62" i="42"/>
  <c r="AE62" i="42" s="1"/>
  <c r="M62" i="43"/>
  <c r="O62" i="43" s="1"/>
  <c r="X62" i="43"/>
  <c r="Y62" i="43" l="1"/>
  <c r="BL62" i="43" s="1"/>
  <c r="BP62" i="43" s="1"/>
  <c r="BL62" i="31"/>
  <c r="BP62" i="31" s="1"/>
  <c r="N63" i="42"/>
  <c r="AD62" i="42"/>
  <c r="P63" i="42" l="1"/>
  <c r="Q63" i="42" s="1"/>
  <c r="BH63" i="42" s="1"/>
  <c r="AH63" i="42"/>
  <c r="CC63" i="42"/>
  <c r="CE63" i="42" s="1"/>
  <c r="CF63" i="42" s="1"/>
  <c r="Z62" i="43"/>
  <c r="AE62" i="43" s="1"/>
  <c r="Z62" i="31"/>
  <c r="AE62" i="31" s="1"/>
  <c r="W63" i="42" l="1"/>
  <c r="N63" i="43"/>
  <c r="AD62" i="43"/>
  <c r="CH63" i="31"/>
  <c r="N63" i="31"/>
  <c r="AD62" i="31"/>
  <c r="M63" i="42" l="1"/>
  <c r="O63" i="42" s="1"/>
  <c r="X63" i="42"/>
  <c r="AH63" i="31"/>
  <c r="CC63" i="31"/>
  <c r="CE63" i="31" s="1"/>
  <c r="CF63" i="31" s="1"/>
  <c r="P63" i="31"/>
  <c r="Q63" i="31" s="1"/>
  <c r="BH63" i="31" s="1"/>
  <c r="AH63" i="43"/>
  <c r="CC63" i="43"/>
  <c r="CE63" i="43" s="1"/>
  <c r="CF63" i="43" s="1"/>
  <c r="P63" i="43"/>
  <c r="Q63" i="43" s="1"/>
  <c r="BH63" i="43" s="1"/>
  <c r="Y63" i="42" l="1"/>
  <c r="BL63" i="42" s="1"/>
  <c r="BP63" i="42" s="1"/>
  <c r="W63" i="43"/>
  <c r="W63" i="31"/>
  <c r="M63" i="43" l="1"/>
  <c r="O63" i="43" s="1"/>
  <c r="X63" i="43"/>
  <c r="M63" i="31"/>
  <c r="O63" i="31" s="1"/>
  <c r="X63" i="31"/>
  <c r="Y63" i="31" s="1"/>
  <c r="Z63" i="42"/>
  <c r="AE63" i="42" s="1"/>
  <c r="N64" i="42" l="1"/>
  <c r="AD63" i="42"/>
  <c r="Y63" i="43"/>
  <c r="BL63" i="43" s="1"/>
  <c r="BP63" i="43" s="1"/>
  <c r="BL63" i="31"/>
  <c r="BP63" i="31" s="1"/>
  <c r="AH64" i="42" l="1"/>
  <c r="CC64" i="42"/>
  <c r="CE64" i="42" s="1"/>
  <c r="CF64" i="42" s="1"/>
  <c r="P64" i="42"/>
  <c r="Q64" i="42" s="1"/>
  <c r="BH64" i="42" s="1"/>
  <c r="Z63" i="31"/>
  <c r="AE63" i="31" s="1"/>
  <c r="Z63" i="43"/>
  <c r="AE63" i="43" s="1"/>
  <c r="CH64" i="31" l="1"/>
  <c r="N64" i="31"/>
  <c r="AD63" i="31"/>
  <c r="W64" i="42"/>
  <c r="N64" i="43"/>
  <c r="AD63" i="43"/>
  <c r="AH64" i="43" l="1"/>
  <c r="CC64" i="43"/>
  <c r="CE64" i="43" s="1"/>
  <c r="CF64" i="43" s="1"/>
  <c r="M64" i="42"/>
  <c r="O64" i="42" s="1"/>
  <c r="X64" i="42"/>
  <c r="P64" i="31"/>
  <c r="Q64" i="31" s="1"/>
  <c r="BH64" i="31" s="1"/>
  <c r="AH64" i="31"/>
  <c r="CC64" i="31"/>
  <c r="CE64" i="31" s="1"/>
  <c r="CF64" i="31" s="1"/>
  <c r="P64" i="43"/>
  <c r="Q64" i="43" s="1"/>
  <c r="BH64" i="43" s="1"/>
  <c r="Y64" i="42" l="1"/>
  <c r="BL64" i="42" s="1"/>
  <c r="BP64" i="42" s="1"/>
  <c r="W64" i="43"/>
  <c r="W64" i="31"/>
  <c r="Z64" i="42" l="1"/>
  <c r="AE64" i="42" s="1"/>
  <c r="M64" i="31"/>
  <c r="O64" i="31" s="1"/>
  <c r="X64" i="31"/>
  <c r="Y64" i="31" s="1"/>
  <c r="M64" i="43"/>
  <c r="O64" i="43" s="1"/>
  <c r="X64" i="43"/>
  <c r="N65" i="42" l="1"/>
  <c r="AD64" i="42"/>
  <c r="Y64" i="43"/>
  <c r="BL64" i="43" s="1"/>
  <c r="BP64" i="43" s="1"/>
  <c r="BL64" i="31"/>
  <c r="BP64" i="31" s="1"/>
  <c r="AH65" i="42" l="1"/>
  <c r="CC65" i="42"/>
  <c r="CE65" i="42" s="1"/>
  <c r="CF65" i="42" s="1"/>
  <c r="P65" i="42"/>
  <c r="Q65" i="42" s="1"/>
  <c r="BH65" i="42" s="1"/>
  <c r="Z64" i="31"/>
  <c r="AE64" i="31" s="1"/>
  <c r="Z64" i="43"/>
  <c r="AE64" i="43" s="1"/>
  <c r="W65" i="42" l="1"/>
  <c r="CH65" i="31"/>
  <c r="N65" i="31"/>
  <c r="AD64" i="31"/>
  <c r="N65" i="43"/>
  <c r="AD64" i="43"/>
  <c r="P65" i="43" l="1"/>
  <c r="Q65" i="43" s="1"/>
  <c r="BH65" i="43" s="1"/>
  <c r="P65" i="31"/>
  <c r="Q65" i="31" s="1"/>
  <c r="BH65" i="31" s="1"/>
  <c r="M65" i="42"/>
  <c r="O65" i="42" s="1"/>
  <c r="X65" i="42"/>
  <c r="AH65" i="43"/>
  <c r="CC65" i="43"/>
  <c r="CE65" i="43" s="1"/>
  <c r="CF65" i="43" s="1"/>
  <c r="AH65" i="31"/>
  <c r="CC65" i="31"/>
  <c r="CE65" i="31" s="1"/>
  <c r="CF65" i="31" s="1"/>
  <c r="W65" i="43" l="1"/>
  <c r="Y65" i="42"/>
  <c r="BL65" i="42" s="1"/>
  <c r="BP65" i="42" s="1"/>
  <c r="W65" i="31"/>
  <c r="Z65" i="42" l="1"/>
  <c r="M65" i="31"/>
  <c r="O65" i="31" s="1"/>
  <c r="X65" i="31"/>
  <c r="Y65" i="31" s="1"/>
  <c r="M65" i="43"/>
  <c r="O65" i="43" s="1"/>
  <c r="X65" i="43"/>
  <c r="AD65" i="42" l="1"/>
  <c r="AE65" i="42"/>
  <c r="N66" i="42"/>
  <c r="CC66" i="42" s="1"/>
  <c r="CE66" i="42" s="1"/>
  <c r="CF66" i="42" s="1"/>
  <c r="Y65" i="43"/>
  <c r="BL65" i="43" s="1"/>
  <c r="BP65" i="43" s="1"/>
  <c r="BL65" i="31"/>
  <c r="BP65" i="31" s="1"/>
  <c r="P66" i="42" l="1"/>
  <c r="Q66" i="42" s="1"/>
  <c r="BH66" i="42" s="1"/>
  <c r="AH66" i="42"/>
  <c r="Z65" i="31"/>
  <c r="N66" i="31" s="1"/>
  <c r="Z65" i="43"/>
  <c r="AD65" i="43" l="1"/>
  <c r="AE65" i="43"/>
  <c r="CH66" i="31"/>
  <c r="AE65" i="31"/>
  <c r="N66" i="43"/>
  <c r="AH66" i="43" s="1"/>
  <c r="W66" i="42"/>
  <c r="X66" i="42" s="1"/>
  <c r="AD65" i="31"/>
  <c r="P66" i="31" s="1"/>
  <c r="Q66" i="31" s="1"/>
  <c r="BH66" i="31" s="1"/>
  <c r="AH66" i="31"/>
  <c r="CC66" i="31"/>
  <c r="CE66" i="31" s="1"/>
  <c r="CF66" i="31" s="1"/>
  <c r="CC66" i="43" l="1"/>
  <c r="CE66" i="43" s="1"/>
  <c r="CF66" i="43" s="1"/>
  <c r="P66" i="43"/>
  <c r="Q66" i="43" s="1"/>
  <c r="BH66" i="43" s="1"/>
  <c r="M66" i="42"/>
  <c r="O66" i="42" s="1"/>
  <c r="AB71" i="35"/>
  <c r="Y66" i="42"/>
  <c r="BL66" i="42" s="1"/>
  <c r="BP66" i="42" s="1"/>
  <c r="W66" i="31"/>
  <c r="W66" i="43" l="1"/>
  <c r="X66" i="43" s="1"/>
  <c r="Z66" i="42"/>
  <c r="AE66" i="42" s="1"/>
  <c r="AF71" i="35" s="1"/>
  <c r="M66" i="31"/>
  <c r="O66" i="31" s="1"/>
  <c r="X66" i="31"/>
  <c r="Y66" i="31" s="1"/>
  <c r="BL66" i="31" l="1"/>
  <c r="BP66" i="31" s="1"/>
  <c r="M66" i="43"/>
  <c r="O66" i="43" s="1"/>
  <c r="AB36" i="35"/>
  <c r="Y66" i="43"/>
  <c r="BL66" i="43" s="1"/>
  <c r="BP66" i="43" s="1"/>
  <c r="N67" i="42"/>
  <c r="AD66" i="42"/>
  <c r="Z66" i="43" l="1"/>
  <c r="AE66" i="43" s="1"/>
  <c r="AH67" i="42"/>
  <c r="CC67" i="42"/>
  <c r="P67" i="42"/>
  <c r="Q67" i="42" s="1"/>
  <c r="AD71" i="35"/>
  <c r="Z66" i="31"/>
  <c r="AE66" i="31" s="1"/>
  <c r="AF36" i="35" s="1"/>
  <c r="AE71" i="35" l="1"/>
  <c r="CH67" i="31"/>
  <c r="N67" i="31"/>
  <c r="AD66" i="31"/>
  <c r="CE67" i="42"/>
  <c r="CD67" i="42"/>
  <c r="N67" i="43"/>
  <c r="AD66" i="43"/>
  <c r="BH67" i="42"/>
  <c r="W67" i="42" s="1"/>
  <c r="G36" i="35"/>
  <c r="CF67" i="42" l="1"/>
  <c r="H36" i="35"/>
  <c r="I36" i="35"/>
  <c r="M67" i="42"/>
  <c r="O67" i="42" s="1"/>
  <c r="X67" i="42"/>
  <c r="AH67" i="31"/>
  <c r="CC67" i="31"/>
  <c r="AH67" i="43"/>
  <c r="CC67" i="43"/>
  <c r="P67" i="43"/>
  <c r="Q67" i="43" s="1"/>
  <c r="P67" i="31"/>
  <c r="Q67" i="31" s="1"/>
  <c r="AD36" i="35"/>
  <c r="AE36" i="35" l="1"/>
  <c r="CE67" i="43"/>
  <c r="CD67" i="43"/>
  <c r="CE67" i="31"/>
  <c r="CD67" i="31"/>
  <c r="BH67" i="31"/>
  <c r="W67" i="31" s="1"/>
  <c r="Y67" i="42"/>
  <c r="BH67" i="43"/>
  <c r="W67" i="43" s="1"/>
  <c r="M36" i="35"/>
  <c r="CF67" i="43" l="1"/>
  <c r="CF67" i="31"/>
  <c r="O36" i="35"/>
  <c r="N36" i="35"/>
  <c r="M67" i="43"/>
  <c r="O67" i="43" s="1"/>
  <c r="X67" i="43"/>
  <c r="BL67" i="42"/>
  <c r="BP67" i="42" s="1"/>
  <c r="M67" i="31"/>
  <c r="O67" i="31" s="1"/>
  <c r="X67" i="31"/>
  <c r="Y67" i="31" s="1"/>
  <c r="Z67" i="42" l="1"/>
  <c r="Y67" i="43"/>
  <c r="AD67" i="42" l="1"/>
  <c r="AE67" i="42"/>
  <c r="N68" i="42"/>
  <c r="CC68" i="42" s="1"/>
  <c r="BL67" i="43"/>
  <c r="BP67" i="43" s="1"/>
  <c r="BL67" i="31"/>
  <c r="BP67" i="31" s="1"/>
  <c r="Z67" i="43" l="1"/>
  <c r="AH68" i="42"/>
  <c r="P68" i="42"/>
  <c r="Q68" i="42" s="1"/>
  <c r="BH68" i="42" s="1"/>
  <c r="CE68" i="42"/>
  <c r="CD68" i="42"/>
  <c r="Z67" i="31"/>
  <c r="AE67" i="31" s="1"/>
  <c r="CF68" i="42" l="1"/>
  <c r="N68" i="43"/>
  <c r="AH68" i="43" s="1"/>
  <c r="AE67" i="43"/>
  <c r="AD67" i="43"/>
  <c r="CH68" i="31"/>
  <c r="N68" i="31"/>
  <c r="AD67" i="31"/>
  <c r="W68" i="42"/>
  <c r="CC68" i="43" l="1"/>
  <c r="CE68" i="43" s="1"/>
  <c r="P68" i="43"/>
  <c r="Q68" i="43" s="1"/>
  <c r="BH68" i="43" s="1"/>
  <c r="AH68" i="31"/>
  <c r="CC68" i="31"/>
  <c r="M68" i="42"/>
  <c r="O68" i="42" s="1"/>
  <c r="X68" i="42"/>
  <c r="P68" i="31"/>
  <c r="Q68" i="31" s="1"/>
  <c r="CD68" i="43" l="1"/>
  <c r="CF68" i="43" s="1"/>
  <c r="Y68" i="42"/>
  <c r="W68" i="43"/>
  <c r="CE68" i="31"/>
  <c r="CD68" i="31"/>
  <c r="BH68" i="31"/>
  <c r="W68" i="31" s="1"/>
  <c r="CF68" i="31" l="1"/>
  <c r="M68" i="31"/>
  <c r="O68" i="31" s="1"/>
  <c r="X68" i="31"/>
  <c r="Y68" i="31" s="1"/>
  <c r="M68" i="43"/>
  <c r="O68" i="43" s="1"/>
  <c r="X68" i="43"/>
  <c r="BL68" i="42"/>
  <c r="BP68" i="42" s="1"/>
  <c r="Y68" i="43" l="1"/>
  <c r="Z68" i="42"/>
  <c r="AE68" i="42" s="1"/>
  <c r="BL68" i="43" l="1"/>
  <c r="BP68" i="43" s="1"/>
  <c r="BL68" i="31"/>
  <c r="BP68" i="31" s="1"/>
  <c r="N69" i="42"/>
  <c r="AD68" i="42"/>
  <c r="Z68" i="43" l="1"/>
  <c r="Z68" i="31"/>
  <c r="AE68" i="31" s="1"/>
  <c r="AH69" i="42"/>
  <c r="CC69" i="42"/>
  <c r="P69" i="42"/>
  <c r="Q69" i="42" s="1"/>
  <c r="AD68" i="43" l="1"/>
  <c r="AE68" i="43"/>
  <c r="N69" i="43"/>
  <c r="AH69" i="43" s="1"/>
  <c r="BH69" i="42"/>
  <c r="W69" i="42" s="1"/>
  <c r="CE69" i="42"/>
  <c r="CD69" i="42"/>
  <c r="CH69" i="31"/>
  <c r="N69" i="31"/>
  <c r="AD68" i="31"/>
  <c r="CF69" i="42" l="1"/>
  <c r="CC69" i="43"/>
  <c r="CE69" i="43" s="1"/>
  <c r="P69" i="43"/>
  <c r="Q69" i="43" s="1"/>
  <c r="BH69" i="43" s="1"/>
  <c r="W69" i="43" s="1"/>
  <c r="P69" i="31"/>
  <c r="Q69" i="31" s="1"/>
  <c r="AH69" i="31"/>
  <c r="CC69" i="31"/>
  <c r="M69" i="42"/>
  <c r="O69" i="42" s="1"/>
  <c r="X69" i="42"/>
  <c r="CD69" i="43" l="1"/>
  <c r="CF69" i="43" s="1"/>
  <c r="M69" i="43"/>
  <c r="O69" i="43" s="1"/>
  <c r="X69" i="43"/>
  <c r="Y69" i="42"/>
  <c r="CE69" i="31"/>
  <c r="CD69" i="31"/>
  <c r="BH69" i="31"/>
  <c r="W69" i="31" s="1"/>
  <c r="CF69" i="31" l="1"/>
  <c r="M69" i="31"/>
  <c r="O69" i="31" s="1"/>
  <c r="X69" i="31"/>
  <c r="Y69" i="31" s="1"/>
  <c r="Y69" i="43"/>
  <c r="BL69" i="42"/>
  <c r="BP69" i="42" s="1"/>
  <c r="BL69" i="43" l="1"/>
  <c r="BP69" i="43" s="1"/>
  <c r="Z69" i="42"/>
  <c r="AE69" i="42" s="1"/>
  <c r="N70" i="42" l="1"/>
  <c r="AD69" i="42"/>
  <c r="Z69" i="43"/>
  <c r="AE69" i="43" s="1"/>
  <c r="BL69" i="31"/>
  <c r="BP69" i="31" s="1"/>
  <c r="AH70" i="42" l="1"/>
  <c r="CC70" i="42"/>
  <c r="P70" i="42"/>
  <c r="Q70" i="42" s="1"/>
  <c r="N70" i="43"/>
  <c r="AD69" i="43"/>
  <c r="Z69" i="31"/>
  <c r="AE69" i="31" s="1"/>
  <c r="N70" i="31" l="1"/>
  <c r="CH70" i="31"/>
  <c r="AD69" i="31"/>
  <c r="AH70" i="43"/>
  <c r="CC70" i="43"/>
  <c r="P70" i="43"/>
  <c r="Q70" i="43" s="1"/>
  <c r="BH70" i="42"/>
  <c r="W70" i="42" s="1"/>
  <c r="CD70" i="42"/>
  <c r="CE70" i="42"/>
  <c r="CF70" i="42" l="1"/>
  <c r="M70" i="42"/>
  <c r="O70" i="42" s="1"/>
  <c r="X70" i="42"/>
  <c r="AH70" i="31"/>
  <c r="CC70" i="31"/>
  <c r="BH70" i="43"/>
  <c r="W70" i="43" s="1"/>
  <c r="CD70" i="43"/>
  <c r="CE70" i="43"/>
  <c r="P70" i="31"/>
  <c r="Q70" i="31" s="1"/>
  <c r="CF70" i="43" l="1"/>
  <c r="M70" i="43"/>
  <c r="O70" i="43" s="1"/>
  <c r="X70" i="43"/>
  <c r="Y70" i="42"/>
  <c r="BH70" i="31"/>
  <c r="W70" i="31" s="1"/>
  <c r="CE70" i="31"/>
  <c r="CD70" i="31"/>
  <c r="CF70" i="31" l="1"/>
  <c r="M70" i="31"/>
  <c r="O70" i="31" s="1"/>
  <c r="X70" i="31"/>
  <c r="Y70" i="31" s="1"/>
  <c r="BL70" i="42"/>
  <c r="Y70" i="43"/>
  <c r="BP70" i="42" l="1"/>
  <c r="Z70" i="42"/>
  <c r="AE70" i="42" s="1"/>
  <c r="BL70" i="43"/>
  <c r="BP70" i="43" s="1"/>
  <c r="BL70" i="31" l="1"/>
  <c r="BP70" i="31" s="1"/>
  <c r="Z70" i="43"/>
  <c r="AE70" i="43" s="1"/>
  <c r="N71" i="42"/>
  <c r="AD70" i="42"/>
  <c r="P71" i="42" l="1"/>
  <c r="Q71" i="42" s="1"/>
  <c r="Z70" i="31"/>
  <c r="AE70" i="31" s="1"/>
  <c r="N71" i="43"/>
  <c r="AD70" i="43"/>
  <c r="AH71" i="42"/>
  <c r="CC71" i="42"/>
  <c r="AH71" i="43" l="1"/>
  <c r="CC71" i="43"/>
  <c r="CE71" i="42"/>
  <c r="CD71" i="42"/>
  <c r="BH71" i="42"/>
  <c r="W71" i="42" s="1"/>
  <c r="P71" i="43"/>
  <c r="Q71" i="43" s="1"/>
  <c r="N71" i="31"/>
  <c r="CH71" i="31"/>
  <c r="AD70" i="31"/>
  <c r="CF71" i="42" l="1"/>
  <c r="M71" i="42"/>
  <c r="O71" i="42" s="1"/>
  <c r="X71" i="42"/>
  <c r="AH71" i="31"/>
  <c r="CC71" i="31"/>
  <c r="P71" i="31"/>
  <c r="Q71" i="31" s="1"/>
  <c r="BH71" i="43"/>
  <c r="CD71" i="43"/>
  <c r="CE71" i="43"/>
  <c r="CF71" i="43" l="1"/>
  <c r="BH71" i="31"/>
  <c r="W71" i="31" s="1"/>
  <c r="CD71" i="31"/>
  <c r="CE71" i="31"/>
  <c r="Y71" i="42"/>
  <c r="W71" i="43"/>
  <c r="CF71" i="31" l="1"/>
  <c r="BL71" i="42"/>
  <c r="M71" i="31"/>
  <c r="O71" i="31" s="1"/>
  <c r="X71" i="31"/>
  <c r="Y71" i="31" s="1"/>
  <c r="M71" i="43"/>
  <c r="O71" i="43" s="1"/>
  <c r="X71" i="43"/>
  <c r="BP71" i="42" l="1"/>
  <c r="Z71" i="42"/>
  <c r="AE71" i="42" s="1"/>
  <c r="Y71" i="43"/>
  <c r="BL71" i="31" l="1"/>
  <c r="BP71" i="31" s="1"/>
  <c r="BL71" i="43"/>
  <c r="BP71" i="43" s="1"/>
  <c r="N72" i="42"/>
  <c r="AD71" i="42"/>
  <c r="Z71" i="43" l="1"/>
  <c r="Z71" i="31"/>
  <c r="AH72" i="42"/>
  <c r="CC72" i="42"/>
  <c r="P72" i="42"/>
  <c r="Q72" i="42" s="1"/>
  <c r="BH72" i="42" s="1"/>
  <c r="AD71" i="43" l="1"/>
  <c r="AE71" i="43"/>
  <c r="CH72" i="31"/>
  <c r="AE71" i="31"/>
  <c r="N72" i="31"/>
  <c r="AH72" i="31" s="1"/>
  <c r="AD71" i="31"/>
  <c r="N72" i="43"/>
  <c r="AH72" i="43" s="1"/>
  <c r="CE72" i="42"/>
  <c r="CD72" i="42"/>
  <c r="W72" i="42"/>
  <c r="CF72" i="42" l="1"/>
  <c r="CC72" i="31"/>
  <c r="CD72" i="31" s="1"/>
  <c r="CC72" i="43"/>
  <c r="CD72" i="43" s="1"/>
  <c r="P72" i="31"/>
  <c r="Q72" i="31" s="1"/>
  <c r="BH72" i="31" s="1"/>
  <c r="P72" i="43"/>
  <c r="Q72" i="43" s="1"/>
  <c r="BH72" i="43" s="1"/>
  <c r="M72" i="42"/>
  <c r="O72" i="42" s="1"/>
  <c r="X72" i="42"/>
  <c r="CE72" i="31" l="1"/>
  <c r="CF72" i="31" s="1"/>
  <c r="CE72" i="43"/>
  <c r="CF72" i="43" s="1"/>
  <c r="W72" i="31"/>
  <c r="X72" i="31" s="1"/>
  <c r="Y72" i="31" s="1"/>
  <c r="W72" i="43"/>
  <c r="X72" i="43" s="1"/>
  <c r="Y72" i="42"/>
  <c r="BL72" i="42" s="1"/>
  <c r="BP72" i="42" s="1"/>
  <c r="M72" i="31" l="1"/>
  <c r="O72" i="31" s="1"/>
  <c r="M72" i="43"/>
  <c r="O72" i="43" s="1"/>
  <c r="Y72" i="43"/>
  <c r="BL72" i="43" s="1"/>
  <c r="BP72" i="43" s="1"/>
  <c r="BL72" i="31"/>
  <c r="BP72" i="31" s="1"/>
  <c r="Z72" i="42"/>
  <c r="AE72" i="42" s="1"/>
  <c r="N73" i="42" l="1"/>
  <c r="AD72" i="42"/>
  <c r="Z72" i="43"/>
  <c r="AE72" i="43" s="1"/>
  <c r="Z72" i="31"/>
  <c r="AE72" i="31" s="1"/>
  <c r="AH73" i="42" l="1"/>
  <c r="CC73" i="42"/>
  <c r="N73" i="43"/>
  <c r="AD72" i="43"/>
  <c r="P73" i="42"/>
  <c r="Q73" i="42" s="1"/>
  <c r="BH73" i="42" s="1"/>
  <c r="CH73" i="31"/>
  <c r="N73" i="31"/>
  <c r="AD72" i="31"/>
  <c r="P73" i="43" l="1"/>
  <c r="Q73" i="43" s="1"/>
  <c r="BH73" i="43" s="1"/>
  <c r="AH73" i="31"/>
  <c r="CC73" i="31"/>
  <c r="W73" i="42"/>
  <c r="P73" i="31"/>
  <c r="Q73" i="31" s="1"/>
  <c r="BH73" i="31" s="1"/>
  <c r="CE73" i="42"/>
  <c r="CD73" i="42"/>
  <c r="AH73" i="43"/>
  <c r="CC73" i="43"/>
  <c r="CF73" i="42" l="1"/>
  <c r="CE73" i="31"/>
  <c r="CD73" i="31"/>
  <c r="W73" i="31"/>
  <c r="W73" i="43"/>
  <c r="CE73" i="43"/>
  <c r="CD73" i="43"/>
  <c r="M73" i="42"/>
  <c r="O73" i="42" s="1"/>
  <c r="X73" i="42"/>
  <c r="CF73" i="31" l="1"/>
  <c r="CF73" i="43"/>
  <c r="M73" i="31"/>
  <c r="O73" i="31" s="1"/>
  <c r="X73" i="31"/>
  <c r="Y73" i="31" s="1"/>
  <c r="M73" i="43"/>
  <c r="O73" i="43" s="1"/>
  <c r="X73" i="43"/>
  <c r="Y73" i="42"/>
  <c r="BL73" i="42" s="1"/>
  <c r="BP73" i="42" s="1"/>
  <c r="Y73" i="43" l="1"/>
  <c r="BL73" i="43" s="1"/>
  <c r="BP73" i="43" s="1"/>
  <c r="BL73" i="31"/>
  <c r="BP73" i="31" s="1"/>
  <c r="Z73" i="42"/>
  <c r="AE73" i="42" s="1"/>
  <c r="AD73" i="42" l="1"/>
  <c r="N74" i="42"/>
  <c r="Z73" i="43"/>
  <c r="AE73" i="43" s="1"/>
  <c r="Z73" i="31"/>
  <c r="AE73" i="31" s="1"/>
  <c r="P74" i="42" l="1"/>
  <c r="Q74" i="42" s="1"/>
  <c r="BH74" i="42" s="1"/>
  <c r="AH74" i="42"/>
  <c r="CC74" i="42"/>
  <c r="N74" i="43"/>
  <c r="AD73" i="43"/>
  <c r="N74" i="31"/>
  <c r="CH74" i="31"/>
  <c r="AD73" i="31"/>
  <c r="AH74" i="31" l="1"/>
  <c r="CC74" i="31"/>
  <c r="W74" i="42"/>
  <c r="CE74" i="42"/>
  <c r="CD74" i="42"/>
  <c r="P74" i="31"/>
  <c r="Q74" i="31" s="1"/>
  <c r="BH74" i="31" s="1"/>
  <c r="AH74" i="43"/>
  <c r="CC74" i="43"/>
  <c r="P74" i="43"/>
  <c r="Q74" i="43" s="1"/>
  <c r="BH74" i="43" s="1"/>
  <c r="CF74" i="42" l="1"/>
  <c r="CD74" i="43"/>
  <c r="CE74" i="43"/>
  <c r="CE74" i="31"/>
  <c r="CD74" i="31"/>
  <c r="W74" i="43"/>
  <c r="M74" i="42"/>
  <c r="O74" i="42" s="1"/>
  <c r="X74" i="42"/>
  <c r="W74" i="31"/>
  <c r="CF74" i="31" l="1"/>
  <c r="CF74" i="43"/>
  <c r="Y74" i="42"/>
  <c r="BL74" i="42" s="1"/>
  <c r="BP74" i="42" s="1"/>
  <c r="M74" i="31"/>
  <c r="O74" i="31" s="1"/>
  <c r="X74" i="31"/>
  <c r="Y74" i="31" s="1"/>
  <c r="M74" i="43"/>
  <c r="O74" i="43" s="1"/>
  <c r="X74" i="43"/>
  <c r="BL74" i="31" l="1"/>
  <c r="BP74" i="31" s="1"/>
  <c r="Z74" i="42"/>
  <c r="AE74" i="42" s="1"/>
  <c r="Y74" i="43"/>
  <c r="BL74" i="43" s="1"/>
  <c r="BP74" i="43" s="1"/>
  <c r="Z74" i="43" l="1"/>
  <c r="Z74" i="31"/>
  <c r="AE74" i="31" s="1"/>
  <c r="N75" i="42"/>
  <c r="AD74" i="42"/>
  <c r="AD74" i="43" l="1"/>
  <c r="AE74" i="43"/>
  <c r="N75" i="43"/>
  <c r="CC75" i="43" s="1"/>
  <c r="CH75" i="31"/>
  <c r="N75" i="31"/>
  <c r="AD74" i="31"/>
  <c r="P75" i="42"/>
  <c r="Q75" i="42" s="1"/>
  <c r="BH75" i="42" s="1"/>
  <c r="AH75" i="42"/>
  <c r="CC75" i="42"/>
  <c r="P75" i="43" l="1"/>
  <c r="Q75" i="43" s="1"/>
  <c r="BH75" i="43" s="1"/>
  <c r="AH75" i="43"/>
  <c r="AH75" i="31"/>
  <c r="CC75" i="31"/>
  <c r="CE75" i="43"/>
  <c r="CD75" i="43"/>
  <c r="CE75" i="42"/>
  <c r="CD75" i="42"/>
  <c r="P75" i="31"/>
  <c r="Q75" i="31" s="1"/>
  <c r="BH75" i="31" s="1"/>
  <c r="W75" i="42"/>
  <c r="CF75" i="43" l="1"/>
  <c r="CF75" i="42"/>
  <c r="W75" i="43"/>
  <c r="X75" i="43" s="1"/>
  <c r="M75" i="42"/>
  <c r="O75" i="42" s="1"/>
  <c r="X75" i="42"/>
  <c r="W75" i="31"/>
  <c r="CE75" i="31"/>
  <c r="CD75" i="31"/>
  <c r="CF75" i="31" l="1"/>
  <c r="M75" i="43"/>
  <c r="O75" i="43" s="1"/>
  <c r="Y75" i="42"/>
  <c r="BL75" i="42" s="1"/>
  <c r="BP75" i="42" s="1"/>
  <c r="M75" i="31"/>
  <c r="O75" i="31" s="1"/>
  <c r="X75" i="31"/>
  <c r="Y75" i="31" s="1"/>
  <c r="Y75" i="43"/>
  <c r="BL75" i="43" s="1"/>
  <c r="BP75" i="43" s="1"/>
  <c r="Z75" i="43" l="1"/>
  <c r="AE75" i="43" s="1"/>
  <c r="BL75" i="31"/>
  <c r="BP75" i="31" s="1"/>
  <c r="Z75" i="42"/>
  <c r="AE75" i="42" s="1"/>
  <c r="N76" i="43" l="1"/>
  <c r="AD75" i="43"/>
  <c r="N76" i="42"/>
  <c r="AD75" i="42"/>
  <c r="Z75" i="31"/>
  <c r="AE75" i="31" s="1"/>
  <c r="AH76" i="43" l="1"/>
  <c r="CC76" i="43"/>
  <c r="AH76" i="42"/>
  <c r="CC76" i="42"/>
  <c r="CH76" i="31"/>
  <c r="N76" i="31"/>
  <c r="AD75" i="31"/>
  <c r="P76" i="43"/>
  <c r="Q76" i="43" s="1"/>
  <c r="BH76" i="43" s="1"/>
  <c r="P76" i="42"/>
  <c r="Q76" i="42" s="1"/>
  <c r="BH76" i="42" s="1"/>
  <c r="P76" i="31" l="1"/>
  <c r="Q76" i="31" s="1"/>
  <c r="BH76" i="31" s="1"/>
  <c r="W76" i="42"/>
  <c r="CD76" i="42"/>
  <c r="CE76" i="42"/>
  <c r="W76" i="43"/>
  <c r="CD76" i="43"/>
  <c r="CE76" i="43"/>
  <c r="AH76" i="31"/>
  <c r="CC76" i="31"/>
  <c r="CF76" i="43" l="1"/>
  <c r="CF76" i="42"/>
  <c r="CE76" i="31"/>
  <c r="CD76" i="31"/>
  <c r="M76" i="42"/>
  <c r="O76" i="42" s="1"/>
  <c r="X76" i="42"/>
  <c r="W76" i="31"/>
  <c r="M76" i="43"/>
  <c r="O76" i="43" s="1"/>
  <c r="X76" i="43"/>
  <c r="CF76" i="31" l="1"/>
  <c r="Y76" i="42"/>
  <c r="BL76" i="42" s="1"/>
  <c r="BP76" i="42" s="1"/>
  <c r="M76" i="31"/>
  <c r="O76" i="31" s="1"/>
  <c r="X76" i="31"/>
  <c r="Y76" i="31" s="1"/>
  <c r="Y76" i="43"/>
  <c r="BL76" i="43" s="1"/>
  <c r="BP76" i="43" s="1"/>
  <c r="Z76" i="43" l="1"/>
  <c r="AE76" i="43" s="1"/>
  <c r="BL76" i="31"/>
  <c r="BP76" i="31" s="1"/>
  <c r="Z76" i="42"/>
  <c r="AE76" i="42" s="1"/>
  <c r="N77" i="43" l="1"/>
  <c r="AD76" i="43"/>
  <c r="N77" i="42"/>
  <c r="AD76" i="42"/>
  <c r="Z76" i="31"/>
  <c r="AE76" i="31" s="1"/>
  <c r="AH77" i="43" l="1"/>
  <c r="CC77" i="43"/>
  <c r="AH77" i="42"/>
  <c r="CC77" i="42"/>
  <c r="N77" i="31"/>
  <c r="CH77" i="31"/>
  <c r="AD76" i="31"/>
  <c r="P77" i="43"/>
  <c r="Q77" i="43" s="1"/>
  <c r="BH77" i="43" s="1"/>
  <c r="P77" i="42"/>
  <c r="Q77" i="42" s="1"/>
  <c r="BH77" i="42" s="1"/>
  <c r="P77" i="31" l="1"/>
  <c r="Q77" i="31" s="1"/>
  <c r="BH77" i="31" s="1"/>
  <c r="W77" i="42"/>
  <c r="CE77" i="42"/>
  <c r="CD77" i="42"/>
  <c r="W77" i="43"/>
  <c r="AH77" i="31"/>
  <c r="CC77" i="31"/>
  <c r="CE77" i="43"/>
  <c r="CD77" i="43"/>
  <c r="CF77" i="42" l="1"/>
  <c r="CF77" i="43"/>
  <c r="W77" i="31"/>
  <c r="CE77" i="31"/>
  <c r="CD77" i="31"/>
  <c r="M77" i="43"/>
  <c r="O77" i="43" s="1"/>
  <c r="X77" i="43"/>
  <c r="M77" i="42"/>
  <c r="O77" i="42" s="1"/>
  <c r="X77" i="42"/>
  <c r="CF77" i="31" l="1"/>
  <c r="M77" i="31"/>
  <c r="O77" i="31" s="1"/>
  <c r="X77" i="31"/>
  <c r="Y77" i="31" s="1"/>
  <c r="Y77" i="43"/>
  <c r="BL77" i="43" s="1"/>
  <c r="BP77" i="43" s="1"/>
  <c r="Y77" i="42"/>
  <c r="BL77" i="42" s="1"/>
  <c r="BP77" i="42" s="1"/>
  <c r="BL77" i="31" l="1"/>
  <c r="BP77" i="31" s="1"/>
  <c r="Z77" i="42"/>
  <c r="AE77" i="42" s="1"/>
  <c r="Z77" i="43"/>
  <c r="AE77" i="43" s="1"/>
  <c r="Z77" i="31" l="1"/>
  <c r="AE77" i="31" s="1"/>
  <c r="N78" i="42"/>
  <c r="AD77" i="42"/>
  <c r="N78" i="43"/>
  <c r="AD77" i="43"/>
  <c r="CH78" i="31" l="1"/>
  <c r="N78" i="31"/>
  <c r="AD77" i="31"/>
  <c r="AH78" i="42"/>
  <c r="CC78" i="42"/>
  <c r="P78" i="43"/>
  <c r="Q78" i="43" s="1"/>
  <c r="BH78" i="43" s="1"/>
  <c r="P78" i="42"/>
  <c r="Q78" i="42" s="1"/>
  <c r="BH78" i="42" s="1"/>
  <c r="AH78" i="43"/>
  <c r="CC78" i="43"/>
  <c r="AH78" i="31" l="1"/>
  <c r="CC78" i="31"/>
  <c r="CE78" i="42"/>
  <c r="CD78" i="42"/>
  <c r="CE78" i="43"/>
  <c r="CD78" i="43"/>
  <c r="P78" i="31"/>
  <c r="Q78" i="31" s="1"/>
  <c r="BH78" i="31" s="1"/>
  <c r="W78" i="42"/>
  <c r="W78" i="43"/>
  <c r="CF78" i="42" l="1"/>
  <c r="CF78" i="43"/>
  <c r="M78" i="43"/>
  <c r="O78" i="43" s="1"/>
  <c r="X78" i="43"/>
  <c r="W78" i="31"/>
  <c r="M78" i="42"/>
  <c r="O78" i="42" s="1"/>
  <c r="X78" i="42"/>
  <c r="CE78" i="31"/>
  <c r="CD78" i="31"/>
  <c r="CF78" i="31" l="1"/>
  <c r="Y78" i="43"/>
  <c r="BL78" i="43" s="1"/>
  <c r="BP78" i="43" s="1"/>
  <c r="M78" i="31"/>
  <c r="O78" i="31" s="1"/>
  <c r="X78" i="31"/>
  <c r="Y78" i="31" s="1"/>
  <c r="AB72" i="35"/>
  <c r="Y78" i="42"/>
  <c r="BL78" i="42" s="1"/>
  <c r="BP78" i="42" s="1"/>
  <c r="BL78" i="31" l="1"/>
  <c r="BP78" i="31" s="1"/>
  <c r="Z78" i="42"/>
  <c r="Z78" i="43"/>
  <c r="AE78" i="43" s="1"/>
  <c r="AB37" i="35"/>
  <c r="AD78" i="42" l="1"/>
  <c r="AD72" i="35" s="1"/>
  <c r="AE78" i="42"/>
  <c r="AF72" i="35" s="1"/>
  <c r="N79" i="42"/>
  <c r="CC79" i="42" s="1"/>
  <c r="N79" i="43"/>
  <c r="AD78" i="43"/>
  <c r="Z78" i="31"/>
  <c r="AE78" i="31" s="1"/>
  <c r="AF37" i="35" s="1"/>
  <c r="AE72" i="35" l="1"/>
  <c r="P79" i="42"/>
  <c r="Q79" i="42" s="1"/>
  <c r="BH79" i="42" s="1"/>
  <c r="W79" i="42" s="1"/>
  <c r="AH79" i="42"/>
  <c r="N79" i="31"/>
  <c r="CH79" i="31"/>
  <c r="AD78" i="31"/>
  <c r="AH79" i="43"/>
  <c r="CC79" i="43"/>
  <c r="P79" i="43"/>
  <c r="Q79" i="43" s="1"/>
  <c r="G37" i="35"/>
  <c r="CE79" i="42"/>
  <c r="CD79" i="42"/>
  <c r="CF79" i="42" l="1"/>
  <c r="H37" i="35"/>
  <c r="I37" i="35"/>
  <c r="M79" i="42"/>
  <c r="O79" i="42" s="1"/>
  <c r="X79" i="42"/>
  <c r="AH79" i="31"/>
  <c r="CC79" i="31"/>
  <c r="BH79" i="43"/>
  <c r="CE79" i="43"/>
  <c r="CD79" i="43"/>
  <c r="AD37" i="35"/>
  <c r="P79" i="31"/>
  <c r="Q79" i="31" s="1"/>
  <c r="CF79" i="43" l="1"/>
  <c r="AE37" i="35"/>
  <c r="W79" i="43"/>
  <c r="CE79" i="31"/>
  <c r="CD79" i="31"/>
  <c r="Y79" i="42"/>
  <c r="BH79" i="31"/>
  <c r="W79" i="31" s="1"/>
  <c r="M37" i="35"/>
  <c r="CF79" i="31" l="1"/>
  <c r="O37" i="35"/>
  <c r="N37" i="35"/>
  <c r="M79" i="31"/>
  <c r="O79" i="31" s="1"/>
  <c r="X79" i="31"/>
  <c r="Y79" i="31" s="1"/>
  <c r="BL79" i="42"/>
  <c r="M79" i="43"/>
  <c r="O79" i="43" s="1"/>
  <c r="X79" i="43"/>
  <c r="Y79" i="43" l="1"/>
  <c r="BP79" i="42"/>
  <c r="Z79" i="42"/>
  <c r="AE79" i="42" s="1"/>
  <c r="BL79" i="43" l="1"/>
  <c r="BP79" i="43" s="1"/>
  <c r="N80" i="42"/>
  <c r="AD79" i="42"/>
  <c r="BL79" i="31"/>
  <c r="BP79" i="31" s="1"/>
  <c r="Z79" i="43" l="1"/>
  <c r="AH80" i="42"/>
  <c r="CC80" i="42"/>
  <c r="Z79" i="31"/>
  <c r="AE79" i="31" s="1"/>
  <c r="P80" i="42"/>
  <c r="Q80" i="42" s="1"/>
  <c r="N80" i="43" l="1"/>
  <c r="AH80" i="43" s="1"/>
  <c r="AE79" i="43"/>
  <c r="AD79" i="43"/>
  <c r="BH80" i="42"/>
  <c r="W80" i="42" s="1"/>
  <c r="N80" i="31"/>
  <c r="CH80" i="31"/>
  <c r="AD79" i="31"/>
  <c r="CE80" i="42"/>
  <c r="CD80" i="42"/>
  <c r="CF80" i="42" l="1"/>
  <c r="CC80" i="43"/>
  <c r="CE80" i="43" s="1"/>
  <c r="P80" i="43"/>
  <c r="Q80" i="43" s="1"/>
  <c r="BH80" i="43" s="1"/>
  <c r="W80" i="43" s="1"/>
  <c r="AH80" i="31"/>
  <c r="CC80" i="31"/>
  <c r="M80" i="42"/>
  <c r="O80" i="42" s="1"/>
  <c r="X80" i="42"/>
  <c r="P80" i="31"/>
  <c r="Q80" i="31" s="1"/>
  <c r="CD80" i="43" l="1"/>
  <c r="CF80" i="43" s="1"/>
  <c r="BH80" i="31"/>
  <c r="W80" i="31" s="1"/>
  <c r="M80" i="43"/>
  <c r="O80" i="43" s="1"/>
  <c r="X80" i="43"/>
  <c r="Y80" i="42"/>
  <c r="CE80" i="31"/>
  <c r="CD80" i="31"/>
  <c r="CF80" i="31" l="1"/>
  <c r="Y80" i="43"/>
  <c r="BL80" i="42"/>
  <c r="M80" i="31"/>
  <c r="O80" i="31" s="1"/>
  <c r="X80" i="31"/>
  <c r="Y80" i="31" s="1"/>
  <c r="BL80" i="43" l="1"/>
  <c r="BP80" i="43" s="1"/>
  <c r="BP80" i="42"/>
  <c r="Z80" i="42"/>
  <c r="AE80" i="42" s="1"/>
  <c r="N81" i="42" l="1"/>
  <c r="AD80" i="42"/>
  <c r="BL80" i="31"/>
  <c r="Z80" i="43"/>
  <c r="AE80" i="43" s="1"/>
  <c r="N81" i="43" l="1"/>
  <c r="AD80" i="43"/>
  <c r="AH81" i="42"/>
  <c r="CC81" i="42"/>
  <c r="P81" i="42"/>
  <c r="Q81" i="42" s="1"/>
  <c r="BP80" i="31"/>
  <c r="Z80" i="31"/>
  <c r="AE80" i="31" s="1"/>
  <c r="AH81" i="43" l="1"/>
  <c r="CC81" i="43"/>
  <c r="P81" i="43"/>
  <c r="Q81" i="43" s="1"/>
  <c r="CH81" i="31"/>
  <c r="N81" i="31"/>
  <c r="AD80" i="31"/>
  <c r="BH81" i="42"/>
  <c r="CE81" i="42"/>
  <c r="CD81" i="42"/>
  <c r="CF81" i="42" l="1"/>
  <c r="W81" i="42"/>
  <c r="AH81" i="31"/>
  <c r="CC81" i="31"/>
  <c r="P81" i="31"/>
  <c r="Q81" i="31" s="1"/>
  <c r="BH81" i="43"/>
  <c r="W81" i="43" s="1"/>
  <c r="CE81" i="43"/>
  <c r="CD81" i="43"/>
  <c r="CF81" i="43" l="1"/>
  <c r="M81" i="43"/>
  <c r="O81" i="43" s="1"/>
  <c r="X81" i="43"/>
  <c r="M81" i="42"/>
  <c r="O81" i="42" s="1"/>
  <c r="X81" i="42"/>
  <c r="BH81" i="31"/>
  <c r="W81" i="31" s="1"/>
  <c r="CE81" i="31"/>
  <c r="CD81" i="31"/>
  <c r="CF81" i="31" l="1"/>
  <c r="M81" i="31"/>
  <c r="O81" i="31" s="1"/>
  <c r="X81" i="31"/>
  <c r="Y81" i="31" s="1"/>
  <c r="Y81" i="42"/>
  <c r="Y81" i="43"/>
  <c r="BL81" i="43" l="1"/>
  <c r="BP81" i="43" s="1"/>
  <c r="BL81" i="42"/>
  <c r="BP81" i="42" s="1"/>
  <c r="Z81" i="43" l="1"/>
  <c r="BL81" i="31"/>
  <c r="BP81" i="31" s="1"/>
  <c r="Z81" i="42"/>
  <c r="AE81" i="42" s="1"/>
  <c r="AD81" i="43" l="1"/>
  <c r="AE81" i="43"/>
  <c r="Z81" i="31"/>
  <c r="N82" i="43"/>
  <c r="CC82" i="43" s="1"/>
  <c r="AD81" i="42"/>
  <c r="N82" i="42"/>
  <c r="AD81" i="31" l="1"/>
  <c r="AE81" i="31"/>
  <c r="CH82" i="31"/>
  <c r="N82" i="31"/>
  <c r="P82" i="43"/>
  <c r="Q82" i="43" s="1"/>
  <c r="BH82" i="43" s="1"/>
  <c r="W82" i="43" s="1"/>
  <c r="AH82" i="43"/>
  <c r="P82" i="42"/>
  <c r="Q82" i="42" s="1"/>
  <c r="AH82" i="42"/>
  <c r="CC82" i="42"/>
  <c r="CE82" i="43"/>
  <c r="CD82" i="43"/>
  <c r="P82" i="31" l="1"/>
  <c r="Q82" i="31" s="1"/>
  <c r="BH82" i="31" s="1"/>
  <c r="CF82" i="43"/>
  <c r="AH82" i="31"/>
  <c r="CC82" i="31"/>
  <c r="CD82" i="31" s="1"/>
  <c r="M82" i="43"/>
  <c r="O82" i="43" s="1"/>
  <c r="X82" i="43"/>
  <c r="CE82" i="42"/>
  <c r="CD82" i="42"/>
  <c r="BH82" i="42"/>
  <c r="CF82" i="42" l="1"/>
  <c r="CE82" i="31"/>
  <c r="CF82" i="31" s="1"/>
  <c r="Y82" i="43"/>
  <c r="W82" i="42"/>
  <c r="W82" i="31"/>
  <c r="M82" i="31" l="1"/>
  <c r="O82" i="31" s="1"/>
  <c r="X82" i="31"/>
  <c r="Y82" i="31" s="1"/>
  <c r="M82" i="42"/>
  <c r="O82" i="42" s="1"/>
  <c r="X82" i="42"/>
  <c r="BL82" i="43"/>
  <c r="BP82" i="43" l="1"/>
  <c r="Z82" i="43"/>
  <c r="AE82" i="43" s="1"/>
  <c r="Y82" i="42"/>
  <c r="BL82" i="42" l="1"/>
  <c r="BP82" i="42" s="1"/>
  <c r="N83" i="43"/>
  <c r="AD82" i="43"/>
  <c r="BL82" i="31"/>
  <c r="BP82" i="31" s="1"/>
  <c r="AH83" i="43" l="1"/>
  <c r="CC83" i="43"/>
  <c r="P83" i="43"/>
  <c r="Q83" i="43" s="1"/>
  <c r="Z82" i="42"/>
  <c r="AE82" i="42" s="1"/>
  <c r="Z82" i="31"/>
  <c r="AE82" i="31" s="1"/>
  <c r="BH83" i="43" l="1"/>
  <c r="N83" i="42"/>
  <c r="AD82" i="42"/>
  <c r="CH83" i="31"/>
  <c r="N83" i="31"/>
  <c r="AD82" i="31"/>
  <c r="CE83" i="43"/>
  <c r="CD83" i="43"/>
  <c r="CF83" i="43" l="1"/>
  <c r="AH83" i="42"/>
  <c r="CC83" i="42"/>
  <c r="AH83" i="31"/>
  <c r="CC83" i="31"/>
  <c r="P83" i="31"/>
  <c r="Q83" i="31" s="1"/>
  <c r="P83" i="42"/>
  <c r="Q83" i="42" s="1"/>
  <c r="W83" i="43"/>
  <c r="BH83" i="42" l="1"/>
  <c r="W83" i="42" s="1"/>
  <c r="BH83" i="31"/>
  <c r="W83" i="31" s="1"/>
  <c r="CD83" i="31"/>
  <c r="CE83" i="31"/>
  <c r="CD83" i="42"/>
  <c r="CE83" i="42"/>
  <c r="M83" i="43"/>
  <c r="O83" i="43" s="1"/>
  <c r="X83" i="43"/>
  <c r="CF83" i="31" l="1"/>
  <c r="CF83" i="42"/>
  <c r="M83" i="31"/>
  <c r="O83" i="31" s="1"/>
  <c r="X83" i="31"/>
  <c r="Y83" i="31" s="1"/>
  <c r="Y83" i="43"/>
  <c r="M83" i="42"/>
  <c r="O83" i="42" s="1"/>
  <c r="X83" i="42"/>
  <c r="Y83" i="42" l="1"/>
  <c r="BL83" i="43"/>
  <c r="BP83" i="43" s="1"/>
  <c r="BL83" i="42" l="1"/>
  <c r="BP83" i="42" s="1"/>
  <c r="Z83" i="43"/>
  <c r="AE83" i="43" s="1"/>
  <c r="BL83" i="31"/>
  <c r="BP83" i="31" s="1"/>
  <c r="N84" i="43" l="1"/>
  <c r="AD83" i="43"/>
  <c r="Z83" i="42"/>
  <c r="AE83" i="42" s="1"/>
  <c r="Z83" i="31"/>
  <c r="AE83" i="31" s="1"/>
  <c r="AH84" i="43" l="1"/>
  <c r="CC84" i="43"/>
  <c r="P84" i="43"/>
  <c r="Q84" i="43" s="1"/>
  <c r="BH84" i="43" s="1"/>
  <c r="N84" i="42"/>
  <c r="AD83" i="42"/>
  <c r="CH84" i="31"/>
  <c r="N84" i="31"/>
  <c r="AD83" i="31"/>
  <c r="AH84" i="31" l="1"/>
  <c r="CC84" i="31"/>
  <c r="P84" i="31"/>
  <c r="Q84" i="31" s="1"/>
  <c r="BH84" i="31" s="1"/>
  <c r="CE84" i="43"/>
  <c r="CD84" i="43"/>
  <c r="AH84" i="42"/>
  <c r="CC84" i="42"/>
  <c r="P84" i="42"/>
  <c r="Q84" i="42" s="1"/>
  <c r="BH84" i="42" s="1"/>
  <c r="W84" i="43"/>
  <c r="CF84" i="43" l="1"/>
  <c r="M84" i="43"/>
  <c r="O84" i="43" s="1"/>
  <c r="X84" i="43"/>
  <c r="W84" i="42"/>
  <c r="W84" i="31"/>
  <c r="CE84" i="42"/>
  <c r="CD84" i="42"/>
  <c r="CE84" i="31"/>
  <c r="CD84" i="31"/>
  <c r="CF84" i="42" l="1"/>
  <c r="CF84" i="31"/>
  <c r="M84" i="42"/>
  <c r="O84" i="42" s="1"/>
  <c r="X84" i="42"/>
  <c r="Y84" i="43"/>
  <c r="BL84" i="43" s="1"/>
  <c r="BP84" i="43" s="1"/>
  <c r="M84" i="31"/>
  <c r="O84" i="31" s="1"/>
  <c r="X84" i="31"/>
  <c r="Y84" i="31" s="1"/>
  <c r="Z84" i="43" l="1"/>
  <c r="AE84" i="43" s="1"/>
  <c r="BL84" i="31"/>
  <c r="BP84" i="31" s="1"/>
  <c r="Y84" i="42"/>
  <c r="BL84" i="42" s="1"/>
  <c r="BP84" i="42" s="1"/>
  <c r="Z84" i="42" l="1"/>
  <c r="N85" i="43"/>
  <c r="AD84" i="43"/>
  <c r="Z84" i="31"/>
  <c r="AE84" i="31" s="1"/>
  <c r="N85" i="42" l="1"/>
  <c r="CC85" i="42" s="1"/>
  <c r="AE84" i="42"/>
  <c r="AD84" i="42"/>
  <c r="AH85" i="43"/>
  <c r="CC85" i="43"/>
  <c r="N85" i="31"/>
  <c r="CH85" i="31"/>
  <c r="AD84" i="31"/>
  <c r="P85" i="43"/>
  <c r="Q85" i="43" s="1"/>
  <c r="BH85" i="43" s="1"/>
  <c r="AH85" i="42" l="1"/>
  <c r="P85" i="42"/>
  <c r="Q85" i="42" s="1"/>
  <c r="BH85" i="42" s="1"/>
  <c r="CE85" i="42"/>
  <c r="CD85" i="42"/>
  <c r="P85" i="31"/>
  <c r="Q85" i="31" s="1"/>
  <c r="BH85" i="31" s="1"/>
  <c r="CE85" i="43"/>
  <c r="CD85" i="43"/>
  <c r="W85" i="43"/>
  <c r="AH85" i="31"/>
  <c r="CC85" i="31"/>
  <c r="CF85" i="42" l="1"/>
  <c r="CF85" i="43"/>
  <c r="W85" i="42"/>
  <c r="M85" i="42" s="1"/>
  <c r="O85" i="42" s="1"/>
  <c r="M85" i="43"/>
  <c r="O85" i="43" s="1"/>
  <c r="X85" i="43"/>
  <c r="CE85" i="31"/>
  <c r="CD85" i="31"/>
  <c r="W85" i="31"/>
  <c r="CF85" i="31" l="1"/>
  <c r="X85" i="42"/>
  <c r="Y85" i="42" s="1"/>
  <c r="BL85" i="42" s="1"/>
  <c r="BP85" i="42" s="1"/>
  <c r="M85" i="31"/>
  <c r="O85" i="31" s="1"/>
  <c r="X85" i="31"/>
  <c r="Y85" i="31" s="1"/>
  <c r="Y85" i="43"/>
  <c r="BL85" i="43" s="1"/>
  <c r="BP85" i="43" s="1"/>
  <c r="BL85" i="31" l="1"/>
  <c r="BP85" i="31" s="1"/>
  <c r="Z85" i="43"/>
  <c r="AE85" i="43" s="1"/>
  <c r="Z85" i="42"/>
  <c r="AE85" i="42" s="1"/>
  <c r="N86" i="43" l="1"/>
  <c r="AD85" i="43"/>
  <c r="N86" i="42"/>
  <c r="AD85" i="42"/>
  <c r="Z85" i="31"/>
  <c r="AE85" i="31" s="1"/>
  <c r="CH86" i="31" l="1"/>
  <c r="N86" i="31"/>
  <c r="AD85" i="31"/>
  <c r="P86" i="43"/>
  <c r="Q86" i="43" s="1"/>
  <c r="BH86" i="43" s="1"/>
  <c r="AH86" i="42"/>
  <c r="CC86" i="42"/>
  <c r="AH86" i="43"/>
  <c r="CC86" i="43"/>
  <c r="P86" i="42"/>
  <c r="Q86" i="42" s="1"/>
  <c r="BH86" i="42" s="1"/>
  <c r="W86" i="42" l="1"/>
  <c r="M86" i="42" s="1"/>
  <c r="O86" i="42" s="1"/>
  <c r="CE86" i="42"/>
  <c r="CD86" i="42"/>
  <c r="AH86" i="31"/>
  <c r="CC86" i="31"/>
  <c r="P86" i="31"/>
  <c r="Q86" i="31" s="1"/>
  <c r="BH86" i="31" s="1"/>
  <c r="CE86" i="43"/>
  <c r="CD86" i="43"/>
  <c r="W86" i="43"/>
  <c r="CF86" i="42" l="1"/>
  <c r="CF86" i="43"/>
  <c r="X86" i="42"/>
  <c r="Y86" i="42" s="1"/>
  <c r="BL86" i="42" s="1"/>
  <c r="BP86" i="42" s="1"/>
  <c r="CD86" i="31"/>
  <c r="CE86" i="31"/>
  <c r="W86" i="31"/>
  <c r="M86" i="43"/>
  <c r="O86" i="43" s="1"/>
  <c r="X86" i="43"/>
  <c r="CF86" i="31" l="1"/>
  <c r="M86" i="31"/>
  <c r="O86" i="31" s="1"/>
  <c r="X86" i="31"/>
  <c r="Y86" i="31" s="1"/>
  <c r="Z86" i="42"/>
  <c r="AE86" i="42" s="1"/>
  <c r="Y86" i="43"/>
  <c r="BL86" i="43" s="1"/>
  <c r="BP86" i="43" s="1"/>
  <c r="Z86" i="43" l="1"/>
  <c r="N87" i="43" s="1"/>
  <c r="BL86" i="31"/>
  <c r="BP86" i="31" s="1"/>
  <c r="N87" i="42"/>
  <c r="AD86" i="42"/>
  <c r="AD86" i="43" l="1"/>
  <c r="P87" i="43" s="1"/>
  <c r="Q87" i="43" s="1"/>
  <c r="BH87" i="43" s="1"/>
  <c r="AE86" i="43"/>
  <c r="AH87" i="43"/>
  <c r="CC87" i="43"/>
  <c r="AH87" i="42"/>
  <c r="CC87" i="42"/>
  <c r="P87" i="42"/>
  <c r="Q87" i="42" s="1"/>
  <c r="BH87" i="42" s="1"/>
  <c r="Z86" i="31"/>
  <c r="AE86" i="31" s="1"/>
  <c r="CE87" i="42" l="1"/>
  <c r="CD87" i="42"/>
  <c r="CE87" i="43"/>
  <c r="CD87" i="43"/>
  <c r="W87" i="42"/>
  <c r="N87" i="31"/>
  <c r="CH87" i="31"/>
  <c r="AD86" i="31"/>
  <c r="W87" i="43"/>
  <c r="CF87" i="43" l="1"/>
  <c r="CF87" i="42"/>
  <c r="P87" i="31"/>
  <c r="Q87" i="31" s="1"/>
  <c r="BH87" i="31" s="1"/>
  <c r="M87" i="42"/>
  <c r="O87" i="42" s="1"/>
  <c r="X87" i="42"/>
  <c r="AH87" i="31"/>
  <c r="CC87" i="31"/>
  <c r="M87" i="43"/>
  <c r="O87" i="43" s="1"/>
  <c r="X87" i="43"/>
  <c r="W87" i="31" l="1"/>
  <c r="X87" i="31" s="1"/>
  <c r="Y87" i="31" s="1"/>
  <c r="Y87" i="42"/>
  <c r="BL87" i="42" s="1"/>
  <c r="BP87" i="42" s="1"/>
  <c r="CE87" i="31"/>
  <c r="CD87" i="31"/>
  <c r="Y87" i="43"/>
  <c r="BL87" i="43" s="1"/>
  <c r="BP87" i="43" s="1"/>
  <c r="CF87" i="31" l="1"/>
  <c r="M87" i="31"/>
  <c r="O87" i="31" s="1"/>
  <c r="BL87" i="31"/>
  <c r="BP87" i="31" s="1"/>
  <c r="Z87" i="42"/>
  <c r="AE87" i="42" s="1"/>
  <c r="Z87" i="43"/>
  <c r="AE87" i="43" s="1"/>
  <c r="Z87" i="31" l="1"/>
  <c r="AE87" i="31" s="1"/>
  <c r="N88" i="43"/>
  <c r="AD87" i="43"/>
  <c r="N88" i="42"/>
  <c r="AD87" i="42"/>
  <c r="P88" i="42" l="1"/>
  <c r="Q88" i="42" s="1"/>
  <c r="BH88" i="42" s="1"/>
  <c r="N88" i="31"/>
  <c r="CH88" i="31"/>
  <c r="AD87" i="31"/>
  <c r="AH88" i="43"/>
  <c r="CC88" i="43"/>
  <c r="P88" i="43"/>
  <c r="Q88" i="43" s="1"/>
  <c r="BH88" i="43" s="1"/>
  <c r="AH88" i="42"/>
  <c r="CC88" i="42"/>
  <c r="CD88" i="43" l="1"/>
  <c r="CE88" i="43"/>
  <c r="W88" i="42"/>
  <c r="CE88" i="42"/>
  <c r="CD88" i="42"/>
  <c r="P88" i="31"/>
  <c r="Q88" i="31" s="1"/>
  <c r="BH88" i="31" s="1"/>
  <c r="W88" i="43"/>
  <c r="AH88" i="31"/>
  <c r="CC88" i="31"/>
  <c r="CF88" i="42" l="1"/>
  <c r="CF88" i="43"/>
  <c r="CE88" i="31"/>
  <c r="CD88" i="31"/>
  <c r="M88" i="43"/>
  <c r="O88" i="43" s="1"/>
  <c r="X88" i="43"/>
  <c r="W88" i="31"/>
  <c r="M88" i="42"/>
  <c r="O88" i="42" s="1"/>
  <c r="X88" i="42"/>
  <c r="CF88" i="31" l="1"/>
  <c r="M88" i="31"/>
  <c r="O88" i="31" s="1"/>
  <c r="X88" i="31"/>
  <c r="Y88" i="31" s="1"/>
  <c r="Y88" i="42"/>
  <c r="BL88" i="42" s="1"/>
  <c r="BP88" i="42" s="1"/>
  <c r="Y88" i="43"/>
  <c r="BL88" i="43" s="1"/>
  <c r="BP88" i="43" s="1"/>
  <c r="BL88" i="31" l="1"/>
  <c r="BP88" i="31" s="1"/>
  <c r="Z88" i="42"/>
  <c r="AE88" i="42" s="1"/>
  <c r="Z88" i="43"/>
  <c r="AE88" i="43" s="1"/>
  <c r="Z88" i="31" l="1"/>
  <c r="AE88" i="31" s="1"/>
  <c r="N89" i="42"/>
  <c r="AD88" i="42"/>
  <c r="N89" i="43"/>
  <c r="AD88" i="43"/>
  <c r="P89" i="43" l="1"/>
  <c r="Q89" i="43" s="1"/>
  <c r="BH89" i="43" s="1"/>
  <c r="CH89" i="31"/>
  <c r="N89" i="31"/>
  <c r="AD88" i="31"/>
  <c r="AH89" i="42"/>
  <c r="CC89" i="42"/>
  <c r="P89" i="42"/>
  <c r="Q89" i="42" s="1"/>
  <c r="BH89" i="42" s="1"/>
  <c r="AH89" i="43"/>
  <c r="CC89" i="43"/>
  <c r="AH89" i="31" l="1"/>
  <c r="CC89" i="31"/>
  <c r="W89" i="43"/>
  <c r="CE89" i="42"/>
  <c r="CD89" i="42"/>
  <c r="P89" i="31"/>
  <c r="Q89" i="31" s="1"/>
  <c r="BH89" i="31" s="1"/>
  <c r="W89" i="42"/>
  <c r="CE89" i="43"/>
  <c r="CD89" i="43"/>
  <c r="CF89" i="42" l="1"/>
  <c r="CF89" i="43"/>
  <c r="M89" i="42"/>
  <c r="O89" i="42" s="1"/>
  <c r="X89" i="42"/>
  <c r="CE89" i="31"/>
  <c r="CD89" i="31"/>
  <c r="W89" i="31"/>
  <c r="M89" i="43"/>
  <c r="O89" i="43" s="1"/>
  <c r="X89" i="43"/>
  <c r="CF89" i="31" l="1"/>
  <c r="Y89" i="42"/>
  <c r="BL89" i="42" s="1"/>
  <c r="BP89" i="42" s="1"/>
  <c r="Y89" i="43"/>
  <c r="BL89" i="43" s="1"/>
  <c r="BP89" i="43" s="1"/>
  <c r="M89" i="31"/>
  <c r="O89" i="31" s="1"/>
  <c r="X89" i="31"/>
  <c r="Y89" i="31" s="1"/>
  <c r="Z89" i="43" l="1"/>
  <c r="AE89" i="43" s="1"/>
  <c r="BL89" i="31"/>
  <c r="BP89" i="31" s="1"/>
  <c r="Z89" i="42"/>
  <c r="AE89" i="42" s="1"/>
  <c r="N90" i="43" l="1"/>
  <c r="AD89" i="43"/>
  <c r="N90" i="42"/>
  <c r="AD89" i="42"/>
  <c r="Z89" i="31"/>
  <c r="AE89" i="31" s="1"/>
  <c r="AH90" i="43" l="1"/>
  <c r="CC90" i="43"/>
  <c r="AH90" i="42"/>
  <c r="CC90" i="42"/>
  <c r="CH90" i="31"/>
  <c r="N90" i="31"/>
  <c r="AD89" i="31"/>
  <c r="P90" i="43"/>
  <c r="Q90" i="43" s="1"/>
  <c r="BH90" i="43" s="1"/>
  <c r="P90" i="42"/>
  <c r="Q90" i="42" s="1"/>
  <c r="BH90" i="42" s="1"/>
  <c r="P90" i="31" l="1"/>
  <c r="Q90" i="31" s="1"/>
  <c r="BH90" i="31" s="1"/>
  <c r="W90" i="42"/>
  <c r="CE90" i="42"/>
  <c r="CD90" i="42"/>
  <c r="W90" i="43"/>
  <c r="CE90" i="43"/>
  <c r="CD90" i="43"/>
  <c r="AH90" i="31"/>
  <c r="CC90" i="31"/>
  <c r="CF90" i="42" l="1"/>
  <c r="CF90" i="43"/>
  <c r="CE90" i="31"/>
  <c r="CD90" i="31"/>
  <c r="M90" i="42"/>
  <c r="O90" i="42" s="1"/>
  <c r="X90" i="42"/>
  <c r="W90" i="31"/>
  <c r="M90" i="43"/>
  <c r="O90" i="43" s="1"/>
  <c r="X90" i="43"/>
  <c r="CF90" i="31" l="1"/>
  <c r="M90" i="31"/>
  <c r="O90" i="31" s="1"/>
  <c r="X90" i="31"/>
  <c r="Y90" i="31" s="1"/>
  <c r="Y90" i="43"/>
  <c r="BL90" i="43" s="1"/>
  <c r="BP90" i="43" s="1"/>
  <c r="AB73" i="35"/>
  <c r="Y90" i="42"/>
  <c r="BL90" i="42" s="1"/>
  <c r="BP90" i="42" s="1"/>
  <c r="BL90" i="31" l="1"/>
  <c r="BP90" i="31" s="1"/>
  <c r="AB38" i="35"/>
  <c r="Z90" i="42"/>
  <c r="AE90" i="42" s="1"/>
  <c r="AF73" i="35" s="1"/>
  <c r="Z90" i="43"/>
  <c r="AE90" i="43" s="1"/>
  <c r="N91" i="42" l="1"/>
  <c r="AD90" i="42"/>
  <c r="N91" i="43"/>
  <c r="AD90" i="43"/>
  <c r="Z90" i="31"/>
  <c r="AE90" i="31" s="1"/>
  <c r="AF38" i="35" s="1"/>
  <c r="AH91" i="42" l="1"/>
  <c r="CC91" i="42"/>
  <c r="AH91" i="43"/>
  <c r="CC91" i="43"/>
  <c r="N91" i="31"/>
  <c r="CH91" i="31"/>
  <c r="AD90" i="31"/>
  <c r="AD73" i="35"/>
  <c r="P91" i="42"/>
  <c r="Q91" i="42" s="1"/>
  <c r="P91" i="43"/>
  <c r="Q91" i="43" s="1"/>
  <c r="AE73" i="35" l="1"/>
  <c r="BH91" i="43"/>
  <c r="W91" i="43" s="1"/>
  <c r="AH91" i="31"/>
  <c r="CC91" i="31"/>
  <c r="BH91" i="42"/>
  <c r="AD38" i="35"/>
  <c r="P91" i="31"/>
  <c r="Q91" i="31" s="1"/>
  <c r="G38" i="35"/>
  <c r="CE91" i="43"/>
  <c r="CD91" i="43"/>
  <c r="CD91" i="42"/>
  <c r="CE91" i="42"/>
  <c r="CF91" i="43" l="1"/>
  <c r="CF91" i="42"/>
  <c r="H38" i="35"/>
  <c r="I38" i="35"/>
  <c r="AE38" i="35"/>
  <c r="BH91" i="31"/>
  <c r="W91" i="31" s="1"/>
  <c r="W91" i="42"/>
  <c r="M91" i="43"/>
  <c r="O91" i="43" s="1"/>
  <c r="X91" i="43"/>
  <c r="M38" i="35"/>
  <c r="CE91" i="31"/>
  <c r="CD91" i="31"/>
  <c r="CF91" i="31" l="1"/>
  <c r="O38" i="35"/>
  <c r="N38" i="35"/>
  <c r="M91" i="31"/>
  <c r="O91" i="31" s="1"/>
  <c r="X91" i="31"/>
  <c r="Y91" i="31" s="1"/>
  <c r="Y91" i="43"/>
  <c r="M91" i="42"/>
  <c r="O91" i="42" s="1"/>
  <c r="X91" i="42"/>
  <c r="Y91" i="42" l="1"/>
  <c r="BL91" i="43"/>
  <c r="BP91" i="43" s="1"/>
  <c r="BL91" i="42" l="1"/>
  <c r="BP91" i="42" s="1"/>
  <c r="Z91" i="43"/>
  <c r="AE91" i="43" s="1"/>
  <c r="BL91" i="31"/>
  <c r="BP91" i="31" s="1"/>
  <c r="N92" i="43" l="1"/>
  <c r="AD91" i="43"/>
  <c r="Z91" i="42"/>
  <c r="AE91" i="42" s="1"/>
  <c r="Z91" i="31"/>
  <c r="AE91" i="31" s="1"/>
  <c r="N92" i="42" l="1"/>
  <c r="AD91" i="42"/>
  <c r="CH92" i="31"/>
  <c r="N92" i="31"/>
  <c r="AD91" i="31"/>
  <c r="AH92" i="43"/>
  <c r="CC92" i="43"/>
  <c r="P92" i="43"/>
  <c r="Q92" i="43" s="1"/>
  <c r="AH92" i="42" l="1"/>
  <c r="CC92" i="42"/>
  <c r="P92" i="31"/>
  <c r="Q92" i="31" s="1"/>
  <c r="P92" i="42"/>
  <c r="Q92" i="42" s="1"/>
  <c r="CD92" i="43"/>
  <c r="CE92" i="43"/>
  <c r="BH92" i="43"/>
  <c r="W92" i="43" s="1"/>
  <c r="AH92" i="31"/>
  <c r="CC92" i="31"/>
  <c r="CF92" i="43" l="1"/>
  <c r="M92" i="43"/>
  <c r="O92" i="43" s="1"/>
  <c r="X92" i="43"/>
  <c r="CE92" i="31"/>
  <c r="CD92" i="31"/>
  <c r="BH92" i="42"/>
  <c r="W92" i="42" s="1"/>
  <c r="BH92" i="31"/>
  <c r="CE92" i="42"/>
  <c r="CD92" i="42"/>
  <c r="CF92" i="31" l="1"/>
  <c r="CF92" i="42"/>
  <c r="M92" i="42"/>
  <c r="O92" i="42" s="1"/>
  <c r="X92" i="42"/>
  <c r="Y92" i="43"/>
  <c r="W92" i="31"/>
  <c r="M92" i="31" l="1"/>
  <c r="O92" i="31" s="1"/>
  <c r="X92" i="31"/>
  <c r="Y92" i="31" s="1"/>
  <c r="BL92" i="43"/>
  <c r="BP92" i="43" s="1"/>
  <c r="Y92" i="42"/>
  <c r="Z92" i="43" l="1"/>
  <c r="BL92" i="42"/>
  <c r="BP92" i="42" s="1"/>
  <c r="AD92" i="43" l="1"/>
  <c r="AE92" i="43"/>
  <c r="Z92" i="42"/>
  <c r="N93" i="43"/>
  <c r="AH93" i="43" s="1"/>
  <c r="BL92" i="31"/>
  <c r="BP92" i="31" s="1"/>
  <c r="AD92" i="42" l="1"/>
  <c r="AE92" i="42"/>
  <c r="N93" i="42"/>
  <c r="CC93" i="42" s="1"/>
  <c r="CC93" i="43"/>
  <c r="CE93" i="43" s="1"/>
  <c r="P93" i="43"/>
  <c r="Q93" i="43" s="1"/>
  <c r="BH93" i="43" s="1"/>
  <c r="W93" i="43" s="1"/>
  <c r="Z92" i="31"/>
  <c r="AE92" i="31" s="1"/>
  <c r="CD93" i="43" l="1"/>
  <c r="CF93" i="43" s="1"/>
  <c r="AD92" i="31"/>
  <c r="N93" i="31"/>
  <c r="CC93" i="31" s="1"/>
  <c r="CH93" i="31"/>
  <c r="P93" i="42"/>
  <c r="Q93" i="42" s="1"/>
  <c r="BH93" i="42" s="1"/>
  <c r="W93" i="42" s="1"/>
  <c r="AH93" i="42"/>
  <c r="M93" i="43"/>
  <c r="O93" i="43" s="1"/>
  <c r="X93" i="43"/>
  <c r="CD93" i="42"/>
  <c r="CE93" i="42"/>
  <c r="CF93" i="42" l="1"/>
  <c r="AH93" i="31"/>
  <c r="P93" i="31"/>
  <c r="Q93" i="31" s="1"/>
  <c r="BH93" i="31" s="1"/>
  <c r="W93" i="31" s="1"/>
  <c r="M93" i="42"/>
  <c r="O93" i="42" s="1"/>
  <c r="X93" i="42"/>
  <c r="CE93" i="31"/>
  <c r="CD93" i="31"/>
  <c r="Y93" i="43"/>
  <c r="CF93" i="31" l="1"/>
  <c r="M93" i="31"/>
  <c r="O93" i="31" s="1"/>
  <c r="X93" i="31"/>
  <c r="Y93" i="31" s="1"/>
  <c r="Y93" i="42"/>
  <c r="BL93" i="43"/>
  <c r="BL93" i="42" l="1"/>
  <c r="BP93" i="42" s="1"/>
  <c r="BP93" i="43"/>
  <c r="Z93" i="43"/>
  <c r="AE93" i="43" s="1"/>
  <c r="Z93" i="42" l="1"/>
  <c r="BL93" i="31"/>
  <c r="BP93" i="31" s="1"/>
  <c r="N94" i="43"/>
  <c r="AD93" i="43"/>
  <c r="AD93" i="42" l="1"/>
  <c r="AE93" i="42"/>
  <c r="Z93" i="31"/>
  <c r="N94" i="42"/>
  <c r="AH94" i="42" s="1"/>
  <c r="AH94" i="43"/>
  <c r="CC94" i="43"/>
  <c r="P94" i="43"/>
  <c r="Q94" i="43" s="1"/>
  <c r="AD93" i="31" l="1"/>
  <c r="AE93" i="31"/>
  <c r="P94" i="42"/>
  <c r="Q94" i="42" s="1"/>
  <c r="BH94" i="42" s="1"/>
  <c r="W94" i="42" s="1"/>
  <c r="CC94" i="42"/>
  <c r="CE94" i="42" s="1"/>
  <c r="CH94" i="31"/>
  <c r="N94" i="31"/>
  <c r="CC94" i="31" s="1"/>
  <c r="BH94" i="43"/>
  <c r="W94" i="43" s="1"/>
  <c r="CD94" i="43"/>
  <c r="CE94" i="43"/>
  <c r="CF94" i="43" l="1"/>
  <c r="CD94" i="42"/>
  <c r="CF94" i="42" s="1"/>
  <c r="P94" i="31"/>
  <c r="Q94" i="31" s="1"/>
  <c r="BH94" i="31" s="1"/>
  <c r="W94" i="31" s="1"/>
  <c r="AH94" i="31"/>
  <c r="M94" i="42"/>
  <c r="O94" i="42" s="1"/>
  <c r="X94" i="42"/>
  <c r="M94" i="43"/>
  <c r="O94" i="43" s="1"/>
  <c r="X94" i="43"/>
  <c r="CE94" i="31"/>
  <c r="CD94" i="31"/>
  <c r="CF94" i="31" l="1"/>
  <c r="Y94" i="42"/>
  <c r="M94" i="31"/>
  <c r="O94" i="31" s="1"/>
  <c r="X94" i="31"/>
  <c r="Y94" i="31" s="1"/>
  <c r="Y94" i="43"/>
  <c r="BL94" i="43" l="1"/>
  <c r="BP94" i="43" s="1"/>
  <c r="BL94" i="42"/>
  <c r="BP94" i="42" s="1"/>
  <c r="Z94" i="43" l="1"/>
  <c r="BL94" i="31"/>
  <c r="BP94" i="31" s="1"/>
  <c r="Z94" i="42"/>
  <c r="AE94" i="42" s="1"/>
  <c r="AD94" i="43" l="1"/>
  <c r="AE94" i="43"/>
  <c r="N95" i="43"/>
  <c r="CC95" i="43" s="1"/>
  <c r="N95" i="42"/>
  <c r="AD94" i="42"/>
  <c r="Z94" i="31"/>
  <c r="AE94" i="31" s="1"/>
  <c r="AH95" i="43" l="1"/>
  <c r="P95" i="43"/>
  <c r="Q95" i="43" s="1"/>
  <c r="BH95" i="43" s="1"/>
  <c r="W95" i="43" s="1"/>
  <c r="AH95" i="42"/>
  <c r="CC95" i="42"/>
  <c r="CH95" i="31"/>
  <c r="N95" i="31"/>
  <c r="AD94" i="31"/>
  <c r="P95" i="42"/>
  <c r="Q95" i="42" s="1"/>
  <c r="CE95" i="43"/>
  <c r="CD95" i="43"/>
  <c r="CF95" i="43" l="1"/>
  <c r="P95" i="31"/>
  <c r="Q95" i="31" s="1"/>
  <c r="CD95" i="42"/>
  <c r="CE95" i="42"/>
  <c r="M95" i="43"/>
  <c r="O95" i="43" s="1"/>
  <c r="X95" i="43"/>
  <c r="BH95" i="42"/>
  <c r="AH95" i="31"/>
  <c r="CC95" i="31"/>
  <c r="CF95" i="42" l="1"/>
  <c r="CE95" i="31"/>
  <c r="CD95" i="31"/>
  <c r="W95" i="42"/>
  <c r="Y95" i="43"/>
  <c r="BH95" i="31"/>
  <c r="W95" i="31" s="1"/>
  <c r="CF95" i="31" l="1"/>
  <c r="M95" i="31"/>
  <c r="O95" i="31" s="1"/>
  <c r="X95" i="31"/>
  <c r="Y95" i="31" s="1"/>
  <c r="BL95" i="43"/>
  <c r="BP95" i="43" s="1"/>
  <c r="M95" i="42"/>
  <c r="O95" i="42" s="1"/>
  <c r="X95" i="42"/>
  <c r="Z95" i="43" l="1"/>
  <c r="Y95" i="42"/>
  <c r="AD95" i="43" l="1"/>
  <c r="AE95" i="43"/>
  <c r="N96" i="43"/>
  <c r="CC96" i="43" s="1"/>
  <c r="BL95" i="31"/>
  <c r="BP95" i="31" s="1"/>
  <c r="BL95" i="42"/>
  <c r="BP95" i="42" s="1"/>
  <c r="P96" i="43" l="1"/>
  <c r="Q96" i="43" s="1"/>
  <c r="BH96" i="43" s="1"/>
  <c r="AH96" i="43"/>
  <c r="Z95" i="31"/>
  <c r="N96" i="31" s="1"/>
  <c r="CD96" i="43"/>
  <c r="CE96" i="43"/>
  <c r="Z95" i="42"/>
  <c r="AE95" i="42" s="1"/>
  <c r="CF96" i="43" l="1"/>
  <c r="CH96" i="31"/>
  <c r="AE95" i="31"/>
  <c r="AD95" i="31"/>
  <c r="P96" i="31" s="1"/>
  <c r="Q96" i="31" s="1"/>
  <c r="BH96" i="31" s="1"/>
  <c r="W96" i="43"/>
  <c r="M96" i="43" s="1"/>
  <c r="O96" i="43" s="1"/>
  <c r="N96" i="42"/>
  <c r="AD95" i="42"/>
  <c r="AH96" i="31"/>
  <c r="CC96" i="31"/>
  <c r="X96" i="43" l="1"/>
  <c r="Y96" i="43" s="1"/>
  <c r="BL96" i="43" s="1"/>
  <c r="BP96" i="43" s="1"/>
  <c r="P96" i="42"/>
  <c r="Q96" i="42" s="1"/>
  <c r="BH96" i="42" s="1"/>
  <c r="CE96" i="31"/>
  <c r="CD96" i="31"/>
  <c r="W96" i="31"/>
  <c r="AH96" i="42"/>
  <c r="CC96" i="42"/>
  <c r="CF96" i="31" l="1"/>
  <c r="CD96" i="42"/>
  <c r="CE96" i="42"/>
  <c r="M96" i="31"/>
  <c r="O96" i="31" s="1"/>
  <c r="X96" i="31"/>
  <c r="Y96" i="31" s="1"/>
  <c r="Z96" i="43"/>
  <c r="AE96" i="43" s="1"/>
  <c r="W96" i="42"/>
  <c r="CF96" i="42" l="1"/>
  <c r="N97" i="43"/>
  <c r="AD96" i="43"/>
  <c r="M96" i="42"/>
  <c r="O96" i="42" s="1"/>
  <c r="X96" i="42"/>
  <c r="BL96" i="31"/>
  <c r="BP96" i="31" s="1"/>
  <c r="AH97" i="43" l="1"/>
  <c r="CC97" i="43"/>
  <c r="Y96" i="42"/>
  <c r="BL96" i="42" s="1"/>
  <c r="BP96" i="42" s="1"/>
  <c r="P97" i="43"/>
  <c r="Q97" i="43" s="1"/>
  <c r="BH97" i="43" s="1"/>
  <c r="Z96" i="31"/>
  <c r="AE96" i="31" s="1"/>
  <c r="Z96" i="42" l="1"/>
  <c r="N97" i="42" s="1"/>
  <c r="CH97" i="31"/>
  <c r="N97" i="31"/>
  <c r="AD96" i="31"/>
  <c r="W97" i="43"/>
  <c r="CE97" i="43"/>
  <c r="CD97" i="43"/>
  <c r="CF97" i="43" l="1"/>
  <c r="AD96" i="42"/>
  <c r="P97" i="42" s="1"/>
  <c r="Q97" i="42" s="1"/>
  <c r="BH97" i="42" s="1"/>
  <c r="AE96" i="42"/>
  <c r="AH97" i="31"/>
  <c r="CC97" i="31"/>
  <c r="M97" i="43"/>
  <c r="O97" i="43" s="1"/>
  <c r="X97" i="43"/>
  <c r="P97" i="31"/>
  <c r="Q97" i="31" s="1"/>
  <c r="BH97" i="31" s="1"/>
  <c r="AH97" i="42"/>
  <c r="CC97" i="42"/>
  <c r="CE97" i="42" l="1"/>
  <c r="CD97" i="42"/>
  <c r="Y97" i="43"/>
  <c r="BL97" i="43" s="1"/>
  <c r="BP97" i="43" s="1"/>
  <c r="W97" i="31"/>
  <c r="W97" i="42"/>
  <c r="CE97" i="31"/>
  <c r="CD97" i="31"/>
  <c r="CF97" i="42" l="1"/>
  <c r="CF97" i="31"/>
  <c r="M97" i="31"/>
  <c r="O97" i="31" s="1"/>
  <c r="X97" i="31"/>
  <c r="Y97" i="31" s="1"/>
  <c r="M97" i="42"/>
  <c r="O97" i="42" s="1"/>
  <c r="X97" i="42"/>
  <c r="Z97" i="43"/>
  <c r="AE97" i="43" s="1"/>
  <c r="N98" i="43" l="1"/>
  <c r="AD97" i="43"/>
  <c r="Y97" i="42"/>
  <c r="BL97" i="42" s="1"/>
  <c r="BP97" i="42" s="1"/>
  <c r="BL97" i="31"/>
  <c r="BP97" i="31" s="1"/>
  <c r="AH98" i="43" l="1"/>
  <c r="CC98" i="43"/>
  <c r="Z97" i="31"/>
  <c r="AE97" i="31" s="1"/>
  <c r="P98" i="43"/>
  <c r="Q98" i="43" s="1"/>
  <c r="BH98" i="43" s="1"/>
  <c r="Z97" i="42"/>
  <c r="AE97" i="42" s="1"/>
  <c r="W98" i="43" l="1"/>
  <c r="CE98" i="43"/>
  <c r="CD98" i="43"/>
  <c r="N98" i="42"/>
  <c r="AD97" i="42"/>
  <c r="N98" i="31"/>
  <c r="CH98" i="31"/>
  <c r="AD97" i="31"/>
  <c r="CF98" i="43" l="1"/>
  <c r="P98" i="31"/>
  <c r="Q98" i="31" s="1"/>
  <c r="BH98" i="31" s="1"/>
  <c r="P98" i="42"/>
  <c r="Q98" i="42" s="1"/>
  <c r="BH98" i="42" s="1"/>
  <c r="M98" i="43"/>
  <c r="O98" i="43" s="1"/>
  <c r="X98" i="43"/>
  <c r="AH98" i="31"/>
  <c r="CC98" i="31"/>
  <c r="AH98" i="42"/>
  <c r="CC98" i="42"/>
  <c r="CE98" i="31" l="1"/>
  <c r="CD98" i="31"/>
  <c r="W98" i="31"/>
  <c r="CE98" i="42"/>
  <c r="CD98" i="42"/>
  <c r="Y98" i="43"/>
  <c r="BL98" i="43" s="1"/>
  <c r="BP98" i="43" s="1"/>
  <c r="W98" i="42"/>
  <c r="CF98" i="42" l="1"/>
  <c r="CF98" i="31"/>
  <c r="Z98" i="43"/>
  <c r="M98" i="42"/>
  <c r="O98" i="42" s="1"/>
  <c r="X98" i="42"/>
  <c r="M98" i="31"/>
  <c r="O98" i="31" s="1"/>
  <c r="X98" i="31"/>
  <c r="Y98" i="31" s="1"/>
  <c r="AD98" i="43" l="1"/>
  <c r="AE98" i="43"/>
  <c r="N99" i="43"/>
  <c r="CC99" i="43" s="1"/>
  <c r="BL98" i="31"/>
  <c r="BP98" i="31" s="1"/>
  <c r="Y98" i="42"/>
  <c r="BL98" i="42" s="1"/>
  <c r="BP98" i="42" s="1"/>
  <c r="P99" i="43" l="1"/>
  <c r="Q99" i="43" s="1"/>
  <c r="BH99" i="43" s="1"/>
  <c r="AH99" i="43"/>
  <c r="Z98" i="42"/>
  <c r="AE98" i="42" s="1"/>
  <c r="CE99" i="43"/>
  <c r="CD99" i="43"/>
  <c r="Z98" i="31"/>
  <c r="AE98" i="31" s="1"/>
  <c r="CF99" i="43" l="1"/>
  <c r="W99" i="43"/>
  <c r="X99" i="43" s="1"/>
  <c r="N99" i="31"/>
  <c r="CH99" i="31"/>
  <c r="AD98" i="31"/>
  <c r="N99" i="42"/>
  <c r="AD98" i="42"/>
  <c r="M99" i="43" l="1"/>
  <c r="O99" i="43" s="1"/>
  <c r="AH99" i="31"/>
  <c r="CC99" i="31"/>
  <c r="P99" i="42"/>
  <c r="Q99" i="42" s="1"/>
  <c r="BH99" i="42" s="1"/>
  <c r="Y99" i="43"/>
  <c r="BL99" i="43" s="1"/>
  <c r="BP99" i="43" s="1"/>
  <c r="P99" i="31"/>
  <c r="Q99" i="31" s="1"/>
  <c r="BH99" i="31" s="1"/>
  <c r="AH99" i="42"/>
  <c r="CC99" i="42"/>
  <c r="Z99" i="43" l="1"/>
  <c r="W99" i="31"/>
  <c r="CD99" i="42"/>
  <c r="CE99" i="42"/>
  <c r="CE99" i="31"/>
  <c r="CD99" i="31"/>
  <c r="W99" i="42"/>
  <c r="CF99" i="31" l="1"/>
  <c r="CF99" i="42"/>
  <c r="N100" i="43"/>
  <c r="AH100" i="43" s="1"/>
  <c r="AE99" i="43"/>
  <c r="AD99" i="43"/>
  <c r="M99" i="31"/>
  <c r="O99" i="31" s="1"/>
  <c r="X99" i="31"/>
  <c r="Y99" i="31" s="1"/>
  <c r="M99" i="42"/>
  <c r="O99" i="42" s="1"/>
  <c r="X99" i="42"/>
  <c r="CC100" i="43" l="1"/>
  <c r="CD100" i="43" s="1"/>
  <c r="P100" i="43"/>
  <c r="Q100" i="43" s="1"/>
  <c r="BH100" i="43" s="1"/>
  <c r="Y99" i="42"/>
  <c r="BL99" i="42" s="1"/>
  <c r="BP99" i="42" s="1"/>
  <c r="BL99" i="31"/>
  <c r="BP99" i="31" s="1"/>
  <c r="CE100" i="43" l="1"/>
  <c r="CF100" i="43" s="1"/>
  <c r="W100" i="43"/>
  <c r="X100" i="43" s="1"/>
  <c r="Z99" i="42"/>
  <c r="AE99" i="42" s="1"/>
  <c r="Z99" i="31"/>
  <c r="AE99" i="31" s="1"/>
  <c r="M100" i="43" l="1"/>
  <c r="O100" i="43" s="1"/>
  <c r="N100" i="31"/>
  <c r="CH100" i="31"/>
  <c r="AD99" i="31"/>
  <c r="Y100" i="43"/>
  <c r="BL100" i="43" s="1"/>
  <c r="BP100" i="43" s="1"/>
  <c r="N100" i="42"/>
  <c r="AD99" i="42"/>
  <c r="Z100" i="43" l="1"/>
  <c r="AH100" i="31"/>
  <c r="CC100" i="31"/>
  <c r="P100" i="42"/>
  <c r="Q100" i="42" s="1"/>
  <c r="BH100" i="42" s="1"/>
  <c r="P100" i="31"/>
  <c r="Q100" i="31" s="1"/>
  <c r="BH100" i="31" s="1"/>
  <c r="AH100" i="42"/>
  <c r="CC100" i="42"/>
  <c r="N101" i="43" l="1"/>
  <c r="AH101" i="43" s="1"/>
  <c r="AE100" i="43"/>
  <c r="AD100" i="43"/>
  <c r="W100" i="31"/>
  <c r="CE100" i="42"/>
  <c r="CD100" i="42"/>
  <c r="W100" i="42"/>
  <c r="CE100" i="31"/>
  <c r="CD100" i="31"/>
  <c r="CF100" i="31" l="1"/>
  <c r="CF100" i="42"/>
  <c r="CC101" i="43"/>
  <c r="CD101" i="43" s="1"/>
  <c r="P101" i="43"/>
  <c r="Q101" i="43" s="1"/>
  <c r="BH101" i="43" s="1"/>
  <c r="M100" i="31"/>
  <c r="O100" i="31" s="1"/>
  <c r="X100" i="31"/>
  <c r="Y100" i="31" s="1"/>
  <c r="M100" i="42"/>
  <c r="O100" i="42" s="1"/>
  <c r="X100" i="42"/>
  <c r="CE101" i="43" l="1"/>
  <c r="CF101" i="43" s="1"/>
  <c r="W101" i="43"/>
  <c r="X101" i="43" s="1"/>
  <c r="Y100" i="42"/>
  <c r="BL100" i="42" s="1"/>
  <c r="BP100" i="42" s="1"/>
  <c r="BL100" i="31"/>
  <c r="BP100" i="31" s="1"/>
  <c r="M101" i="43" l="1"/>
  <c r="O101" i="43" s="1"/>
  <c r="Y101" i="43"/>
  <c r="BL101" i="43" s="1"/>
  <c r="BP101" i="43" s="1"/>
  <c r="Z100" i="42"/>
  <c r="AE100" i="42" s="1"/>
  <c r="Z100" i="31"/>
  <c r="AE100" i="31" s="1"/>
  <c r="N101" i="42" l="1"/>
  <c r="AD100" i="42"/>
  <c r="N101" i="31"/>
  <c r="CH101" i="31"/>
  <c r="AD100" i="31"/>
  <c r="Z101" i="43"/>
  <c r="AE101" i="43" s="1"/>
  <c r="AH101" i="42" l="1"/>
  <c r="CC101" i="42"/>
  <c r="N102" i="43"/>
  <c r="AD101" i="43"/>
  <c r="P101" i="42"/>
  <c r="Q101" i="42" s="1"/>
  <c r="BH101" i="42" s="1"/>
  <c r="AH101" i="31"/>
  <c r="CC101" i="31"/>
  <c r="P101" i="31"/>
  <c r="Q101" i="31" s="1"/>
  <c r="BH101" i="31" s="1"/>
  <c r="CE101" i="31" l="1"/>
  <c r="CD101" i="31"/>
  <c r="P102" i="43"/>
  <c r="Q102" i="43" s="1"/>
  <c r="BH102" i="43" s="1"/>
  <c r="W101" i="31"/>
  <c r="W101" i="42"/>
  <c r="CE101" i="42"/>
  <c r="CD101" i="42"/>
  <c r="AH102" i="43"/>
  <c r="CC102" i="43"/>
  <c r="CF101" i="31" l="1"/>
  <c r="CF101" i="42"/>
  <c r="CE102" i="43"/>
  <c r="CD102" i="43"/>
  <c r="M101" i="31"/>
  <c r="O101" i="31" s="1"/>
  <c r="X101" i="31"/>
  <c r="Y101" i="31" s="1"/>
  <c r="W102" i="43"/>
  <c r="M101" i="42"/>
  <c r="O101" i="42" s="1"/>
  <c r="X101" i="42"/>
  <c r="CF102" i="43" l="1"/>
  <c r="Y101" i="42"/>
  <c r="BL101" i="42" s="1"/>
  <c r="BP101" i="42" s="1"/>
  <c r="BL101" i="31"/>
  <c r="BP101" i="31" s="1"/>
  <c r="M102" i="43"/>
  <c r="O102" i="43" s="1"/>
  <c r="X102" i="43"/>
  <c r="Z101" i="42" l="1"/>
  <c r="AE101" i="42" s="1"/>
  <c r="Y102" i="43"/>
  <c r="BL102" i="43" s="1"/>
  <c r="BP102" i="43" s="1"/>
  <c r="Z101" i="31"/>
  <c r="AE101" i="31" s="1"/>
  <c r="N102" i="42" l="1"/>
  <c r="AD101" i="42"/>
  <c r="Z102" i="43"/>
  <c r="AE102" i="43" s="1"/>
  <c r="N102" i="31"/>
  <c r="CH102" i="31"/>
  <c r="AD101" i="31"/>
  <c r="AH102" i="42" l="1"/>
  <c r="CC102" i="42"/>
  <c r="P102" i="31"/>
  <c r="Q102" i="31" s="1"/>
  <c r="BH102" i="31" s="1"/>
  <c r="P102" i="42"/>
  <c r="Q102" i="42" s="1"/>
  <c r="BH102" i="42" s="1"/>
  <c r="N103" i="43"/>
  <c r="AD102" i="43"/>
  <c r="AH102" i="31"/>
  <c r="CC102" i="31"/>
  <c r="AH103" i="43" l="1"/>
  <c r="CC103" i="43"/>
  <c r="P103" i="43"/>
  <c r="Q103" i="43" s="1"/>
  <c r="CE102" i="42"/>
  <c r="CD102" i="42"/>
  <c r="W102" i="42"/>
  <c r="CE102" i="31"/>
  <c r="CD102" i="31"/>
  <c r="W102" i="31"/>
  <c r="CF102" i="31" l="1"/>
  <c r="CF102" i="42"/>
  <c r="CE103" i="43"/>
  <c r="CD103" i="43"/>
  <c r="M102" i="31"/>
  <c r="O102" i="31" s="1"/>
  <c r="X102" i="31"/>
  <c r="Y102" i="31" s="1"/>
  <c r="M102" i="42"/>
  <c r="O102" i="42" s="1"/>
  <c r="X102" i="42"/>
  <c r="BH103" i="43"/>
  <c r="CF103" i="43" l="1"/>
  <c r="BL102" i="31"/>
  <c r="BP102" i="31" s="1"/>
  <c r="AB74" i="35"/>
  <c r="Y102" i="42"/>
  <c r="BL102" i="42" s="1"/>
  <c r="BP102" i="42" s="1"/>
  <c r="W103" i="43"/>
  <c r="AB39" i="35"/>
  <c r="Z102" i="31" l="1"/>
  <c r="M103" i="43"/>
  <c r="O103" i="43" s="1"/>
  <c r="X103" i="43"/>
  <c r="Z102" i="42"/>
  <c r="AE102" i="42" s="1"/>
  <c r="AF74" i="35" s="1"/>
  <c r="AD102" i="31" l="1"/>
  <c r="AD39" i="35" s="1"/>
  <c r="AE102" i="31"/>
  <c r="AF39" i="35" s="1"/>
  <c r="N103" i="31"/>
  <c r="CC103" i="31" s="1"/>
  <c r="CH103" i="31"/>
  <c r="Y103" i="43"/>
  <c r="N103" i="42"/>
  <c r="AD102" i="42"/>
  <c r="AE39" i="35" l="1"/>
  <c r="P103" i="31"/>
  <c r="Q103" i="31" s="1"/>
  <c r="BH103" i="31" s="1"/>
  <c r="W103" i="31" s="1"/>
  <c r="AH103" i="31"/>
  <c r="M39" i="35"/>
  <c r="BL103" i="43"/>
  <c r="AH103" i="42"/>
  <c r="CC103" i="42"/>
  <c r="AD74" i="35"/>
  <c r="P103" i="42"/>
  <c r="Q103" i="42" s="1"/>
  <c r="CE103" i="31"/>
  <c r="CD103" i="31"/>
  <c r="CF103" i="31" l="1"/>
  <c r="AE74" i="35"/>
  <c r="N39" i="35"/>
  <c r="O39" i="35"/>
  <c r="M103" i="31"/>
  <c r="O103" i="31" s="1"/>
  <c r="X103" i="31"/>
  <c r="Y103" i="31" s="1"/>
  <c r="CE103" i="42"/>
  <c r="CD103" i="42"/>
  <c r="BH103" i="42"/>
  <c r="G39" i="35"/>
  <c r="BP103" i="43"/>
  <c r="Z103" i="43"/>
  <c r="AE103" i="43" s="1"/>
  <c r="CF103" i="42" l="1"/>
  <c r="H39" i="35"/>
  <c r="I39" i="35"/>
  <c r="N104" i="43"/>
  <c r="AD103" i="43"/>
  <c r="W103" i="42"/>
  <c r="AH104" i="43" l="1"/>
  <c r="CC104" i="43"/>
  <c r="M103" i="42"/>
  <c r="O103" i="42" s="1"/>
  <c r="X103" i="42"/>
  <c r="P104" i="43"/>
  <c r="Q104" i="43" s="1"/>
  <c r="BL103" i="31"/>
  <c r="BP103" i="31" s="1"/>
  <c r="Z103" i="31" l="1"/>
  <c r="BH104" i="43"/>
  <c r="Y103" i="42"/>
  <c r="CE104" i="43"/>
  <c r="CD104" i="43"/>
  <c r="CF104" i="43" l="1"/>
  <c r="N104" i="31"/>
  <c r="AH104" i="31" s="1"/>
  <c r="AE103" i="31"/>
  <c r="AD103" i="31"/>
  <c r="CH104" i="31"/>
  <c r="BL103" i="42"/>
  <c r="W104" i="43"/>
  <c r="CC104" i="31" l="1"/>
  <c r="CD104" i="31" s="1"/>
  <c r="P104" i="31"/>
  <c r="Q104" i="31" s="1"/>
  <c r="BH104" i="31" s="1"/>
  <c r="W104" i="31" s="1"/>
  <c r="M104" i="43"/>
  <c r="O104" i="43" s="1"/>
  <c r="X104" i="43"/>
  <c r="BP103" i="42"/>
  <c r="Z103" i="42"/>
  <c r="AE103" i="42" s="1"/>
  <c r="CE104" i="31" l="1"/>
  <c r="CF104" i="31" s="1"/>
  <c r="M104" i="31"/>
  <c r="O104" i="31" s="1"/>
  <c r="X104" i="31"/>
  <c r="Y104" i="31" s="1"/>
  <c r="N104" i="42"/>
  <c r="AD103" i="42"/>
  <c r="Y104" i="43"/>
  <c r="BL104" i="43" l="1"/>
  <c r="BP104" i="43" s="1"/>
  <c r="P104" i="42"/>
  <c r="Q104" i="42" s="1"/>
  <c r="AH104" i="42"/>
  <c r="CC104" i="42"/>
  <c r="Z104" i="43" l="1"/>
  <c r="BH104" i="42"/>
  <c r="W104" i="42" s="1"/>
  <c r="CE104" i="42"/>
  <c r="CD104" i="42"/>
  <c r="BL104" i="31"/>
  <c r="CF104" i="42" l="1"/>
  <c r="AD104" i="43"/>
  <c r="AE104" i="43"/>
  <c r="N105" i="43"/>
  <c r="AH105" i="43" s="1"/>
  <c r="M104" i="42"/>
  <c r="O104" i="42" s="1"/>
  <c r="X104" i="42"/>
  <c r="BP104" i="31"/>
  <c r="Z104" i="31"/>
  <c r="AE104" i="31" s="1"/>
  <c r="CC105" i="43" l="1"/>
  <c r="CD105" i="43" s="1"/>
  <c r="P105" i="43"/>
  <c r="Q105" i="43" s="1"/>
  <c r="BH105" i="43" s="1"/>
  <c r="Y104" i="42"/>
  <c r="CH105" i="31"/>
  <c r="N105" i="31"/>
  <c r="AD104" i="31"/>
  <c r="CE105" i="43" l="1"/>
  <c r="CF105" i="43" s="1"/>
  <c r="W105" i="43"/>
  <c r="AH105" i="31"/>
  <c r="CC105" i="31"/>
  <c r="BL104" i="42"/>
  <c r="BP104" i="42" s="1"/>
  <c r="P105" i="31"/>
  <c r="Q105" i="31" s="1"/>
  <c r="BH105" i="31" l="1"/>
  <c r="W105" i="31" s="1"/>
  <c r="Z104" i="42"/>
  <c r="AE104" i="42" s="1"/>
  <c r="CE105" i="31"/>
  <c r="CD105" i="31"/>
  <c r="M105" i="43"/>
  <c r="O105" i="43" s="1"/>
  <c r="X105" i="43"/>
  <c r="CF105" i="31" l="1"/>
  <c r="Y105" i="43"/>
  <c r="M105" i="31"/>
  <c r="O105" i="31" s="1"/>
  <c r="X105" i="31"/>
  <c r="Y105" i="31" s="1"/>
  <c r="N105" i="42"/>
  <c r="AD104" i="42"/>
  <c r="AH105" i="42" l="1"/>
  <c r="CC105" i="42"/>
  <c r="P105" i="42"/>
  <c r="Q105" i="42" s="1"/>
  <c r="BL105" i="43"/>
  <c r="BP105" i="43" s="1"/>
  <c r="Z105" i="43" l="1"/>
  <c r="AE105" i="43" s="1"/>
  <c r="BH105" i="42"/>
  <c r="W105" i="42" s="1"/>
  <c r="CE105" i="42"/>
  <c r="CD105" i="42"/>
  <c r="BL105" i="31"/>
  <c r="BP105" i="31" s="1"/>
  <c r="CF105" i="42" l="1"/>
  <c r="Z105" i="31"/>
  <c r="M105" i="42"/>
  <c r="O105" i="42" s="1"/>
  <c r="X105" i="42"/>
  <c r="N106" i="43"/>
  <c r="AD105" i="43"/>
  <c r="CH106" i="31" l="1"/>
  <c r="AE105" i="31"/>
  <c r="N106" i="31"/>
  <c r="P106" i="31" s="1"/>
  <c r="Q106" i="31" s="1"/>
  <c r="AD105" i="31"/>
  <c r="AH106" i="43"/>
  <c r="CC106" i="43"/>
  <c r="P106" i="43"/>
  <c r="Q106" i="43" s="1"/>
  <c r="Y105" i="42"/>
  <c r="AH106" i="31" l="1"/>
  <c r="CC106" i="31"/>
  <c r="CD106" i="31" s="1"/>
  <c r="BH106" i="31"/>
  <c r="W106" i="31" s="1"/>
  <c r="BH106" i="43"/>
  <c r="CE106" i="43"/>
  <c r="CD106" i="43"/>
  <c r="BL105" i="42"/>
  <c r="BP105" i="42" s="1"/>
  <c r="CF106" i="43" l="1"/>
  <c r="CE106" i="31"/>
  <c r="CF106" i="31" s="1"/>
  <c r="M106" i="31"/>
  <c r="O106" i="31" s="1"/>
  <c r="X106" i="31"/>
  <c r="Y106" i="31" s="1"/>
  <c r="Z105" i="42"/>
  <c r="AE105" i="42" s="1"/>
  <c r="W106" i="43"/>
  <c r="M106" i="43" l="1"/>
  <c r="O106" i="43" s="1"/>
  <c r="X106" i="43"/>
  <c r="N106" i="42"/>
  <c r="AD105" i="42"/>
  <c r="BL106" i="31" l="1"/>
  <c r="BP106" i="31" s="1"/>
  <c r="Y106" i="43"/>
  <c r="AH106" i="42"/>
  <c r="CC106" i="42"/>
  <c r="P106" i="42"/>
  <c r="Q106" i="42" s="1"/>
  <c r="Z106" i="31" l="1"/>
  <c r="BL106" i="43"/>
  <c r="BP106" i="43" s="1"/>
  <c r="BH106" i="42"/>
  <c r="CE106" i="42"/>
  <c r="CD106" i="42"/>
  <c r="CF106" i="42" l="1"/>
  <c r="AD106" i="31"/>
  <c r="AE106" i="31"/>
  <c r="Z106" i="43"/>
  <c r="CH107" i="31"/>
  <c r="N107" i="31"/>
  <c r="CC107" i="31" s="1"/>
  <c r="W106" i="42"/>
  <c r="N107" i="43" l="1"/>
  <c r="AH107" i="43" s="1"/>
  <c r="AE106" i="43"/>
  <c r="AD106" i="43"/>
  <c r="P107" i="31"/>
  <c r="Q107" i="31" s="1"/>
  <c r="AH107" i="31"/>
  <c r="CD107" i="31"/>
  <c r="CE107" i="31"/>
  <c r="M106" i="42"/>
  <c r="O106" i="42" s="1"/>
  <c r="X106" i="42"/>
  <c r="CF107" i="31" l="1"/>
  <c r="CC107" i="43"/>
  <c r="CD107" i="43" s="1"/>
  <c r="P107" i="43"/>
  <c r="Q107" i="43" s="1"/>
  <c r="BH107" i="43" s="1"/>
  <c r="W107" i="43" s="1"/>
  <c r="BH107" i="31"/>
  <c r="W107" i="31" s="1"/>
  <c r="Y106" i="42"/>
  <c r="CE107" i="43" l="1"/>
  <c r="CF107" i="43" s="1"/>
  <c r="X107" i="31"/>
  <c r="Y107" i="31" s="1"/>
  <c r="M107" i="31"/>
  <c r="O107" i="31" s="1"/>
  <c r="M107" i="43"/>
  <c r="O107" i="43" s="1"/>
  <c r="X107" i="43"/>
  <c r="BL106" i="42"/>
  <c r="Y107" i="43" l="1"/>
  <c r="BP106" i="42"/>
  <c r="Z106" i="42"/>
  <c r="AE106" i="42" s="1"/>
  <c r="BL107" i="31"/>
  <c r="BL107" i="43" l="1"/>
  <c r="BP107" i="43" s="1"/>
  <c r="BP107" i="31"/>
  <c r="Z107" i="31"/>
  <c r="AE107" i="31" s="1"/>
  <c r="N107" i="42"/>
  <c r="AD106" i="42"/>
  <c r="AH107" i="42" l="1"/>
  <c r="CC107" i="42"/>
  <c r="P107" i="42"/>
  <c r="Q107" i="42" s="1"/>
  <c r="Z107" i="43"/>
  <c r="AE107" i="43" s="1"/>
  <c r="N108" i="31"/>
  <c r="CH108" i="31"/>
  <c r="AD107" i="31"/>
  <c r="AH108" i="31" l="1"/>
  <c r="CC108" i="31"/>
  <c r="P108" i="31"/>
  <c r="Q108" i="31" s="1"/>
  <c r="BH108" i="31" s="1"/>
  <c r="N108" i="43"/>
  <c r="AD107" i="43"/>
  <c r="BH107" i="42"/>
  <c r="W107" i="42" s="1"/>
  <c r="CE107" i="42"/>
  <c r="CD107" i="42"/>
  <c r="CF107" i="42" l="1"/>
  <c r="M107" i="42"/>
  <c r="O107" i="42" s="1"/>
  <c r="X107" i="42"/>
  <c r="P108" i="43"/>
  <c r="Q108" i="43" s="1"/>
  <c r="BH108" i="43" s="1"/>
  <c r="W108" i="31"/>
  <c r="AH108" i="43"/>
  <c r="CC108" i="43"/>
  <c r="CD108" i="31"/>
  <c r="CE108" i="31"/>
  <c r="CF108" i="31" l="1"/>
  <c r="CD108" i="43"/>
  <c r="CE108" i="43"/>
  <c r="W108" i="43"/>
  <c r="Y107" i="42"/>
  <c r="M108" i="31"/>
  <c r="O108" i="31" s="1"/>
  <c r="X108" i="31"/>
  <c r="Y108" i="31" s="1"/>
  <c r="CF108" i="43" l="1"/>
  <c r="BL108" i="31"/>
  <c r="BP108" i="31" s="1"/>
  <c r="BL107" i="42"/>
  <c r="BP107" i="42" s="1"/>
  <c r="M108" i="43"/>
  <c r="O108" i="43" s="1"/>
  <c r="X108" i="43"/>
  <c r="Z107" i="42" l="1"/>
  <c r="Y108" i="43"/>
  <c r="BL108" i="43" s="1"/>
  <c r="BP108" i="43" s="1"/>
  <c r="Z108" i="31"/>
  <c r="AE108" i="31" s="1"/>
  <c r="AD107" i="42" l="1"/>
  <c r="AE107" i="42"/>
  <c r="N108" i="42"/>
  <c r="CH109" i="31"/>
  <c r="N109" i="31"/>
  <c r="AD108" i="31"/>
  <c r="Z108" i="43"/>
  <c r="AE108" i="43" s="1"/>
  <c r="P108" i="42" l="1"/>
  <c r="Q108" i="42" s="1"/>
  <c r="BH108" i="42" s="1"/>
  <c r="AH108" i="42"/>
  <c r="CC108" i="42"/>
  <c r="CD108" i="42" s="1"/>
  <c r="AH109" i="31"/>
  <c r="CC109" i="31"/>
  <c r="N109" i="43"/>
  <c r="AD108" i="43"/>
  <c r="P109" i="31"/>
  <c r="Q109" i="31" s="1"/>
  <c r="BH109" i="31" s="1"/>
  <c r="W108" i="42" l="1"/>
  <c r="M108" i="42" s="1"/>
  <c r="O108" i="42" s="1"/>
  <c r="CE108" i="42"/>
  <c r="CF108" i="42" s="1"/>
  <c r="P109" i="43"/>
  <c r="Q109" i="43" s="1"/>
  <c r="BH109" i="43" s="1"/>
  <c r="W109" i="31"/>
  <c r="CE109" i="31"/>
  <c r="CD109" i="31"/>
  <c r="AH109" i="43"/>
  <c r="CC109" i="43"/>
  <c r="X108" i="42" l="1"/>
  <c r="Y108" i="42" s="1"/>
  <c r="BL108" i="42" s="1"/>
  <c r="BP108" i="42" s="1"/>
  <c r="CF109" i="31"/>
  <c r="CE109" i="43"/>
  <c r="CD109" i="43"/>
  <c r="W109" i="43"/>
  <c r="M109" i="31"/>
  <c r="O109" i="31" s="1"/>
  <c r="X109" i="31"/>
  <c r="Y109" i="31" s="1"/>
  <c r="CF109" i="43" l="1"/>
  <c r="M109" i="43"/>
  <c r="O109" i="43" s="1"/>
  <c r="X109" i="43"/>
  <c r="BL109" i="31"/>
  <c r="BP109" i="31" s="1"/>
  <c r="Z108" i="42"/>
  <c r="AE108" i="42" s="1"/>
  <c r="Y109" i="43" l="1"/>
  <c r="BL109" i="43" s="1"/>
  <c r="BP109" i="43" s="1"/>
  <c r="N109" i="42"/>
  <c r="AD108" i="42"/>
  <c r="Z109" i="31"/>
  <c r="AE109" i="31" s="1"/>
  <c r="Z109" i="43" l="1"/>
  <c r="AE109" i="43" s="1"/>
  <c r="N110" i="31"/>
  <c r="CH110" i="31"/>
  <c r="AD109" i="31"/>
  <c r="AH109" i="42"/>
  <c r="CC109" i="42"/>
  <c r="P109" i="42"/>
  <c r="Q109" i="42" s="1"/>
  <c r="BH109" i="42" s="1"/>
  <c r="N110" i="43" l="1"/>
  <c r="AD109" i="43"/>
  <c r="AH110" i="31"/>
  <c r="CC110" i="31"/>
  <c r="CE109" i="42"/>
  <c r="CD109" i="42"/>
  <c r="P110" i="31"/>
  <c r="Q110" i="31" s="1"/>
  <c r="BH110" i="31" s="1"/>
  <c r="W109" i="42"/>
  <c r="CF109" i="42" l="1"/>
  <c r="AH110" i="43"/>
  <c r="CC110" i="43"/>
  <c r="P110" i="43"/>
  <c r="Q110" i="43" s="1"/>
  <c r="BH110" i="43" s="1"/>
  <c r="W110" i="31"/>
  <c r="CE110" i="31"/>
  <c r="CD110" i="31"/>
  <c r="X109" i="42"/>
  <c r="M109" i="42"/>
  <c r="O109" i="42" s="1"/>
  <c r="CF110" i="31" l="1"/>
  <c r="M110" i="31"/>
  <c r="O110" i="31" s="1"/>
  <c r="X110" i="31"/>
  <c r="Y110" i="31" s="1"/>
  <c r="CE110" i="43"/>
  <c r="CD110" i="43"/>
  <c r="Y109" i="42"/>
  <c r="BL109" i="42" s="1"/>
  <c r="BP109" i="42" s="1"/>
  <c r="W110" i="43"/>
  <c r="CF110" i="43" l="1"/>
  <c r="Z109" i="42"/>
  <c r="M110" i="43"/>
  <c r="O110" i="43" s="1"/>
  <c r="X110" i="43"/>
  <c r="BL110" i="31"/>
  <c r="BP110" i="31" s="1"/>
  <c r="N110" i="42" l="1"/>
  <c r="AH110" i="42" s="1"/>
  <c r="AE109" i="42"/>
  <c r="AD109" i="42"/>
  <c r="Y110" i="43"/>
  <c r="BL110" i="43" s="1"/>
  <c r="BP110" i="43" s="1"/>
  <c r="Z110" i="31"/>
  <c r="AE110" i="31" s="1"/>
  <c r="CC110" i="42" l="1"/>
  <c r="CE110" i="42" s="1"/>
  <c r="P110" i="42"/>
  <c r="Q110" i="42" s="1"/>
  <c r="BH110" i="42" s="1"/>
  <c r="N111" i="31"/>
  <c r="CH111" i="31"/>
  <c r="AD110" i="31"/>
  <c r="Z110" i="43"/>
  <c r="AE110" i="43" s="1"/>
  <c r="CD110" i="42" l="1"/>
  <c r="CF110" i="42" s="1"/>
  <c r="W110" i="42"/>
  <c r="X110" i="42" s="1"/>
  <c r="AH111" i="31"/>
  <c r="CC111" i="31"/>
  <c r="N111" i="43"/>
  <c r="AD110" i="43"/>
  <c r="P111" i="31"/>
  <c r="Q111" i="31" s="1"/>
  <c r="BH111" i="31" s="1"/>
  <c r="M110" i="42" l="1"/>
  <c r="O110" i="42" s="1"/>
  <c r="Y110" i="42"/>
  <c r="BL110" i="42" s="1"/>
  <c r="BP110" i="42" s="1"/>
  <c r="AH111" i="43"/>
  <c r="CC111" i="43"/>
  <c r="P111" i="43"/>
  <c r="Q111" i="43" s="1"/>
  <c r="BH111" i="43" s="1"/>
  <c r="CD111" i="31"/>
  <c r="CE111" i="31"/>
  <c r="W111" i="31"/>
  <c r="CF111" i="31" l="1"/>
  <c r="CE111" i="43"/>
  <c r="CD111" i="43"/>
  <c r="Z110" i="42"/>
  <c r="AE110" i="42" s="1"/>
  <c r="W111" i="43"/>
  <c r="M111" i="31"/>
  <c r="O111" i="31" s="1"/>
  <c r="X111" i="31"/>
  <c r="Y111" i="31" s="1"/>
  <c r="CF111" i="43" l="1"/>
  <c r="BL111" i="31"/>
  <c r="BP111" i="31" s="1"/>
  <c r="N111" i="42"/>
  <c r="AD110" i="42"/>
  <c r="M111" i="43"/>
  <c r="O111" i="43" s="1"/>
  <c r="X111" i="43"/>
  <c r="Z111" i="31" l="1"/>
  <c r="AE111" i="31" s="1"/>
  <c r="AH111" i="42"/>
  <c r="CC111" i="42"/>
  <c r="Y111" i="43"/>
  <c r="BL111" i="43" s="1"/>
  <c r="BP111" i="43" s="1"/>
  <c r="P111" i="42"/>
  <c r="Q111" i="42" s="1"/>
  <c r="BH111" i="42" s="1"/>
  <c r="N112" i="31" l="1"/>
  <c r="CH112" i="31"/>
  <c r="AD111" i="31"/>
  <c r="Z111" i="43"/>
  <c r="AE111" i="43" s="1"/>
  <c r="CE111" i="42"/>
  <c r="CD111" i="42"/>
  <c r="W111" i="42"/>
  <c r="CF111" i="42" l="1"/>
  <c r="AH112" i="31"/>
  <c r="CC112" i="31"/>
  <c r="N112" i="43"/>
  <c r="AD111" i="43"/>
  <c r="P112" i="31"/>
  <c r="Q112" i="31" s="1"/>
  <c r="BH112" i="31" s="1"/>
  <c r="M111" i="42"/>
  <c r="O111" i="42" s="1"/>
  <c r="X111" i="42"/>
  <c r="P112" i="43" l="1"/>
  <c r="Q112" i="43" s="1"/>
  <c r="BH112" i="43" s="1"/>
  <c r="CE112" i="31"/>
  <c r="CD112" i="31"/>
  <c r="Y111" i="42"/>
  <c r="BL111" i="42" s="1"/>
  <c r="BP111" i="42" s="1"/>
  <c r="AH112" i="43"/>
  <c r="CC112" i="43"/>
  <c r="W112" i="31"/>
  <c r="CF112" i="31" l="1"/>
  <c r="CE112" i="43"/>
  <c r="CD112" i="43"/>
  <c r="W112" i="43"/>
  <c r="M112" i="31"/>
  <c r="O112" i="31" s="1"/>
  <c r="X112" i="31"/>
  <c r="Y112" i="31" s="1"/>
  <c r="Z111" i="42"/>
  <c r="AE111" i="42" s="1"/>
  <c r="CF112" i="43" l="1"/>
  <c r="N112" i="42"/>
  <c r="AD111" i="42"/>
  <c r="M112" i="43"/>
  <c r="O112" i="43" s="1"/>
  <c r="X112" i="43"/>
  <c r="BL112" i="31"/>
  <c r="BP112" i="31" s="1"/>
  <c r="AH112" i="42" l="1"/>
  <c r="CC112" i="42"/>
  <c r="Y112" i="43"/>
  <c r="BL112" i="43" s="1"/>
  <c r="BP112" i="43" s="1"/>
  <c r="P112" i="42"/>
  <c r="Q112" i="42" s="1"/>
  <c r="BH112" i="42" s="1"/>
  <c r="Z112" i="31"/>
  <c r="AE112" i="31" s="1"/>
  <c r="CH113" i="31" l="1"/>
  <c r="N113" i="31"/>
  <c r="AD112" i="31"/>
  <c r="W112" i="42"/>
  <c r="CE112" i="42"/>
  <c r="CD112" i="42"/>
  <c r="Z112" i="43"/>
  <c r="AE112" i="43" s="1"/>
  <c r="CF112" i="42" l="1"/>
  <c r="AH113" i="31"/>
  <c r="CC113" i="31"/>
  <c r="P113" i="31"/>
  <c r="Q113" i="31" s="1"/>
  <c r="BH113" i="31" s="1"/>
  <c r="N113" i="43"/>
  <c r="AD112" i="43"/>
  <c r="M112" i="42"/>
  <c r="O112" i="42" s="1"/>
  <c r="X112" i="42"/>
  <c r="Y112" i="42" l="1"/>
  <c r="BL112" i="42" s="1"/>
  <c r="BP112" i="42" s="1"/>
  <c r="AH113" i="43"/>
  <c r="CC113" i="43"/>
  <c r="P113" i="43"/>
  <c r="Q113" i="43" s="1"/>
  <c r="BH113" i="43" s="1"/>
  <c r="W113" i="31"/>
  <c r="CE113" i="31"/>
  <c r="CD113" i="31"/>
  <c r="CF113" i="31" l="1"/>
  <c r="M113" i="31"/>
  <c r="O113" i="31" s="1"/>
  <c r="X113" i="31"/>
  <c r="Y113" i="31" s="1"/>
  <c r="CD113" i="43"/>
  <c r="CE113" i="43"/>
  <c r="Z112" i="42"/>
  <c r="AE112" i="42" s="1"/>
  <c r="W113" i="43"/>
  <c r="CF113" i="43" l="1"/>
  <c r="N113" i="42"/>
  <c r="AD112" i="42"/>
  <c r="M113" i="43"/>
  <c r="O113" i="43" s="1"/>
  <c r="X113" i="43"/>
  <c r="BL113" i="31"/>
  <c r="BP113" i="31" s="1"/>
  <c r="AH113" i="42" l="1"/>
  <c r="CC113" i="42"/>
  <c r="P113" i="42"/>
  <c r="Q113" i="42" s="1"/>
  <c r="BH113" i="42" s="1"/>
  <c r="Z113" i="31"/>
  <c r="AE113" i="31" s="1"/>
  <c r="Y113" i="43"/>
  <c r="BL113" i="43" s="1"/>
  <c r="BP113" i="43" s="1"/>
  <c r="Z113" i="43" l="1"/>
  <c r="CD113" i="42"/>
  <c r="CE113" i="42"/>
  <c r="CH114" i="31"/>
  <c r="N114" i="31"/>
  <c r="AD113" i="31"/>
  <c r="W113" i="42"/>
  <c r="CF113" i="42" l="1"/>
  <c r="AD113" i="43"/>
  <c r="AE113" i="43"/>
  <c r="N114" i="43"/>
  <c r="CC114" i="43" s="1"/>
  <c r="AH114" i="31"/>
  <c r="CC114" i="31"/>
  <c r="M113" i="42"/>
  <c r="O113" i="42" s="1"/>
  <c r="X113" i="42"/>
  <c r="P114" i="31"/>
  <c r="Q114" i="31" s="1"/>
  <c r="BH114" i="31" s="1"/>
  <c r="AH114" i="43" l="1"/>
  <c r="P114" i="43"/>
  <c r="Q114" i="43" s="1"/>
  <c r="BH114" i="43" s="1"/>
  <c r="CD114" i="31"/>
  <c r="CE114" i="31"/>
  <c r="Y113" i="42"/>
  <c r="BL113" i="42" s="1"/>
  <c r="BP113" i="42" s="1"/>
  <c r="CE114" i="43"/>
  <c r="CD114" i="43"/>
  <c r="W114" i="31"/>
  <c r="CF114" i="31" l="1"/>
  <c r="CF114" i="43"/>
  <c r="W114" i="43"/>
  <c r="X114" i="43" s="1"/>
  <c r="Z113" i="42"/>
  <c r="M114" i="31"/>
  <c r="O114" i="31" s="1"/>
  <c r="X114" i="31"/>
  <c r="Y114" i="31" s="1"/>
  <c r="AD113" i="42" l="1"/>
  <c r="AE113" i="42"/>
  <c r="BL114" i="31"/>
  <c r="BP114" i="31" s="1"/>
  <c r="N114" i="42"/>
  <c r="P114" i="42" s="1"/>
  <c r="Q114" i="42" s="1"/>
  <c r="BH114" i="42" s="1"/>
  <c r="M114" i="43"/>
  <c r="O114" i="43" s="1"/>
  <c r="AB40" i="35"/>
  <c r="Y114" i="43"/>
  <c r="BL114" i="43" s="1"/>
  <c r="BP114" i="43" s="1"/>
  <c r="CC114" i="42" l="1"/>
  <c r="CE114" i="42" s="1"/>
  <c r="AH114" i="42"/>
  <c r="Z114" i="31"/>
  <c r="AD114" i="31" s="1"/>
  <c r="Z114" i="43"/>
  <c r="W114" i="42"/>
  <c r="N115" i="43" l="1"/>
  <c r="CC115" i="43" s="1"/>
  <c r="AE114" i="43"/>
  <c r="N115" i="31"/>
  <c r="P115" i="31" s="1"/>
  <c r="Q115" i="31" s="1"/>
  <c r="AE114" i="31"/>
  <c r="AF40" i="35" s="1"/>
  <c r="CH115" i="31"/>
  <c r="AD114" i="43"/>
  <c r="CD114" i="42"/>
  <c r="CF114" i="42" s="1"/>
  <c r="AD40" i="35"/>
  <c r="M114" i="42"/>
  <c r="O114" i="42" s="1"/>
  <c r="X114" i="42"/>
  <c r="AH115" i="43" l="1"/>
  <c r="P115" i="43"/>
  <c r="Q115" i="43" s="1"/>
  <c r="BH115" i="43" s="1"/>
  <c r="W115" i="43" s="1"/>
  <c r="AH115" i="31"/>
  <c r="CC115" i="31"/>
  <c r="CE115" i="31" s="1"/>
  <c r="AE40" i="35"/>
  <c r="M40" i="35"/>
  <c r="CE115" i="43"/>
  <c r="CD115" i="43"/>
  <c r="AB75" i="35"/>
  <c r="Y114" i="42"/>
  <c r="BL114" i="42" s="1"/>
  <c r="BP114" i="42" s="1"/>
  <c r="BH115" i="31"/>
  <c r="CF115" i="43" l="1"/>
  <c r="CD115" i="31"/>
  <c r="CF115" i="31" s="1"/>
  <c r="O40" i="35"/>
  <c r="N40" i="35"/>
  <c r="M115" i="43"/>
  <c r="O115" i="43" s="1"/>
  <c r="X115" i="43"/>
  <c r="W115" i="31"/>
  <c r="Z114" i="42"/>
  <c r="AE114" i="42" s="1"/>
  <c r="AF75" i="35" s="1"/>
  <c r="Y115" i="43" l="1"/>
  <c r="M115" i="31"/>
  <c r="X115" i="31"/>
  <c r="Y115" i="31" s="1"/>
  <c r="N115" i="42"/>
  <c r="AD114" i="42"/>
  <c r="O115" i="31" l="1"/>
  <c r="BL115" i="43"/>
  <c r="BP115" i="43" s="1"/>
  <c r="AH115" i="42"/>
  <c r="CC115" i="42"/>
  <c r="AD75" i="35"/>
  <c r="P115" i="42"/>
  <c r="Q115" i="42" s="1"/>
  <c r="AE75" i="35" l="1"/>
  <c r="Z115" i="43"/>
  <c r="BL115" i="31"/>
  <c r="BP115" i="31" s="1"/>
  <c r="CE115" i="42"/>
  <c r="CD115" i="42"/>
  <c r="BH115" i="42"/>
  <c r="G40" i="35"/>
  <c r="CF115" i="42" l="1"/>
  <c r="AD115" i="43"/>
  <c r="AE115" i="43"/>
  <c r="H40" i="35"/>
  <c r="I40" i="35"/>
  <c r="N116" i="43"/>
  <c r="CC116" i="43" s="1"/>
  <c r="W115" i="42"/>
  <c r="Z115" i="31"/>
  <c r="AE115" i="31" s="1"/>
  <c r="P116" i="43" l="1"/>
  <c r="Q116" i="43" s="1"/>
  <c r="BH116" i="43" s="1"/>
  <c r="W116" i="43" s="1"/>
  <c r="AH116" i="43"/>
  <c r="M115" i="42"/>
  <c r="O115" i="42" s="1"/>
  <c r="X115" i="42"/>
  <c r="CH116" i="31"/>
  <c r="N116" i="31"/>
  <c r="AD115" i="31"/>
  <c r="CE116" i="43"/>
  <c r="CD116" i="43"/>
  <c r="CF116" i="43" l="1"/>
  <c r="M116" i="43"/>
  <c r="O116" i="43" s="1"/>
  <c r="X116" i="43"/>
  <c r="AH116" i="31"/>
  <c r="CC116" i="31"/>
  <c r="P116" i="31"/>
  <c r="Q116" i="31" s="1"/>
  <c r="Y115" i="42"/>
  <c r="CD116" i="31" l="1"/>
  <c r="CE116" i="31"/>
  <c r="Y116" i="43"/>
  <c r="BH116" i="31"/>
  <c r="W116" i="31" s="1"/>
  <c r="BL115" i="42"/>
  <c r="CF116" i="31" l="1"/>
  <c r="M116" i="31"/>
  <c r="O116" i="31" s="1"/>
  <c r="X116" i="31"/>
  <c r="Y116" i="31" s="1"/>
  <c r="BP115" i="42"/>
  <c r="Z115" i="42"/>
  <c r="AE115" i="42" s="1"/>
  <c r="BL116" i="43"/>
  <c r="N116" i="42" l="1"/>
  <c r="AD115" i="42"/>
  <c r="BP116" i="43"/>
  <c r="Z116" i="43"/>
  <c r="AE116" i="43" s="1"/>
  <c r="N117" i="43" l="1"/>
  <c r="AD116" i="43"/>
  <c r="P116" i="42"/>
  <c r="Q116" i="42" s="1"/>
  <c r="BL116" i="31"/>
  <c r="AH116" i="42"/>
  <c r="CC116" i="42"/>
  <c r="AH117" i="43" l="1"/>
  <c r="CC117" i="43"/>
  <c r="BH116" i="42"/>
  <c r="W116" i="42" s="1"/>
  <c r="BP116" i="31"/>
  <c r="Z116" i="31"/>
  <c r="AE116" i="31" s="1"/>
  <c r="P117" i="43"/>
  <c r="Q117" i="43" s="1"/>
  <c r="CD116" i="42"/>
  <c r="CE116" i="42"/>
  <c r="CF116" i="42" l="1"/>
  <c r="BH117" i="43"/>
  <c r="W117" i="43" s="1"/>
  <c r="CH117" i="31"/>
  <c r="N117" i="31"/>
  <c r="AD116" i="31"/>
  <c r="M116" i="42"/>
  <c r="O116" i="42" s="1"/>
  <c r="X116" i="42"/>
  <c r="CE117" i="43"/>
  <c r="CD117" i="43"/>
  <c r="CF117" i="43" l="1"/>
  <c r="AH117" i="31"/>
  <c r="CC117" i="31"/>
  <c r="Y116" i="42"/>
  <c r="P117" i="31"/>
  <c r="Q117" i="31" s="1"/>
  <c r="M117" i="43"/>
  <c r="O117" i="43" s="1"/>
  <c r="X117" i="43"/>
  <c r="CD117" i="31" l="1"/>
  <c r="CE117" i="31"/>
  <c r="Y117" i="43"/>
  <c r="BH117" i="31"/>
  <c r="BL116" i="42"/>
  <c r="CF117" i="31" l="1"/>
  <c r="W117" i="31"/>
  <c r="BP116" i="42"/>
  <c r="Z116" i="42"/>
  <c r="AE116" i="42" s="1"/>
  <c r="BL117" i="43"/>
  <c r="BP117" i="43" s="1"/>
  <c r="Z117" i="43" l="1"/>
  <c r="N117" i="42"/>
  <c r="AD116" i="42"/>
  <c r="M117" i="31"/>
  <c r="O117" i="31" s="1"/>
  <c r="X117" i="31"/>
  <c r="Y117" i="31" s="1"/>
  <c r="AD117" i="43" l="1"/>
  <c r="AE117" i="43"/>
  <c r="N118" i="43"/>
  <c r="AH117" i="42"/>
  <c r="CC117" i="42"/>
  <c r="P117" i="42"/>
  <c r="Q117" i="42" s="1"/>
  <c r="P118" i="43" l="1"/>
  <c r="Q118" i="43" s="1"/>
  <c r="BH118" i="43" s="1"/>
  <c r="W118" i="43" s="1"/>
  <c r="AH118" i="43"/>
  <c r="CC118" i="43"/>
  <c r="CE118" i="43" s="1"/>
  <c r="BH117" i="42"/>
  <c r="W117" i="42" s="1"/>
  <c r="BL117" i="31"/>
  <c r="BP117" i="31" s="1"/>
  <c r="CE117" i="42"/>
  <c r="CD117" i="42"/>
  <c r="CF117" i="42" l="1"/>
  <c r="CD118" i="43"/>
  <c r="CF118" i="43" s="1"/>
  <c r="Z117" i="31"/>
  <c r="M118" i="43"/>
  <c r="O118" i="43" s="1"/>
  <c r="X118" i="43"/>
  <c r="M117" i="42"/>
  <c r="O117" i="42" s="1"/>
  <c r="X117" i="42"/>
  <c r="N118" i="31" l="1"/>
  <c r="AH118" i="31" s="1"/>
  <c r="AE117" i="31"/>
  <c r="AD117" i="31"/>
  <c r="CH118" i="31"/>
  <c r="Y117" i="42"/>
  <c r="Y118" i="43"/>
  <c r="P118" i="31" l="1"/>
  <c r="Q118" i="31" s="1"/>
  <c r="BH118" i="31" s="1"/>
  <c r="CC118" i="31"/>
  <c r="CD118" i="31" s="1"/>
  <c r="BL117" i="42"/>
  <c r="BP117" i="42" s="1"/>
  <c r="BL118" i="43"/>
  <c r="CE118" i="31" l="1"/>
  <c r="CF118" i="31" s="1"/>
  <c r="BP118" i="43"/>
  <c r="Z118" i="43"/>
  <c r="AE118" i="43" s="1"/>
  <c r="W118" i="31"/>
  <c r="Z117" i="42"/>
  <c r="AE117" i="42" s="1"/>
  <c r="N119" i="43" l="1"/>
  <c r="AD118" i="43"/>
  <c r="N118" i="42"/>
  <c r="AD117" i="42"/>
  <c r="M118" i="31"/>
  <c r="O118" i="31" s="1"/>
  <c r="X118" i="31"/>
  <c r="Y118" i="31" s="1"/>
  <c r="AH119" i="43" l="1"/>
  <c r="CC119" i="43"/>
  <c r="P119" i="43"/>
  <c r="Q119" i="43" s="1"/>
  <c r="AH118" i="42"/>
  <c r="CC118" i="42"/>
  <c r="P118" i="42"/>
  <c r="Q118" i="42" s="1"/>
  <c r="BH118" i="42" l="1"/>
  <c r="W118" i="42" s="1"/>
  <c r="BL118" i="31"/>
  <c r="BP118" i="31" s="1"/>
  <c r="CE118" i="42"/>
  <c r="CD118" i="42"/>
  <c r="BH119" i="43"/>
  <c r="W119" i="43" s="1"/>
  <c r="CE119" i="43"/>
  <c r="CD119" i="43"/>
  <c r="CF118" i="42" l="1"/>
  <c r="CF119" i="43"/>
  <c r="Z118" i="31"/>
  <c r="M119" i="43"/>
  <c r="O119" i="43" s="1"/>
  <c r="X119" i="43"/>
  <c r="M118" i="42"/>
  <c r="O118" i="42" s="1"/>
  <c r="X118" i="42"/>
  <c r="AD118" i="31" l="1"/>
  <c r="AE118" i="31"/>
  <c r="N119" i="31"/>
  <c r="AH119" i="31" s="1"/>
  <c r="CH119" i="31"/>
  <c r="Y118" i="42"/>
  <c r="Y119" i="43"/>
  <c r="CC119" i="31" l="1"/>
  <c r="CE119" i="31" s="1"/>
  <c r="P119" i="31"/>
  <c r="Q119" i="31" s="1"/>
  <c r="BH119" i="31" s="1"/>
  <c r="W119" i="31" s="1"/>
  <c r="BL119" i="43"/>
  <c r="BP119" i="43" s="1"/>
  <c r="BL118" i="42"/>
  <c r="CD119" i="31" l="1"/>
  <c r="CF119" i="31" s="1"/>
  <c r="M119" i="31"/>
  <c r="O119" i="31" s="1"/>
  <c r="X119" i="31"/>
  <c r="Y119" i="31" s="1"/>
  <c r="BP118" i="42"/>
  <c r="Z118" i="42"/>
  <c r="AE118" i="42" s="1"/>
  <c r="Z119" i="43"/>
  <c r="AE119" i="43" s="1"/>
  <c r="N120" i="43" l="1"/>
  <c r="AD119" i="43"/>
  <c r="N119" i="42"/>
  <c r="AD118" i="42"/>
  <c r="BL119" i="31" l="1"/>
  <c r="BP119" i="31" s="1"/>
  <c r="P119" i="42"/>
  <c r="Q119" i="42" s="1"/>
  <c r="AH120" i="43"/>
  <c r="CC120" i="43"/>
  <c r="AH119" i="42"/>
  <c r="CC119" i="42"/>
  <c r="P120" i="43"/>
  <c r="Q120" i="43" s="1"/>
  <c r="BH120" i="43" s="1"/>
  <c r="Z119" i="31" l="1"/>
  <c r="BH119" i="42"/>
  <c r="W119" i="42" s="1"/>
  <c r="CD120" i="43"/>
  <c r="CE120" i="43"/>
  <c r="W120" i="43"/>
  <c r="CE119" i="42"/>
  <c r="CD119" i="42"/>
  <c r="CF119" i="42" l="1"/>
  <c r="CF120" i="43"/>
  <c r="N120" i="31"/>
  <c r="CC120" i="31" s="1"/>
  <c r="AE119" i="31"/>
  <c r="CH120" i="31"/>
  <c r="AD119" i="31"/>
  <c r="M119" i="42"/>
  <c r="O119" i="42" s="1"/>
  <c r="X119" i="42"/>
  <c r="M120" i="43"/>
  <c r="O120" i="43" s="1"/>
  <c r="X120" i="43"/>
  <c r="AH120" i="31" l="1"/>
  <c r="P120" i="31"/>
  <c r="Q120" i="31" s="1"/>
  <c r="BH120" i="31" s="1"/>
  <c r="CD120" i="31"/>
  <c r="CE120" i="31"/>
  <c r="Y119" i="42"/>
  <c r="Y120" i="43"/>
  <c r="BL120" i="43" s="1"/>
  <c r="BP120" i="43" s="1"/>
  <c r="CF120" i="31" l="1"/>
  <c r="W120" i="31"/>
  <c r="X120" i="31" s="1"/>
  <c r="Y120" i="31" s="1"/>
  <c r="Z120" i="43"/>
  <c r="AE120" i="43" s="1"/>
  <c r="BL119" i="42"/>
  <c r="M120" i="31" l="1"/>
  <c r="O120" i="31" s="1"/>
  <c r="N121" i="43"/>
  <c r="AD120" i="43"/>
  <c r="BP119" i="42"/>
  <c r="Z119" i="42"/>
  <c r="AE119" i="42" s="1"/>
  <c r="BL120" i="31"/>
  <c r="BP120" i="31" s="1"/>
  <c r="Z120" i="31" l="1"/>
  <c r="AE120" i="31" s="1"/>
  <c r="AH121" i="43"/>
  <c r="CC121" i="43"/>
  <c r="P121" i="43"/>
  <c r="Q121" i="43" s="1"/>
  <c r="BH121" i="43" s="1"/>
  <c r="N120" i="42"/>
  <c r="AD119" i="42"/>
  <c r="AH120" i="42" l="1"/>
  <c r="CC120" i="42"/>
  <c r="P120" i="42"/>
  <c r="Q120" i="42" s="1"/>
  <c r="BH120" i="42" s="1"/>
  <c r="N121" i="31"/>
  <c r="CH121" i="31"/>
  <c r="AD120" i="31"/>
  <c r="W121" i="43"/>
  <c r="CE121" i="43"/>
  <c r="CD121" i="43"/>
  <c r="CF121" i="43" l="1"/>
  <c r="P121" i="31"/>
  <c r="Q121" i="31" s="1"/>
  <c r="BH121" i="31" s="1"/>
  <c r="M121" i="43"/>
  <c r="O121" i="43" s="1"/>
  <c r="X121" i="43"/>
  <c r="CE120" i="42"/>
  <c r="CD120" i="42"/>
  <c r="AH121" i="31"/>
  <c r="CC121" i="31"/>
  <c r="W120" i="42"/>
  <c r="CF120" i="42" l="1"/>
  <c r="M120" i="42"/>
  <c r="O120" i="42" s="1"/>
  <c r="X120" i="42"/>
  <c r="CE121" i="31"/>
  <c r="CD121" i="31"/>
  <c r="Y121" i="43"/>
  <c r="BL121" i="43" s="1"/>
  <c r="BP121" i="43" s="1"/>
  <c r="W121" i="31"/>
  <c r="CF121" i="31" l="1"/>
  <c r="Y120" i="42"/>
  <c r="BL120" i="42" s="1"/>
  <c r="BP120" i="42" s="1"/>
  <c r="M121" i="31"/>
  <c r="O121" i="31" s="1"/>
  <c r="X121" i="31"/>
  <c r="Y121" i="31" s="1"/>
  <c r="Z121" i="43"/>
  <c r="AE121" i="43" s="1"/>
  <c r="Z120" i="42" l="1"/>
  <c r="AE120" i="42" s="1"/>
  <c r="N122" i="43"/>
  <c r="AD121" i="43"/>
  <c r="BL121" i="31"/>
  <c r="BP121" i="31" s="1"/>
  <c r="Z121" i="31" l="1"/>
  <c r="AH122" i="43"/>
  <c r="CC122" i="43"/>
  <c r="N121" i="42"/>
  <c r="AD120" i="42"/>
  <c r="P122" i="43"/>
  <c r="Q122" i="43" s="1"/>
  <c r="BH122" i="43" s="1"/>
  <c r="N122" i="31" l="1"/>
  <c r="AH122" i="31" s="1"/>
  <c r="AE121" i="31"/>
  <c r="AD121" i="31"/>
  <c r="CH122" i="31"/>
  <c r="P121" i="42"/>
  <c r="Q121" i="42" s="1"/>
  <c r="BH121" i="42" s="1"/>
  <c r="W122" i="43"/>
  <c r="AH121" i="42"/>
  <c r="CC121" i="42"/>
  <c r="CE122" i="43"/>
  <c r="CD122" i="43"/>
  <c r="CF122" i="43" l="1"/>
  <c r="CC122" i="31"/>
  <c r="CD122" i="31" s="1"/>
  <c r="P122" i="31"/>
  <c r="Q122" i="31" s="1"/>
  <c r="BH122" i="31" s="1"/>
  <c r="CD121" i="42"/>
  <c r="CE121" i="42"/>
  <c r="M122" i="43"/>
  <c r="O122" i="43" s="1"/>
  <c r="X122" i="43"/>
  <c r="W121" i="42"/>
  <c r="CF121" i="42" l="1"/>
  <c r="CE122" i="31"/>
  <c r="CF122" i="31" s="1"/>
  <c r="W122" i="31"/>
  <c r="X122" i="31" s="1"/>
  <c r="Y122" i="31" s="1"/>
  <c r="M121" i="42"/>
  <c r="O121" i="42" s="1"/>
  <c r="X121" i="42"/>
  <c r="Y122" i="43"/>
  <c r="BL122" i="43" s="1"/>
  <c r="BP122" i="43" s="1"/>
  <c r="M122" i="31" l="1"/>
  <c r="O122" i="31" s="1"/>
  <c r="BL122" i="31"/>
  <c r="BP122" i="31" s="1"/>
  <c r="Y121" i="42"/>
  <c r="BL121" i="42" s="1"/>
  <c r="BP121" i="42" s="1"/>
  <c r="Z122" i="43"/>
  <c r="AE122" i="43" s="1"/>
  <c r="N123" i="43" l="1"/>
  <c r="AD122" i="43"/>
  <c r="Z122" i="31"/>
  <c r="AE122" i="31" s="1"/>
  <c r="Z121" i="42"/>
  <c r="AE121" i="42" s="1"/>
  <c r="P123" i="43" l="1"/>
  <c r="Q123" i="43" s="1"/>
  <c r="BH123" i="43" s="1"/>
  <c r="AH123" i="43"/>
  <c r="CC123" i="43"/>
  <c r="CH123" i="31"/>
  <c r="N123" i="31"/>
  <c r="AD122" i="31"/>
  <c r="N122" i="42"/>
  <c r="AD121" i="42"/>
  <c r="CE123" i="43" l="1"/>
  <c r="CD123" i="43"/>
  <c r="P122" i="42"/>
  <c r="Q122" i="42" s="1"/>
  <c r="BH122" i="42" s="1"/>
  <c r="P123" i="31"/>
  <c r="Q123" i="31" s="1"/>
  <c r="BH123" i="31" s="1"/>
  <c r="W123" i="43"/>
  <c r="AH122" i="42"/>
  <c r="CC122" i="42"/>
  <c r="AH123" i="31"/>
  <c r="CC123" i="31"/>
  <c r="CF123" i="43" l="1"/>
  <c r="CE123" i="31"/>
  <c r="CD123" i="31"/>
  <c r="M123" i="43"/>
  <c r="O123" i="43" s="1"/>
  <c r="X123" i="43"/>
  <c r="W123" i="31"/>
  <c r="CD122" i="42"/>
  <c r="CE122" i="42"/>
  <c r="W122" i="42"/>
  <c r="CF123" i="31" l="1"/>
  <c r="CF122" i="42"/>
  <c r="M123" i="31"/>
  <c r="O123" i="31" s="1"/>
  <c r="X123" i="31"/>
  <c r="Y123" i="31" s="1"/>
  <c r="Y123" i="43"/>
  <c r="BL123" i="43" s="1"/>
  <c r="BP123" i="43" s="1"/>
  <c r="M122" i="42"/>
  <c r="O122" i="42" s="1"/>
  <c r="X122" i="42"/>
  <c r="Y122" i="42" l="1"/>
  <c r="BL122" i="42" s="1"/>
  <c r="BP122" i="42" s="1"/>
  <c r="BL123" i="31"/>
  <c r="BP123" i="31" s="1"/>
  <c r="Z123" i="43"/>
  <c r="AE123" i="43" s="1"/>
  <c r="N124" i="43" l="1"/>
  <c r="AD123" i="43"/>
  <c r="Z122" i="42"/>
  <c r="AE122" i="42" s="1"/>
  <c r="Z123" i="31"/>
  <c r="AE123" i="31" s="1"/>
  <c r="AH124" i="43" l="1"/>
  <c r="CC124" i="43"/>
  <c r="P124" i="43"/>
  <c r="Q124" i="43" s="1"/>
  <c r="BH124" i="43" s="1"/>
  <c r="N123" i="42"/>
  <c r="AD122" i="42"/>
  <c r="N124" i="31"/>
  <c r="CH124" i="31"/>
  <c r="AD123" i="31"/>
  <c r="P124" i="31" l="1"/>
  <c r="Q124" i="31" s="1"/>
  <c r="BH124" i="31" s="1"/>
  <c r="CD124" i="43"/>
  <c r="CE124" i="43"/>
  <c r="AH124" i="31"/>
  <c r="CC124" i="31"/>
  <c r="AH123" i="42"/>
  <c r="CC123" i="42"/>
  <c r="P123" i="42"/>
  <c r="Q123" i="42" s="1"/>
  <c r="BH123" i="42" s="1"/>
  <c r="W124" i="43"/>
  <c r="CF124" i="43" l="1"/>
  <c r="CE123" i="42"/>
  <c r="CD123" i="42"/>
  <c r="CE124" i="31"/>
  <c r="CD124" i="31"/>
  <c r="W123" i="42"/>
  <c r="M124" i="43"/>
  <c r="O124" i="43" s="1"/>
  <c r="X124" i="43"/>
  <c r="W124" i="31"/>
  <c r="CF123" i="42" l="1"/>
  <c r="CF124" i="31"/>
  <c r="Y124" i="43"/>
  <c r="BL124" i="43" s="1"/>
  <c r="BP124" i="43" s="1"/>
  <c r="M124" i="31"/>
  <c r="O124" i="31" s="1"/>
  <c r="X124" i="31"/>
  <c r="Y124" i="31" s="1"/>
  <c r="M123" i="42"/>
  <c r="O123" i="42" s="1"/>
  <c r="X123" i="42"/>
  <c r="BL124" i="31" l="1"/>
  <c r="BP124" i="31" s="1"/>
  <c r="Y123" i="42"/>
  <c r="BL123" i="42" s="1"/>
  <c r="BP123" i="42" s="1"/>
  <c r="Z124" i="43"/>
  <c r="AE124" i="43" s="1"/>
  <c r="N125" i="43" l="1"/>
  <c r="AD124" i="43"/>
  <c r="Z124" i="31"/>
  <c r="AE124" i="31" s="1"/>
  <c r="Z123" i="42"/>
  <c r="AE123" i="42" s="1"/>
  <c r="P125" i="43" l="1"/>
  <c r="Q125" i="43" s="1"/>
  <c r="BH125" i="43" s="1"/>
  <c r="AH125" i="43"/>
  <c r="CC125" i="43"/>
  <c r="N125" i="31"/>
  <c r="CH125" i="31"/>
  <c r="AD124" i="31"/>
  <c r="N124" i="42"/>
  <c r="AD123" i="42"/>
  <c r="CE125" i="43" l="1"/>
  <c r="CD125" i="43"/>
  <c r="P124" i="42"/>
  <c r="Q124" i="42" s="1"/>
  <c r="BH124" i="42" s="1"/>
  <c r="P125" i="31"/>
  <c r="Q125" i="31" s="1"/>
  <c r="BH125" i="31" s="1"/>
  <c r="W125" i="43"/>
  <c r="AH124" i="42"/>
  <c r="CC124" i="42"/>
  <c r="AH125" i="31"/>
  <c r="CC125" i="31"/>
  <c r="CF125" i="43" l="1"/>
  <c r="CE124" i="42"/>
  <c r="CD124" i="42"/>
  <c r="M125" i="43"/>
  <c r="O125" i="43" s="1"/>
  <c r="X125" i="43"/>
  <c r="W125" i="31"/>
  <c r="CE125" i="31"/>
  <c r="CD125" i="31"/>
  <c r="W124" i="42"/>
  <c r="CF124" i="42" l="1"/>
  <c r="CF125" i="31"/>
  <c r="M125" i="31"/>
  <c r="O125" i="31" s="1"/>
  <c r="X125" i="31"/>
  <c r="Y125" i="31" s="1"/>
  <c r="Y125" i="43"/>
  <c r="BL125" i="43" s="1"/>
  <c r="BP125" i="43" s="1"/>
  <c r="M124" i="42"/>
  <c r="O124" i="42" s="1"/>
  <c r="X124" i="42"/>
  <c r="Z125" i="43" l="1"/>
  <c r="Y124" i="42"/>
  <c r="BL124" i="42" s="1"/>
  <c r="BP124" i="42" s="1"/>
  <c r="BL125" i="31"/>
  <c r="BP125" i="31" s="1"/>
  <c r="AD125" i="43" l="1"/>
  <c r="AE125" i="43"/>
  <c r="N126" i="43"/>
  <c r="CC126" i="43" s="1"/>
  <c r="Z125" i="31"/>
  <c r="AE125" i="31" s="1"/>
  <c r="Z124" i="42"/>
  <c r="AE124" i="42" s="1"/>
  <c r="P126" i="43" l="1"/>
  <c r="Q126" i="43" s="1"/>
  <c r="AH126" i="43"/>
  <c r="CD126" i="43"/>
  <c r="CE126" i="43"/>
  <c r="CH126" i="31"/>
  <c r="N126" i="31"/>
  <c r="AD125" i="31"/>
  <c r="N125" i="42"/>
  <c r="AD124" i="42"/>
  <c r="CF126" i="43" l="1"/>
  <c r="BH126" i="43"/>
  <c r="W126" i="43" s="1"/>
  <c r="M126" i="43" s="1"/>
  <c r="O126" i="43" s="1"/>
  <c r="AH125" i="42"/>
  <c r="CC125" i="42"/>
  <c r="P126" i="31"/>
  <c r="Q126" i="31" s="1"/>
  <c r="P125" i="42"/>
  <c r="Q125" i="42" s="1"/>
  <c r="BH125" i="42" s="1"/>
  <c r="AH126" i="31"/>
  <c r="CC126" i="31"/>
  <c r="BH126" i="31" l="1"/>
  <c r="W126" i="31" s="1"/>
  <c r="AA41" i="35"/>
  <c r="X126" i="43"/>
  <c r="Y126" i="43" s="1"/>
  <c r="BL126" i="43" s="1"/>
  <c r="BP126" i="43" s="1"/>
  <c r="CE125" i="42"/>
  <c r="CD125" i="42"/>
  <c r="W125" i="42"/>
  <c r="CE126" i="31"/>
  <c r="CD126" i="31"/>
  <c r="CF125" i="42" l="1"/>
  <c r="CF126" i="31"/>
  <c r="Z126" i="43"/>
  <c r="M126" i="31"/>
  <c r="O126" i="31" s="1"/>
  <c r="X126" i="31"/>
  <c r="Y126" i="31" s="1"/>
  <c r="M125" i="42"/>
  <c r="O125" i="42" s="1"/>
  <c r="X125" i="42"/>
  <c r="AD126" i="43" l="1"/>
  <c r="AE126" i="43"/>
  <c r="BL126" i="31"/>
  <c r="BP126" i="31" s="1"/>
  <c r="N127" i="43"/>
  <c r="CC127" i="43" s="1"/>
  <c r="Y125" i="42"/>
  <c r="BL125" i="42" s="1"/>
  <c r="BP125" i="42" s="1"/>
  <c r="AB41" i="35"/>
  <c r="P127" i="43" l="1"/>
  <c r="Q127" i="43" s="1"/>
  <c r="BH127" i="43" s="1"/>
  <c r="W127" i="43" s="1"/>
  <c r="AH127" i="43"/>
  <c r="Z125" i="42"/>
  <c r="AE125" i="42" s="1"/>
  <c r="CD127" i="43"/>
  <c r="CE127" i="43"/>
  <c r="Z126" i="31"/>
  <c r="AE126" i="31" s="1"/>
  <c r="AF41" i="35" s="1"/>
  <c r="CF127" i="43" l="1"/>
  <c r="M127" i="43"/>
  <c r="O127" i="43" s="1"/>
  <c r="X127" i="43"/>
  <c r="N126" i="42"/>
  <c r="AD125" i="42"/>
  <c r="N127" i="31"/>
  <c r="CH127" i="31"/>
  <c r="AD126" i="31"/>
  <c r="AH126" i="42" l="1"/>
  <c r="CC126" i="42"/>
  <c r="AD41" i="35"/>
  <c r="P127" i="31"/>
  <c r="Q127" i="31" s="1"/>
  <c r="P126" i="42"/>
  <c r="Q126" i="42" s="1"/>
  <c r="AH127" i="31"/>
  <c r="CC127" i="31"/>
  <c r="Y127" i="43"/>
  <c r="AE41" i="35" l="1"/>
  <c r="BH126" i="42"/>
  <c r="W126" i="42" s="1"/>
  <c r="AA76" i="35"/>
  <c r="CE127" i="31"/>
  <c r="CD127" i="31"/>
  <c r="BH127" i="31"/>
  <c r="CE126" i="42"/>
  <c r="CD126" i="42"/>
  <c r="BL127" i="43"/>
  <c r="BP127" i="43" s="1"/>
  <c r="M41" i="35"/>
  <c r="CF127" i="31" l="1"/>
  <c r="CF126" i="42"/>
  <c r="N41" i="35"/>
  <c r="O41" i="35"/>
  <c r="M126" i="42"/>
  <c r="O126" i="42" s="1"/>
  <c r="X126" i="42"/>
  <c r="Z127" i="43"/>
  <c r="AE127" i="43" s="1"/>
  <c r="W127" i="31"/>
  <c r="M127" i="31" l="1"/>
  <c r="O127" i="31" s="1"/>
  <c r="X127" i="31"/>
  <c r="Y127" i="31" s="1"/>
  <c r="AB76" i="35"/>
  <c r="Y126" i="42"/>
  <c r="BL126" i="42" s="1"/>
  <c r="BP126" i="42" s="1"/>
  <c r="N128" i="43"/>
  <c r="AD127" i="43"/>
  <c r="Z126" i="42" l="1"/>
  <c r="AE126" i="42" s="1"/>
  <c r="AF76" i="35" s="1"/>
  <c r="AH128" i="43"/>
  <c r="CC128" i="43"/>
  <c r="P128" i="43"/>
  <c r="Q128" i="43" s="1"/>
  <c r="BL127" i="31" l="1"/>
  <c r="BP127" i="31" s="1"/>
  <c r="CE128" i="43"/>
  <c r="CD128" i="43"/>
  <c r="N127" i="42"/>
  <c r="AD126" i="42"/>
  <c r="BH128" i="43"/>
  <c r="W128" i="43" s="1"/>
  <c r="CF128" i="43" l="1"/>
  <c r="Z127" i="31"/>
  <c r="AH127" i="42"/>
  <c r="CC127" i="42"/>
  <c r="AD76" i="35"/>
  <c r="P127" i="42"/>
  <c r="Q127" i="42" s="1"/>
  <c r="M128" i="43"/>
  <c r="O128" i="43" s="1"/>
  <c r="X128" i="43"/>
  <c r="AD127" i="31" l="1"/>
  <c r="AE127" i="31"/>
  <c r="AE76" i="35"/>
  <c r="N128" i="31"/>
  <c r="CC128" i="31" s="1"/>
  <c r="CH128" i="31"/>
  <c r="Y128" i="43"/>
  <c r="BH127" i="42"/>
  <c r="CE127" i="42"/>
  <c r="CD127" i="42"/>
  <c r="G41" i="35"/>
  <c r="CF127" i="42" l="1"/>
  <c r="H41" i="35"/>
  <c r="I41" i="35"/>
  <c r="P128" i="31"/>
  <c r="Q128" i="31" s="1"/>
  <c r="BH128" i="31" s="1"/>
  <c r="W128" i="31" s="1"/>
  <c r="AH128" i="31"/>
  <c r="BL128" i="43"/>
  <c r="BP128" i="43" s="1"/>
  <c r="W127" i="42"/>
  <c r="CE128" i="31"/>
  <c r="CD128" i="31"/>
  <c r="CF128" i="31" l="1"/>
  <c r="Z128" i="43"/>
  <c r="M128" i="31"/>
  <c r="O128" i="31" s="1"/>
  <c r="X128" i="31"/>
  <c r="Y128" i="31" s="1"/>
  <c r="M127" i="42"/>
  <c r="O127" i="42" s="1"/>
  <c r="X127" i="42"/>
  <c r="AD128" i="43" l="1"/>
  <c r="AE128" i="43"/>
  <c r="N129" i="43"/>
  <c r="CC129" i="43" s="1"/>
  <c r="Y127" i="42"/>
  <c r="P129" i="43" l="1"/>
  <c r="Q129" i="43" s="1"/>
  <c r="BH129" i="43" s="1"/>
  <c r="W129" i="43" s="1"/>
  <c r="AH129" i="43"/>
  <c r="BL127" i="42"/>
  <c r="BP127" i="42" s="1"/>
  <c r="BL128" i="31"/>
  <c r="BP128" i="31" s="1"/>
  <c r="CE129" i="43"/>
  <c r="CD129" i="43"/>
  <c r="CF129" i="43" l="1"/>
  <c r="Z127" i="42"/>
  <c r="Z128" i="31"/>
  <c r="N129" i="31" s="1"/>
  <c r="M129" i="43"/>
  <c r="O129" i="43" s="1"/>
  <c r="X129" i="43"/>
  <c r="AD127" i="42" l="1"/>
  <c r="AE127" i="42"/>
  <c r="AD128" i="31"/>
  <c r="P129" i="31" s="1"/>
  <c r="Q129" i="31" s="1"/>
  <c r="AE128" i="31"/>
  <c r="CH129" i="31"/>
  <c r="N128" i="42"/>
  <c r="AH128" i="42" s="1"/>
  <c r="AH129" i="31"/>
  <c r="CC129" i="31"/>
  <c r="Y129" i="43"/>
  <c r="CC128" i="42" l="1"/>
  <c r="CD128" i="42" s="1"/>
  <c r="P128" i="42"/>
  <c r="Q128" i="42" s="1"/>
  <c r="BH128" i="42" s="1"/>
  <c r="W128" i="42" s="1"/>
  <c r="CE129" i="31"/>
  <c r="CD129" i="31"/>
  <c r="BL129" i="43"/>
  <c r="BP129" i="43" s="1"/>
  <c r="BH129" i="31"/>
  <c r="W129" i="31" s="1"/>
  <c r="CF129" i="31" l="1"/>
  <c r="CE128" i="42"/>
  <c r="CF128" i="42" s="1"/>
  <c r="Z129" i="43"/>
  <c r="M129" i="31"/>
  <c r="O129" i="31" s="1"/>
  <c r="X129" i="31"/>
  <c r="Y129" i="31" s="1"/>
  <c r="M128" i="42"/>
  <c r="O128" i="42" s="1"/>
  <c r="X128" i="42"/>
  <c r="N130" i="43" l="1"/>
  <c r="AH130" i="43" s="1"/>
  <c r="AE129" i="43"/>
  <c r="AD129" i="43"/>
  <c r="Y128" i="42"/>
  <c r="CC130" i="43" l="1"/>
  <c r="CE130" i="43" s="1"/>
  <c r="P130" i="43"/>
  <c r="Q130" i="43" s="1"/>
  <c r="BH130" i="43" s="1"/>
  <c r="W130" i="43" s="1"/>
  <c r="BL129" i="31"/>
  <c r="BP129" i="31" s="1"/>
  <c r="BL128" i="42"/>
  <c r="CD130" i="43" l="1"/>
  <c r="CF130" i="43" s="1"/>
  <c r="Z129" i="31"/>
  <c r="M130" i="43"/>
  <c r="O130" i="43" s="1"/>
  <c r="X130" i="43"/>
  <c r="BP128" i="42"/>
  <c r="Z128" i="42"/>
  <c r="AE128" i="42" s="1"/>
  <c r="AD129" i="31" l="1"/>
  <c r="AE129" i="31"/>
  <c r="N130" i="31"/>
  <c r="CC130" i="31" s="1"/>
  <c r="CH130" i="31"/>
  <c r="Y130" i="43"/>
  <c r="N129" i="42"/>
  <c r="AD128" i="42"/>
  <c r="P130" i="31" l="1"/>
  <c r="Q130" i="31" s="1"/>
  <c r="BH130" i="31" s="1"/>
  <c r="W130" i="31" s="1"/>
  <c r="AH130" i="31"/>
  <c r="BL130" i="43"/>
  <c r="P129" i="42"/>
  <c r="Q129" i="42" s="1"/>
  <c r="AH129" i="42"/>
  <c r="CC129" i="42"/>
  <c r="CE130" i="31"/>
  <c r="CD130" i="31"/>
  <c r="CF130" i="31" l="1"/>
  <c r="M130" i="31"/>
  <c r="O130" i="31" s="1"/>
  <c r="X130" i="31"/>
  <c r="Y130" i="31" s="1"/>
  <c r="CE129" i="42"/>
  <c r="CD129" i="42"/>
  <c r="BH129" i="42"/>
  <c r="W129" i="42" s="1"/>
  <c r="BP130" i="43"/>
  <c r="Z130" i="43"/>
  <c r="AE130" i="43" s="1"/>
  <c r="CF129" i="42" l="1"/>
  <c r="M129" i="42"/>
  <c r="O129" i="42" s="1"/>
  <c r="X129" i="42"/>
  <c r="N131" i="43"/>
  <c r="AD130" i="43"/>
  <c r="Y129" i="42" l="1"/>
  <c r="AH131" i="43"/>
  <c r="CC131" i="43"/>
  <c r="BL130" i="31"/>
  <c r="BP130" i="31" s="1"/>
  <c r="P131" i="43"/>
  <c r="Q131" i="43" s="1"/>
  <c r="Z130" i="31" l="1"/>
  <c r="AE130" i="31" s="1"/>
  <c r="CE131" i="43"/>
  <c r="CD131" i="43"/>
  <c r="BL129" i="42"/>
  <c r="BP129" i="42" s="1"/>
  <c r="BH131" i="43"/>
  <c r="W131" i="43" s="1"/>
  <c r="CF131" i="43" l="1"/>
  <c r="CH131" i="31"/>
  <c r="N131" i="31"/>
  <c r="CC131" i="31" s="1"/>
  <c r="AD130" i="31"/>
  <c r="M131" i="43"/>
  <c r="O131" i="43" s="1"/>
  <c r="X131" i="43"/>
  <c r="Z129" i="42"/>
  <c r="AE129" i="42" s="1"/>
  <c r="P131" i="31" l="1"/>
  <c r="Q131" i="31" s="1"/>
  <c r="BH131" i="31" s="1"/>
  <c r="W131" i="31" s="1"/>
  <c r="AH131" i="31"/>
  <c r="CE131" i="31"/>
  <c r="CD131" i="31"/>
  <c r="Y131" i="43"/>
  <c r="N130" i="42"/>
  <c r="AD129" i="42"/>
  <c r="CF131" i="31" l="1"/>
  <c r="AH130" i="42"/>
  <c r="CC130" i="42"/>
  <c r="M131" i="31"/>
  <c r="O131" i="31" s="1"/>
  <c r="X131" i="31"/>
  <c r="Y131" i="31" s="1"/>
  <c r="BL131" i="43"/>
  <c r="BP131" i="43" s="1"/>
  <c r="P130" i="42"/>
  <c r="Q130" i="42" s="1"/>
  <c r="Z131" i="43" l="1"/>
  <c r="BH130" i="42"/>
  <c r="W130" i="42" s="1"/>
  <c r="CD130" i="42"/>
  <c r="CE130" i="42"/>
  <c r="CF130" i="42" l="1"/>
  <c r="AD131" i="43"/>
  <c r="AE131" i="43"/>
  <c r="N132" i="43"/>
  <c r="AH132" i="43" s="1"/>
  <c r="M130" i="42"/>
  <c r="O130" i="42" s="1"/>
  <c r="X130" i="42"/>
  <c r="BL131" i="31"/>
  <c r="CC132" i="43" l="1"/>
  <c r="CD132" i="43" s="1"/>
  <c r="P132" i="43"/>
  <c r="Q132" i="43" s="1"/>
  <c r="BH132" i="43" s="1"/>
  <c r="Y130" i="42"/>
  <c r="BP131" i="31"/>
  <c r="Z131" i="31"/>
  <c r="AE131" i="31" s="1"/>
  <c r="CE132" i="43" l="1"/>
  <c r="CF132" i="43" s="1"/>
  <c r="W132" i="43"/>
  <c r="X132" i="43" s="1"/>
  <c r="BL130" i="42"/>
  <c r="BP130" i="42" s="1"/>
  <c r="CH132" i="31"/>
  <c r="N132" i="31"/>
  <c r="AD131" i="31"/>
  <c r="Z130" i="42" l="1"/>
  <c r="M132" i="43"/>
  <c r="O132" i="43" s="1"/>
  <c r="P132" i="31"/>
  <c r="Q132" i="31" s="1"/>
  <c r="BH132" i="31" s="1"/>
  <c r="AH132" i="31"/>
  <c r="CC132" i="31"/>
  <c r="Y132" i="43"/>
  <c r="BL132" i="43" s="1"/>
  <c r="BP132" i="43" s="1"/>
  <c r="AD130" i="42" l="1"/>
  <c r="AE130" i="42"/>
  <c r="N131" i="42"/>
  <c r="AH131" i="42" s="1"/>
  <c r="Z132" i="43"/>
  <c r="CE132" i="31"/>
  <c r="CD132" i="31"/>
  <c r="W132" i="31"/>
  <c r="CF132" i="31" l="1"/>
  <c r="AD132" i="43"/>
  <c r="AE132" i="43"/>
  <c r="CC131" i="42"/>
  <c r="CE131" i="42" s="1"/>
  <c r="P131" i="42"/>
  <c r="Q131" i="42" s="1"/>
  <c r="BH131" i="42" s="1"/>
  <c r="W131" i="42" s="1"/>
  <c r="N133" i="43"/>
  <c r="CC133" i="43" s="1"/>
  <c r="M132" i="31"/>
  <c r="O132" i="31" s="1"/>
  <c r="X132" i="31"/>
  <c r="Y132" i="31" s="1"/>
  <c r="CD131" i="42" l="1"/>
  <c r="CF131" i="42" s="1"/>
  <c r="P133" i="43"/>
  <c r="Q133" i="43" s="1"/>
  <c r="BH133" i="43" s="1"/>
  <c r="AH133" i="43"/>
  <c r="CD133" i="43"/>
  <c r="CE133" i="43"/>
  <c r="BL132" i="31"/>
  <c r="BP132" i="31" s="1"/>
  <c r="M131" i="42"/>
  <c r="O131" i="42" s="1"/>
  <c r="X131" i="42"/>
  <c r="CF133" i="43" l="1"/>
  <c r="W133" i="43"/>
  <c r="X133" i="43" s="1"/>
  <c r="Z132" i="31"/>
  <c r="Y131" i="42"/>
  <c r="AD132" i="31" l="1"/>
  <c r="AE132" i="31"/>
  <c r="N133" i="31"/>
  <c r="AH133" i="31" s="1"/>
  <c r="CH133" i="31"/>
  <c r="M133" i="43"/>
  <c r="O133" i="43" s="1"/>
  <c r="Y133" i="43"/>
  <c r="BL133" i="43" s="1"/>
  <c r="BP133" i="43" s="1"/>
  <c r="BL131" i="42"/>
  <c r="CC133" i="31" l="1"/>
  <c r="CD133" i="31" s="1"/>
  <c r="P133" i="31"/>
  <c r="Q133" i="31" s="1"/>
  <c r="BH133" i="31" s="1"/>
  <c r="BP131" i="42"/>
  <c r="Z131" i="42"/>
  <c r="AE131" i="42" s="1"/>
  <c r="Z133" i="43"/>
  <c r="AE133" i="43" s="1"/>
  <c r="CE133" i="31" l="1"/>
  <c r="CF133" i="31" s="1"/>
  <c r="W133" i="31"/>
  <c r="X133" i="31" s="1"/>
  <c r="Y133" i="31" s="1"/>
  <c r="N132" i="42"/>
  <c r="AD131" i="42"/>
  <c r="N134" i="43"/>
  <c r="AD133" i="43"/>
  <c r="M133" i="31" l="1"/>
  <c r="O133" i="31" s="1"/>
  <c r="AH132" i="42"/>
  <c r="CC132" i="42"/>
  <c r="AH134" i="43"/>
  <c r="CC134" i="43"/>
  <c r="P134" i="43"/>
  <c r="Q134" i="43" s="1"/>
  <c r="BH134" i="43" s="1"/>
  <c r="BL133" i="31"/>
  <c r="BP133" i="31" s="1"/>
  <c r="P132" i="42"/>
  <c r="Q132" i="42" s="1"/>
  <c r="BH132" i="42" s="1"/>
  <c r="CE134" i="43" l="1"/>
  <c r="CD134" i="43"/>
  <c r="CE132" i="42"/>
  <c r="CD132" i="42"/>
  <c r="Z133" i="31"/>
  <c r="AE133" i="31" s="1"/>
  <c r="W134" i="43"/>
  <c r="W132" i="42"/>
  <c r="CF134" i="43" l="1"/>
  <c r="CF132" i="42"/>
  <c r="M132" i="42"/>
  <c r="O132" i="42" s="1"/>
  <c r="X132" i="42"/>
  <c r="N134" i="31"/>
  <c r="CH134" i="31"/>
  <c r="AD133" i="31"/>
  <c r="M134" i="43"/>
  <c r="O134" i="43" s="1"/>
  <c r="X134" i="43"/>
  <c r="Y132" i="42" l="1"/>
  <c r="BL132" i="42" s="1"/>
  <c r="BP132" i="42" s="1"/>
  <c r="AH134" i="31"/>
  <c r="CC134" i="31"/>
  <c r="P134" i="31"/>
  <c r="Q134" i="31" s="1"/>
  <c r="BH134" i="31" s="1"/>
  <c r="Y134" i="43"/>
  <c r="BL134" i="43" s="1"/>
  <c r="BP134" i="43" s="1"/>
  <c r="CE134" i="31" l="1"/>
  <c r="CD134" i="31"/>
  <c r="Z134" i="43"/>
  <c r="AE134" i="43" s="1"/>
  <c r="W134" i="31"/>
  <c r="Z132" i="42"/>
  <c r="AE132" i="42" s="1"/>
  <c r="CF134" i="31" l="1"/>
  <c r="N133" i="42"/>
  <c r="AD132" i="42"/>
  <c r="N135" i="43"/>
  <c r="AD134" i="43"/>
  <c r="M134" i="31"/>
  <c r="O134" i="31" s="1"/>
  <c r="X134" i="31"/>
  <c r="Y134" i="31" s="1"/>
  <c r="AH133" i="42" l="1"/>
  <c r="CC133" i="42"/>
  <c r="AH135" i="43"/>
  <c r="CC135" i="43"/>
  <c r="P135" i="43"/>
  <c r="Q135" i="43" s="1"/>
  <c r="BH135" i="43" s="1"/>
  <c r="BL134" i="31"/>
  <c r="BP134" i="31" s="1"/>
  <c r="P133" i="42"/>
  <c r="Q133" i="42" s="1"/>
  <c r="BH133" i="42" s="1"/>
  <c r="CE135" i="43" l="1"/>
  <c r="CD135" i="43"/>
  <c r="CE133" i="42"/>
  <c r="CD133" i="42"/>
  <c r="Z134" i="31"/>
  <c r="AE134" i="31" s="1"/>
  <c r="W135" i="43"/>
  <c r="W133" i="42"/>
  <c r="CF135" i="43" l="1"/>
  <c r="CF133" i="42"/>
  <c r="M133" i="42"/>
  <c r="O133" i="42" s="1"/>
  <c r="X133" i="42"/>
  <c r="N135" i="31"/>
  <c r="CH135" i="31"/>
  <c r="AD134" i="31"/>
  <c r="M135" i="43"/>
  <c r="O135" i="43" s="1"/>
  <c r="X135" i="43"/>
  <c r="AH135" i="31" l="1"/>
  <c r="CC135" i="31"/>
  <c r="Y135" i="43"/>
  <c r="BL135" i="43" s="1"/>
  <c r="BP135" i="43" s="1"/>
  <c r="P135" i="31"/>
  <c r="Q135" i="31" s="1"/>
  <c r="BH135" i="31" s="1"/>
  <c r="Y133" i="42"/>
  <c r="BL133" i="42" s="1"/>
  <c r="BP133" i="42" s="1"/>
  <c r="Z133" i="42" l="1"/>
  <c r="Z135" i="43"/>
  <c r="W135" i="31"/>
  <c r="CE135" i="31"/>
  <c r="CD135" i="31"/>
  <c r="CF135" i="31" l="1"/>
  <c r="AD135" i="43"/>
  <c r="AE135" i="43"/>
  <c r="N134" i="42"/>
  <c r="AH134" i="42" s="1"/>
  <c r="AE133" i="42"/>
  <c r="AD133" i="42"/>
  <c r="N136" i="43"/>
  <c r="CC136" i="43" s="1"/>
  <c r="M135" i="31"/>
  <c r="O135" i="31" s="1"/>
  <c r="X135" i="31"/>
  <c r="Y135" i="31" s="1"/>
  <c r="CC134" i="42" l="1"/>
  <c r="CE134" i="42" s="1"/>
  <c r="P134" i="42"/>
  <c r="Q134" i="42" s="1"/>
  <c r="BH134" i="42" s="1"/>
  <c r="P136" i="43"/>
  <c r="Q136" i="43" s="1"/>
  <c r="BH136" i="43" s="1"/>
  <c r="AH136" i="43"/>
  <c r="CE136" i="43"/>
  <c r="CD136" i="43"/>
  <c r="BL135" i="31"/>
  <c r="BP135" i="31" s="1"/>
  <c r="CF136" i="43" l="1"/>
  <c r="CD134" i="42"/>
  <c r="CF134" i="42" s="1"/>
  <c r="W134" i="42"/>
  <c r="M134" i="42" s="1"/>
  <c r="O134" i="42" s="1"/>
  <c r="W136" i="43"/>
  <c r="X136" i="43" s="1"/>
  <c r="Z135" i="31"/>
  <c r="X134" i="42" l="1"/>
  <c r="Y134" i="42" s="1"/>
  <c r="BL134" i="42" s="1"/>
  <c r="BP134" i="42" s="1"/>
  <c r="N136" i="31"/>
  <c r="AH136" i="31" s="1"/>
  <c r="AE135" i="31"/>
  <c r="AD135" i="31"/>
  <c r="M136" i="43"/>
  <c r="O136" i="43" s="1"/>
  <c r="CH136" i="31"/>
  <c r="Y136" i="43"/>
  <c r="BL136" i="43" s="1"/>
  <c r="BP136" i="43" s="1"/>
  <c r="P136" i="31" l="1"/>
  <c r="Q136" i="31" s="1"/>
  <c r="BH136" i="31" s="1"/>
  <c r="CC136" i="31"/>
  <c r="CE136" i="31" s="1"/>
  <c r="Z134" i="42"/>
  <c r="AE134" i="42" s="1"/>
  <c r="Z136" i="43"/>
  <c r="AE136" i="43" s="1"/>
  <c r="CD136" i="31" l="1"/>
  <c r="CF136" i="31" s="1"/>
  <c r="W136" i="31"/>
  <c r="M136" i="31" s="1"/>
  <c r="O136" i="31" s="1"/>
  <c r="N137" i="43"/>
  <c r="AD136" i="43"/>
  <c r="N135" i="42"/>
  <c r="AD134" i="42"/>
  <c r="X136" i="31" l="1"/>
  <c r="Y136" i="31" s="1"/>
  <c r="AH137" i="43"/>
  <c r="CC137" i="43"/>
  <c r="AH135" i="42"/>
  <c r="CC135" i="42"/>
  <c r="P135" i="42"/>
  <c r="Q135" i="42" s="1"/>
  <c r="BH135" i="42" s="1"/>
  <c r="P137" i="43"/>
  <c r="Q137" i="43" s="1"/>
  <c r="BH137" i="43" s="1"/>
  <c r="BL136" i="31" l="1"/>
  <c r="CE137" i="43"/>
  <c r="CD137" i="43"/>
  <c r="W135" i="42"/>
  <c r="CE135" i="42"/>
  <c r="CD135" i="42"/>
  <c r="W137" i="43"/>
  <c r="CF137" i="43" l="1"/>
  <c r="CF135" i="42"/>
  <c r="BP136" i="31"/>
  <c r="Z136" i="31"/>
  <c r="AE136" i="31" s="1"/>
  <c r="M137" i="43"/>
  <c r="O137" i="43" s="1"/>
  <c r="X137" i="43"/>
  <c r="M135" i="42"/>
  <c r="O135" i="42" s="1"/>
  <c r="X135" i="42"/>
  <c r="N137" i="31" l="1"/>
  <c r="AH137" i="31" s="1"/>
  <c r="CH137" i="31"/>
  <c r="AD136" i="31"/>
  <c r="Y135" i="42"/>
  <c r="BL135" i="42" s="1"/>
  <c r="BP135" i="42" s="1"/>
  <c r="Y137" i="43"/>
  <c r="BL137" i="43" s="1"/>
  <c r="BP137" i="43" s="1"/>
  <c r="CC137" i="31" l="1"/>
  <c r="CE137" i="31" s="1"/>
  <c r="P137" i="31"/>
  <c r="Q137" i="31" s="1"/>
  <c r="BH137" i="31" s="1"/>
  <c r="Z137" i="43"/>
  <c r="N138" i="43" s="1"/>
  <c r="Z135" i="42"/>
  <c r="AE135" i="42" s="1"/>
  <c r="CD137" i="31" l="1"/>
  <c r="CF137" i="31" s="1"/>
  <c r="W137" i="31"/>
  <c r="M137" i="31" s="1"/>
  <c r="O137" i="31" s="1"/>
  <c r="AD137" i="43"/>
  <c r="P138" i="43" s="1"/>
  <c r="Q138" i="43" s="1"/>
  <c r="BH138" i="43" s="1"/>
  <c r="AE137" i="43"/>
  <c r="AH138" i="43"/>
  <c r="CC138" i="43"/>
  <c r="N136" i="42"/>
  <c r="AD135" i="42"/>
  <c r="X137" i="31" l="1"/>
  <c r="Y137" i="31" s="1"/>
  <c r="AH136" i="42"/>
  <c r="CC136" i="42"/>
  <c r="CE138" i="43"/>
  <c r="CD138" i="43"/>
  <c r="P136" i="42"/>
  <c r="Q136" i="42" s="1"/>
  <c r="BH136" i="42" s="1"/>
  <c r="W138" i="43"/>
  <c r="BL137" i="31" l="1"/>
  <c r="CF138" i="43"/>
  <c r="M138" i="43"/>
  <c r="O138" i="43" s="1"/>
  <c r="X138" i="43"/>
  <c r="W136" i="42"/>
  <c r="CD136" i="42"/>
  <c r="CE136" i="42"/>
  <c r="BP137" i="31" l="1"/>
  <c r="Z137" i="31"/>
  <c r="AE137" i="31" s="1"/>
  <c r="CF136" i="42"/>
  <c r="M136" i="42"/>
  <c r="O136" i="42" s="1"/>
  <c r="X136" i="42"/>
  <c r="Y138" i="43"/>
  <c r="BL138" i="43" s="1"/>
  <c r="BP138" i="43" s="1"/>
  <c r="N138" i="31" l="1"/>
  <c r="P138" i="31" s="1"/>
  <c r="Q138" i="31" s="1"/>
  <c r="BH138" i="31" s="1"/>
  <c r="CH138" i="31"/>
  <c r="AD137" i="31"/>
  <c r="Y136" i="42"/>
  <c r="BL136" i="42" s="1"/>
  <c r="BP136" i="42" s="1"/>
  <c r="Z138" i="43"/>
  <c r="AE138" i="43" s="1"/>
  <c r="CC138" i="31" l="1"/>
  <c r="CE138" i="31" s="1"/>
  <c r="AH138" i="31"/>
  <c r="N139" i="43"/>
  <c r="AD138" i="43"/>
  <c r="W138" i="31"/>
  <c r="Z136" i="42"/>
  <c r="AE136" i="42" s="1"/>
  <c r="CD138" i="31" l="1"/>
  <c r="CF138" i="31" s="1"/>
  <c r="AH139" i="43"/>
  <c r="CC139" i="43"/>
  <c r="M138" i="31"/>
  <c r="O138" i="31" s="1"/>
  <c r="X138" i="31"/>
  <c r="Y138" i="31" s="1"/>
  <c r="N137" i="42"/>
  <c r="AD136" i="42"/>
  <c r="P139" i="43"/>
  <c r="Q139" i="43" s="1"/>
  <c r="BL138" i="31" l="1"/>
  <c r="BP138" i="31" s="1"/>
  <c r="AH137" i="42"/>
  <c r="CC137" i="42"/>
  <c r="AB42" i="35"/>
  <c r="BH139" i="43"/>
  <c r="W139" i="43" s="1"/>
  <c r="P137" i="42"/>
  <c r="Q137" i="42" s="1"/>
  <c r="BH137" i="42" s="1"/>
  <c r="CE139" i="43"/>
  <c r="CD139" i="43"/>
  <c r="CF139" i="43" l="1"/>
  <c r="Z138" i="31"/>
  <c r="M139" i="43"/>
  <c r="O139" i="43" s="1"/>
  <c r="X139" i="43"/>
  <c r="W137" i="42"/>
  <c r="CE137" i="42"/>
  <c r="CD137" i="42"/>
  <c r="CF137" i="42" l="1"/>
  <c r="AD138" i="31"/>
  <c r="AD42" i="35" s="1"/>
  <c r="AE138" i="31"/>
  <c r="AF42" i="35" s="1"/>
  <c r="CH139" i="31"/>
  <c r="N139" i="31"/>
  <c r="Y139" i="43"/>
  <c r="M137" i="42"/>
  <c r="O137" i="42" s="1"/>
  <c r="X137" i="42"/>
  <c r="AE42" i="35" l="1"/>
  <c r="P139" i="31"/>
  <c r="Q139" i="31" s="1"/>
  <c r="BH139" i="31" s="1"/>
  <c r="CC139" i="31"/>
  <c r="CE139" i="31" s="1"/>
  <c r="AH139" i="31"/>
  <c r="Y137" i="42"/>
  <c r="BL137" i="42" s="1"/>
  <c r="BP137" i="42" s="1"/>
  <c r="BL139" i="43"/>
  <c r="BP139" i="43" s="1"/>
  <c r="M42" i="35"/>
  <c r="O42" i="35" l="1"/>
  <c r="N42" i="35"/>
  <c r="CD139" i="31"/>
  <c r="CF139" i="31" s="1"/>
  <c r="Z139" i="43"/>
  <c r="W139" i="31"/>
  <c r="Z137" i="42"/>
  <c r="AE137" i="42" s="1"/>
  <c r="AD139" i="43" l="1"/>
  <c r="AE139" i="43"/>
  <c r="N140" i="43"/>
  <c r="CC140" i="43" s="1"/>
  <c r="M139" i="31"/>
  <c r="X139" i="31"/>
  <c r="Y139" i="31" s="1"/>
  <c r="N138" i="42"/>
  <c r="AD137" i="42"/>
  <c r="O139" i="31" l="1"/>
  <c r="AH140" i="43"/>
  <c r="P140" i="43"/>
  <c r="Q140" i="43" s="1"/>
  <c r="AH138" i="42"/>
  <c r="CC138" i="42"/>
  <c r="P138" i="42"/>
  <c r="Q138" i="42" s="1"/>
  <c r="BH138" i="42" s="1"/>
  <c r="CE140" i="43"/>
  <c r="CD140" i="43"/>
  <c r="CF140" i="43" l="1"/>
  <c r="BH140" i="43"/>
  <c r="W140" i="43" s="1"/>
  <c r="CE138" i="42"/>
  <c r="CD138" i="42"/>
  <c r="BL139" i="31"/>
  <c r="W138" i="42"/>
  <c r="CF138" i="42" l="1"/>
  <c r="X140" i="43"/>
  <c r="Y140" i="43" s="1"/>
  <c r="M140" i="43"/>
  <c r="O140" i="43" s="1"/>
  <c r="BP139" i="31"/>
  <c r="Z139" i="31"/>
  <c r="AE139" i="31" s="1"/>
  <c r="M138" i="42"/>
  <c r="O138" i="42" s="1"/>
  <c r="X138" i="42"/>
  <c r="AB77" i="35" l="1"/>
  <c r="Y138" i="42"/>
  <c r="BL138" i="42" s="1"/>
  <c r="BP138" i="42" s="1"/>
  <c r="CH140" i="31"/>
  <c r="N140" i="31"/>
  <c r="AD139" i="31"/>
  <c r="BL140" i="43"/>
  <c r="BP140" i="43" s="1"/>
  <c r="Z138" i="42" l="1"/>
  <c r="P140" i="31"/>
  <c r="Q140" i="31" s="1"/>
  <c r="Z140" i="43"/>
  <c r="AE140" i="43" s="1"/>
  <c r="AH140" i="31"/>
  <c r="CC140" i="31"/>
  <c r="AD138" i="42" l="1"/>
  <c r="AD77" i="35" s="1"/>
  <c r="AE138" i="42"/>
  <c r="AF77" i="35" s="1"/>
  <c r="N139" i="42"/>
  <c r="CC139" i="42" s="1"/>
  <c r="BH140" i="31"/>
  <c r="W140" i="31" s="1"/>
  <c r="N141" i="43"/>
  <c r="AD140" i="43"/>
  <c r="CE140" i="31"/>
  <c r="CD140" i="31"/>
  <c r="CF140" i="31" l="1"/>
  <c r="AE77" i="35"/>
  <c r="I42" i="35"/>
  <c r="P139" i="42"/>
  <c r="Q139" i="42" s="1"/>
  <c r="AH139" i="42"/>
  <c r="M140" i="31"/>
  <c r="O140" i="31" s="1"/>
  <c r="X140" i="31"/>
  <c r="Y140" i="31" s="1"/>
  <c r="CE139" i="42"/>
  <c r="CD139" i="42"/>
  <c r="AH141" i="43"/>
  <c r="CC141" i="43"/>
  <c r="G42" i="35"/>
  <c r="P141" i="43"/>
  <c r="Q141" i="43" s="1"/>
  <c r="CF139" i="42" l="1"/>
  <c r="H42" i="35"/>
  <c r="BH139" i="42"/>
  <c r="W139" i="42" s="1"/>
  <c r="BH141" i="43"/>
  <c r="W141" i="43" s="1"/>
  <c r="CE141" i="43"/>
  <c r="CD141" i="43"/>
  <c r="CF141" i="43" l="1"/>
  <c r="M139" i="42"/>
  <c r="O139" i="42" s="1"/>
  <c r="X139" i="42"/>
  <c r="Y139" i="42" s="1"/>
  <c r="BL140" i="31"/>
  <c r="BP140" i="31" s="1"/>
  <c r="M141" i="43"/>
  <c r="O141" i="43" s="1"/>
  <c r="X141" i="43"/>
  <c r="Z140" i="31" l="1"/>
  <c r="Y141" i="43"/>
  <c r="BL139" i="42"/>
  <c r="BP139" i="42" s="1"/>
  <c r="N141" i="31" l="1"/>
  <c r="AH141" i="31" s="1"/>
  <c r="AE140" i="31"/>
  <c r="Z139" i="42"/>
  <c r="CH141" i="31"/>
  <c r="AD140" i="31"/>
  <c r="BL141" i="43"/>
  <c r="BP141" i="43" s="1"/>
  <c r="N140" i="42" l="1"/>
  <c r="AH140" i="42" s="1"/>
  <c r="AE139" i="42"/>
  <c r="CC141" i="31"/>
  <c r="CE141" i="31" s="1"/>
  <c r="P141" i="31"/>
  <c r="Q141" i="31" s="1"/>
  <c r="BH141" i="31" s="1"/>
  <c r="W141" i="31" s="1"/>
  <c r="AD139" i="42"/>
  <c r="Z141" i="43"/>
  <c r="CD141" i="31" l="1"/>
  <c r="CF141" i="31" s="1"/>
  <c r="P140" i="42"/>
  <c r="Q140" i="42" s="1"/>
  <c r="BH140" i="42" s="1"/>
  <c r="CC140" i="42"/>
  <c r="CE140" i="42" s="1"/>
  <c r="AD141" i="43"/>
  <c r="AE141" i="43"/>
  <c r="N142" i="43"/>
  <c r="AH142" i="43" s="1"/>
  <c r="M141" i="31"/>
  <c r="O141" i="31" s="1"/>
  <c r="X141" i="31"/>
  <c r="Y141" i="31" s="1"/>
  <c r="CD140" i="42" l="1"/>
  <c r="CF140" i="42" s="1"/>
  <c r="P142" i="43"/>
  <c r="Q142" i="43" s="1"/>
  <c r="BH142" i="43" s="1"/>
  <c r="CC142" i="43"/>
  <c r="CD142" i="43" s="1"/>
  <c r="W140" i="42"/>
  <c r="CE142" i="43" l="1"/>
  <c r="CF142" i="43" s="1"/>
  <c r="W142" i="43"/>
  <c r="X142" i="43" s="1"/>
  <c r="M140" i="42"/>
  <c r="O140" i="42" s="1"/>
  <c r="X140" i="42"/>
  <c r="BL141" i="31"/>
  <c r="M142" i="43" l="1"/>
  <c r="O142" i="43" s="1"/>
  <c r="BP141" i="31"/>
  <c r="Z141" i="31"/>
  <c r="AE141" i="31" s="1"/>
  <c r="Y140" i="42"/>
  <c r="Y142" i="43"/>
  <c r="BL142" i="43" l="1"/>
  <c r="BP142" i="43" s="1"/>
  <c r="CH142" i="31"/>
  <c r="N142" i="31"/>
  <c r="AD141" i="31"/>
  <c r="BL140" i="42"/>
  <c r="BP140" i="42" s="1"/>
  <c r="Z142" i="43" l="1"/>
  <c r="AH142" i="31"/>
  <c r="CC142" i="31"/>
  <c r="P142" i="31"/>
  <c r="Q142" i="31" s="1"/>
  <c r="Z140" i="42"/>
  <c r="AE140" i="42" s="1"/>
  <c r="AD142" i="43" l="1"/>
  <c r="AE142" i="43"/>
  <c r="N143" i="43"/>
  <c r="CC143" i="43" s="1"/>
  <c r="BH142" i="31"/>
  <c r="W142" i="31" s="1"/>
  <c r="N141" i="42"/>
  <c r="AD140" i="42"/>
  <c r="CE142" i="31"/>
  <c r="CD142" i="31"/>
  <c r="CF142" i="31" l="1"/>
  <c r="P143" i="43"/>
  <c r="Q143" i="43" s="1"/>
  <c r="AH143" i="43"/>
  <c r="CE143" i="43"/>
  <c r="CD143" i="43"/>
  <c r="P141" i="42"/>
  <c r="Q141" i="42" s="1"/>
  <c r="AH141" i="42"/>
  <c r="CC141" i="42"/>
  <c r="M142" i="31"/>
  <c r="O142" i="31" s="1"/>
  <c r="X142" i="31"/>
  <c r="Y142" i="31" s="1"/>
  <c r="CF143" i="43" l="1"/>
  <c r="BH143" i="43"/>
  <c r="W143" i="43" s="1"/>
  <c r="CE141" i="42"/>
  <c r="CD141" i="42"/>
  <c r="BH141" i="42"/>
  <c r="CF141" i="42" l="1"/>
  <c r="M143" i="43"/>
  <c r="O143" i="43" s="1"/>
  <c r="X143" i="43"/>
  <c r="Y143" i="43" s="1"/>
  <c r="W141" i="42"/>
  <c r="BL142" i="31"/>
  <c r="BP142" i="31" s="1"/>
  <c r="Z142" i="31" l="1"/>
  <c r="M141" i="42"/>
  <c r="O141" i="42" s="1"/>
  <c r="X141" i="42"/>
  <c r="BL143" i="43"/>
  <c r="BP143" i="43" s="1"/>
  <c r="AD142" i="31" l="1"/>
  <c r="AE142" i="31"/>
  <c r="CH143" i="31"/>
  <c r="N143" i="31"/>
  <c r="Y141" i="42"/>
  <c r="Z143" i="43"/>
  <c r="AE143" i="43" s="1"/>
  <c r="P143" i="31" l="1"/>
  <c r="Q143" i="31" s="1"/>
  <c r="BH143" i="31" s="1"/>
  <c r="W143" i="31" s="1"/>
  <c r="CC143" i="31"/>
  <c r="CD143" i="31" s="1"/>
  <c r="AH143" i="31"/>
  <c r="BL141" i="42"/>
  <c r="N144" i="43"/>
  <c r="AD143" i="43"/>
  <c r="CE143" i="31" l="1"/>
  <c r="CF143" i="31" s="1"/>
  <c r="AH144" i="43"/>
  <c r="CC144" i="43"/>
  <c r="M143" i="31"/>
  <c r="O143" i="31" s="1"/>
  <c r="X143" i="31"/>
  <c r="Y143" i="31" s="1"/>
  <c r="P144" i="43"/>
  <c r="Q144" i="43" s="1"/>
  <c r="BH144" i="43" s="1"/>
  <c r="BP141" i="42"/>
  <c r="Z141" i="42"/>
  <c r="AE141" i="42" s="1"/>
  <c r="N142" i="42" l="1"/>
  <c r="AD141" i="42"/>
  <c r="W144" i="43"/>
  <c r="CD144" i="43"/>
  <c r="CE144" i="43"/>
  <c r="CF144" i="43" l="1"/>
  <c r="BL143" i="31"/>
  <c r="BP143" i="31" s="1"/>
  <c r="M144" i="43"/>
  <c r="O144" i="43" s="1"/>
  <c r="X144" i="43"/>
  <c r="AH142" i="42"/>
  <c r="CC142" i="42"/>
  <c r="P142" i="42"/>
  <c r="Q142" i="42" s="1"/>
  <c r="Z143" i="31" l="1"/>
  <c r="BH142" i="42"/>
  <c r="W142" i="42" s="1"/>
  <c r="CD142" i="42"/>
  <c r="CE142" i="42"/>
  <c r="Y144" i="43"/>
  <c r="BL144" i="43" s="1"/>
  <c r="BP144" i="43" s="1"/>
  <c r="CF142" i="42" l="1"/>
  <c r="AD143" i="31"/>
  <c r="AE143" i="31"/>
  <c r="N144" i="31"/>
  <c r="CH144" i="31"/>
  <c r="M142" i="42"/>
  <c r="O142" i="42" s="1"/>
  <c r="X142" i="42"/>
  <c r="Z144" i="43"/>
  <c r="AE144" i="43" s="1"/>
  <c r="P144" i="31" l="1"/>
  <c r="Q144" i="31" s="1"/>
  <c r="BH144" i="31" s="1"/>
  <c r="CC144" i="31"/>
  <c r="CD144" i="31" s="1"/>
  <c r="AH144" i="31"/>
  <c r="N145" i="43"/>
  <c r="AD144" i="43"/>
  <c r="Y142" i="42"/>
  <c r="W144" i="31" l="1"/>
  <c r="M144" i="31" s="1"/>
  <c r="O144" i="31" s="1"/>
  <c r="CE144" i="31"/>
  <c r="CF144" i="31" s="1"/>
  <c r="AH145" i="43"/>
  <c r="CC145" i="43"/>
  <c r="BL142" i="42"/>
  <c r="BP142" i="42" s="1"/>
  <c r="P145" i="43"/>
  <c r="Q145" i="43" s="1"/>
  <c r="BH145" i="43" s="1"/>
  <c r="X144" i="31" l="1"/>
  <c r="Y144" i="31" s="1"/>
  <c r="BL144" i="31" s="1"/>
  <c r="BP144" i="31" s="1"/>
  <c r="Z142" i="42"/>
  <c r="AE142" i="42" s="1"/>
  <c r="CD145" i="43"/>
  <c r="CE145" i="43"/>
  <c r="W145" i="43"/>
  <c r="CF145" i="43" l="1"/>
  <c r="M145" i="43"/>
  <c r="O145" i="43" s="1"/>
  <c r="X145" i="43"/>
  <c r="N143" i="42"/>
  <c r="AD142" i="42"/>
  <c r="Z144" i="31"/>
  <c r="AE144" i="31" s="1"/>
  <c r="CH145" i="31" l="1"/>
  <c r="N145" i="31"/>
  <c r="AD144" i="31"/>
  <c r="Y145" i="43"/>
  <c r="BL145" i="43" s="1"/>
  <c r="BP145" i="43" s="1"/>
  <c r="AH143" i="42"/>
  <c r="CC143" i="42"/>
  <c r="P143" i="42"/>
  <c r="Q143" i="42" s="1"/>
  <c r="Z145" i="43" l="1"/>
  <c r="AH145" i="31"/>
  <c r="CC145" i="31"/>
  <c r="P145" i="31"/>
  <c r="Q145" i="31" s="1"/>
  <c r="BH145" i="31" s="1"/>
  <c r="BH143" i="42"/>
  <c r="W143" i="42" s="1"/>
  <c r="CD143" i="42"/>
  <c r="CE143" i="42"/>
  <c r="CF143" i="42" l="1"/>
  <c r="AD145" i="43"/>
  <c r="AE145" i="43"/>
  <c r="N146" i="43"/>
  <c r="CC146" i="43" s="1"/>
  <c r="M143" i="42"/>
  <c r="O143" i="42" s="1"/>
  <c r="X143" i="42"/>
  <c r="CE145" i="31"/>
  <c r="CD145" i="31"/>
  <c r="W145" i="31"/>
  <c r="CF145" i="31" l="1"/>
  <c r="P146" i="43"/>
  <c r="Q146" i="43" s="1"/>
  <c r="BH146" i="43" s="1"/>
  <c r="AH146" i="43"/>
  <c r="Y143" i="42"/>
  <c r="M145" i="31"/>
  <c r="O145" i="31" s="1"/>
  <c r="X145" i="31"/>
  <c r="Y145" i="31" s="1"/>
  <c r="CD146" i="43"/>
  <c r="CE146" i="43"/>
  <c r="CF146" i="43" l="1"/>
  <c r="W146" i="43"/>
  <c r="X146" i="43" s="1"/>
  <c r="BL145" i="31"/>
  <c r="BP145" i="31" s="1"/>
  <c r="BL143" i="42"/>
  <c r="M146" i="43" l="1"/>
  <c r="O146" i="43" s="1"/>
  <c r="BP143" i="42"/>
  <c r="Z143" i="42"/>
  <c r="AE143" i="42" s="1"/>
  <c r="Y146" i="43"/>
  <c r="BL146" i="43" s="1"/>
  <c r="BP146" i="43" s="1"/>
  <c r="Z145" i="31"/>
  <c r="AE145" i="31" s="1"/>
  <c r="N144" i="42" l="1"/>
  <c r="AD143" i="42"/>
  <c r="CH146" i="31"/>
  <c r="N146" i="31"/>
  <c r="AD145" i="31"/>
  <c r="Z146" i="43"/>
  <c r="AE146" i="43" s="1"/>
  <c r="AH144" i="42" l="1"/>
  <c r="CC144" i="42"/>
  <c r="P146" i="31"/>
  <c r="Q146" i="31" s="1"/>
  <c r="BH146" i="31" s="1"/>
  <c r="N147" i="43"/>
  <c r="AD146" i="43"/>
  <c r="P144" i="42"/>
  <c r="Q144" i="42" s="1"/>
  <c r="BH144" i="42" s="1"/>
  <c r="AH146" i="31"/>
  <c r="CC146" i="31"/>
  <c r="W144" i="42" l="1"/>
  <c r="CE144" i="42"/>
  <c r="CD144" i="42"/>
  <c r="CE146" i="31"/>
  <c r="CD146" i="31"/>
  <c r="AH147" i="43"/>
  <c r="CC147" i="43"/>
  <c r="P147" i="43"/>
  <c r="Q147" i="43" s="1"/>
  <c r="BH147" i="43" s="1"/>
  <c r="W146" i="31"/>
  <c r="CF144" i="42" l="1"/>
  <c r="CF146" i="31"/>
  <c r="M144" i="42"/>
  <c r="O144" i="42" s="1"/>
  <c r="X144" i="42"/>
  <c r="CE147" i="43"/>
  <c r="CD147" i="43"/>
  <c r="M146" i="31"/>
  <c r="O146" i="31" s="1"/>
  <c r="X146" i="31"/>
  <c r="Y146" i="31" s="1"/>
  <c r="W147" i="43"/>
  <c r="CF147" i="43" l="1"/>
  <c r="M147" i="43"/>
  <c r="O147" i="43" s="1"/>
  <c r="X147" i="43"/>
  <c r="Y144" i="42"/>
  <c r="BL144" i="42" s="1"/>
  <c r="BP144" i="42" s="1"/>
  <c r="BL146" i="31"/>
  <c r="BP146" i="31" s="1"/>
  <c r="Y147" i="43" l="1"/>
  <c r="BL147" i="43" s="1"/>
  <c r="BP147" i="43" s="1"/>
  <c r="Z144" i="42"/>
  <c r="AE144" i="42" s="1"/>
  <c r="Z146" i="31"/>
  <c r="AE146" i="31" s="1"/>
  <c r="Z147" i="43" l="1"/>
  <c r="AE147" i="43" s="1"/>
  <c r="N145" i="42"/>
  <c r="AD144" i="42"/>
  <c r="CH147" i="31"/>
  <c r="N147" i="31"/>
  <c r="AD146" i="31"/>
  <c r="N148" i="43" l="1"/>
  <c r="AD147" i="43"/>
  <c r="AH145" i="42"/>
  <c r="CC145" i="42"/>
  <c r="AH147" i="31"/>
  <c r="CC147" i="31"/>
  <c r="P147" i="31"/>
  <c r="Q147" i="31" s="1"/>
  <c r="BH147" i="31" s="1"/>
  <c r="P145" i="42"/>
  <c r="Q145" i="42" s="1"/>
  <c r="BH145" i="42" s="1"/>
  <c r="CE145" i="42" l="1"/>
  <c r="CD145" i="42"/>
  <c r="AH148" i="43"/>
  <c r="CC148" i="43"/>
  <c r="P148" i="43"/>
  <c r="Q148" i="43" s="1"/>
  <c r="BH148" i="43" s="1"/>
  <c r="W147" i="31"/>
  <c r="CE147" i="31"/>
  <c r="CD147" i="31"/>
  <c r="W145" i="42"/>
  <c r="CF145" i="42" l="1"/>
  <c r="CF147" i="31"/>
  <c r="M147" i="31"/>
  <c r="O147" i="31" s="1"/>
  <c r="X147" i="31"/>
  <c r="Y147" i="31" s="1"/>
  <c r="CE148" i="43"/>
  <c r="CD148" i="43"/>
  <c r="X145" i="42"/>
  <c r="M145" i="42"/>
  <c r="O145" i="42" s="1"/>
  <c r="W148" i="43"/>
  <c r="CF148" i="43" l="1"/>
  <c r="BL147" i="31"/>
  <c r="BP147" i="31" s="1"/>
  <c r="M148" i="43"/>
  <c r="O148" i="43" s="1"/>
  <c r="X148" i="43"/>
  <c r="Y145" i="42"/>
  <c r="BL145" i="42" s="1"/>
  <c r="BP145" i="42" s="1"/>
  <c r="Z145" i="42" l="1"/>
  <c r="AE145" i="42" s="1"/>
  <c r="Z147" i="31"/>
  <c r="AE147" i="31" s="1"/>
  <c r="Y148" i="43"/>
  <c r="BL148" i="43" s="1"/>
  <c r="BP148" i="43" s="1"/>
  <c r="CH148" i="31" l="1"/>
  <c r="N148" i="31"/>
  <c r="AD147" i="31"/>
  <c r="N146" i="42"/>
  <c r="AD145" i="42"/>
  <c r="Z148" i="43"/>
  <c r="AE148" i="43" s="1"/>
  <c r="N149" i="43" l="1"/>
  <c r="AD148" i="43"/>
  <c r="P146" i="42"/>
  <c r="Q146" i="42" s="1"/>
  <c r="BH146" i="42" s="1"/>
  <c r="AH148" i="31"/>
  <c r="CC148" i="31"/>
  <c r="P148" i="31"/>
  <c r="Q148" i="31" s="1"/>
  <c r="BH148" i="31" s="1"/>
  <c r="AH146" i="42"/>
  <c r="CC146" i="42"/>
  <c r="AH149" i="43" l="1"/>
  <c r="CC149" i="43"/>
  <c r="CD146" i="42"/>
  <c r="CE146" i="42"/>
  <c r="P149" i="43"/>
  <c r="Q149" i="43" s="1"/>
  <c r="BH149" i="43" s="1"/>
  <c r="W146" i="42"/>
  <c r="CE148" i="31"/>
  <c r="CD148" i="31"/>
  <c r="W148" i="31"/>
  <c r="CF148" i="31" l="1"/>
  <c r="CF146" i="42"/>
  <c r="M148" i="31"/>
  <c r="O148" i="31" s="1"/>
  <c r="X148" i="31"/>
  <c r="Y148" i="31" s="1"/>
  <c r="M146" i="42"/>
  <c r="O146" i="42" s="1"/>
  <c r="X146" i="42"/>
  <c r="CD149" i="43"/>
  <c r="CE149" i="43"/>
  <c r="W149" i="43"/>
  <c r="CF149" i="43" l="1"/>
  <c r="BL148" i="31"/>
  <c r="BP148" i="31" s="1"/>
  <c r="Y146" i="42"/>
  <c r="BL146" i="42" s="1"/>
  <c r="BP146" i="42" s="1"/>
  <c r="M149" i="43"/>
  <c r="O149" i="43" s="1"/>
  <c r="X149" i="43"/>
  <c r="Z148" i="31" l="1"/>
  <c r="AE148" i="31" s="1"/>
  <c r="Y149" i="43"/>
  <c r="BL149" i="43" s="1"/>
  <c r="BP149" i="43" s="1"/>
  <c r="Z146" i="42"/>
  <c r="AE146" i="42" s="1"/>
  <c r="CH149" i="31" l="1"/>
  <c r="N149" i="31"/>
  <c r="AD148" i="31"/>
  <c r="N147" i="42"/>
  <c r="AD146" i="42"/>
  <c r="Z149" i="43"/>
  <c r="AE149" i="43" s="1"/>
  <c r="P147" i="42" l="1"/>
  <c r="Q147" i="42" s="1"/>
  <c r="BH147" i="42" s="1"/>
  <c r="N150" i="43"/>
  <c r="AD149" i="43"/>
  <c r="AH149" i="31"/>
  <c r="CC149" i="31"/>
  <c r="P149" i="31"/>
  <c r="Q149" i="31" s="1"/>
  <c r="BH149" i="31" s="1"/>
  <c r="AH147" i="42"/>
  <c r="CC147" i="42"/>
  <c r="CE149" i="31" l="1"/>
  <c r="CD149" i="31"/>
  <c r="P150" i="43"/>
  <c r="Q150" i="43" s="1"/>
  <c r="BH150" i="43" s="1"/>
  <c r="W149" i="31"/>
  <c r="W147" i="42"/>
  <c r="CE147" i="42"/>
  <c r="CD147" i="42"/>
  <c r="AH150" i="43"/>
  <c r="CC150" i="43"/>
  <c r="CF149" i="31" l="1"/>
  <c r="CF147" i="42"/>
  <c r="CE150" i="43"/>
  <c r="CD150" i="43"/>
  <c r="M149" i="31"/>
  <c r="O149" i="31" s="1"/>
  <c r="X149" i="31"/>
  <c r="Y149" i="31" s="1"/>
  <c r="W150" i="43"/>
  <c r="M147" i="42"/>
  <c r="O147" i="42" s="1"/>
  <c r="X147" i="42"/>
  <c r="CF150" i="43" l="1"/>
  <c r="BL149" i="31"/>
  <c r="BP149" i="31" s="1"/>
  <c r="Y147" i="42"/>
  <c r="BL147" i="42" s="1"/>
  <c r="BP147" i="42" s="1"/>
  <c r="M150" i="43"/>
  <c r="O150" i="43" s="1"/>
  <c r="X150" i="43"/>
  <c r="Y150" i="43" l="1"/>
  <c r="BL150" i="43" s="1"/>
  <c r="BP150" i="43" s="1"/>
  <c r="Z149" i="31"/>
  <c r="AE149" i="31" s="1"/>
  <c r="Z147" i="42"/>
  <c r="AE147" i="42" s="1"/>
  <c r="Z150" i="43" l="1"/>
  <c r="AE150" i="43" s="1"/>
  <c r="CH150" i="31"/>
  <c r="N150" i="31"/>
  <c r="AD149" i="31"/>
  <c r="N148" i="42"/>
  <c r="AD147" i="42"/>
  <c r="N151" i="43" l="1"/>
  <c r="AD150" i="43"/>
  <c r="AH150" i="31"/>
  <c r="CC150" i="31"/>
  <c r="AH148" i="42"/>
  <c r="CC148" i="42"/>
  <c r="P148" i="42"/>
  <c r="Q148" i="42" s="1"/>
  <c r="BH148" i="42" s="1"/>
  <c r="P150" i="31"/>
  <c r="Q150" i="31" s="1"/>
  <c r="BH150" i="31" s="1"/>
  <c r="CE150" i="31" l="1"/>
  <c r="CD150" i="31"/>
  <c r="AH151" i="43"/>
  <c r="CC151" i="43"/>
  <c r="P151" i="43"/>
  <c r="Q151" i="43" s="1"/>
  <c r="W148" i="42"/>
  <c r="CE148" i="42"/>
  <c r="CD148" i="42"/>
  <c r="W150" i="31"/>
  <c r="CF148" i="42" l="1"/>
  <c r="CF150" i="31"/>
  <c r="BH151" i="43"/>
  <c r="W151" i="43" s="1"/>
  <c r="M148" i="42"/>
  <c r="O148" i="42" s="1"/>
  <c r="X148" i="42"/>
  <c r="CD151" i="43"/>
  <c r="CE151" i="43"/>
  <c r="M150" i="31"/>
  <c r="O150" i="31" s="1"/>
  <c r="X150" i="31"/>
  <c r="Y150" i="31" s="1"/>
  <c r="CF151" i="43" l="1"/>
  <c r="BL150" i="31"/>
  <c r="BP150" i="31" s="1"/>
  <c r="M151" i="43"/>
  <c r="O151" i="43" s="1"/>
  <c r="X151" i="43"/>
  <c r="AB43" i="35"/>
  <c r="Y148" i="42"/>
  <c r="BL148" i="42" s="1"/>
  <c r="BP148" i="42" s="1"/>
  <c r="Z150" i="31" l="1"/>
  <c r="N151" i="31" s="1"/>
  <c r="Y151" i="43"/>
  <c r="Z148" i="42"/>
  <c r="AE148" i="42" s="1"/>
  <c r="AD150" i="31" l="1"/>
  <c r="AD43" i="35" s="1"/>
  <c r="AE150" i="31"/>
  <c r="AF43" i="35" s="1"/>
  <c r="CH151" i="31"/>
  <c r="AH151" i="31"/>
  <c r="CC151" i="31"/>
  <c r="N149" i="42"/>
  <c r="AD148" i="42"/>
  <c r="BL151" i="43"/>
  <c r="AE43" i="35" l="1"/>
  <c r="P151" i="31"/>
  <c r="Q151" i="31" s="1"/>
  <c r="BH151" i="31" s="1"/>
  <c r="AH149" i="42"/>
  <c r="CC149" i="42"/>
  <c r="M43" i="35"/>
  <c r="CE151" i="31"/>
  <c r="CD151" i="31"/>
  <c r="P149" i="42"/>
  <c r="Q149" i="42" s="1"/>
  <c r="BH149" i="42" s="1"/>
  <c r="BP151" i="43"/>
  <c r="Z151" i="43"/>
  <c r="AE151" i="43" s="1"/>
  <c r="CF151" i="31" l="1"/>
  <c r="N43" i="35"/>
  <c r="O43" i="35"/>
  <c r="N152" i="43"/>
  <c r="AD151" i="43"/>
  <c r="W149" i="42"/>
  <c r="CD149" i="42"/>
  <c r="CE149" i="42"/>
  <c r="W151" i="31"/>
  <c r="CF149" i="42" l="1"/>
  <c r="AH152" i="43"/>
  <c r="CC152" i="43"/>
  <c r="P152" i="43"/>
  <c r="Q152" i="43" s="1"/>
  <c r="M151" i="31"/>
  <c r="O151" i="31" s="1"/>
  <c r="X151" i="31"/>
  <c r="Y151" i="31" s="1"/>
  <c r="M149" i="42"/>
  <c r="O149" i="42" s="1"/>
  <c r="X149" i="42"/>
  <c r="Y149" i="42" l="1"/>
  <c r="BL149" i="42" s="1"/>
  <c r="BP149" i="42" s="1"/>
  <c r="BH152" i="43"/>
  <c r="W152" i="43" s="1"/>
  <c r="CE152" i="43"/>
  <c r="CD152" i="43"/>
  <c r="CF152" i="43" l="1"/>
  <c r="M152" i="43"/>
  <c r="O152" i="43" s="1"/>
  <c r="X152" i="43"/>
  <c r="Z149" i="42"/>
  <c r="AE149" i="42" s="1"/>
  <c r="BL151" i="31"/>
  <c r="N150" i="42" l="1"/>
  <c r="AD149" i="42"/>
  <c r="BP151" i="31"/>
  <c r="Z151" i="31"/>
  <c r="AE151" i="31" s="1"/>
  <c r="Y152" i="43"/>
  <c r="AH150" i="42" l="1"/>
  <c r="CC150" i="42"/>
  <c r="BL152" i="43"/>
  <c r="BP152" i="43" s="1"/>
  <c r="P150" i="42"/>
  <c r="Q150" i="42" s="1"/>
  <c r="BH150" i="42" s="1"/>
  <c r="CH152" i="31"/>
  <c r="N152" i="31"/>
  <c r="AD151" i="31"/>
  <c r="Z152" i="43" l="1"/>
  <c r="AE152" i="43" s="1"/>
  <c r="P152" i="31"/>
  <c r="Q152" i="31" s="1"/>
  <c r="AH152" i="31"/>
  <c r="CC152" i="31"/>
  <c r="CE150" i="42"/>
  <c r="CD150" i="42"/>
  <c r="W150" i="42"/>
  <c r="CF150" i="42" l="1"/>
  <c r="N153" i="43"/>
  <c r="AH153" i="43" s="1"/>
  <c r="AD152" i="43"/>
  <c r="M150" i="42"/>
  <c r="O150" i="42" s="1"/>
  <c r="X150" i="42"/>
  <c r="CE152" i="31"/>
  <c r="CD152" i="31"/>
  <c r="BH152" i="31"/>
  <c r="W152" i="31" s="1"/>
  <c r="CF152" i="31" l="1"/>
  <c r="CC153" i="43"/>
  <c r="CD153" i="43" s="1"/>
  <c r="P153" i="43"/>
  <c r="Q153" i="43" s="1"/>
  <c r="BH153" i="43" s="1"/>
  <c r="W153" i="43" s="1"/>
  <c r="M152" i="31"/>
  <c r="O152" i="31" s="1"/>
  <c r="X152" i="31"/>
  <c r="Y152" i="31" s="1"/>
  <c r="AB78" i="35"/>
  <c r="Y150" i="42"/>
  <c r="BL150" i="42" s="1"/>
  <c r="BP150" i="42" s="1"/>
  <c r="CE153" i="43" l="1"/>
  <c r="CF153" i="43" s="1"/>
  <c r="M153" i="43"/>
  <c r="O153" i="43" s="1"/>
  <c r="X153" i="43"/>
  <c r="Z150" i="42"/>
  <c r="AE150" i="42" s="1"/>
  <c r="AF78" i="35" s="1"/>
  <c r="N151" i="42" l="1"/>
  <c r="AD150" i="42"/>
  <c r="BL152" i="31"/>
  <c r="BP152" i="31" s="1"/>
  <c r="Y153" i="43"/>
  <c r="AH151" i="42" l="1"/>
  <c r="CC151" i="42"/>
  <c r="BL153" i="43"/>
  <c r="BP153" i="43" s="1"/>
  <c r="AD78" i="35"/>
  <c r="P151" i="42"/>
  <c r="Q151" i="42" s="1"/>
  <c r="Z152" i="31"/>
  <c r="AE152" i="31" s="1"/>
  <c r="AE78" i="35" l="1"/>
  <c r="I43" i="35"/>
  <c r="Z153" i="43"/>
  <c r="BH151" i="42"/>
  <c r="W151" i="42" s="1"/>
  <c r="CH153" i="31"/>
  <c r="N153" i="31"/>
  <c r="AD152" i="31"/>
  <c r="G43" i="35"/>
  <c r="CD151" i="42"/>
  <c r="CE151" i="42"/>
  <c r="CF151" i="42" l="1"/>
  <c r="H43" i="35"/>
  <c r="N154" i="43"/>
  <c r="CC154" i="43" s="1"/>
  <c r="AE153" i="43"/>
  <c r="AD153" i="43"/>
  <c r="AH153" i="31"/>
  <c r="CC153" i="31"/>
  <c r="P153" i="31"/>
  <c r="Q153" i="31" s="1"/>
  <c r="M151" i="42"/>
  <c r="O151" i="42" s="1"/>
  <c r="X151" i="42"/>
  <c r="AH154" i="43" l="1"/>
  <c r="P154" i="43"/>
  <c r="Q154" i="43" s="1"/>
  <c r="BH154" i="43" s="1"/>
  <c r="W154" i="43" s="1"/>
  <c r="Y151" i="42"/>
  <c r="BH153" i="31"/>
  <c r="W153" i="31" s="1"/>
  <c r="CE153" i="31"/>
  <c r="CD153" i="31"/>
  <c r="CD154" i="43"/>
  <c r="CE154" i="43"/>
  <c r="CF153" i="31" l="1"/>
  <c r="CF154" i="43"/>
  <c r="M154" i="43"/>
  <c r="O154" i="43" s="1"/>
  <c r="X154" i="43"/>
  <c r="BL151" i="42"/>
  <c r="BP151" i="42" s="1"/>
  <c r="M153" i="31"/>
  <c r="O153" i="31" s="1"/>
  <c r="X153" i="31"/>
  <c r="Y153" i="31" s="1"/>
  <c r="Y154" i="43" l="1"/>
  <c r="Z151" i="42"/>
  <c r="AE151" i="42" s="1"/>
  <c r="BL153" i="31" l="1"/>
  <c r="BP153" i="31" s="1"/>
  <c r="N152" i="42"/>
  <c r="AD151" i="42"/>
  <c r="BL154" i="43"/>
  <c r="BP154" i="43" l="1"/>
  <c r="Z154" i="43"/>
  <c r="AE154" i="43" s="1"/>
  <c r="AH152" i="42"/>
  <c r="CC152" i="42"/>
  <c r="P152" i="42"/>
  <c r="Q152" i="42" s="1"/>
  <c r="Z153" i="31"/>
  <c r="AE153" i="31" s="1"/>
  <c r="CE152" i="42" l="1"/>
  <c r="CD152" i="42"/>
  <c r="BH152" i="42"/>
  <c r="W152" i="42" s="1"/>
  <c r="N154" i="31"/>
  <c r="CH154" i="31"/>
  <c r="AD153" i="31"/>
  <c r="N155" i="43"/>
  <c r="AD154" i="43"/>
  <c r="CF152" i="42" l="1"/>
  <c r="AH154" i="31"/>
  <c r="CC154" i="31"/>
  <c r="AH155" i="43"/>
  <c r="CC155" i="43"/>
  <c r="M152" i="42"/>
  <c r="O152" i="42" s="1"/>
  <c r="X152" i="42"/>
  <c r="P155" i="43"/>
  <c r="Q155" i="43" s="1"/>
  <c r="P154" i="31"/>
  <c r="Q154" i="31" s="1"/>
  <c r="BH154" i="31" l="1"/>
  <c r="Y152" i="42"/>
  <c r="BH155" i="43"/>
  <c r="W155" i="43" s="1"/>
  <c r="CD155" i="43"/>
  <c r="CE155" i="43"/>
  <c r="CE154" i="31"/>
  <c r="CD154" i="31"/>
  <c r="CF154" i="31" l="1"/>
  <c r="CF155" i="43"/>
  <c r="M155" i="43"/>
  <c r="O155" i="43" s="1"/>
  <c r="X155" i="43"/>
  <c r="W154" i="31"/>
  <c r="BL152" i="42"/>
  <c r="BP152" i="42" l="1"/>
  <c r="Z152" i="42"/>
  <c r="AE152" i="42" s="1"/>
  <c r="M154" i="31"/>
  <c r="O154" i="31" s="1"/>
  <c r="X154" i="31"/>
  <c r="Y154" i="31" s="1"/>
  <c r="Y155" i="43"/>
  <c r="BL155" i="43" l="1"/>
  <c r="BP155" i="43" s="1"/>
  <c r="N153" i="42"/>
  <c r="AD152" i="42"/>
  <c r="P153" i="42" l="1"/>
  <c r="Q153" i="42" s="1"/>
  <c r="BL154" i="31"/>
  <c r="BP154" i="31" s="1"/>
  <c r="Z155" i="43"/>
  <c r="AE155" i="43" s="1"/>
  <c r="AH153" i="42"/>
  <c r="CC153" i="42"/>
  <c r="Z154" i="31" l="1"/>
  <c r="CD153" i="42"/>
  <c r="CE153" i="42"/>
  <c r="BH153" i="42"/>
  <c r="W153" i="42" s="1"/>
  <c r="N156" i="43"/>
  <c r="AD155" i="43"/>
  <c r="CF153" i="42" l="1"/>
  <c r="CH155" i="31"/>
  <c r="AE154" i="31"/>
  <c r="AD154" i="31"/>
  <c r="N155" i="31"/>
  <c r="AH155" i="31" s="1"/>
  <c r="M153" i="42"/>
  <c r="O153" i="42" s="1"/>
  <c r="X153" i="42"/>
  <c r="AH156" i="43"/>
  <c r="CC156" i="43"/>
  <c r="P156" i="43"/>
  <c r="Q156" i="43" s="1"/>
  <c r="BH156" i="43" s="1"/>
  <c r="CC155" i="31" l="1"/>
  <c r="CD155" i="31" s="1"/>
  <c r="P155" i="31"/>
  <c r="Q155" i="31" s="1"/>
  <c r="BH155" i="31" s="1"/>
  <c r="W155" i="31" s="1"/>
  <c r="W156" i="43"/>
  <c r="X156" i="43" s="1"/>
  <c r="CE156" i="43"/>
  <c r="CD156" i="43"/>
  <c r="Y153" i="42"/>
  <c r="CF156" i="43" l="1"/>
  <c r="CE155" i="31"/>
  <c r="CF155" i="31" s="1"/>
  <c r="M156" i="43"/>
  <c r="O156" i="43" s="1"/>
  <c r="M155" i="31"/>
  <c r="O155" i="31" s="1"/>
  <c r="X155" i="31"/>
  <c r="Y155" i="31" s="1"/>
  <c r="BL153" i="42"/>
  <c r="BP153" i="42" s="1"/>
  <c r="Y156" i="43"/>
  <c r="BL156" i="43" s="1"/>
  <c r="BP156" i="43" s="1"/>
  <c r="Z156" i="43" l="1"/>
  <c r="Z153" i="42"/>
  <c r="N157" i="43" l="1"/>
  <c r="AH157" i="43" s="1"/>
  <c r="AE156" i="43"/>
  <c r="AD153" i="42"/>
  <c r="AE153" i="42"/>
  <c r="N154" i="42"/>
  <c r="CC154" i="42" s="1"/>
  <c r="AD156" i="43"/>
  <c r="BL155" i="31"/>
  <c r="BP155" i="31" s="1"/>
  <c r="P157" i="43" l="1"/>
  <c r="Q157" i="43" s="1"/>
  <c r="BH157" i="43" s="1"/>
  <c r="CC157" i="43"/>
  <c r="CE157" i="43" s="1"/>
  <c r="P154" i="42"/>
  <c r="Q154" i="42" s="1"/>
  <c r="BH154" i="42" s="1"/>
  <c r="W154" i="42" s="1"/>
  <c r="AH154" i="42"/>
  <c r="Z155" i="31"/>
  <c r="CE154" i="42"/>
  <c r="CD154" i="42"/>
  <c r="CF154" i="42" l="1"/>
  <c r="W157" i="43"/>
  <c r="M157" i="43" s="1"/>
  <c r="O157" i="43" s="1"/>
  <c r="CD157" i="43"/>
  <c r="CF157" i="43" s="1"/>
  <c r="AD155" i="31"/>
  <c r="AE155" i="31"/>
  <c r="CH156" i="31"/>
  <c r="N156" i="31"/>
  <c r="CC156" i="31" s="1"/>
  <c r="M154" i="42"/>
  <c r="O154" i="42" s="1"/>
  <c r="X154" i="42"/>
  <c r="X157" i="43" l="1"/>
  <c r="Y157" i="43" s="1"/>
  <c r="BL157" i="43" s="1"/>
  <c r="BP157" i="43" s="1"/>
  <c r="P156" i="31"/>
  <c r="Q156" i="31" s="1"/>
  <c r="BH156" i="31" s="1"/>
  <c r="AH156" i="31"/>
  <c r="CE156" i="31"/>
  <c r="CD156" i="31"/>
  <c r="Y154" i="42"/>
  <c r="CF156" i="31" l="1"/>
  <c r="W156" i="31"/>
  <c r="X156" i="31" s="1"/>
  <c r="Y156" i="31" s="1"/>
  <c r="BL154" i="42"/>
  <c r="BP154" i="42" s="1"/>
  <c r="Z157" i="43"/>
  <c r="AE157" i="43" s="1"/>
  <c r="M156" i="31" l="1"/>
  <c r="O156" i="31" s="1"/>
  <c r="Z154" i="42"/>
  <c r="N158" i="43"/>
  <c r="AD157" i="43"/>
  <c r="BL156" i="31"/>
  <c r="BP156" i="31" s="1"/>
  <c r="AD154" i="42" l="1"/>
  <c r="AE154" i="42"/>
  <c r="N155" i="42"/>
  <c r="CC155" i="42" s="1"/>
  <c r="Z156" i="31"/>
  <c r="AE156" i="31" s="1"/>
  <c r="AH158" i="43"/>
  <c r="CC158" i="43"/>
  <c r="P158" i="43"/>
  <c r="Q158" i="43" s="1"/>
  <c r="BH158" i="43" s="1"/>
  <c r="AH155" i="42" l="1"/>
  <c r="P155" i="42"/>
  <c r="Q155" i="42" s="1"/>
  <c r="BH155" i="42" s="1"/>
  <c r="W155" i="42" s="1"/>
  <c r="CE158" i="43"/>
  <c r="CD158" i="43"/>
  <c r="CH157" i="31"/>
  <c r="N157" i="31"/>
  <c r="AD156" i="31"/>
  <c r="W158" i="43"/>
  <c r="CD155" i="42"/>
  <c r="CE155" i="42"/>
  <c r="CF158" i="43" l="1"/>
  <c r="CF155" i="42"/>
  <c r="M155" i="42"/>
  <c r="O155" i="42" s="1"/>
  <c r="X155" i="42"/>
  <c r="AH157" i="31"/>
  <c r="CC157" i="31"/>
  <c r="P157" i="31"/>
  <c r="Q157" i="31" s="1"/>
  <c r="BH157" i="31" s="1"/>
  <c r="M158" i="43"/>
  <c r="O158" i="43" s="1"/>
  <c r="X158" i="43"/>
  <c r="CE157" i="31" l="1"/>
  <c r="CD157" i="31"/>
  <c r="Y158" i="43"/>
  <c r="BL158" i="43" s="1"/>
  <c r="BP158" i="43" s="1"/>
  <c r="Y155" i="42"/>
  <c r="W157" i="31"/>
  <c r="CF157" i="31" l="1"/>
  <c r="BL155" i="42"/>
  <c r="BP155" i="42" s="1"/>
  <c r="M157" i="31"/>
  <c r="O157" i="31" s="1"/>
  <c r="X157" i="31"/>
  <c r="Y157" i="31" s="1"/>
  <c r="Z158" i="43"/>
  <c r="AE158" i="43" s="1"/>
  <c r="Z155" i="42" l="1"/>
  <c r="AE155" i="42" s="1"/>
  <c r="BL157" i="31"/>
  <c r="BP157" i="31" s="1"/>
  <c r="N159" i="43"/>
  <c r="AD158" i="43"/>
  <c r="P159" i="43" l="1"/>
  <c r="Q159" i="43" s="1"/>
  <c r="BH159" i="43" s="1"/>
  <c r="N156" i="42"/>
  <c r="AD155" i="42"/>
  <c r="Z157" i="31"/>
  <c r="AE157" i="31" s="1"/>
  <c r="AH159" i="43"/>
  <c r="CC159" i="43"/>
  <c r="CH158" i="31" l="1"/>
  <c r="N158" i="31"/>
  <c r="AD157" i="31"/>
  <c r="CE159" i="43"/>
  <c r="CD159" i="43"/>
  <c r="P156" i="42"/>
  <c r="Q156" i="42" s="1"/>
  <c r="BH156" i="42" s="1"/>
  <c r="W159" i="43"/>
  <c r="AH156" i="42"/>
  <c r="CC156" i="42"/>
  <c r="CF159" i="43" l="1"/>
  <c r="CD156" i="42"/>
  <c r="CE156" i="42"/>
  <c r="M159" i="43"/>
  <c r="O159" i="43" s="1"/>
  <c r="X159" i="43"/>
  <c r="AH158" i="31"/>
  <c r="CC158" i="31"/>
  <c r="W156" i="42"/>
  <c r="P158" i="31"/>
  <c r="Q158" i="31" s="1"/>
  <c r="BH158" i="31" s="1"/>
  <c r="CF156" i="42" l="1"/>
  <c r="CE158" i="31"/>
  <c r="CD158" i="31"/>
  <c r="X156" i="42"/>
  <c r="M156" i="42"/>
  <c r="O156" i="42" s="1"/>
  <c r="W158" i="31"/>
  <c r="Y159" i="43"/>
  <c r="BL159" i="43" s="1"/>
  <c r="BP159" i="43" s="1"/>
  <c r="CF158" i="31" l="1"/>
  <c r="Z159" i="43"/>
  <c r="M158" i="31"/>
  <c r="O158" i="31" s="1"/>
  <c r="X158" i="31"/>
  <c r="Y158" i="31" s="1"/>
  <c r="Y156" i="42"/>
  <c r="BL156" i="42" s="1"/>
  <c r="BP156" i="42" s="1"/>
  <c r="N160" i="43" l="1"/>
  <c r="CC160" i="43" s="1"/>
  <c r="AE159" i="43"/>
  <c r="AD159" i="43"/>
  <c r="BL158" i="31"/>
  <c r="BP158" i="31" s="1"/>
  <c r="Z156" i="42"/>
  <c r="AE156" i="42" s="1"/>
  <c r="P160" i="43" l="1"/>
  <c r="Q160" i="43" s="1"/>
  <c r="BH160" i="43" s="1"/>
  <c r="AH160" i="43"/>
  <c r="CE160" i="43"/>
  <c r="CD160" i="43"/>
  <c r="N157" i="42"/>
  <c r="AD156" i="42"/>
  <c r="Z158" i="31"/>
  <c r="AE158" i="31" s="1"/>
  <c r="CF160" i="43" l="1"/>
  <c r="W160" i="43"/>
  <c r="X160" i="43" s="1"/>
  <c r="P157" i="42"/>
  <c r="Q157" i="42" s="1"/>
  <c r="BH157" i="42" s="1"/>
  <c r="N159" i="31"/>
  <c r="CH159" i="31"/>
  <c r="AD158" i="31"/>
  <c r="AH157" i="42"/>
  <c r="CC157" i="42"/>
  <c r="M160" i="43" l="1"/>
  <c r="O160" i="43" s="1"/>
  <c r="CE157" i="42"/>
  <c r="CD157" i="42"/>
  <c r="AH159" i="31"/>
  <c r="CC159" i="31"/>
  <c r="Y160" i="43"/>
  <c r="BL160" i="43" s="1"/>
  <c r="BP160" i="43" s="1"/>
  <c r="W157" i="42"/>
  <c r="P159" i="31"/>
  <c r="Q159" i="31" s="1"/>
  <c r="BH159" i="31" s="1"/>
  <c r="CF157" i="42" l="1"/>
  <c r="M157" i="42"/>
  <c r="O157" i="42" s="1"/>
  <c r="X157" i="42"/>
  <c r="CE159" i="31"/>
  <c r="CD159" i="31"/>
  <c r="W159" i="31"/>
  <c r="Z160" i="43"/>
  <c r="AE160" i="43" s="1"/>
  <c r="CF159" i="31" l="1"/>
  <c r="Y157" i="42"/>
  <c r="BL157" i="42" s="1"/>
  <c r="BP157" i="42" s="1"/>
  <c r="N161" i="43"/>
  <c r="AD160" i="43"/>
  <c r="M159" i="31"/>
  <c r="O159" i="31" s="1"/>
  <c r="X159" i="31"/>
  <c r="Y159" i="31" s="1"/>
  <c r="BL159" i="31" l="1"/>
  <c r="BP159" i="31" s="1"/>
  <c r="Z157" i="42"/>
  <c r="AE157" i="42" s="1"/>
  <c r="AH161" i="43"/>
  <c r="CC161" i="43"/>
  <c r="P161" i="43"/>
  <c r="Q161" i="43" s="1"/>
  <c r="BH161" i="43" s="1"/>
  <c r="CD161" i="43" l="1"/>
  <c r="CE161" i="43"/>
  <c r="Z159" i="31"/>
  <c r="AE159" i="31" s="1"/>
  <c r="N158" i="42"/>
  <c r="AD157" i="42"/>
  <c r="W161" i="43"/>
  <c r="CF161" i="43" l="1"/>
  <c r="AH158" i="42"/>
  <c r="CC158" i="42"/>
  <c r="M161" i="43"/>
  <c r="O161" i="43" s="1"/>
  <c r="X161" i="43"/>
  <c r="P158" i="42"/>
  <c r="Q158" i="42" s="1"/>
  <c r="BH158" i="42" s="1"/>
  <c r="N160" i="31"/>
  <c r="CH160" i="31"/>
  <c r="AD159" i="31"/>
  <c r="P160" i="31" l="1"/>
  <c r="Q160" i="31" s="1"/>
  <c r="BH160" i="31" s="1"/>
  <c r="AH160" i="31"/>
  <c r="CC160" i="31"/>
  <c r="Y161" i="43"/>
  <c r="BL161" i="43" s="1"/>
  <c r="BP161" i="43" s="1"/>
  <c r="CE158" i="42"/>
  <c r="CD158" i="42"/>
  <c r="W158" i="42"/>
  <c r="CF158" i="42" l="1"/>
  <c r="Z161" i="43"/>
  <c r="M158" i="42"/>
  <c r="O158" i="42" s="1"/>
  <c r="X158" i="42"/>
  <c r="W160" i="31"/>
  <c r="CE160" i="31"/>
  <c r="CD160" i="31"/>
  <c r="CF160" i="31" l="1"/>
  <c r="N162" i="43"/>
  <c r="AH162" i="43" s="1"/>
  <c r="AE161" i="43"/>
  <c r="AD161" i="43"/>
  <c r="M160" i="31"/>
  <c r="O160" i="31" s="1"/>
  <c r="X160" i="31"/>
  <c r="Y160" i="31" s="1"/>
  <c r="Y158" i="42"/>
  <c r="BL158" i="42" s="1"/>
  <c r="BP158" i="42" s="1"/>
  <c r="CC162" i="43" l="1"/>
  <c r="CE162" i="43" s="1"/>
  <c r="P162" i="43"/>
  <c r="Q162" i="43" s="1"/>
  <c r="BH162" i="43" s="1"/>
  <c r="Z158" i="42"/>
  <c r="AE158" i="42" s="1"/>
  <c r="BL160" i="31"/>
  <c r="BP160" i="31" s="1"/>
  <c r="CD162" i="43" l="1"/>
  <c r="CF162" i="43" s="1"/>
  <c r="W162" i="43"/>
  <c r="X162" i="43" s="1"/>
  <c r="N159" i="42"/>
  <c r="AD158" i="42"/>
  <c r="Z160" i="31"/>
  <c r="AE160" i="31" s="1"/>
  <c r="M162" i="43" l="1"/>
  <c r="O162" i="43" s="1"/>
  <c r="AH159" i="42"/>
  <c r="CC159" i="42"/>
  <c r="Y162" i="43"/>
  <c r="BL162" i="43" s="1"/>
  <c r="BP162" i="43" s="1"/>
  <c r="CH161" i="31"/>
  <c r="N161" i="31"/>
  <c r="AD160" i="31"/>
  <c r="P159" i="42"/>
  <c r="Q159" i="42" s="1"/>
  <c r="BH159" i="42" s="1"/>
  <c r="Z162" i="43" l="1"/>
  <c r="W159" i="42"/>
  <c r="CD159" i="42"/>
  <c r="CE159" i="42"/>
  <c r="AH161" i="31"/>
  <c r="CC161" i="31"/>
  <c r="P161" i="31"/>
  <c r="Q161" i="31" s="1"/>
  <c r="BH161" i="31" s="1"/>
  <c r="CF159" i="42" l="1"/>
  <c r="AD162" i="43"/>
  <c r="AE162" i="43"/>
  <c r="N163" i="43"/>
  <c r="CE161" i="31"/>
  <c r="CD161" i="31"/>
  <c r="W161" i="31"/>
  <c r="M159" i="42"/>
  <c r="O159" i="42" s="1"/>
  <c r="X159" i="42"/>
  <c r="P163" i="43" l="1"/>
  <c r="Q163" i="43" s="1"/>
  <c r="BH163" i="43" s="1"/>
  <c r="CF161" i="31"/>
  <c r="AH163" i="43"/>
  <c r="CC163" i="43"/>
  <c r="CD163" i="43" s="1"/>
  <c r="Y159" i="42"/>
  <c r="BL159" i="42" s="1"/>
  <c r="BP159" i="42" s="1"/>
  <c r="M161" i="31"/>
  <c r="O161" i="31" s="1"/>
  <c r="X161" i="31"/>
  <c r="Y161" i="31" s="1"/>
  <c r="CE163" i="43" l="1"/>
  <c r="CF163" i="43" s="1"/>
  <c r="BL161" i="31"/>
  <c r="BP161" i="31" s="1"/>
  <c r="W163" i="43"/>
  <c r="Z159" i="42"/>
  <c r="AE159" i="42" s="1"/>
  <c r="Z161" i="31" l="1"/>
  <c r="AE161" i="31" s="1"/>
  <c r="N160" i="42"/>
  <c r="AD159" i="42"/>
  <c r="M163" i="43"/>
  <c r="O163" i="43" s="1"/>
  <c r="X163" i="43"/>
  <c r="AH160" i="42" l="1"/>
  <c r="CC160" i="42"/>
  <c r="Y163" i="43"/>
  <c r="CH162" i="31"/>
  <c r="N162" i="31"/>
  <c r="AD161" i="31"/>
  <c r="P160" i="42"/>
  <c r="Q160" i="42" s="1"/>
  <c r="BH160" i="42" s="1"/>
  <c r="W160" i="42" l="1"/>
  <c r="CE160" i="42"/>
  <c r="CD160" i="42"/>
  <c r="AH162" i="31"/>
  <c r="CC162" i="31"/>
  <c r="P162" i="31"/>
  <c r="Q162" i="31" s="1"/>
  <c r="BH162" i="31" s="1"/>
  <c r="BL163" i="43"/>
  <c r="CF160" i="42" l="1"/>
  <c r="M160" i="42"/>
  <c r="O160" i="42" s="1"/>
  <c r="X160" i="42"/>
  <c r="CE162" i="31"/>
  <c r="CD162" i="31"/>
  <c r="BP163" i="43"/>
  <c r="Z163" i="43"/>
  <c r="AE163" i="43" s="1"/>
  <c r="W162" i="31"/>
  <c r="CF162" i="31" l="1"/>
  <c r="Y160" i="42"/>
  <c r="BL160" i="42" s="1"/>
  <c r="BP160" i="42" s="1"/>
  <c r="M162" i="31"/>
  <c r="O162" i="31" s="1"/>
  <c r="X162" i="31"/>
  <c r="Y162" i="31" s="1"/>
  <c r="N164" i="43"/>
  <c r="AD163" i="43"/>
  <c r="BL162" i="31" l="1"/>
  <c r="BP162" i="31" s="1"/>
  <c r="Z160" i="42"/>
  <c r="AB44" i="35"/>
  <c r="P164" i="43"/>
  <c r="Q164" i="43" s="1"/>
  <c r="AH164" i="43"/>
  <c r="CC164" i="43"/>
  <c r="AD160" i="42" l="1"/>
  <c r="AE160" i="42"/>
  <c r="N161" i="42"/>
  <c r="AH161" i="42" s="1"/>
  <c r="BH164" i="43"/>
  <c r="Z162" i="31"/>
  <c r="AE162" i="31" s="1"/>
  <c r="AF44" i="35" s="1"/>
  <c r="CD164" i="43"/>
  <c r="CE164" i="43"/>
  <c r="CF164" i="43" l="1"/>
  <c r="CC161" i="42"/>
  <c r="CD161" i="42" s="1"/>
  <c r="P161" i="42"/>
  <c r="Q161" i="42" s="1"/>
  <c r="BH161" i="42" s="1"/>
  <c r="W164" i="43"/>
  <c r="CH163" i="31"/>
  <c r="N163" i="31"/>
  <c r="AD162" i="31"/>
  <c r="CE161" i="42" l="1"/>
  <c r="CF161" i="42" s="1"/>
  <c r="W161" i="42"/>
  <c r="M161" i="42" s="1"/>
  <c r="O161" i="42" s="1"/>
  <c r="AH163" i="31"/>
  <c r="CC163" i="31"/>
  <c r="AD44" i="35"/>
  <c r="P163" i="31"/>
  <c r="Q163" i="31" s="1"/>
  <c r="M164" i="43"/>
  <c r="O164" i="43" s="1"/>
  <c r="X164" i="43"/>
  <c r="AE44" i="35" l="1"/>
  <c r="X161" i="42"/>
  <c r="Y161" i="42" s="1"/>
  <c r="BL161" i="42" s="1"/>
  <c r="BP161" i="42" s="1"/>
  <c r="M44" i="35"/>
  <c r="BH163" i="31"/>
  <c r="W163" i="31" s="1"/>
  <c r="Y164" i="43"/>
  <c r="CE163" i="31"/>
  <c r="CD163" i="31"/>
  <c r="CF163" i="31" l="1"/>
  <c r="O44" i="35"/>
  <c r="N44" i="35"/>
  <c r="Z161" i="42"/>
  <c r="AE161" i="42" s="1"/>
  <c r="M163" i="31"/>
  <c r="O163" i="31" s="1"/>
  <c r="X163" i="31"/>
  <c r="Y163" i="31" s="1"/>
  <c r="BL164" i="43"/>
  <c r="BP164" i="43" s="1"/>
  <c r="N162" i="42" l="1"/>
  <c r="AD161" i="42"/>
  <c r="Z164" i="43"/>
  <c r="AE164" i="43" s="1"/>
  <c r="BL163" i="31" l="1"/>
  <c r="BP163" i="31" s="1"/>
  <c r="AH162" i="42"/>
  <c r="CC162" i="42"/>
  <c r="N165" i="43"/>
  <c r="AD164" i="43"/>
  <c r="P162" i="42"/>
  <c r="Q162" i="42" s="1"/>
  <c r="BH162" i="42" s="1"/>
  <c r="CE162" i="42" l="1"/>
  <c r="CD162" i="42"/>
  <c r="AH165" i="43"/>
  <c r="CC165" i="43"/>
  <c r="P165" i="43"/>
  <c r="Q165" i="43" s="1"/>
  <c r="Z163" i="31"/>
  <c r="AE163" i="31" s="1"/>
  <c r="W162" i="42"/>
  <c r="CF162" i="42" l="1"/>
  <c r="CH164" i="31"/>
  <c r="N164" i="31"/>
  <c r="AD163" i="31"/>
  <c r="M162" i="42"/>
  <c r="O162" i="42" s="1"/>
  <c r="X162" i="42"/>
  <c r="BH165" i="43"/>
  <c r="W165" i="43" s="1"/>
  <c r="CD165" i="43"/>
  <c r="CE165" i="43"/>
  <c r="CF165" i="43" l="1"/>
  <c r="M165" i="43"/>
  <c r="O165" i="43" s="1"/>
  <c r="X165" i="43"/>
  <c r="AB79" i="35"/>
  <c r="Y162" i="42"/>
  <c r="BL162" i="42" s="1"/>
  <c r="BP162" i="42" s="1"/>
  <c r="AH164" i="31"/>
  <c r="CC164" i="31"/>
  <c r="P164" i="31"/>
  <c r="Q164" i="31" s="1"/>
  <c r="Z162" i="42" l="1"/>
  <c r="BH164" i="31"/>
  <c r="W164" i="31" s="1"/>
  <c r="Y165" i="43"/>
  <c r="CE164" i="31"/>
  <c r="CD164" i="31"/>
  <c r="CF164" i="31" l="1"/>
  <c r="AD162" i="42"/>
  <c r="AD79" i="35" s="1"/>
  <c r="AE162" i="42"/>
  <c r="AF79" i="35" s="1"/>
  <c r="N163" i="42"/>
  <c r="P163" i="42" s="1"/>
  <c r="Q163" i="42" s="1"/>
  <c r="BL165" i="43"/>
  <c r="BP165" i="43" s="1"/>
  <c r="M164" i="31"/>
  <c r="O164" i="31" s="1"/>
  <c r="X164" i="31"/>
  <c r="Y164" i="31" s="1"/>
  <c r="AE79" i="35" l="1"/>
  <c r="I44" i="35"/>
  <c r="CC163" i="42"/>
  <c r="CD163" i="42" s="1"/>
  <c r="Z165" i="43"/>
  <c r="N166" i="43" s="1"/>
  <c r="AH163" i="42"/>
  <c r="G44" i="35"/>
  <c r="BH163" i="42"/>
  <c r="W163" i="42" s="1"/>
  <c r="H44" i="35" l="1"/>
  <c r="AD165" i="43"/>
  <c r="P166" i="43" s="1"/>
  <c r="Q166" i="43" s="1"/>
  <c r="AE165" i="43"/>
  <c r="CE163" i="42"/>
  <c r="CF163" i="42" s="1"/>
  <c r="M163" i="42"/>
  <c r="O163" i="42" s="1"/>
  <c r="X163" i="42"/>
  <c r="BL164" i="31"/>
  <c r="BP164" i="31" s="1"/>
  <c r="AH166" i="43"/>
  <c r="CC166" i="43"/>
  <c r="Z164" i="31" l="1"/>
  <c r="Y163" i="42"/>
  <c r="BH166" i="43"/>
  <c r="W166" i="43" s="1"/>
  <c r="CE166" i="43"/>
  <c r="CD166" i="43"/>
  <c r="CF166" i="43" l="1"/>
  <c r="CH165" i="31"/>
  <c r="AE164" i="31"/>
  <c r="N165" i="31"/>
  <c r="AH165" i="31" s="1"/>
  <c r="AD164" i="31"/>
  <c r="M166" i="43"/>
  <c r="O166" i="43" s="1"/>
  <c r="X166" i="43"/>
  <c r="BL163" i="42"/>
  <c r="CC165" i="31" l="1"/>
  <c r="CE165" i="31" s="1"/>
  <c r="P165" i="31"/>
  <c r="Q165" i="31" s="1"/>
  <c r="BH165" i="31" s="1"/>
  <c r="W165" i="31" s="1"/>
  <c r="Y166" i="43"/>
  <c r="BP163" i="42"/>
  <c r="Z163" i="42"/>
  <c r="AE163" i="42" s="1"/>
  <c r="CD165" i="31" l="1"/>
  <c r="CF165" i="31" s="1"/>
  <c r="M165" i="31"/>
  <c r="O165" i="31" s="1"/>
  <c r="X165" i="31"/>
  <c r="Y165" i="31" s="1"/>
  <c r="N164" i="42"/>
  <c r="AD163" i="42"/>
  <c r="BL166" i="43"/>
  <c r="BP166" i="43" s="1"/>
  <c r="AH164" i="42" l="1"/>
  <c r="CC164" i="42"/>
  <c r="P164" i="42"/>
  <c r="Q164" i="42" s="1"/>
  <c r="Z166" i="43"/>
  <c r="AE166" i="43" s="1"/>
  <c r="BH164" i="42" l="1"/>
  <c r="W164" i="42" s="1"/>
  <c r="BL165" i="31"/>
  <c r="BP165" i="31" s="1"/>
  <c r="N167" i="43"/>
  <c r="AD166" i="43"/>
  <c r="CE164" i="42"/>
  <c r="CD164" i="42"/>
  <c r="CF164" i="42" l="1"/>
  <c r="Z165" i="31"/>
  <c r="M164" i="42"/>
  <c r="O164" i="42" s="1"/>
  <c r="X164" i="42"/>
  <c r="AH167" i="43"/>
  <c r="CC167" i="43"/>
  <c r="P167" i="43"/>
  <c r="Q167" i="43" s="1"/>
  <c r="N166" i="31" l="1"/>
  <c r="AH166" i="31" s="1"/>
  <c r="AE165" i="31"/>
  <c r="AD165" i="31"/>
  <c r="CH166" i="31"/>
  <c r="BH167" i="43"/>
  <c r="W167" i="43" s="1"/>
  <c r="CE167" i="43"/>
  <c r="CD167" i="43"/>
  <c r="Y164" i="42"/>
  <c r="CF167" i="43" l="1"/>
  <c r="CC166" i="31"/>
  <c r="CE166" i="31" s="1"/>
  <c r="P166" i="31"/>
  <c r="Q166" i="31" s="1"/>
  <c r="BH166" i="31" s="1"/>
  <c r="M167" i="43"/>
  <c r="O167" i="43" s="1"/>
  <c r="X167" i="43"/>
  <c r="BL164" i="42"/>
  <c r="BP164" i="42" s="1"/>
  <c r="CD166" i="31" l="1"/>
  <c r="CF166" i="31" s="1"/>
  <c r="Z164" i="42"/>
  <c r="Y167" i="43"/>
  <c r="W166" i="31"/>
  <c r="AD164" i="42" l="1"/>
  <c r="AE164" i="42"/>
  <c r="N165" i="42"/>
  <c r="P165" i="42" s="1"/>
  <c r="Q165" i="42" s="1"/>
  <c r="M166" i="31"/>
  <c r="O166" i="31" s="1"/>
  <c r="X166" i="31"/>
  <c r="Y166" i="31" s="1"/>
  <c r="BL167" i="43"/>
  <c r="AH165" i="42" l="1"/>
  <c r="CC165" i="42"/>
  <c r="CD165" i="42" s="1"/>
  <c r="BH165" i="42"/>
  <c r="W165" i="42" s="1"/>
  <c r="BP167" i="43"/>
  <c r="Z167" i="43"/>
  <c r="AE167" i="43" s="1"/>
  <c r="CE165" i="42" l="1"/>
  <c r="CF165" i="42" s="1"/>
  <c r="M165" i="42"/>
  <c r="O165" i="42" s="1"/>
  <c r="X165" i="42"/>
  <c r="N168" i="43"/>
  <c r="AD167" i="43"/>
  <c r="BL166" i="31"/>
  <c r="Y165" i="42" l="1"/>
  <c r="AH168" i="43"/>
  <c r="CC168" i="43"/>
  <c r="BP166" i="31"/>
  <c r="Z166" i="31"/>
  <c r="AE166" i="31" s="1"/>
  <c r="P168" i="43"/>
  <c r="Q168" i="43" s="1"/>
  <c r="BH168" i="43" s="1"/>
  <c r="CE168" i="43" l="1"/>
  <c r="CD168" i="43"/>
  <c r="BL165" i="42"/>
  <c r="BP165" i="42" s="1"/>
  <c r="CH167" i="31"/>
  <c r="N167" i="31"/>
  <c r="AD166" i="31"/>
  <c r="W168" i="43"/>
  <c r="CF168" i="43" l="1"/>
  <c r="Z165" i="42"/>
  <c r="AH167" i="31"/>
  <c r="CC167" i="31"/>
  <c r="P167" i="31"/>
  <c r="Q167" i="31" s="1"/>
  <c r="M168" i="43"/>
  <c r="O168" i="43" s="1"/>
  <c r="X168" i="43"/>
  <c r="N166" i="42" l="1"/>
  <c r="AH166" i="42" s="1"/>
  <c r="AE165" i="42"/>
  <c r="AD165" i="42"/>
  <c r="Y168" i="43"/>
  <c r="BL168" i="43" s="1"/>
  <c r="BP168" i="43" s="1"/>
  <c r="BH167" i="31"/>
  <c r="W167" i="31" s="1"/>
  <c r="CD167" i="31"/>
  <c r="CE167" i="31"/>
  <c r="CF167" i="31" l="1"/>
  <c r="CC166" i="42"/>
  <c r="CE166" i="42" s="1"/>
  <c r="P166" i="42"/>
  <c r="Q166" i="42" s="1"/>
  <c r="BH166" i="42" s="1"/>
  <c r="M167" i="31"/>
  <c r="O167" i="31" s="1"/>
  <c r="X167" i="31"/>
  <c r="Y167" i="31" s="1"/>
  <c r="Z168" i="43"/>
  <c r="AE168" i="43" s="1"/>
  <c r="CD166" i="42" l="1"/>
  <c r="CF166" i="42" s="1"/>
  <c r="W166" i="42"/>
  <c r="N169" i="43"/>
  <c r="AD168" i="43"/>
  <c r="BL167" i="31" l="1"/>
  <c r="BP167" i="31" s="1"/>
  <c r="P169" i="43"/>
  <c r="Q169" i="43" s="1"/>
  <c r="BH169" i="43" s="1"/>
  <c r="M166" i="42"/>
  <c r="O166" i="42" s="1"/>
  <c r="X166" i="42"/>
  <c r="AH169" i="43"/>
  <c r="CC169" i="43"/>
  <c r="Z167" i="31" l="1"/>
  <c r="CE169" i="43"/>
  <c r="CD169" i="43"/>
  <c r="Y166" i="42"/>
  <c r="W169" i="43"/>
  <c r="CF169" i="43" l="1"/>
  <c r="AD167" i="31"/>
  <c r="AE167" i="31"/>
  <c r="N168" i="31"/>
  <c r="CC168" i="31" s="1"/>
  <c r="CH168" i="31"/>
  <c r="M169" i="43"/>
  <c r="O169" i="43" s="1"/>
  <c r="X169" i="43"/>
  <c r="BL166" i="42"/>
  <c r="P168" i="31" l="1"/>
  <c r="Q168" i="31" s="1"/>
  <c r="BH168" i="31" s="1"/>
  <c r="AH168" i="31"/>
  <c r="CE168" i="31"/>
  <c r="CD168" i="31"/>
  <c r="Y169" i="43"/>
  <c r="BL169" i="43" s="1"/>
  <c r="BP169" i="43" s="1"/>
  <c r="BP166" i="42"/>
  <c r="Z166" i="42"/>
  <c r="AE166" i="42" s="1"/>
  <c r="CF168" i="31" l="1"/>
  <c r="W168" i="31"/>
  <c r="X168" i="31" s="1"/>
  <c r="Y168" i="31" s="1"/>
  <c r="Z169" i="43"/>
  <c r="N167" i="42"/>
  <c r="AD166" i="42"/>
  <c r="N170" i="43" l="1"/>
  <c r="AH170" i="43" s="1"/>
  <c r="AE169" i="43"/>
  <c r="M168" i="31"/>
  <c r="O168" i="31" s="1"/>
  <c r="AD169" i="43"/>
  <c r="AH167" i="42"/>
  <c r="CC167" i="42"/>
  <c r="P167" i="42"/>
  <c r="Q167" i="42" s="1"/>
  <c r="BL168" i="31"/>
  <c r="BP168" i="31" s="1"/>
  <c r="CC170" i="43" l="1"/>
  <c r="CE170" i="43" s="1"/>
  <c r="P170" i="43"/>
  <c r="Q170" i="43" s="1"/>
  <c r="BH170" i="43" s="1"/>
  <c r="BH167" i="42"/>
  <c r="W167" i="42" s="1"/>
  <c r="Z168" i="31"/>
  <c r="AE168" i="31" s="1"/>
  <c r="CE167" i="42"/>
  <c r="CD167" i="42"/>
  <c r="CF167" i="42" l="1"/>
  <c r="CD170" i="43"/>
  <c r="CF170" i="43" s="1"/>
  <c r="W170" i="43"/>
  <c r="X170" i="43" s="1"/>
  <c r="M167" i="42"/>
  <c r="O167" i="42" s="1"/>
  <c r="X167" i="42"/>
  <c r="CH169" i="31"/>
  <c r="N169" i="31"/>
  <c r="AD168" i="31"/>
  <c r="M170" i="43" l="1"/>
  <c r="O170" i="43" s="1"/>
  <c r="AH169" i="31"/>
  <c r="CC169" i="31"/>
  <c r="P169" i="31"/>
  <c r="Q169" i="31" s="1"/>
  <c r="BH169" i="31" s="1"/>
  <c r="Y170" i="43"/>
  <c r="BL170" i="43" s="1"/>
  <c r="BP170" i="43" s="1"/>
  <c r="Y167" i="42"/>
  <c r="BL167" i="42" l="1"/>
  <c r="BP167" i="42" s="1"/>
  <c r="CE169" i="31"/>
  <c r="CD169" i="31"/>
  <c r="Z170" i="43"/>
  <c r="AE170" i="43" s="1"/>
  <c r="W169" i="31"/>
  <c r="CF169" i="31" l="1"/>
  <c r="N171" i="43"/>
  <c r="AD170" i="43"/>
  <c r="M169" i="31"/>
  <c r="O169" i="31" s="1"/>
  <c r="X169" i="31"/>
  <c r="Y169" i="31" s="1"/>
  <c r="Z167" i="42"/>
  <c r="AE167" i="42" s="1"/>
  <c r="AH171" i="43" l="1"/>
  <c r="CC171" i="43"/>
  <c r="BL169" i="31"/>
  <c r="BP169" i="31" s="1"/>
  <c r="N168" i="42"/>
  <c r="AD167" i="42"/>
  <c r="P171" i="43"/>
  <c r="Q171" i="43" s="1"/>
  <c r="BH171" i="43" s="1"/>
  <c r="Z169" i="31" l="1"/>
  <c r="AH168" i="42"/>
  <c r="CC168" i="42"/>
  <c r="CE171" i="43"/>
  <c r="CD171" i="43"/>
  <c r="P168" i="42"/>
  <c r="Q168" i="42" s="1"/>
  <c r="BH168" i="42" s="1"/>
  <c r="W171" i="43"/>
  <c r="CF171" i="43" l="1"/>
  <c r="AD169" i="31"/>
  <c r="AE169" i="31"/>
  <c r="N170" i="31"/>
  <c r="CH170" i="31"/>
  <c r="M171" i="43"/>
  <c r="O171" i="43" s="1"/>
  <c r="X171" i="43"/>
  <c r="W168" i="42"/>
  <c r="CE168" i="42"/>
  <c r="CD168" i="42"/>
  <c r="P170" i="31" l="1"/>
  <c r="Q170" i="31" s="1"/>
  <c r="BH170" i="31" s="1"/>
  <c r="CF168" i="42"/>
  <c r="CC170" i="31"/>
  <c r="CE170" i="31" s="1"/>
  <c r="AH170" i="31"/>
  <c r="Y171" i="43"/>
  <c r="BL171" i="43" s="1"/>
  <c r="BP171" i="43" s="1"/>
  <c r="M168" i="42"/>
  <c r="O168" i="42" s="1"/>
  <c r="X168" i="42"/>
  <c r="W170" i="31" l="1"/>
  <c r="M170" i="31" s="1"/>
  <c r="O170" i="31" s="1"/>
  <c r="CD170" i="31"/>
  <c r="CF170" i="31" s="1"/>
  <c r="Z171" i="43"/>
  <c r="Y168" i="42"/>
  <c r="BL168" i="42" s="1"/>
  <c r="BP168" i="42" s="1"/>
  <c r="X170" i="31" l="1"/>
  <c r="Y170" i="31" s="1"/>
  <c r="BL170" i="31" s="1"/>
  <c r="BP170" i="31" s="1"/>
  <c r="N172" i="43"/>
  <c r="AH172" i="43" s="1"/>
  <c r="AE171" i="43"/>
  <c r="AD171" i="43"/>
  <c r="Z168" i="42"/>
  <c r="AE168" i="42" s="1"/>
  <c r="CC172" i="43" l="1"/>
  <c r="CE172" i="43" s="1"/>
  <c r="P172" i="43"/>
  <c r="Q172" i="43" s="1"/>
  <c r="BH172" i="43" s="1"/>
  <c r="N169" i="42"/>
  <c r="AD168" i="42"/>
  <c r="Z170" i="31"/>
  <c r="AE170" i="31" s="1"/>
  <c r="CD172" i="43" l="1"/>
  <c r="CF172" i="43" s="1"/>
  <c r="W172" i="43"/>
  <c r="M172" i="43" s="1"/>
  <c r="O172" i="43" s="1"/>
  <c r="AH169" i="42"/>
  <c r="CC169" i="42"/>
  <c r="P169" i="42"/>
  <c r="Q169" i="42" s="1"/>
  <c r="BH169" i="42" s="1"/>
  <c r="CH171" i="31"/>
  <c r="N171" i="31"/>
  <c r="AD170" i="31"/>
  <c r="X172" i="43" l="1"/>
  <c r="Y172" i="43" s="1"/>
  <c r="BL172" i="43" s="1"/>
  <c r="BP172" i="43" s="1"/>
  <c r="CE169" i="42"/>
  <c r="CD169" i="42"/>
  <c r="AH171" i="31"/>
  <c r="CC171" i="31"/>
  <c r="P171" i="31"/>
  <c r="Q171" i="31" s="1"/>
  <c r="BH171" i="31" s="1"/>
  <c r="W169" i="42"/>
  <c r="CF169" i="42" l="1"/>
  <c r="M169" i="42"/>
  <c r="O169" i="42" s="1"/>
  <c r="X169" i="42"/>
  <c r="W171" i="31"/>
  <c r="Z172" i="43"/>
  <c r="AE172" i="43" s="1"/>
  <c r="CE171" i="31"/>
  <c r="CD171" i="31"/>
  <c r="CF171" i="31" l="1"/>
  <c r="M171" i="31"/>
  <c r="O171" i="31" s="1"/>
  <c r="X171" i="31"/>
  <c r="Y171" i="31" s="1"/>
  <c r="N173" i="43"/>
  <c r="AD172" i="43"/>
  <c r="Y169" i="42"/>
  <c r="BL169" i="42" s="1"/>
  <c r="BP169" i="42" s="1"/>
  <c r="AH173" i="43" l="1"/>
  <c r="CC173" i="43"/>
  <c r="P173" i="43"/>
  <c r="Q173" i="43" s="1"/>
  <c r="BH173" i="43" s="1"/>
  <c r="BL171" i="31"/>
  <c r="BP171" i="31" s="1"/>
  <c r="Z169" i="42"/>
  <c r="AE169" i="42" s="1"/>
  <c r="N170" i="42" l="1"/>
  <c r="AD169" i="42"/>
  <c r="CE173" i="43"/>
  <c r="CD173" i="43"/>
  <c r="Z171" i="31"/>
  <c r="AE171" i="31" s="1"/>
  <c r="W173" i="43"/>
  <c r="CF173" i="43" l="1"/>
  <c r="AH170" i="42"/>
  <c r="CC170" i="42"/>
  <c r="N172" i="31"/>
  <c r="CH172" i="31"/>
  <c r="AD171" i="31"/>
  <c r="P170" i="42"/>
  <c r="Q170" i="42" s="1"/>
  <c r="BH170" i="42" s="1"/>
  <c r="M173" i="43"/>
  <c r="O173" i="43" s="1"/>
  <c r="X173" i="43"/>
  <c r="Y173" i="43" l="1"/>
  <c r="BL173" i="43" s="1"/>
  <c r="BP173" i="43" s="1"/>
  <c r="W170" i="42"/>
  <c r="AH172" i="31"/>
  <c r="CC172" i="31"/>
  <c r="CE170" i="42"/>
  <c r="CD170" i="42"/>
  <c r="P172" i="31"/>
  <c r="Q172" i="31" s="1"/>
  <c r="BH172" i="31" s="1"/>
  <c r="CF170" i="42" l="1"/>
  <c r="W172" i="31"/>
  <c r="CE172" i="31"/>
  <c r="CD172" i="31"/>
  <c r="Z173" i="43"/>
  <c r="AE173" i="43" s="1"/>
  <c r="M170" i="42"/>
  <c r="O170" i="42" s="1"/>
  <c r="X170" i="42"/>
  <c r="CF172" i="31" l="1"/>
  <c r="M172" i="31"/>
  <c r="O172" i="31" s="1"/>
  <c r="X172" i="31"/>
  <c r="Y172" i="31" s="1"/>
  <c r="Y170" i="42"/>
  <c r="BL170" i="42" s="1"/>
  <c r="BP170" i="42" s="1"/>
  <c r="N174" i="43"/>
  <c r="AD173" i="43"/>
  <c r="BL172" i="31" l="1"/>
  <c r="BP172" i="31" s="1"/>
  <c r="AH174" i="43"/>
  <c r="CC174" i="43"/>
  <c r="P174" i="43"/>
  <c r="Q174" i="43" s="1"/>
  <c r="BH174" i="43" s="1"/>
  <c r="Z170" i="42"/>
  <c r="AE170" i="42" s="1"/>
  <c r="N171" i="42" l="1"/>
  <c r="AD170" i="42"/>
  <c r="CE174" i="43"/>
  <c r="CD174" i="43"/>
  <c r="W174" i="43"/>
  <c r="Z172" i="31"/>
  <c r="AE172" i="31" s="1"/>
  <c r="CF174" i="43" l="1"/>
  <c r="AH171" i="42"/>
  <c r="CC171" i="42"/>
  <c r="M174" i="43"/>
  <c r="O174" i="43" s="1"/>
  <c r="X174" i="43"/>
  <c r="CH173" i="31"/>
  <c r="N173" i="31"/>
  <c r="AD172" i="31"/>
  <c r="P171" i="42"/>
  <c r="Q171" i="42" s="1"/>
  <c r="BH171" i="42" s="1"/>
  <c r="Y174" i="43" l="1"/>
  <c r="BL174" i="43" s="1"/>
  <c r="BP174" i="43" s="1"/>
  <c r="W171" i="42"/>
  <c r="AH173" i="31"/>
  <c r="CC173" i="31"/>
  <c r="CE171" i="42"/>
  <c r="CD171" i="42"/>
  <c r="P173" i="31"/>
  <c r="Q173" i="31" s="1"/>
  <c r="BH173" i="31" s="1"/>
  <c r="CF171" i="42" l="1"/>
  <c r="W173" i="31"/>
  <c r="Z174" i="43"/>
  <c r="AE174" i="43" s="1"/>
  <c r="CE173" i="31"/>
  <c r="CD173" i="31"/>
  <c r="M171" i="42"/>
  <c r="O171" i="42" s="1"/>
  <c r="X171" i="42"/>
  <c r="CF173" i="31" l="1"/>
  <c r="Y171" i="42"/>
  <c r="BL171" i="42" s="1"/>
  <c r="BP171" i="42" s="1"/>
  <c r="N175" i="43"/>
  <c r="AD174" i="43"/>
  <c r="M173" i="31"/>
  <c r="O173" i="31" s="1"/>
  <c r="X173" i="31"/>
  <c r="Y173" i="31" s="1"/>
  <c r="AH175" i="43" l="1"/>
  <c r="CC175" i="43"/>
  <c r="P175" i="43"/>
  <c r="Q175" i="43" s="1"/>
  <c r="BL173" i="31"/>
  <c r="BP173" i="31" s="1"/>
  <c r="Z171" i="42"/>
  <c r="AE171" i="42" s="1"/>
  <c r="Z173" i="31" l="1"/>
  <c r="AE173" i="31" s="1"/>
  <c r="BH175" i="43"/>
  <c r="W175" i="43" s="1"/>
  <c r="N172" i="42"/>
  <c r="AD171" i="42"/>
  <c r="CE175" i="43"/>
  <c r="CD175" i="43"/>
  <c r="CF175" i="43" l="1"/>
  <c r="M175" i="43"/>
  <c r="O175" i="43" s="1"/>
  <c r="X175" i="43"/>
  <c r="AH172" i="42"/>
  <c r="CC172" i="42"/>
  <c r="P172" i="42"/>
  <c r="Q172" i="42" s="1"/>
  <c r="BH172" i="42" s="1"/>
  <c r="CH174" i="31"/>
  <c r="N174" i="31"/>
  <c r="AD173" i="31"/>
  <c r="P174" i="31" l="1"/>
  <c r="Q174" i="31" s="1"/>
  <c r="BH174" i="31" s="1"/>
  <c r="Y175" i="43"/>
  <c r="CE172" i="42"/>
  <c r="CD172" i="42"/>
  <c r="AH174" i="31"/>
  <c r="CC174" i="31"/>
  <c r="W172" i="42"/>
  <c r="CF172" i="42" l="1"/>
  <c r="W174" i="31"/>
  <c r="CE174" i="31"/>
  <c r="CD174" i="31"/>
  <c r="M172" i="42"/>
  <c r="O172" i="42" s="1"/>
  <c r="X172" i="42"/>
  <c r="BL175" i="43"/>
  <c r="CF174" i="31" l="1"/>
  <c r="M174" i="31"/>
  <c r="O174" i="31" s="1"/>
  <c r="X174" i="31"/>
  <c r="Y174" i="31" s="1"/>
  <c r="BP175" i="43"/>
  <c r="Z175" i="43"/>
  <c r="AE175" i="43" s="1"/>
  <c r="Y172" i="42"/>
  <c r="BL172" i="42" s="1"/>
  <c r="BP172" i="42" s="1"/>
  <c r="BL174" i="31" l="1"/>
  <c r="BP174" i="31" s="1"/>
  <c r="AB45" i="35"/>
  <c r="Z172" i="42"/>
  <c r="AE172" i="42" s="1"/>
  <c r="N176" i="43"/>
  <c r="AD175" i="43"/>
  <c r="N173" i="42" l="1"/>
  <c r="AD172" i="42"/>
  <c r="AH176" i="43"/>
  <c r="CC176" i="43"/>
  <c r="P176" i="43"/>
  <c r="Q176" i="43" s="1"/>
  <c r="Z174" i="31"/>
  <c r="AE174" i="31" s="1"/>
  <c r="AF45" i="35" s="1"/>
  <c r="AH173" i="42" l="1"/>
  <c r="CC173" i="42"/>
  <c r="P173" i="42"/>
  <c r="Q173" i="42" s="1"/>
  <c r="BH173" i="42" s="1"/>
  <c r="CE176" i="43"/>
  <c r="CD176" i="43"/>
  <c r="CH175" i="31"/>
  <c r="N175" i="31"/>
  <c r="AD174" i="31"/>
  <c r="BH176" i="43"/>
  <c r="CF176" i="43" l="1"/>
  <c r="W173" i="42"/>
  <c r="W176" i="43"/>
  <c r="AH175" i="31"/>
  <c r="CC175" i="31"/>
  <c r="AD45" i="35"/>
  <c r="P175" i="31"/>
  <c r="Q175" i="31" s="1"/>
  <c r="CD173" i="42"/>
  <c r="CE173" i="42"/>
  <c r="CF173" i="42" l="1"/>
  <c r="AE45" i="35"/>
  <c r="M176" i="43"/>
  <c r="O176" i="43" s="1"/>
  <c r="X176" i="43"/>
  <c r="CE175" i="31"/>
  <c r="CD175" i="31"/>
  <c r="BH175" i="31"/>
  <c r="W175" i="31" s="1"/>
  <c r="M45" i="35"/>
  <c r="M173" i="42"/>
  <c r="O173" i="42" s="1"/>
  <c r="X173" i="42"/>
  <c r="CF175" i="31" l="1"/>
  <c r="O45" i="35"/>
  <c r="N45" i="35"/>
  <c r="Y173" i="42"/>
  <c r="BL173" i="42" s="1"/>
  <c r="BP173" i="42" s="1"/>
  <c r="M175" i="31"/>
  <c r="X175" i="31"/>
  <c r="Y175" i="31" s="1"/>
  <c r="Y176" i="43"/>
  <c r="O175" i="31" l="1"/>
  <c r="D68" i="2"/>
  <c r="A68" i="2" s="1"/>
  <c r="BL176" i="43"/>
  <c r="Z173" i="42"/>
  <c r="AE173" i="42" s="1"/>
  <c r="BP176" i="43" l="1"/>
  <c r="Z176" i="43"/>
  <c r="AE176" i="43" s="1"/>
  <c r="N174" i="42"/>
  <c r="AD173" i="42"/>
  <c r="BL175" i="31"/>
  <c r="BP175" i="31" l="1"/>
  <c r="Z175" i="31"/>
  <c r="AE175" i="31" s="1"/>
  <c r="AH174" i="42"/>
  <c r="CC174" i="42"/>
  <c r="N177" i="43"/>
  <c r="AD176" i="43"/>
  <c r="P174" i="42"/>
  <c r="Q174" i="42" s="1"/>
  <c r="BH174" i="42" s="1"/>
  <c r="CE174" i="42" l="1"/>
  <c r="CD174" i="42"/>
  <c r="CH176" i="31"/>
  <c r="N176" i="31"/>
  <c r="AD175" i="31"/>
  <c r="W174" i="42"/>
  <c r="AH177" i="43"/>
  <c r="CC177" i="43"/>
  <c r="P177" i="43"/>
  <c r="Q177" i="43" s="1"/>
  <c r="CF174" i="42" l="1"/>
  <c r="AH176" i="31"/>
  <c r="CC176" i="31"/>
  <c r="CE177" i="43"/>
  <c r="CD177" i="43"/>
  <c r="P176" i="31"/>
  <c r="Q176" i="31" s="1"/>
  <c r="BH177" i="43"/>
  <c r="W177" i="43" s="1"/>
  <c r="M174" i="42"/>
  <c r="O174" i="42" s="1"/>
  <c r="X174" i="42"/>
  <c r="CF177" i="43" l="1"/>
  <c r="M177" i="43"/>
  <c r="O177" i="43" s="1"/>
  <c r="X177" i="43"/>
  <c r="AB80" i="35"/>
  <c r="Y174" i="42"/>
  <c r="BL174" i="42" s="1"/>
  <c r="BP174" i="42" s="1"/>
  <c r="BH176" i="31"/>
  <c r="W176" i="31" s="1"/>
  <c r="CE176" i="31"/>
  <c r="CD176" i="31"/>
  <c r="CF176" i="31" l="1"/>
  <c r="Z174" i="42"/>
  <c r="M176" i="31"/>
  <c r="O176" i="31" s="1"/>
  <c r="X176" i="31"/>
  <c r="Y176" i="31" s="1"/>
  <c r="Y177" i="43"/>
  <c r="N175" i="42" l="1"/>
  <c r="CC175" i="42" s="1"/>
  <c r="AE174" i="42"/>
  <c r="AF80" i="35" s="1"/>
  <c r="AD174" i="42"/>
  <c r="BL177" i="43"/>
  <c r="BP177" i="43" s="1"/>
  <c r="P175" i="42" l="1"/>
  <c r="Q175" i="42" s="1"/>
  <c r="BH175" i="42" s="1"/>
  <c r="W175" i="42" s="1"/>
  <c r="AH175" i="42"/>
  <c r="I45" i="35"/>
  <c r="AD80" i="35"/>
  <c r="Z177" i="43"/>
  <c r="BL176" i="31"/>
  <c r="CE175" i="42"/>
  <c r="CD175" i="42"/>
  <c r="CF175" i="42" l="1"/>
  <c r="AD177" i="43"/>
  <c r="AE177" i="43"/>
  <c r="AE80" i="35"/>
  <c r="G45" i="35"/>
  <c r="N178" i="43"/>
  <c r="P178" i="43" s="1"/>
  <c r="Q178" i="43" s="1"/>
  <c r="BP176" i="31"/>
  <c r="Z176" i="31"/>
  <c r="AE176" i="31" s="1"/>
  <c r="M175" i="42"/>
  <c r="O175" i="42" s="1"/>
  <c r="X175" i="42"/>
  <c r="H45" i="35" l="1"/>
  <c r="CC178" i="43"/>
  <c r="CE178" i="43" s="1"/>
  <c r="AH178" i="43"/>
  <c r="Y175" i="42"/>
  <c r="N177" i="31"/>
  <c r="CH177" i="31"/>
  <c r="AD176" i="31"/>
  <c r="BH178" i="43"/>
  <c r="W178" i="43" s="1"/>
  <c r="CD178" i="43" l="1"/>
  <c r="CF178" i="43" s="1"/>
  <c r="P177" i="31"/>
  <c r="Q177" i="31" s="1"/>
  <c r="BL175" i="42"/>
  <c r="BP175" i="42" s="1"/>
  <c r="M178" i="43"/>
  <c r="O178" i="43" s="1"/>
  <c r="X178" i="43"/>
  <c r="AH177" i="31"/>
  <c r="CC177" i="31"/>
  <c r="Z175" i="42" l="1"/>
  <c r="AE175" i="42" s="1"/>
  <c r="CE177" i="31"/>
  <c r="CD177" i="31"/>
  <c r="Y178" i="43"/>
  <c r="BH177" i="31"/>
  <c r="CF177" i="31" l="1"/>
  <c r="AD175" i="42"/>
  <c r="N176" i="42"/>
  <c r="AH176" i="42" s="1"/>
  <c r="W177" i="31"/>
  <c r="BL178" i="43"/>
  <c r="BP178" i="43" s="1"/>
  <c r="CC176" i="42" l="1"/>
  <c r="CD176" i="42" s="1"/>
  <c r="P176" i="42"/>
  <c r="Q176" i="42" s="1"/>
  <c r="BH176" i="42" s="1"/>
  <c r="W176" i="42" s="1"/>
  <c r="Z178" i="43"/>
  <c r="AE178" i="43" s="1"/>
  <c r="M177" i="31"/>
  <c r="O177" i="31" s="1"/>
  <c r="X177" i="31"/>
  <c r="Y177" i="31" s="1"/>
  <c r="CE176" i="42" l="1"/>
  <c r="CF176" i="42" s="1"/>
  <c r="N179" i="43"/>
  <c r="P179" i="43" s="1"/>
  <c r="Q179" i="43" s="1"/>
  <c r="AD178" i="43"/>
  <c r="M176" i="42"/>
  <c r="O176" i="42" s="1"/>
  <c r="X176" i="42"/>
  <c r="AH179" i="43" l="1"/>
  <c r="CC179" i="43"/>
  <c r="CD179" i="43" s="1"/>
  <c r="Y176" i="42"/>
  <c r="BL177" i="31"/>
  <c r="BP177" i="31" s="1"/>
  <c r="BH179" i="43"/>
  <c r="W179" i="43" s="1"/>
  <c r="CE179" i="43" l="1"/>
  <c r="CF179" i="43" s="1"/>
  <c r="M179" i="43"/>
  <c r="O179" i="43" s="1"/>
  <c r="X179" i="43"/>
  <c r="Z177" i="31"/>
  <c r="AE177" i="31" s="1"/>
  <c r="BL176" i="42"/>
  <c r="CH178" i="31" l="1"/>
  <c r="N178" i="31"/>
  <c r="AD177" i="31"/>
  <c r="Y179" i="43"/>
  <c r="BP176" i="42"/>
  <c r="Z176" i="42"/>
  <c r="AE176" i="42" s="1"/>
  <c r="AH178" i="31" l="1"/>
  <c r="CC178" i="31"/>
  <c r="N177" i="42"/>
  <c r="AD176" i="42"/>
  <c r="P178" i="31"/>
  <c r="Q178" i="31" s="1"/>
  <c r="BL179" i="43"/>
  <c r="BH178" i="31" l="1"/>
  <c r="W178" i="31" s="1"/>
  <c r="AH177" i="42"/>
  <c r="CC177" i="42"/>
  <c r="P177" i="42"/>
  <c r="Q177" i="42" s="1"/>
  <c r="BP179" i="43"/>
  <c r="Z179" i="43"/>
  <c r="AE179" i="43" s="1"/>
  <c r="CE178" i="31"/>
  <c r="CD178" i="31"/>
  <c r="CF178" i="31" l="1"/>
  <c r="CE177" i="42"/>
  <c r="CD177" i="42"/>
  <c r="N180" i="43"/>
  <c r="AD179" i="43"/>
  <c r="BH177" i="42"/>
  <c r="M178" i="31"/>
  <c r="O178" i="31" s="1"/>
  <c r="X178" i="31"/>
  <c r="Y178" i="31" s="1"/>
  <c r="CF177" i="42" l="1"/>
  <c r="W177" i="42"/>
  <c r="AH180" i="43"/>
  <c r="CC180" i="43"/>
  <c r="P180" i="43"/>
  <c r="Q180" i="43" s="1"/>
  <c r="BH180" i="43" s="1"/>
  <c r="W180" i="43" l="1"/>
  <c r="CE180" i="43"/>
  <c r="CD180" i="43"/>
  <c r="BL178" i="31"/>
  <c r="M177" i="42"/>
  <c r="O177" i="42" s="1"/>
  <c r="X177" i="42"/>
  <c r="CF180" i="43" l="1"/>
  <c r="M180" i="43"/>
  <c r="O180" i="43" s="1"/>
  <c r="X180" i="43"/>
  <c r="Y177" i="42"/>
  <c r="BP178" i="31"/>
  <c r="Z178" i="31"/>
  <c r="AE178" i="31" s="1"/>
  <c r="CH179" i="31" l="1"/>
  <c r="N179" i="31"/>
  <c r="AD178" i="31"/>
  <c r="BL177" i="42"/>
  <c r="BP177" i="42" s="1"/>
  <c r="Y180" i="43"/>
  <c r="BL180" i="43" s="1"/>
  <c r="BP180" i="43" s="1"/>
  <c r="Z177" i="42" l="1"/>
  <c r="AH179" i="31"/>
  <c r="CC179" i="31"/>
  <c r="P179" i="31"/>
  <c r="Q179" i="31" s="1"/>
  <c r="Z180" i="43"/>
  <c r="AE180" i="43" s="1"/>
  <c r="AD177" i="42" l="1"/>
  <c r="AE177" i="42"/>
  <c r="N178" i="42"/>
  <c r="CC178" i="42" s="1"/>
  <c r="BH179" i="31"/>
  <c r="W179" i="31" s="1"/>
  <c r="CE179" i="31"/>
  <c r="CD179" i="31"/>
  <c r="N181" i="43"/>
  <c r="AD180" i="43"/>
  <c r="CF179" i="31" l="1"/>
  <c r="P178" i="42"/>
  <c r="Q178" i="42" s="1"/>
  <c r="BH178" i="42" s="1"/>
  <c r="W178" i="42" s="1"/>
  <c r="AH178" i="42"/>
  <c r="CE178" i="42"/>
  <c r="CD178" i="42"/>
  <c r="AH181" i="43"/>
  <c r="CC181" i="43"/>
  <c r="P181" i="43"/>
  <c r="Q181" i="43" s="1"/>
  <c r="BH181" i="43" s="1"/>
  <c r="M179" i="31"/>
  <c r="O179" i="31" s="1"/>
  <c r="X179" i="31"/>
  <c r="Y179" i="31" s="1"/>
  <c r="CF178" i="42" l="1"/>
  <c r="W181" i="43"/>
  <c r="M181" i="43" s="1"/>
  <c r="O181" i="43" s="1"/>
  <c r="CE181" i="43"/>
  <c r="CD181" i="43"/>
  <c r="M178" i="42"/>
  <c r="O178" i="42" s="1"/>
  <c r="X178" i="42"/>
  <c r="CF181" i="43" l="1"/>
  <c r="X181" i="43"/>
  <c r="Y181" i="43" s="1"/>
  <c r="BL181" i="43" s="1"/>
  <c r="BP181" i="43" s="1"/>
  <c r="Y178" i="42"/>
  <c r="BL179" i="31"/>
  <c r="BP179" i="31" s="1"/>
  <c r="Z179" i="31" l="1"/>
  <c r="BL178" i="42"/>
  <c r="BP178" i="42" s="1"/>
  <c r="Z181" i="43"/>
  <c r="AE181" i="43" s="1"/>
  <c r="AD179" i="31" l="1"/>
  <c r="AE179" i="31"/>
  <c r="N180" i="31"/>
  <c r="AH180" i="31" s="1"/>
  <c r="CH180" i="31"/>
  <c r="Z178" i="42"/>
  <c r="N179" i="42" s="1"/>
  <c r="N182" i="43"/>
  <c r="AD181" i="43"/>
  <c r="AD178" i="42" l="1"/>
  <c r="P179" i="42" s="1"/>
  <c r="Q179" i="42" s="1"/>
  <c r="AE178" i="42"/>
  <c r="P180" i="31"/>
  <c r="Q180" i="31" s="1"/>
  <c r="BH180" i="31" s="1"/>
  <c r="CC180" i="31"/>
  <c r="CE180" i="31" s="1"/>
  <c r="AH179" i="42"/>
  <c r="CC179" i="42"/>
  <c r="P182" i="43"/>
  <c r="Q182" i="43" s="1"/>
  <c r="BH182" i="43" s="1"/>
  <c r="AH182" i="43"/>
  <c r="CC182" i="43"/>
  <c r="CD180" i="31" l="1"/>
  <c r="CF180" i="31" s="1"/>
  <c r="W180" i="31"/>
  <c r="X180" i="31" s="1"/>
  <c r="Y180" i="31" s="1"/>
  <c r="CD182" i="43"/>
  <c r="CE182" i="43"/>
  <c r="W182" i="43"/>
  <c r="BH179" i="42"/>
  <c r="W179" i="42" s="1"/>
  <c r="CE179" i="42"/>
  <c r="CD179" i="42"/>
  <c r="CF179" i="42" l="1"/>
  <c r="CF182" i="43"/>
  <c r="M180" i="31"/>
  <c r="O180" i="31" s="1"/>
  <c r="M179" i="42"/>
  <c r="O179" i="42" s="1"/>
  <c r="X179" i="42"/>
  <c r="M182" i="43"/>
  <c r="O182" i="43" s="1"/>
  <c r="X182" i="43"/>
  <c r="BL180" i="31"/>
  <c r="BP180" i="31" s="1"/>
  <c r="Y179" i="42" l="1"/>
  <c r="Z180" i="31"/>
  <c r="AE180" i="31" s="1"/>
  <c r="Y182" i="43"/>
  <c r="BL182" i="43" s="1"/>
  <c r="BP182" i="43" s="1"/>
  <c r="BL179" i="42" l="1"/>
  <c r="N181" i="31"/>
  <c r="CH181" i="31"/>
  <c r="AD180" i="31"/>
  <c r="Z182" i="43"/>
  <c r="AE182" i="43" s="1"/>
  <c r="BP179" i="42" l="1"/>
  <c r="Z179" i="42"/>
  <c r="AE179" i="42" s="1"/>
  <c r="AH181" i="31"/>
  <c r="CC181" i="31"/>
  <c r="P181" i="31"/>
  <c r="Q181" i="31" s="1"/>
  <c r="BH181" i="31" s="1"/>
  <c r="N183" i="43"/>
  <c r="AD182" i="43"/>
  <c r="AH183" i="43" l="1"/>
  <c r="CC183" i="43"/>
  <c r="CE181" i="31"/>
  <c r="CD181" i="31"/>
  <c r="P183" i="43"/>
  <c r="Q183" i="43" s="1"/>
  <c r="BH183" i="43" s="1"/>
  <c r="N180" i="42"/>
  <c r="AD179" i="42"/>
  <c r="W181" i="31"/>
  <c r="CF181" i="31" l="1"/>
  <c r="AH180" i="42"/>
  <c r="CC180" i="42"/>
  <c r="P180" i="42"/>
  <c r="Q180" i="42" s="1"/>
  <c r="BH180" i="42" s="1"/>
  <c r="W183" i="43"/>
  <c r="M181" i="31"/>
  <c r="O181" i="31" s="1"/>
  <c r="X181" i="31"/>
  <c r="Y181" i="31" s="1"/>
  <c r="CD183" i="43"/>
  <c r="CE183" i="43"/>
  <c r="CF183" i="43" l="1"/>
  <c r="CE180" i="42"/>
  <c r="CD180" i="42"/>
  <c r="M183" i="43"/>
  <c r="O183" i="43" s="1"/>
  <c r="X183" i="43"/>
  <c r="BL181" i="31"/>
  <c r="BP181" i="31" s="1"/>
  <c r="W180" i="42"/>
  <c r="CF180" i="42" l="1"/>
  <c r="M180" i="42"/>
  <c r="O180" i="42" s="1"/>
  <c r="X180" i="42"/>
  <c r="Y183" i="43"/>
  <c r="BL183" i="43" s="1"/>
  <c r="BP183" i="43" s="1"/>
  <c r="Z181" i="31"/>
  <c r="AE181" i="31" s="1"/>
  <c r="Y180" i="42" l="1"/>
  <c r="BL180" i="42" s="1"/>
  <c r="BP180" i="42" s="1"/>
  <c r="N182" i="31"/>
  <c r="CH182" i="31"/>
  <c r="AD181" i="31"/>
  <c r="Z183" i="43"/>
  <c r="AE183" i="43" s="1"/>
  <c r="P182" i="31" l="1"/>
  <c r="Q182" i="31" s="1"/>
  <c r="BH182" i="31" s="1"/>
  <c r="N184" i="43"/>
  <c r="AD183" i="43"/>
  <c r="Z180" i="42"/>
  <c r="AE180" i="42" s="1"/>
  <c r="AH182" i="31"/>
  <c r="CC182" i="31"/>
  <c r="CD182" i="31" l="1"/>
  <c r="CE182" i="31"/>
  <c r="P184" i="43"/>
  <c r="Q184" i="43" s="1"/>
  <c r="BH184" i="43" s="1"/>
  <c r="W182" i="31"/>
  <c r="N181" i="42"/>
  <c r="AD180" i="42"/>
  <c r="AH184" i="43"/>
  <c r="CC184" i="43"/>
  <c r="CF182" i="31" l="1"/>
  <c r="CE184" i="43"/>
  <c r="CD184" i="43"/>
  <c r="P181" i="42"/>
  <c r="Q181" i="42" s="1"/>
  <c r="BH181" i="42" s="1"/>
  <c r="AH181" i="42"/>
  <c r="CC181" i="42"/>
  <c r="M182" i="31"/>
  <c r="O182" i="31" s="1"/>
  <c r="X182" i="31"/>
  <c r="Y182" i="31" s="1"/>
  <c r="W184" i="43"/>
  <c r="CF184" i="43" l="1"/>
  <c r="M184" i="43"/>
  <c r="O184" i="43" s="1"/>
  <c r="X184" i="43"/>
  <c r="W181" i="42"/>
  <c r="CE181" i="42"/>
  <c r="CD181" i="42"/>
  <c r="BL182" i="31"/>
  <c r="BP182" i="31" s="1"/>
  <c r="CF181" i="42" l="1"/>
  <c r="Z182" i="31"/>
  <c r="Y184" i="43"/>
  <c r="BL184" i="43" s="1"/>
  <c r="BP184" i="43" s="1"/>
  <c r="M181" i="42"/>
  <c r="O181" i="42" s="1"/>
  <c r="X181" i="42"/>
  <c r="N183" i="31" l="1"/>
  <c r="CC183" i="31" s="1"/>
  <c r="AE182" i="31"/>
  <c r="CH183" i="31"/>
  <c r="AD182" i="31"/>
  <c r="Y181" i="42"/>
  <c r="BL181" i="42" s="1"/>
  <c r="BP181" i="42" s="1"/>
  <c r="Z184" i="43"/>
  <c r="AE184" i="43" s="1"/>
  <c r="P183" i="31" l="1"/>
  <c r="Q183" i="31" s="1"/>
  <c r="BH183" i="31" s="1"/>
  <c r="AH183" i="31"/>
  <c r="CE183" i="31"/>
  <c r="CD183" i="31"/>
  <c r="N185" i="43"/>
  <c r="AD184" i="43"/>
  <c r="Z181" i="42"/>
  <c r="AE181" i="42" s="1"/>
  <c r="CF183" i="31" l="1"/>
  <c r="W183" i="31"/>
  <c r="X183" i="31" s="1"/>
  <c r="Y183" i="31" s="1"/>
  <c r="P185" i="43"/>
  <c r="Q185" i="43" s="1"/>
  <c r="BH185" i="43" s="1"/>
  <c r="N182" i="42"/>
  <c r="AD181" i="42"/>
  <c r="AH185" i="43"/>
  <c r="CC185" i="43"/>
  <c r="M183" i="31" l="1"/>
  <c r="O183" i="31" s="1"/>
  <c r="CD185" i="43"/>
  <c r="CE185" i="43"/>
  <c r="AH182" i="42"/>
  <c r="CC182" i="42"/>
  <c r="BL183" i="31"/>
  <c r="BP183" i="31" s="1"/>
  <c r="P182" i="42"/>
  <c r="Q182" i="42" s="1"/>
  <c r="BH182" i="42" s="1"/>
  <c r="W185" i="43"/>
  <c r="CF185" i="43" l="1"/>
  <c r="CE182" i="42"/>
  <c r="CD182" i="42"/>
  <c r="Z183" i="31"/>
  <c r="AE183" i="31" s="1"/>
  <c r="M185" i="43"/>
  <c r="O185" i="43" s="1"/>
  <c r="X185" i="43"/>
  <c r="W182" i="42"/>
  <c r="CF182" i="42" l="1"/>
  <c r="M182" i="42"/>
  <c r="O182" i="42" s="1"/>
  <c r="X182" i="42"/>
  <c r="CH184" i="31"/>
  <c r="N184" i="31"/>
  <c r="AD183" i="31"/>
  <c r="Y185" i="43"/>
  <c r="BL185" i="43" s="1"/>
  <c r="BP185" i="43" s="1"/>
  <c r="P184" i="31" l="1"/>
  <c r="Q184" i="31" s="1"/>
  <c r="BH184" i="31" s="1"/>
  <c r="Z185" i="43"/>
  <c r="AE185" i="43" s="1"/>
  <c r="AH184" i="31"/>
  <c r="CC184" i="31"/>
  <c r="Y182" i="42"/>
  <c r="BL182" i="42" s="1"/>
  <c r="BP182" i="42" s="1"/>
  <c r="Z182" i="42" l="1"/>
  <c r="W184" i="31"/>
  <c r="CE184" i="31"/>
  <c r="CD184" i="31"/>
  <c r="N186" i="43"/>
  <c r="AD185" i="43"/>
  <c r="CF184" i="31" l="1"/>
  <c r="AD182" i="42"/>
  <c r="AE182" i="42"/>
  <c r="N183" i="42"/>
  <c r="CC183" i="42" s="1"/>
  <c r="M184" i="31"/>
  <c r="O184" i="31" s="1"/>
  <c r="X184" i="31"/>
  <c r="Y184" i="31" s="1"/>
  <c r="AH186" i="43"/>
  <c r="CC186" i="43"/>
  <c r="P186" i="43"/>
  <c r="Q186" i="43" s="1"/>
  <c r="AC186" i="43" s="1"/>
  <c r="P183" i="42" l="1"/>
  <c r="Q183" i="42" s="1"/>
  <c r="BH183" i="42" s="1"/>
  <c r="AH183" i="42"/>
  <c r="BH186" i="43"/>
  <c r="AY7" i="43"/>
  <c r="AY8" i="43"/>
  <c r="AY9" i="43"/>
  <c r="AY10" i="43"/>
  <c r="AY11" i="43"/>
  <c r="AY12" i="43"/>
  <c r="AY13" i="43"/>
  <c r="AY14" i="43"/>
  <c r="AY15" i="43"/>
  <c r="AY16" i="43"/>
  <c r="AY17" i="43"/>
  <c r="AY18" i="43"/>
  <c r="AY19" i="43"/>
  <c r="AY20" i="43"/>
  <c r="AY21" i="43"/>
  <c r="CE186" i="43"/>
  <c r="CD186" i="43"/>
  <c r="BL184" i="31"/>
  <c r="BP184" i="31" s="1"/>
  <c r="W186" i="43"/>
  <c r="CE183" i="42"/>
  <c r="CD183" i="42"/>
  <c r="CF183" i="42" l="1"/>
  <c r="CF186" i="43"/>
  <c r="W183" i="42"/>
  <c r="X183" i="42" s="1"/>
  <c r="M186" i="43"/>
  <c r="O186" i="43" s="1"/>
  <c r="X186" i="43"/>
  <c r="Z184" i="31"/>
  <c r="AE184" i="31" s="1"/>
  <c r="M183" i="42" l="1"/>
  <c r="O183" i="42" s="1"/>
  <c r="Y186" i="43"/>
  <c r="BL186" i="43" s="1"/>
  <c r="BP186" i="43" s="1"/>
  <c r="CH185" i="31"/>
  <c r="N185" i="31"/>
  <c r="AD184" i="31"/>
  <c r="Y183" i="42"/>
  <c r="BL183" i="42" s="1"/>
  <c r="BP183" i="42" s="1"/>
  <c r="P185" i="31" l="1"/>
  <c r="Q185" i="31" s="1"/>
  <c r="BH185" i="31" s="1"/>
  <c r="Z183" i="42"/>
  <c r="AE183" i="42" s="1"/>
  <c r="Z186" i="43"/>
  <c r="AE186" i="43" s="1"/>
  <c r="AH185" i="31"/>
  <c r="CC185" i="31"/>
  <c r="N187" i="43" l="1"/>
  <c r="AD186" i="43"/>
  <c r="W185" i="31"/>
  <c r="CE185" i="31"/>
  <c r="CD185" i="31"/>
  <c r="N184" i="42"/>
  <c r="AD183" i="42"/>
  <c r="CF185" i="31" l="1"/>
  <c r="CC187" i="43"/>
  <c r="AH187" i="43"/>
  <c r="P187" i="43"/>
  <c r="Q187" i="43" s="1"/>
  <c r="M185" i="31"/>
  <c r="O185" i="31" s="1"/>
  <c r="X185" i="31"/>
  <c r="Y185" i="31" s="1"/>
  <c r="AH184" i="42"/>
  <c r="CC184" i="42"/>
  <c r="P184" i="42"/>
  <c r="Q184" i="42" s="1"/>
  <c r="BH184" i="42" s="1"/>
  <c r="BH187" i="43" l="1"/>
  <c r="W187" i="43" s="1"/>
  <c r="CE187" i="43"/>
  <c r="CD187" i="43"/>
  <c r="CE184" i="42"/>
  <c r="CD184" i="42"/>
  <c r="BL185" i="31"/>
  <c r="BP185" i="31" s="1"/>
  <c r="W184" i="42"/>
  <c r="CF187" i="43" l="1"/>
  <c r="CF184" i="42"/>
  <c r="X187" i="43"/>
  <c r="Y187" i="43" s="1"/>
  <c r="M187" i="43"/>
  <c r="O187" i="43" s="1"/>
  <c r="Z185" i="31"/>
  <c r="M184" i="42"/>
  <c r="O184" i="42" s="1"/>
  <c r="X184" i="42"/>
  <c r="CH186" i="31" l="1"/>
  <c r="AE185" i="31"/>
  <c r="N186" i="31"/>
  <c r="P186" i="31" s="1"/>
  <c r="Q186" i="31" s="1"/>
  <c r="AC186" i="31" s="1"/>
  <c r="AD185" i="31"/>
  <c r="Y184" i="42"/>
  <c r="BL184" i="42" s="1"/>
  <c r="BP184" i="42" s="1"/>
  <c r="BL187" i="43"/>
  <c r="BP187" i="43" s="1"/>
  <c r="Z187" i="43" l="1"/>
  <c r="N188" i="43" s="1"/>
  <c r="CC186" i="31"/>
  <c r="AH186" i="31"/>
  <c r="BH186" i="31"/>
  <c r="W186" i="31" s="1"/>
  <c r="AA46" i="35"/>
  <c r="AY7" i="31"/>
  <c r="AY8" i="31"/>
  <c r="V33" i="35" s="1"/>
  <c r="AY9" i="31"/>
  <c r="V34" i="35" s="1"/>
  <c r="AY10" i="31"/>
  <c r="V35" i="35" s="1"/>
  <c r="AY11" i="31"/>
  <c r="V36" i="35" s="1"/>
  <c r="AY12" i="31"/>
  <c r="V37" i="35" s="1"/>
  <c r="AY13" i="31"/>
  <c r="V38" i="35" s="1"/>
  <c r="AY14" i="31"/>
  <c r="V39" i="35" s="1"/>
  <c r="AY15" i="31"/>
  <c r="V40" i="35" s="1"/>
  <c r="AY16" i="31"/>
  <c r="V41" i="35" s="1"/>
  <c r="AY17" i="31"/>
  <c r="V42" i="35" s="1"/>
  <c r="AY18" i="31"/>
  <c r="V43" i="35" s="1"/>
  <c r="AY19" i="31"/>
  <c r="V44" i="35" s="1"/>
  <c r="AY20" i="31"/>
  <c r="V45" i="35" s="1"/>
  <c r="AY21" i="31"/>
  <c r="V46" i="35" s="1"/>
  <c r="Z184" i="42"/>
  <c r="AE184" i="42" s="1"/>
  <c r="CE186" i="31"/>
  <c r="CD186" i="31"/>
  <c r="CF186" i="31" l="1"/>
  <c r="J42" i="35"/>
  <c r="J34" i="35"/>
  <c r="J41" i="35"/>
  <c r="J33" i="35"/>
  <c r="J40" i="35"/>
  <c r="J39" i="35"/>
  <c r="J46" i="35"/>
  <c r="J38" i="35"/>
  <c r="J45" i="35"/>
  <c r="J37" i="35"/>
  <c r="J44" i="35"/>
  <c r="J36" i="35"/>
  <c r="J43" i="35"/>
  <c r="J35" i="35"/>
  <c r="V32" i="35"/>
  <c r="J32" i="35" s="1"/>
  <c r="AD187" i="43"/>
  <c r="P188" i="43" s="1"/>
  <c r="Q188" i="43" s="1"/>
  <c r="AE187" i="43"/>
  <c r="AH188" i="43"/>
  <c r="CC188" i="43"/>
  <c r="M186" i="31"/>
  <c r="O186" i="31" s="1"/>
  <c r="X186" i="31"/>
  <c r="Y186" i="31" s="1"/>
  <c r="N185" i="42"/>
  <c r="AD184" i="42"/>
  <c r="BL186" i="31" l="1"/>
  <c r="BP186" i="31" s="1"/>
  <c r="CE188" i="43"/>
  <c r="CD188" i="43"/>
  <c r="BH188" i="43"/>
  <c r="W188" i="43" s="1"/>
  <c r="AH185" i="42"/>
  <c r="CC185" i="42"/>
  <c r="P185" i="42"/>
  <c r="Q185" i="42" s="1"/>
  <c r="BH185" i="42" s="1"/>
  <c r="AB46" i="35"/>
  <c r="CF188" i="43" l="1"/>
  <c r="X188" i="43"/>
  <c r="Y188" i="43" s="1"/>
  <c r="M188" i="43"/>
  <c r="O188" i="43" s="1"/>
  <c r="Z186" i="31"/>
  <c r="CD185" i="42"/>
  <c r="CE185" i="42"/>
  <c r="W185" i="42"/>
  <c r="CF185" i="42" l="1"/>
  <c r="CH187" i="31"/>
  <c r="AE186" i="31"/>
  <c r="AF46" i="35" s="1"/>
  <c r="N187" i="31"/>
  <c r="AD186" i="31"/>
  <c r="AD46" i="35" s="1"/>
  <c r="M185" i="42"/>
  <c r="O185" i="42" s="1"/>
  <c r="X185" i="42"/>
  <c r="BL188" i="43"/>
  <c r="BP188" i="43" s="1"/>
  <c r="AH187" i="31" l="1"/>
  <c r="AE46" i="35"/>
  <c r="CC187" i="31"/>
  <c r="CE187" i="31" s="1"/>
  <c r="Z188" i="43"/>
  <c r="P187" i="31"/>
  <c r="Q187" i="31" s="1"/>
  <c r="M46" i="35"/>
  <c r="Y185" i="42"/>
  <c r="BL185" i="42" s="1"/>
  <c r="BP185" i="42" s="1"/>
  <c r="AD188" i="43" l="1"/>
  <c r="AE188" i="43"/>
  <c r="CD187" i="31"/>
  <c r="CF187" i="31" s="1"/>
  <c r="O46" i="35"/>
  <c r="N46" i="35"/>
  <c r="N189" i="43"/>
  <c r="AH189" i="43" s="1"/>
  <c r="BH187" i="31"/>
  <c r="W187" i="31" s="1"/>
  <c r="X187" i="31" s="1"/>
  <c r="Y187" i="31" s="1"/>
  <c r="Z185" i="42"/>
  <c r="AD185" i="42" l="1"/>
  <c r="AE185" i="42"/>
  <c r="CC189" i="43"/>
  <c r="CD189" i="43" s="1"/>
  <c r="P189" i="43"/>
  <c r="Q189" i="43" s="1"/>
  <c r="BH189" i="43" s="1"/>
  <c r="W189" i="43" s="1"/>
  <c r="M187" i="31"/>
  <c r="N186" i="42"/>
  <c r="CC186" i="42" s="1"/>
  <c r="BL187" i="31"/>
  <c r="BP187" i="31" s="1"/>
  <c r="O187" i="31" l="1"/>
  <c r="D69" i="2"/>
  <c r="A69" i="2" s="1"/>
  <c r="CE189" i="43"/>
  <c r="CF189" i="43" s="1"/>
  <c r="X189" i="43"/>
  <c r="M189" i="43"/>
  <c r="O189" i="43" s="1"/>
  <c r="P186" i="42"/>
  <c r="Q186" i="42" s="1"/>
  <c r="AC186" i="42" s="1"/>
  <c r="AH186" i="42"/>
  <c r="AY7" i="42"/>
  <c r="V67" i="35" s="1"/>
  <c r="AY8" i="42"/>
  <c r="V68" i="35" s="1"/>
  <c r="AY9" i="42"/>
  <c r="V69" i="35" s="1"/>
  <c r="AY10" i="42"/>
  <c r="V70" i="35" s="1"/>
  <c r="AY11" i="42"/>
  <c r="V71" i="35" s="1"/>
  <c r="AY12" i="42"/>
  <c r="V72" i="35" s="1"/>
  <c r="AY13" i="42"/>
  <c r="V73" i="35" s="1"/>
  <c r="AY14" i="42"/>
  <c r="V74" i="35" s="1"/>
  <c r="AY15" i="42"/>
  <c r="V75" i="35" s="1"/>
  <c r="AY16" i="42"/>
  <c r="V76" i="35" s="1"/>
  <c r="AY17" i="42"/>
  <c r="V77" i="35" s="1"/>
  <c r="AY18" i="42"/>
  <c r="V78" i="35" s="1"/>
  <c r="AY19" i="42"/>
  <c r="V79" i="35" s="1"/>
  <c r="AY20" i="42"/>
  <c r="V80" i="35" s="1"/>
  <c r="CE186" i="42"/>
  <c r="CD186" i="42"/>
  <c r="Y189" i="43"/>
  <c r="Z187" i="31"/>
  <c r="AE187" i="31" s="1"/>
  <c r="CF186" i="42" l="1"/>
  <c r="BH186" i="42"/>
  <c r="W186" i="42" s="1"/>
  <c r="X186" i="42" s="1"/>
  <c r="AA81" i="35"/>
  <c r="D45" i="35"/>
  <c r="D41" i="35"/>
  <c r="D37" i="35"/>
  <c r="D33" i="35"/>
  <c r="D42" i="35"/>
  <c r="D38" i="35"/>
  <c r="D34" i="35"/>
  <c r="D43" i="35"/>
  <c r="D39" i="35"/>
  <c r="D35" i="35"/>
  <c r="D44" i="35"/>
  <c r="D40" i="35"/>
  <c r="D36" i="35"/>
  <c r="D32" i="35"/>
  <c r="AY21" i="42"/>
  <c r="V81" i="35" s="1"/>
  <c r="BL189" i="43"/>
  <c r="BP189" i="43" s="1"/>
  <c r="CH188" i="31"/>
  <c r="N188" i="31"/>
  <c r="AD187" i="31"/>
  <c r="M186" i="42" l="1"/>
  <c r="O186" i="42" s="1"/>
  <c r="D46" i="35"/>
  <c r="Z189" i="43"/>
  <c r="P188" i="31"/>
  <c r="Q188" i="31" s="1"/>
  <c r="AH188" i="31"/>
  <c r="CC188" i="31"/>
  <c r="AB81" i="35"/>
  <c r="Y186" i="42"/>
  <c r="BL186" i="42" s="1"/>
  <c r="BP186" i="42" s="1"/>
  <c r="AD189" i="43" l="1"/>
  <c r="AE189" i="43"/>
  <c r="N190" i="43"/>
  <c r="BH188" i="31"/>
  <c r="W188" i="31" s="1"/>
  <c r="X188" i="31" s="1"/>
  <c r="Y188" i="31" s="1"/>
  <c r="CE188" i="31"/>
  <c r="CD188" i="31"/>
  <c r="Z186" i="42"/>
  <c r="CF188" i="31" l="1"/>
  <c r="P190" i="43"/>
  <c r="Q190" i="43" s="1"/>
  <c r="BH190" i="43" s="1"/>
  <c r="W190" i="43" s="1"/>
  <c r="AD186" i="42"/>
  <c r="AD81" i="35" s="1"/>
  <c r="AE186" i="42"/>
  <c r="AF81" i="35" s="1"/>
  <c r="CC190" i="43"/>
  <c r="CE190" i="43" s="1"/>
  <c r="AH190" i="43"/>
  <c r="M188" i="31"/>
  <c r="O188" i="31" s="1"/>
  <c r="N187" i="42"/>
  <c r="AH187" i="42" l="1"/>
  <c r="AE81" i="35"/>
  <c r="H46" i="35" s="1"/>
  <c r="I46" i="35"/>
  <c r="CD190" i="43"/>
  <c r="CF190" i="43" s="1"/>
  <c r="X190" i="43"/>
  <c r="Y190" i="43" s="1"/>
  <c r="M190" i="43"/>
  <c r="O190" i="43" s="1"/>
  <c r="CC187" i="42"/>
  <c r="P187" i="42"/>
  <c r="Q187" i="42" s="1"/>
  <c r="G46" i="35"/>
  <c r="BL188" i="31"/>
  <c r="BH187" i="42" l="1"/>
  <c r="W187" i="42" s="1"/>
  <c r="X187" i="42" s="1"/>
  <c r="Y187" i="42" s="1"/>
  <c r="CE187" i="42"/>
  <c r="CD187" i="42"/>
  <c r="BL190" i="43"/>
  <c r="BP188" i="31"/>
  <c r="Z188" i="31"/>
  <c r="AE188" i="31" s="1"/>
  <c r="CF187" i="42" l="1"/>
  <c r="M187" i="42"/>
  <c r="O187" i="42" s="1"/>
  <c r="BL187" i="42"/>
  <c r="BP187" i="42" s="1"/>
  <c r="N189" i="31"/>
  <c r="CH189" i="31"/>
  <c r="AD188" i="31"/>
  <c r="BP190" i="43"/>
  <c r="Z190" i="43"/>
  <c r="AE190" i="43" s="1"/>
  <c r="Z187" i="42" l="1"/>
  <c r="N191" i="43"/>
  <c r="AD190" i="43"/>
  <c r="P189" i="31"/>
  <c r="Q189" i="31" s="1"/>
  <c r="AH189" i="31"/>
  <c r="CC189" i="31"/>
  <c r="AD187" i="42" l="1"/>
  <c r="AE187" i="42"/>
  <c r="N188" i="42"/>
  <c r="CC188" i="42" s="1"/>
  <c r="BH189" i="31"/>
  <c r="W189" i="31" s="1"/>
  <c r="CE189" i="31"/>
  <c r="CD189" i="31"/>
  <c r="AH191" i="43"/>
  <c r="CC191" i="43"/>
  <c r="P191" i="43"/>
  <c r="Q191" i="43" s="1"/>
  <c r="CF189" i="31" l="1"/>
  <c r="P188" i="42"/>
  <c r="Q188" i="42" s="1"/>
  <c r="BH188" i="42" s="1"/>
  <c r="W188" i="42" s="1"/>
  <c r="X188" i="42" s="1"/>
  <c r="AH188" i="42"/>
  <c r="M189" i="31"/>
  <c r="O189" i="31" s="1"/>
  <c r="X189" i="31"/>
  <c r="Y189" i="31" s="1"/>
  <c r="BH191" i="43"/>
  <c r="W191" i="43" s="1"/>
  <c r="X191" i="43" s="1"/>
  <c r="CE188" i="42"/>
  <c r="CD188" i="42"/>
  <c r="CE191" i="43"/>
  <c r="CD191" i="43"/>
  <c r="CF191" i="43" l="1"/>
  <c r="CF188" i="42"/>
  <c r="M191" i="43"/>
  <c r="O191" i="43" s="1"/>
  <c r="M188" i="42"/>
  <c r="O188" i="42" s="1"/>
  <c r="Y191" i="43"/>
  <c r="BL189" i="31"/>
  <c r="BP189" i="31" s="1"/>
  <c r="Y188" i="42"/>
  <c r="BL188" i="42" l="1"/>
  <c r="BP188" i="42" s="1"/>
  <c r="BL191" i="43"/>
  <c r="BP191" i="43" s="1"/>
  <c r="Z189" i="31"/>
  <c r="AE189" i="31" s="1"/>
  <c r="Z191" i="43" l="1"/>
  <c r="Z188" i="42"/>
  <c r="N189" i="42" s="1"/>
  <c r="CH190" i="31"/>
  <c r="N190" i="31"/>
  <c r="AD189" i="31"/>
  <c r="N192" i="43" l="1"/>
  <c r="AH192" i="43" s="1"/>
  <c r="AE191" i="43"/>
  <c r="AD188" i="42"/>
  <c r="P189" i="42" s="1"/>
  <c r="Q189" i="42" s="1"/>
  <c r="AE188" i="42"/>
  <c r="AD191" i="43"/>
  <c r="AH189" i="42"/>
  <c r="CC189" i="42"/>
  <c r="AH190" i="31"/>
  <c r="CC190" i="31"/>
  <c r="P190" i="31"/>
  <c r="Q190" i="31" s="1"/>
  <c r="CC192" i="43" l="1"/>
  <c r="CE192" i="43" s="1"/>
  <c r="BH189" i="42"/>
  <c r="W189" i="42" s="1"/>
  <c r="M189" i="42" s="1"/>
  <c r="O189" i="42" s="1"/>
  <c r="BH190" i="31"/>
  <c r="W190" i="31" s="1"/>
  <c r="M190" i="31" s="1"/>
  <c r="O190" i="31" s="1"/>
  <c r="CE189" i="42"/>
  <c r="CD189" i="42"/>
  <c r="CE190" i="31"/>
  <c r="CD190" i="31"/>
  <c r="P192" i="43"/>
  <c r="Q192" i="43" s="1"/>
  <c r="BH192" i="43" s="1"/>
  <c r="CF189" i="42" l="1"/>
  <c r="CF190" i="31"/>
  <c r="CD192" i="43"/>
  <c r="CF192" i="43" s="1"/>
  <c r="W192" i="43"/>
  <c r="X192" i="43" s="1"/>
  <c r="Y192" i="43" s="1"/>
  <c r="BL192" i="43" s="1"/>
  <c r="BP192" i="43" s="1"/>
  <c r="X190" i="31"/>
  <c r="Y190" i="31" s="1"/>
  <c r="X189" i="42"/>
  <c r="Y189" i="42" s="1"/>
  <c r="M192" i="43" l="1"/>
  <c r="O192" i="43" s="1"/>
  <c r="BL189" i="42"/>
  <c r="BP189" i="42" s="1"/>
  <c r="Z192" i="43"/>
  <c r="AE192" i="43" s="1"/>
  <c r="BL190" i="31"/>
  <c r="BP190" i="31" s="1"/>
  <c r="N193" i="43" l="1"/>
  <c r="AD192" i="43"/>
  <c r="Z190" i="31"/>
  <c r="AE190" i="31" s="1"/>
  <c r="Z189" i="42"/>
  <c r="AE189" i="42" s="1"/>
  <c r="AH193" i="43" l="1"/>
  <c r="CC193" i="43"/>
  <c r="N190" i="42"/>
  <c r="AD189" i="42"/>
  <c r="P193" i="43"/>
  <c r="Q193" i="43" s="1"/>
  <c r="BH193" i="43" s="1"/>
  <c r="CH191" i="31"/>
  <c r="N191" i="31"/>
  <c r="AD190" i="31"/>
  <c r="CE193" i="43" l="1"/>
  <c r="CD193" i="43"/>
  <c r="W193" i="43"/>
  <c r="M193" i="43" s="1"/>
  <c r="O193" i="43" s="1"/>
  <c r="AH191" i="31"/>
  <c r="CC191" i="31"/>
  <c r="P191" i="31"/>
  <c r="Q191" i="31" s="1"/>
  <c r="P190" i="42"/>
  <c r="Q190" i="42" s="1"/>
  <c r="AH190" i="42"/>
  <c r="CC190" i="42"/>
  <c r="CF193" i="43" l="1"/>
  <c r="X193" i="43"/>
  <c r="Y193" i="43" s="1"/>
  <c r="BL193" i="43" s="1"/>
  <c r="BP193" i="43" s="1"/>
  <c r="CE191" i="31"/>
  <c r="CD191" i="31"/>
  <c r="CE190" i="42"/>
  <c r="CD190" i="42"/>
  <c r="BH191" i="31"/>
  <c r="W191" i="31" s="1"/>
  <c r="BH190" i="42"/>
  <c r="W190" i="42" s="1"/>
  <c r="M190" i="42" s="1"/>
  <c r="O190" i="42" s="1"/>
  <c r="CF191" i="31" l="1"/>
  <c r="CF190" i="42"/>
  <c r="X191" i="31"/>
  <c r="Y191" i="31" s="1"/>
  <c r="M191" i="31"/>
  <c r="O191" i="31" s="1"/>
  <c r="X190" i="42"/>
  <c r="Y190" i="42" s="1"/>
  <c r="Z193" i="43"/>
  <c r="AE193" i="43" s="1"/>
  <c r="BL191" i="31" l="1"/>
  <c r="BP191" i="31" s="1"/>
  <c r="BL190" i="42"/>
  <c r="BP190" i="42" s="1"/>
  <c r="N194" i="43"/>
  <c r="AD193" i="43"/>
  <c r="Z190" i="42" l="1"/>
  <c r="AH194" i="43"/>
  <c r="CC194" i="43"/>
  <c r="P194" i="43"/>
  <c r="Q194" i="43" s="1"/>
  <c r="BH194" i="43" s="1"/>
  <c r="Z191" i="31"/>
  <c r="AE191" i="31" s="1"/>
  <c r="AD190" i="42" l="1"/>
  <c r="AE190" i="42"/>
  <c r="W194" i="43"/>
  <c r="X194" i="43" s="1"/>
  <c r="CE194" i="43"/>
  <c r="CD194" i="43"/>
  <c r="N191" i="42"/>
  <c r="CH192" i="31"/>
  <c r="N192" i="31"/>
  <c r="AD191" i="31"/>
  <c r="CF194" i="43" l="1"/>
  <c r="M194" i="43"/>
  <c r="O194" i="43" s="1"/>
  <c r="CC191" i="42"/>
  <c r="P191" i="42"/>
  <c r="Q191" i="42" s="1"/>
  <c r="AH191" i="42"/>
  <c r="AH192" i="31"/>
  <c r="CC192" i="31"/>
  <c r="P192" i="31"/>
  <c r="Q192" i="31" s="1"/>
  <c r="BH192" i="31" s="1"/>
  <c r="Y194" i="43"/>
  <c r="BL194" i="43" s="1"/>
  <c r="BP194" i="43" s="1"/>
  <c r="CE191" i="42" l="1"/>
  <c r="CD191" i="42"/>
  <c r="BH191" i="42"/>
  <c r="W191" i="42" s="1"/>
  <c r="CE192" i="31"/>
  <c r="CD192" i="31"/>
  <c r="W192" i="31"/>
  <c r="M192" i="31" s="1"/>
  <c r="O192" i="31" s="1"/>
  <c r="Z194" i="43"/>
  <c r="AE194" i="43" s="1"/>
  <c r="CF192" i="31" l="1"/>
  <c r="CF191" i="42"/>
  <c r="X191" i="42"/>
  <c r="Y191" i="42" s="1"/>
  <c r="BL191" i="42" s="1"/>
  <c r="BP191" i="42" s="1"/>
  <c r="M191" i="42"/>
  <c r="O191" i="42" s="1"/>
  <c r="X192" i="31"/>
  <c r="Y192" i="31" s="1"/>
  <c r="N195" i="43"/>
  <c r="AD194" i="43"/>
  <c r="BL192" i="31" l="1"/>
  <c r="Z191" i="42"/>
  <c r="P195" i="43"/>
  <c r="Q195" i="43" s="1"/>
  <c r="BH195" i="43" s="1"/>
  <c r="AH195" i="43"/>
  <c r="CC195" i="43"/>
  <c r="N192" i="42" l="1"/>
  <c r="AH192" i="42" s="1"/>
  <c r="AE191" i="42"/>
  <c r="BP192" i="31"/>
  <c r="Z192" i="31"/>
  <c r="CE195" i="43"/>
  <c r="CD195" i="43"/>
  <c r="W195" i="43"/>
  <c r="X195" i="43" s="1"/>
  <c r="AD191" i="42"/>
  <c r="CF195" i="43" l="1"/>
  <c r="CC192" i="42"/>
  <c r="CE192" i="42" s="1"/>
  <c r="AD192" i="31"/>
  <c r="AE192" i="31"/>
  <c r="CH193" i="31"/>
  <c r="N193" i="31"/>
  <c r="AH193" i="31" s="1"/>
  <c r="M195" i="43"/>
  <c r="O195" i="43" s="1"/>
  <c r="P192" i="42"/>
  <c r="Q192" i="42" s="1"/>
  <c r="BH192" i="42" s="1"/>
  <c r="Y195" i="43"/>
  <c r="BL195" i="43" s="1"/>
  <c r="BP195" i="43" s="1"/>
  <c r="CD192" i="42" l="1"/>
  <c r="CF192" i="42" s="1"/>
  <c r="P193" i="31"/>
  <c r="Q193" i="31" s="1"/>
  <c r="BH193" i="31" s="1"/>
  <c r="CC193" i="31"/>
  <c r="CD193" i="31" s="1"/>
  <c r="W192" i="42"/>
  <c r="Z195" i="43"/>
  <c r="AE195" i="43" s="1"/>
  <c r="W193" i="31" l="1"/>
  <c r="CE193" i="31"/>
  <c r="CF193" i="31" s="1"/>
  <c r="M192" i="42"/>
  <c r="O192" i="42" s="1"/>
  <c r="X192" i="42"/>
  <c r="Y192" i="42" s="1"/>
  <c r="BL192" i="42" s="1"/>
  <c r="BP192" i="42" s="1"/>
  <c r="N196" i="43"/>
  <c r="AD195" i="43"/>
  <c r="X193" i="31" l="1"/>
  <c r="Y193" i="31" s="1"/>
  <c r="M193" i="31"/>
  <c r="O193" i="31" s="1"/>
  <c r="Z192" i="42"/>
  <c r="P196" i="43"/>
  <c r="Q196" i="43" s="1"/>
  <c r="BH196" i="43" s="1"/>
  <c r="AH196" i="43"/>
  <c r="CC196" i="43"/>
  <c r="AD192" i="42" l="1"/>
  <c r="AE192" i="42"/>
  <c r="CE196" i="43"/>
  <c r="CD196" i="43"/>
  <c r="N193" i="42"/>
  <c r="CC193" i="42" s="1"/>
  <c r="W196" i="43"/>
  <c r="X196" i="43" s="1"/>
  <c r="CF196" i="43" l="1"/>
  <c r="P193" i="42"/>
  <c r="Q193" i="42" s="1"/>
  <c r="BH193" i="42" s="1"/>
  <c r="BL193" i="31"/>
  <c r="BP193" i="31" s="1"/>
  <c r="AH193" i="42"/>
  <c r="M196" i="43"/>
  <c r="O196" i="43" s="1"/>
  <c r="CE193" i="42"/>
  <c r="CD193" i="42"/>
  <c r="Y196" i="43"/>
  <c r="BL196" i="43" s="1"/>
  <c r="BP196" i="43" s="1"/>
  <c r="CF193" i="42" l="1"/>
  <c r="W193" i="42"/>
  <c r="X193" i="42" s="1"/>
  <c r="Y193" i="42" s="1"/>
  <c r="BL193" i="42" s="1"/>
  <c r="BP193" i="42" s="1"/>
  <c r="Z193" i="31"/>
  <c r="AE193" i="31" s="1"/>
  <c r="Z196" i="43"/>
  <c r="AE196" i="43" s="1"/>
  <c r="M193" i="42" l="1"/>
  <c r="O193" i="42" s="1"/>
  <c r="N194" i="31"/>
  <c r="CH194" i="31"/>
  <c r="AD193" i="31"/>
  <c r="N197" i="43"/>
  <c r="AD196" i="43"/>
  <c r="Z193" i="42"/>
  <c r="AE193" i="42" s="1"/>
  <c r="CC194" i="31" l="1"/>
  <c r="AH194" i="31"/>
  <c r="P194" i="31"/>
  <c r="Q194" i="31" s="1"/>
  <c r="BH194" i="31" s="1"/>
  <c r="W194" i="31" s="1"/>
  <c r="N194" i="42"/>
  <c r="AD193" i="42"/>
  <c r="P197" i="43"/>
  <c r="Q197" i="43" s="1"/>
  <c r="BH197" i="43" s="1"/>
  <c r="AH197" i="43"/>
  <c r="CC197" i="43"/>
  <c r="CD194" i="31" l="1"/>
  <c r="CE194" i="31"/>
  <c r="X194" i="31"/>
  <c r="Y194" i="31" s="1"/>
  <c r="M194" i="31"/>
  <c r="O194" i="31" s="1"/>
  <c r="W197" i="43"/>
  <c r="X197" i="43" s="1"/>
  <c r="CE197" i="43"/>
  <c r="CD197" i="43"/>
  <c r="AH194" i="42"/>
  <c r="CC194" i="42"/>
  <c r="P194" i="42"/>
  <c r="Q194" i="42" s="1"/>
  <c r="BH194" i="42" s="1"/>
  <c r="CF197" i="43" l="1"/>
  <c r="CF194" i="31"/>
  <c r="M197" i="43"/>
  <c r="O197" i="43" s="1"/>
  <c r="BL194" i="31"/>
  <c r="BP194" i="31" s="1"/>
  <c r="W194" i="42"/>
  <c r="X194" i="42" s="1"/>
  <c r="CE194" i="42"/>
  <c r="CD194" i="42"/>
  <c r="Y197" i="43"/>
  <c r="BL197" i="43" s="1"/>
  <c r="BP197" i="43" s="1"/>
  <c r="CF194" i="42" l="1"/>
  <c r="Z194" i="31"/>
  <c r="AE194" i="31" s="1"/>
  <c r="M194" i="42"/>
  <c r="O194" i="42" s="1"/>
  <c r="Z197" i="43"/>
  <c r="AE197" i="43" s="1"/>
  <c r="Y194" i="42"/>
  <c r="BL194" i="42" s="1"/>
  <c r="BP194" i="42" s="1"/>
  <c r="AD194" i="31" l="1"/>
  <c r="CH195" i="31"/>
  <c r="N195" i="31"/>
  <c r="Z194" i="42"/>
  <c r="AE194" i="42" s="1"/>
  <c r="N198" i="43"/>
  <c r="AD197" i="43"/>
  <c r="P195" i="31" l="1"/>
  <c r="Q195" i="31" s="1"/>
  <c r="BH195" i="31" s="1"/>
  <c r="CC195" i="31"/>
  <c r="AH195" i="31"/>
  <c r="P198" i="43"/>
  <c r="Q198" i="43" s="1"/>
  <c r="N195" i="42"/>
  <c r="AD194" i="42"/>
  <c r="AH198" i="43"/>
  <c r="CC198" i="43"/>
  <c r="BH198" i="43" l="1"/>
  <c r="W198" i="43" s="1"/>
  <c r="X198" i="43" s="1"/>
  <c r="W195" i="31"/>
  <c r="CD195" i="31"/>
  <c r="CE195" i="31"/>
  <c r="CE198" i="43"/>
  <c r="CD198" i="43"/>
  <c r="AH195" i="42"/>
  <c r="CC195" i="42"/>
  <c r="P195" i="42"/>
  <c r="Q195" i="42" s="1"/>
  <c r="BH195" i="42" s="1"/>
  <c r="CF198" i="43" l="1"/>
  <c r="CF195" i="31"/>
  <c r="M198" i="43"/>
  <c r="O198" i="43" s="1"/>
  <c r="M195" i="31"/>
  <c r="O195" i="31" s="1"/>
  <c r="X195" i="31"/>
  <c r="Y195" i="31" s="1"/>
  <c r="CE195" i="42"/>
  <c r="CD195" i="42"/>
  <c r="W195" i="42"/>
  <c r="X195" i="42" s="1"/>
  <c r="Y198" i="43"/>
  <c r="BL198" i="43" s="1"/>
  <c r="BP198" i="43" s="1"/>
  <c r="CF195" i="42" l="1"/>
  <c r="M195" i="42"/>
  <c r="O195" i="42" s="1"/>
  <c r="BL195" i="31"/>
  <c r="BP195" i="31" s="1"/>
  <c r="Z198" i="43"/>
  <c r="Y195" i="42"/>
  <c r="BL195" i="42" s="1"/>
  <c r="BP195" i="42" s="1"/>
  <c r="AD198" i="43" l="1"/>
  <c r="AE198" i="43"/>
  <c r="Z195" i="31"/>
  <c r="AE195" i="31" s="1"/>
  <c r="N199" i="43"/>
  <c r="Z195" i="42"/>
  <c r="AE195" i="42" s="1"/>
  <c r="AH199" i="43" l="1"/>
  <c r="N196" i="31"/>
  <c r="AD195" i="31"/>
  <c r="CH196" i="31"/>
  <c r="P199" i="43"/>
  <c r="Q199" i="43" s="1"/>
  <c r="BH199" i="43" s="1"/>
  <c r="W199" i="43" s="1"/>
  <c r="CC199" i="43"/>
  <c r="CD199" i="43" s="1"/>
  <c r="N196" i="42"/>
  <c r="AD195" i="42"/>
  <c r="CC196" i="31" l="1"/>
  <c r="AH196" i="31"/>
  <c r="P196" i="31"/>
  <c r="Q196" i="31" s="1"/>
  <c r="BH196" i="31" s="1"/>
  <c r="CE199" i="43"/>
  <c r="CF199" i="43" s="1"/>
  <c r="X199" i="43"/>
  <c r="Y199" i="43" s="1"/>
  <c r="M199" i="43"/>
  <c r="O199" i="43" s="1"/>
  <c r="P196" i="42"/>
  <c r="Q196" i="42" s="1"/>
  <c r="BH196" i="42" s="1"/>
  <c r="AH196" i="42"/>
  <c r="CC196" i="42"/>
  <c r="CE196" i="31" l="1"/>
  <c r="CD196" i="31"/>
  <c r="W196" i="31"/>
  <c r="W196" i="42"/>
  <c r="M196" i="42" s="1"/>
  <c r="O196" i="42" s="1"/>
  <c r="CE196" i="42"/>
  <c r="CD196" i="42"/>
  <c r="BL199" i="43"/>
  <c r="CF196" i="31" l="1"/>
  <c r="CF196" i="42"/>
  <c r="X196" i="31"/>
  <c r="Y196" i="31" s="1"/>
  <c r="M196" i="31"/>
  <c r="O196" i="31" s="1"/>
  <c r="X196" i="42"/>
  <c r="Y196" i="42" s="1"/>
  <c r="BL196" i="42" s="1"/>
  <c r="BP196" i="42" s="1"/>
  <c r="BP199" i="43"/>
  <c r="Z199" i="43"/>
  <c r="AE199" i="43" s="1"/>
  <c r="BL196" i="31" l="1"/>
  <c r="BP196" i="31" s="1"/>
  <c r="Z196" i="42"/>
  <c r="AE196" i="42" s="1"/>
  <c r="N200" i="43"/>
  <c r="AD199" i="43"/>
  <c r="Z196" i="31" l="1"/>
  <c r="AE196" i="31" s="1"/>
  <c r="AH200" i="43"/>
  <c r="CC200" i="43"/>
  <c r="N197" i="42"/>
  <c r="AD196" i="42"/>
  <c r="P200" i="43"/>
  <c r="Q200" i="43" s="1"/>
  <c r="CH197" i="31" l="1"/>
  <c r="N197" i="31"/>
  <c r="AD196" i="31"/>
  <c r="BH200" i="43"/>
  <c r="W200" i="43" s="1"/>
  <c r="M200" i="43" s="1"/>
  <c r="O200" i="43" s="1"/>
  <c r="CE200" i="43"/>
  <c r="CD200" i="43"/>
  <c r="AH197" i="42"/>
  <c r="CC197" i="42"/>
  <c r="P197" i="42"/>
  <c r="Q197" i="42" s="1"/>
  <c r="BH197" i="42" s="1"/>
  <c r="CF200" i="43" l="1"/>
  <c r="CC197" i="31"/>
  <c r="AH197" i="31"/>
  <c r="P197" i="31"/>
  <c r="Q197" i="31" s="1"/>
  <c r="BH197" i="31" s="1"/>
  <c r="CE197" i="42"/>
  <c r="CD197" i="42"/>
  <c r="X200" i="43"/>
  <c r="Y200" i="43" s="1"/>
  <c r="W197" i="42"/>
  <c r="X197" i="42" s="1"/>
  <c r="CF197" i="42" l="1"/>
  <c r="CD197" i="31"/>
  <c r="CE197" i="31"/>
  <c r="W197" i="31"/>
  <c r="M197" i="42"/>
  <c r="O197" i="42" s="1"/>
  <c r="BL200" i="43"/>
  <c r="BP200" i="43" s="1"/>
  <c r="Y197" i="42"/>
  <c r="BL197" i="42" s="1"/>
  <c r="BP197" i="42" s="1"/>
  <c r="CF197" i="31" l="1"/>
  <c r="X197" i="31"/>
  <c r="Y197" i="31" s="1"/>
  <c r="M197" i="31"/>
  <c r="O197" i="31" s="1"/>
  <c r="Z197" i="42"/>
  <c r="AE197" i="42" s="1"/>
  <c r="Z200" i="43"/>
  <c r="AE200" i="43" s="1"/>
  <c r="BL197" i="31" l="1"/>
  <c r="BP197" i="31" s="1"/>
  <c r="N198" i="42"/>
  <c r="AD197" i="42"/>
  <c r="N201" i="43"/>
  <c r="AD200" i="43"/>
  <c r="Z197" i="31" l="1"/>
  <c r="AE197" i="31" s="1"/>
  <c r="AH198" i="42"/>
  <c r="CC198" i="42"/>
  <c r="P198" i="42"/>
  <c r="Q198" i="42" s="1"/>
  <c r="AH201" i="43"/>
  <c r="CC201" i="43"/>
  <c r="P201" i="43"/>
  <c r="Q201" i="43" s="1"/>
  <c r="BH198" i="42" l="1"/>
  <c r="W198" i="42" s="1"/>
  <c r="X198" i="42" s="1"/>
  <c r="AA82" i="35"/>
  <c r="AD197" i="31"/>
  <c r="N198" i="31"/>
  <c r="CH198" i="31"/>
  <c r="CE201" i="43"/>
  <c r="CD201" i="43"/>
  <c r="CE198" i="42"/>
  <c r="CD198" i="42"/>
  <c r="BH201" i="43"/>
  <c r="W201" i="43" s="1"/>
  <c r="CF201" i="43" l="1"/>
  <c r="CF198" i="42"/>
  <c r="P198" i="31"/>
  <c r="Q198" i="31" s="1"/>
  <c r="CC198" i="31"/>
  <c r="AH198" i="31"/>
  <c r="M198" i="42"/>
  <c r="O198" i="42" s="1"/>
  <c r="X201" i="43"/>
  <c r="Y201" i="43" s="1"/>
  <c r="M201" i="43"/>
  <c r="O201" i="43" s="1"/>
  <c r="AB82" i="35"/>
  <c r="Y198" i="42"/>
  <c r="BL198" i="42" s="1"/>
  <c r="BP198" i="42" s="1"/>
  <c r="BH198" i="31" l="1"/>
  <c r="W198" i="31" s="1"/>
  <c r="AA47" i="35"/>
  <c r="CE198" i="31"/>
  <c r="CD198" i="31"/>
  <c r="BL201" i="43"/>
  <c r="BP201" i="43" s="1"/>
  <c r="Z198" i="42"/>
  <c r="AE198" i="42" s="1"/>
  <c r="AF82" i="35" s="1"/>
  <c r="CF198" i="31" l="1"/>
  <c r="X198" i="31"/>
  <c r="Y198" i="31" s="1"/>
  <c r="M198" i="31"/>
  <c r="O198" i="31" s="1"/>
  <c r="N199" i="42"/>
  <c r="AD198" i="42"/>
  <c r="Z201" i="43"/>
  <c r="AE201" i="43" s="1"/>
  <c r="BL198" i="31" l="1"/>
  <c r="BP198" i="31" s="1"/>
  <c r="AB47" i="35"/>
  <c r="P199" i="42"/>
  <c r="Q199" i="42" s="1"/>
  <c r="AD82" i="35"/>
  <c r="N202" i="43"/>
  <c r="AD201" i="43"/>
  <c r="AH199" i="42"/>
  <c r="CC199" i="42"/>
  <c r="AE82" i="35" l="1"/>
  <c r="H47" i="35" s="1"/>
  <c r="I47" i="35"/>
  <c r="Z198" i="31"/>
  <c r="AE198" i="31" s="1"/>
  <c r="AF47" i="35" s="1"/>
  <c r="CE199" i="42"/>
  <c r="CD199" i="42"/>
  <c r="BH199" i="42"/>
  <c r="W199" i="42" s="1"/>
  <c r="AH202" i="43"/>
  <c r="CC202" i="43"/>
  <c r="P202" i="43"/>
  <c r="Q202" i="43" s="1"/>
  <c r="G47" i="35"/>
  <c r="CF199" i="42" l="1"/>
  <c r="CH199" i="31"/>
  <c r="AD198" i="31"/>
  <c r="N199" i="31"/>
  <c r="X199" i="42"/>
  <c r="Y199" i="42" s="1"/>
  <c r="M199" i="42"/>
  <c r="O199" i="42" s="1"/>
  <c r="CE202" i="43"/>
  <c r="CD202" i="43"/>
  <c r="BH202" i="43"/>
  <c r="W202" i="43" s="1"/>
  <c r="CF202" i="43" l="1"/>
  <c r="AD47" i="35"/>
  <c r="AE47" i="35" s="1"/>
  <c r="P199" i="31"/>
  <c r="Q199" i="31" s="1"/>
  <c r="BH199" i="31" s="1"/>
  <c r="CC199" i="31"/>
  <c r="AH199" i="31"/>
  <c r="X202" i="43"/>
  <c r="Y202" i="43" s="1"/>
  <c r="M202" i="43"/>
  <c r="O202" i="43" s="1"/>
  <c r="BL199" i="42"/>
  <c r="BP199" i="42" s="1"/>
  <c r="O47" i="35" l="1"/>
  <c r="M47" i="35"/>
  <c r="W199" i="31"/>
  <c r="CE199" i="31"/>
  <c r="CD199" i="31"/>
  <c r="Z199" i="42"/>
  <c r="BL202" i="43"/>
  <c r="CF199" i="31" l="1"/>
  <c r="AD199" i="42"/>
  <c r="AE199" i="42"/>
  <c r="N47" i="35"/>
  <c r="X199" i="31"/>
  <c r="Y199" i="31" s="1"/>
  <c r="M199" i="31"/>
  <c r="N200" i="42"/>
  <c r="BP202" i="43"/>
  <c r="Z202" i="43"/>
  <c r="AE202" i="43" s="1"/>
  <c r="O199" i="31" l="1"/>
  <c r="D70" i="2"/>
  <c r="A70" i="2" s="1"/>
  <c r="BL199" i="31"/>
  <c r="BP199" i="31" s="1"/>
  <c r="P200" i="42"/>
  <c r="Q200" i="42" s="1"/>
  <c r="AH200" i="42"/>
  <c r="CC200" i="42"/>
  <c r="N203" i="43"/>
  <c r="AD202" i="43"/>
  <c r="Z199" i="31" l="1"/>
  <c r="AE199" i="31" s="1"/>
  <c r="BH200" i="42"/>
  <c r="W200" i="42" s="1"/>
  <c r="CE200" i="42"/>
  <c r="CD200" i="42"/>
  <c r="AH203" i="43"/>
  <c r="CC203" i="43"/>
  <c r="P203" i="43"/>
  <c r="Q203" i="43" s="1"/>
  <c r="CF200" i="42" l="1"/>
  <c r="AD199" i="31"/>
  <c r="CH200" i="31"/>
  <c r="N200" i="31"/>
  <c r="M200" i="42"/>
  <c r="O200" i="42" s="1"/>
  <c r="X200" i="42"/>
  <c r="Y200" i="42" s="1"/>
  <c r="BL200" i="42" s="1"/>
  <c r="BP200" i="42" s="1"/>
  <c r="BH203" i="43"/>
  <c r="W203" i="43" s="1"/>
  <c r="X203" i="43" s="1"/>
  <c r="CE203" i="43"/>
  <c r="CD203" i="43"/>
  <c r="CF203" i="43" l="1"/>
  <c r="P200" i="31"/>
  <c r="Q200" i="31" s="1"/>
  <c r="BH200" i="31" s="1"/>
  <c r="W200" i="31" s="1"/>
  <c r="CC200" i="31"/>
  <c r="AH200" i="31"/>
  <c r="M203" i="43"/>
  <c r="O203" i="43" s="1"/>
  <c r="Z200" i="42"/>
  <c r="Y203" i="43"/>
  <c r="AD200" i="42" l="1"/>
  <c r="AE200" i="42"/>
  <c r="X200" i="31"/>
  <c r="Y200" i="31" s="1"/>
  <c r="M200" i="31"/>
  <c r="O200" i="31" s="1"/>
  <c r="CE200" i="31"/>
  <c r="CD200" i="31"/>
  <c r="N201" i="42"/>
  <c r="BL203" i="43"/>
  <c r="BP203" i="43" s="1"/>
  <c r="CF200" i="31" l="1"/>
  <c r="BL200" i="31"/>
  <c r="BP200" i="31" s="1"/>
  <c r="P201" i="42"/>
  <c r="Q201" i="42" s="1"/>
  <c r="AH201" i="42"/>
  <c r="CC201" i="42"/>
  <c r="Z203" i="43"/>
  <c r="AD203" i="43" l="1"/>
  <c r="AE203" i="43"/>
  <c r="Z200" i="31"/>
  <c r="AE200" i="31" s="1"/>
  <c r="BH201" i="42"/>
  <c r="W201" i="42" s="1"/>
  <c r="CE201" i="42"/>
  <c r="CD201" i="42"/>
  <c r="N204" i="43"/>
  <c r="CF201" i="42" l="1"/>
  <c r="AD200" i="31"/>
  <c r="CH201" i="31"/>
  <c r="N201" i="31"/>
  <c r="X201" i="42"/>
  <c r="Y201" i="42" s="1"/>
  <c r="BL201" i="42" s="1"/>
  <c r="BP201" i="42" s="1"/>
  <c r="M201" i="42"/>
  <c r="O201" i="42" s="1"/>
  <c r="P204" i="43"/>
  <c r="Q204" i="43" s="1"/>
  <c r="BH204" i="43" s="1"/>
  <c r="AH204" i="43"/>
  <c r="CC204" i="43"/>
  <c r="P201" i="31" l="1"/>
  <c r="Q201" i="31" s="1"/>
  <c r="BH201" i="31" s="1"/>
  <c r="W201" i="31" s="1"/>
  <c r="AH201" i="31"/>
  <c r="CC201" i="31"/>
  <c r="CE204" i="43"/>
  <c r="CD204" i="43"/>
  <c r="W204" i="43"/>
  <c r="Z201" i="42"/>
  <c r="AE201" i="42" s="1"/>
  <c r="CF204" i="43" l="1"/>
  <c r="M201" i="31"/>
  <c r="O201" i="31" s="1"/>
  <c r="X201" i="31"/>
  <c r="Y201" i="31" s="1"/>
  <c r="CD201" i="31"/>
  <c r="CE201" i="31"/>
  <c r="M204" i="43"/>
  <c r="O204" i="43" s="1"/>
  <c r="X204" i="43"/>
  <c r="Y204" i="43" s="1"/>
  <c r="BL204" i="43" s="1"/>
  <c r="BP204" i="43" s="1"/>
  <c r="N202" i="42"/>
  <c r="AD201" i="42"/>
  <c r="CF201" i="31" l="1"/>
  <c r="BL201" i="31"/>
  <c r="BP201" i="31" s="1"/>
  <c r="Z204" i="43"/>
  <c r="AH202" i="42"/>
  <c r="CC202" i="42"/>
  <c r="P202" i="42"/>
  <c r="Q202" i="42" s="1"/>
  <c r="N205" i="43" l="1"/>
  <c r="AH205" i="43" s="1"/>
  <c r="AE204" i="43"/>
  <c r="AD204" i="43"/>
  <c r="Z201" i="31"/>
  <c r="AE201" i="31" s="1"/>
  <c r="CE202" i="42"/>
  <c r="CD202" i="42"/>
  <c r="BH202" i="42"/>
  <c r="W202" i="42" s="1"/>
  <c r="M202" i="42" s="1"/>
  <c r="O202" i="42" s="1"/>
  <c r="CF202" i="42" l="1"/>
  <c r="CC205" i="43"/>
  <c r="CE205" i="43" s="1"/>
  <c r="P205" i="43"/>
  <c r="Q205" i="43" s="1"/>
  <c r="BH205" i="43" s="1"/>
  <c r="N202" i="31"/>
  <c r="CH202" i="31"/>
  <c r="AD201" i="31"/>
  <c r="X202" i="42"/>
  <c r="Y202" i="42" s="1"/>
  <c r="CD205" i="43" l="1"/>
  <c r="CF205" i="43" s="1"/>
  <c r="W205" i="43"/>
  <c r="X205" i="43" s="1"/>
  <c r="Y205" i="43" s="1"/>
  <c r="BL205" i="43" s="1"/>
  <c r="BP205" i="43" s="1"/>
  <c r="AH202" i="31"/>
  <c r="CC202" i="31"/>
  <c r="P202" i="31"/>
  <c r="Q202" i="31" s="1"/>
  <c r="BH202" i="31" s="1"/>
  <c r="W202" i="31" s="1"/>
  <c r="BL202" i="42"/>
  <c r="M205" i="43" l="1"/>
  <c r="O205" i="43" s="1"/>
  <c r="CE202" i="31"/>
  <c r="CD202" i="31"/>
  <c r="X202" i="31"/>
  <c r="Y202" i="31" s="1"/>
  <c r="M202" i="31"/>
  <c r="O202" i="31" s="1"/>
  <c r="Z205" i="43"/>
  <c r="AE205" i="43" s="1"/>
  <c r="BP202" i="42"/>
  <c r="Z202" i="42"/>
  <c r="AE202" i="42" s="1"/>
  <c r="CF202" i="31" l="1"/>
  <c r="BL202" i="31"/>
  <c r="BP202" i="31" s="1"/>
  <c r="N206" i="43"/>
  <c r="AD205" i="43"/>
  <c r="N203" i="42"/>
  <c r="AD202" i="42"/>
  <c r="Z202" i="31" l="1"/>
  <c r="AE202" i="31" s="1"/>
  <c r="AH206" i="43"/>
  <c r="CC206" i="43"/>
  <c r="AH203" i="42"/>
  <c r="CC203" i="42"/>
  <c r="P203" i="42"/>
  <c r="Q203" i="42" s="1"/>
  <c r="P206" i="43"/>
  <c r="Q206" i="43" s="1"/>
  <c r="BH206" i="43" s="1"/>
  <c r="CH203" i="31" l="1"/>
  <c r="AD202" i="31"/>
  <c r="N203" i="31"/>
  <c r="CE206" i="43"/>
  <c r="CD206" i="43"/>
  <c r="W206" i="43"/>
  <c r="X206" i="43" s="1"/>
  <c r="CE203" i="42"/>
  <c r="CD203" i="42"/>
  <c r="BH203" i="42"/>
  <c r="W203" i="42" s="1"/>
  <c r="CF206" i="43" l="1"/>
  <c r="CF203" i="42"/>
  <c r="M206" i="43"/>
  <c r="O206" i="43" s="1"/>
  <c r="P203" i="31"/>
  <c r="Q203" i="31" s="1"/>
  <c r="BH203" i="31" s="1"/>
  <c r="W203" i="31" s="1"/>
  <c r="AH203" i="31"/>
  <c r="CC203" i="31"/>
  <c r="M203" i="42"/>
  <c r="O203" i="42" s="1"/>
  <c r="X203" i="42"/>
  <c r="Y203" i="42" s="1"/>
  <c r="Y206" i="43"/>
  <c r="BL206" i="43" s="1"/>
  <c r="BP206" i="43" s="1"/>
  <c r="M203" i="31" l="1"/>
  <c r="O203" i="31" s="1"/>
  <c r="X203" i="31"/>
  <c r="Y203" i="31" s="1"/>
  <c r="CE203" i="31"/>
  <c r="CD203" i="31"/>
  <c r="BL203" i="42"/>
  <c r="BP203" i="42" s="1"/>
  <c r="Z206" i="43"/>
  <c r="AE206" i="43" s="1"/>
  <c r="CF203" i="31" l="1"/>
  <c r="BL203" i="31"/>
  <c r="BP203" i="31" s="1"/>
  <c r="N207" i="43"/>
  <c r="AD206" i="43"/>
  <c r="Z203" i="42"/>
  <c r="AE203" i="42" s="1"/>
  <c r="Z203" i="31" l="1"/>
  <c r="AE203" i="31" s="1"/>
  <c r="AH207" i="43"/>
  <c r="CC207" i="43"/>
  <c r="N204" i="42"/>
  <c r="AD203" i="42"/>
  <c r="P207" i="43"/>
  <c r="Q207" i="43" s="1"/>
  <c r="BH207" i="43" s="1"/>
  <c r="N204" i="31" l="1"/>
  <c r="AD203" i="31"/>
  <c r="CH204" i="31"/>
  <c r="CE207" i="43"/>
  <c r="CD207" i="43"/>
  <c r="W207" i="43"/>
  <c r="X207" i="43" s="1"/>
  <c r="P204" i="42"/>
  <c r="Q204" i="42" s="1"/>
  <c r="BH204" i="42" s="1"/>
  <c r="AH204" i="42"/>
  <c r="CC204" i="42"/>
  <c r="CF207" i="43" l="1"/>
  <c r="M207" i="43"/>
  <c r="O207" i="43" s="1"/>
  <c r="AH204" i="31"/>
  <c r="CC204" i="31"/>
  <c r="P204" i="31"/>
  <c r="Q204" i="31" s="1"/>
  <c r="BH204" i="31" s="1"/>
  <c r="W204" i="42"/>
  <c r="X204" i="42" s="1"/>
  <c r="CE204" i="42"/>
  <c r="CD204" i="42"/>
  <c r="Y207" i="43"/>
  <c r="BL207" i="43" s="1"/>
  <c r="BP207" i="43" s="1"/>
  <c r="CF204" i="42" l="1"/>
  <c r="CD204" i="31"/>
  <c r="CE204" i="31"/>
  <c r="W204" i="31"/>
  <c r="M204" i="42"/>
  <c r="O204" i="42" s="1"/>
  <c r="Y204" i="42"/>
  <c r="BL204" i="42" s="1"/>
  <c r="BP204" i="42" s="1"/>
  <c r="Z207" i="43"/>
  <c r="AE207" i="43" s="1"/>
  <c r="CF204" i="31" l="1"/>
  <c r="M204" i="31"/>
  <c r="O204" i="31" s="1"/>
  <c r="X204" i="31"/>
  <c r="Y204" i="31" s="1"/>
  <c r="N208" i="43"/>
  <c r="AD207" i="43"/>
  <c r="Z204" i="42"/>
  <c r="AE204" i="42" s="1"/>
  <c r="BL204" i="31" l="1"/>
  <c r="BP204" i="31" s="1"/>
  <c r="AH208" i="43"/>
  <c r="CC208" i="43"/>
  <c r="P208" i="43"/>
  <c r="Q208" i="43" s="1"/>
  <c r="BH208" i="43" s="1"/>
  <c r="N205" i="42"/>
  <c r="AD204" i="42"/>
  <c r="Z204" i="31" l="1"/>
  <c r="AE204" i="31" s="1"/>
  <c r="CE208" i="43"/>
  <c r="CD208" i="43"/>
  <c r="W208" i="43"/>
  <c r="M208" i="43" s="1"/>
  <c r="O208" i="43" s="1"/>
  <c r="P205" i="42"/>
  <c r="Q205" i="42" s="1"/>
  <c r="BH205" i="42" s="1"/>
  <c r="AH205" i="42"/>
  <c r="CC205" i="42"/>
  <c r="CF208" i="43" l="1"/>
  <c r="AD204" i="31"/>
  <c r="CH205" i="31"/>
  <c r="N205" i="31"/>
  <c r="X208" i="43"/>
  <c r="Y208" i="43" s="1"/>
  <c r="BL208" i="43" s="1"/>
  <c r="BP208" i="43" s="1"/>
  <c r="W205" i="42"/>
  <c r="X205" i="42" s="1"/>
  <c r="CE205" i="42"/>
  <c r="CD205" i="42"/>
  <c r="CF205" i="42" l="1"/>
  <c r="P205" i="31"/>
  <c r="Q205" i="31" s="1"/>
  <c r="BH205" i="31" s="1"/>
  <c r="AH205" i="31"/>
  <c r="CC205" i="31"/>
  <c r="M205" i="42"/>
  <c r="O205" i="42" s="1"/>
  <c r="Y205" i="42"/>
  <c r="BL205" i="42" s="1"/>
  <c r="BP205" i="42" s="1"/>
  <c r="Z208" i="43"/>
  <c r="AE208" i="43" s="1"/>
  <c r="W205" i="31" l="1"/>
  <c r="CE205" i="31"/>
  <c r="CD205" i="31"/>
  <c r="N209" i="43"/>
  <c r="AD208" i="43"/>
  <c r="Z205" i="42"/>
  <c r="AE205" i="42" s="1"/>
  <c r="CF205" i="31" l="1"/>
  <c r="X205" i="31"/>
  <c r="Y205" i="31" s="1"/>
  <c r="M205" i="31"/>
  <c r="O205" i="31" s="1"/>
  <c r="AH209" i="43"/>
  <c r="CC209" i="43"/>
  <c r="P209" i="43"/>
  <c r="Q209" i="43" s="1"/>
  <c r="BH209" i="43" s="1"/>
  <c r="N206" i="42"/>
  <c r="AD205" i="42"/>
  <c r="CE209" i="43" l="1"/>
  <c r="CD209" i="43"/>
  <c r="W209" i="43"/>
  <c r="X209" i="43" s="1"/>
  <c r="P206" i="42"/>
  <c r="Q206" i="42" s="1"/>
  <c r="BH206" i="42" s="1"/>
  <c r="AH206" i="42"/>
  <c r="CC206" i="42"/>
  <c r="CF209" i="43" l="1"/>
  <c r="M209" i="43"/>
  <c r="O209" i="43" s="1"/>
  <c r="BL205" i="31"/>
  <c r="BP205" i="31" s="1"/>
  <c r="W206" i="42"/>
  <c r="X206" i="42" s="1"/>
  <c r="CE206" i="42"/>
  <c r="CD206" i="42"/>
  <c r="Y209" i="43"/>
  <c r="BL209" i="43" s="1"/>
  <c r="BP209" i="43" s="1"/>
  <c r="CF206" i="42" l="1"/>
  <c r="M206" i="42"/>
  <c r="O206" i="42" s="1"/>
  <c r="Z205" i="31"/>
  <c r="AE205" i="31" s="1"/>
  <c r="Y206" i="42"/>
  <c r="BL206" i="42" s="1"/>
  <c r="BP206" i="42" s="1"/>
  <c r="Z209" i="43"/>
  <c r="AE209" i="43" s="1"/>
  <c r="AD205" i="31" l="1"/>
  <c r="N206" i="31"/>
  <c r="CH206" i="31"/>
  <c r="N210" i="43"/>
  <c r="AD209" i="43"/>
  <c r="Z206" i="42"/>
  <c r="AE206" i="42" s="1"/>
  <c r="P206" i="31" l="1"/>
  <c r="Q206" i="31" s="1"/>
  <c r="BH206" i="31" s="1"/>
  <c r="AH206" i="31"/>
  <c r="CC206" i="31"/>
  <c r="P210" i="43"/>
  <c r="Q210" i="43" s="1"/>
  <c r="AH210" i="43"/>
  <c r="CC210" i="43"/>
  <c r="N207" i="42"/>
  <c r="AD206" i="42"/>
  <c r="CD206" i="31" l="1"/>
  <c r="CE206" i="31"/>
  <c r="W206" i="31"/>
  <c r="BH210" i="43"/>
  <c r="W210" i="43" s="1"/>
  <c r="X210" i="43" s="1"/>
  <c r="AY22" i="43"/>
  <c r="AY23" i="43"/>
  <c r="CE210" i="43"/>
  <c r="CD210" i="43"/>
  <c r="AH207" i="42"/>
  <c r="CC207" i="42"/>
  <c r="P207" i="42"/>
  <c r="Q207" i="42" s="1"/>
  <c r="BH207" i="42" s="1"/>
  <c r="CF210" i="43" l="1"/>
  <c r="CF206" i="31"/>
  <c r="M206" i="31"/>
  <c r="O206" i="31" s="1"/>
  <c r="X206" i="31"/>
  <c r="Y206" i="31" s="1"/>
  <c r="W207" i="42"/>
  <c r="X207" i="42" s="1"/>
  <c r="CE207" i="42"/>
  <c r="CD207" i="42"/>
  <c r="M210" i="43"/>
  <c r="O210" i="43" s="1"/>
  <c r="Y210" i="43"/>
  <c r="BL210" i="43" s="1"/>
  <c r="BP210" i="43" s="1"/>
  <c r="CF207" i="42" l="1"/>
  <c r="BL206" i="31"/>
  <c r="BP206" i="31" s="1"/>
  <c r="M207" i="42"/>
  <c r="O207" i="42" s="1"/>
  <c r="Z210" i="43"/>
  <c r="AE210" i="43" s="1"/>
  <c r="Y207" i="42"/>
  <c r="BL207" i="42" s="1"/>
  <c r="BP207" i="42" s="1"/>
  <c r="Z206" i="31" l="1"/>
  <c r="AE206" i="31" s="1"/>
  <c r="N211" i="43"/>
  <c r="AD210" i="43"/>
  <c r="Z207" i="42"/>
  <c r="AE207" i="42" s="1"/>
  <c r="AD206" i="31" l="1"/>
  <c r="N207" i="31"/>
  <c r="CH207" i="31"/>
  <c r="P211" i="43"/>
  <c r="Q211" i="43" s="1"/>
  <c r="AH211" i="43"/>
  <c r="CC211" i="43"/>
  <c r="N208" i="42"/>
  <c r="AD207" i="42"/>
  <c r="P207" i="31" l="1"/>
  <c r="Q207" i="31" s="1"/>
  <c r="BH207" i="31" s="1"/>
  <c r="AH207" i="31"/>
  <c r="CC207" i="31"/>
  <c r="BH211" i="43"/>
  <c r="W211" i="43" s="1"/>
  <c r="CE211" i="43"/>
  <c r="CD211" i="43"/>
  <c r="P208" i="42"/>
  <c r="Q208" i="42" s="1"/>
  <c r="BH208" i="42" s="1"/>
  <c r="AH208" i="42"/>
  <c r="CC208" i="42"/>
  <c r="CF211" i="43" l="1"/>
  <c r="CD207" i="31"/>
  <c r="CE207" i="31"/>
  <c r="W207" i="31"/>
  <c r="M211" i="43"/>
  <c r="O211" i="43" s="1"/>
  <c r="X211" i="43"/>
  <c r="Y211" i="43" s="1"/>
  <c r="W208" i="42"/>
  <c r="X208" i="42" s="1"/>
  <c r="CE208" i="42"/>
  <c r="CD208" i="42"/>
  <c r="CF208" i="42" l="1"/>
  <c r="CF207" i="31"/>
  <c r="X207" i="31"/>
  <c r="Y207" i="31" s="1"/>
  <c r="M207" i="31"/>
  <c r="O207" i="31" s="1"/>
  <c r="M208" i="42"/>
  <c r="O208" i="42" s="1"/>
  <c r="BL211" i="43"/>
  <c r="BP211" i="43" s="1"/>
  <c r="Y208" i="42"/>
  <c r="BL208" i="42" s="1"/>
  <c r="BP208" i="42" s="1"/>
  <c r="BL207" i="31" l="1"/>
  <c r="BP207" i="31" s="1"/>
  <c r="Z211" i="43"/>
  <c r="Z208" i="42"/>
  <c r="AE208" i="42" s="1"/>
  <c r="AD211" i="43" l="1"/>
  <c r="AE211" i="43"/>
  <c r="Z207" i="31"/>
  <c r="AE207" i="31" s="1"/>
  <c r="N212" i="43"/>
  <c r="CC212" i="43" s="1"/>
  <c r="N209" i="42"/>
  <c r="AD208" i="42"/>
  <c r="AD207" i="31" l="1"/>
  <c r="CH208" i="31"/>
  <c r="N208" i="31"/>
  <c r="CE212" i="43"/>
  <c r="CD212" i="43"/>
  <c r="P212" i="43"/>
  <c r="Q212" i="43" s="1"/>
  <c r="AH212" i="43"/>
  <c r="AH209" i="42"/>
  <c r="CC209" i="42"/>
  <c r="P209" i="42"/>
  <c r="Q209" i="42" s="1"/>
  <c r="BH209" i="42" s="1"/>
  <c r="CF212" i="43" l="1"/>
  <c r="P208" i="31"/>
  <c r="Q208" i="31" s="1"/>
  <c r="BH208" i="31" s="1"/>
  <c r="AH208" i="31"/>
  <c r="CC208" i="31"/>
  <c r="BH212" i="43"/>
  <c r="W212" i="43" s="1"/>
  <c r="CE209" i="42"/>
  <c r="CD209" i="42"/>
  <c r="AY22" i="31"/>
  <c r="V47" i="35" s="1"/>
  <c r="W209" i="42"/>
  <c r="M209" i="42" s="1"/>
  <c r="O209" i="42" s="1"/>
  <c r="CF209" i="42" l="1"/>
  <c r="J47" i="35"/>
  <c r="CE208" i="31"/>
  <c r="CD208" i="31"/>
  <c r="W208" i="31"/>
  <c r="X209" i="42"/>
  <c r="Y209" i="42" s="1"/>
  <c r="BL209" i="42" s="1"/>
  <c r="BP209" i="42" s="1"/>
  <c r="X212" i="43"/>
  <c r="Y212" i="43" s="1"/>
  <c r="BL212" i="43" s="1"/>
  <c r="BP212" i="43" s="1"/>
  <c r="M212" i="43"/>
  <c r="O212" i="43" s="1"/>
  <c r="CF208" i="31" l="1"/>
  <c r="X208" i="31"/>
  <c r="Y208" i="31" s="1"/>
  <c r="M208" i="31"/>
  <c r="O208" i="31" s="1"/>
  <c r="Z209" i="42"/>
  <c r="Z212" i="43"/>
  <c r="AE212" i="43" s="1"/>
  <c r="AD209" i="42" l="1"/>
  <c r="AE209" i="42"/>
  <c r="BL208" i="31"/>
  <c r="BP208" i="31" s="1"/>
  <c r="N210" i="42"/>
  <c r="AH210" i="42" s="1"/>
  <c r="N213" i="43"/>
  <c r="AD212" i="43"/>
  <c r="CC210" i="42" l="1"/>
  <c r="CE210" i="42" s="1"/>
  <c r="P210" i="42"/>
  <c r="Q210" i="42" s="1"/>
  <c r="BH210" i="42" s="1"/>
  <c r="W210" i="42" s="1"/>
  <c r="Z208" i="31"/>
  <c r="AE208" i="31" s="1"/>
  <c r="AY22" i="42"/>
  <c r="V82" i="35" s="1"/>
  <c r="AH213" i="43"/>
  <c r="CC213" i="43"/>
  <c r="P213" i="43"/>
  <c r="Q213" i="43" s="1"/>
  <c r="AY23" i="42" l="1"/>
  <c r="V83" i="35" s="1"/>
  <c r="D48" i="35" s="1"/>
  <c r="D47" i="35"/>
  <c r="AA83" i="35"/>
  <c r="X210" i="42"/>
  <c r="AB83" i="35" s="1"/>
  <c r="M210" i="42"/>
  <c r="O210" i="42" s="1"/>
  <c r="CD210" i="42"/>
  <c r="CF210" i="42" s="1"/>
  <c r="AD208" i="31"/>
  <c r="N209" i="31"/>
  <c r="CH209" i="31"/>
  <c r="BH213" i="43"/>
  <c r="W213" i="43" s="1"/>
  <c r="CE213" i="43"/>
  <c r="CD213" i="43"/>
  <c r="CF213" i="43" l="1"/>
  <c r="Y210" i="42"/>
  <c r="BL210" i="42" s="1"/>
  <c r="BP210" i="42" s="1"/>
  <c r="P209" i="31"/>
  <c r="Q209" i="31" s="1"/>
  <c r="AH209" i="31"/>
  <c r="CC209" i="31"/>
  <c r="M213" i="43"/>
  <c r="O213" i="43" s="1"/>
  <c r="X213" i="43"/>
  <c r="Y213" i="43" s="1"/>
  <c r="Z210" i="42" l="1"/>
  <c r="N211" i="42" s="1"/>
  <c r="CE209" i="31"/>
  <c r="CD209" i="31"/>
  <c r="BH209" i="31"/>
  <c r="W209" i="31" s="1"/>
  <c r="BL213" i="43"/>
  <c r="CF209" i="31" l="1"/>
  <c r="AD210" i="42"/>
  <c r="AD83" i="35" s="1"/>
  <c r="AE83" i="35" s="1"/>
  <c r="AE210" i="42"/>
  <c r="AF83" i="35" s="1"/>
  <c r="X209" i="31"/>
  <c r="Y209" i="31" s="1"/>
  <c r="M209" i="31"/>
  <c r="O209" i="31" s="1"/>
  <c r="AH211" i="42"/>
  <c r="CC211" i="42"/>
  <c r="BP213" i="43"/>
  <c r="Z213" i="43"/>
  <c r="AE213" i="43" s="1"/>
  <c r="P211" i="42" l="1"/>
  <c r="Q211" i="42" s="1"/>
  <c r="BH211" i="42" s="1"/>
  <c r="W211" i="42" s="1"/>
  <c r="I48" i="35"/>
  <c r="BL209" i="31"/>
  <c r="BP209" i="31" s="1"/>
  <c r="CE211" i="42"/>
  <c r="CD211" i="42"/>
  <c r="N214" i="43"/>
  <c r="AD213" i="43"/>
  <c r="H48" i="35"/>
  <c r="G48" i="35"/>
  <c r="CF211" i="42" l="1"/>
  <c r="Z209" i="31"/>
  <c r="AE209" i="31" s="1"/>
  <c r="M211" i="42"/>
  <c r="O211" i="42" s="1"/>
  <c r="X211" i="42"/>
  <c r="Y211" i="42" s="1"/>
  <c r="AH214" i="43"/>
  <c r="CC214" i="43"/>
  <c r="P214" i="43"/>
  <c r="Q214" i="43" s="1"/>
  <c r="AD209" i="31" l="1"/>
  <c r="CH210" i="31"/>
  <c r="N210" i="31"/>
  <c r="BH214" i="43"/>
  <c r="W214" i="43" s="1"/>
  <c r="CE214" i="43"/>
  <c r="CD214" i="43"/>
  <c r="BL211" i="42"/>
  <c r="CF214" i="43" l="1"/>
  <c r="P210" i="31"/>
  <c r="Q210" i="31" s="1"/>
  <c r="AA48" i="35" s="1"/>
  <c r="AH210" i="31"/>
  <c r="CC210" i="31"/>
  <c r="X214" i="43"/>
  <c r="Y214" i="43" s="1"/>
  <c r="M214" i="43"/>
  <c r="O214" i="43" s="1"/>
  <c r="BP211" i="42"/>
  <c r="Z211" i="42"/>
  <c r="AE211" i="42" s="1"/>
  <c r="BH210" i="31" l="1"/>
  <c r="W210" i="31" s="1"/>
  <c r="AY23" i="31"/>
  <c r="CD210" i="31"/>
  <c r="CE210" i="31"/>
  <c r="BL214" i="43"/>
  <c r="BP214" i="43" s="1"/>
  <c r="N212" i="42"/>
  <c r="AD211" i="42"/>
  <c r="CF210" i="31" l="1"/>
  <c r="V48" i="35"/>
  <c r="J48" i="35" s="1"/>
  <c r="X210" i="31"/>
  <c r="Y210" i="31" s="1"/>
  <c r="M210" i="31"/>
  <c r="O210" i="31" s="1"/>
  <c r="AH212" i="42"/>
  <c r="CC212" i="42"/>
  <c r="P212" i="42"/>
  <c r="Q212" i="42" s="1"/>
  <c r="Z214" i="43"/>
  <c r="AE214" i="43" s="1"/>
  <c r="BL210" i="31" l="1"/>
  <c r="BP210" i="31" s="1"/>
  <c r="AB48" i="35"/>
  <c r="CE212" i="42"/>
  <c r="CD212" i="42"/>
  <c r="BH212" i="42"/>
  <c r="W212" i="42" s="1"/>
  <c r="N215" i="43"/>
  <c r="AD214" i="43"/>
  <c r="CF212" i="42" l="1"/>
  <c r="X212" i="42"/>
  <c r="Y212" i="42" s="1"/>
  <c r="M212" i="42"/>
  <c r="O212" i="42" s="1"/>
  <c r="Z210" i="31"/>
  <c r="AE210" i="31" s="1"/>
  <c r="AF48" i="35" s="1"/>
  <c r="AH215" i="43"/>
  <c r="CC215" i="43"/>
  <c r="P215" i="43"/>
  <c r="Q215" i="43" s="1"/>
  <c r="AD210" i="31" l="1"/>
  <c r="CH211" i="31"/>
  <c r="N211" i="31"/>
  <c r="CE215" i="43"/>
  <c r="CD215" i="43"/>
  <c r="BH215" i="43"/>
  <c r="W215" i="43" s="1"/>
  <c r="BL212" i="42"/>
  <c r="BP212" i="42" s="1"/>
  <c r="CF215" i="43" l="1"/>
  <c r="AD48" i="35"/>
  <c r="AE48" i="35" s="1"/>
  <c r="P211" i="31"/>
  <c r="Q211" i="31" s="1"/>
  <c r="BH211" i="31" s="1"/>
  <c r="AH211" i="31"/>
  <c r="CC211" i="31"/>
  <c r="X215" i="43"/>
  <c r="Y215" i="43" s="1"/>
  <c r="M215" i="43"/>
  <c r="O215" i="43" s="1"/>
  <c r="Z212" i="42"/>
  <c r="AE212" i="42" s="1"/>
  <c r="O48" i="35" l="1"/>
  <c r="M48" i="35"/>
  <c r="CE211" i="31"/>
  <c r="CD211" i="31"/>
  <c r="W211" i="31"/>
  <c r="BL215" i="43"/>
  <c r="BP215" i="43" s="1"/>
  <c r="N213" i="42"/>
  <c r="AD212" i="42"/>
  <c r="CF211" i="31" l="1"/>
  <c r="N48" i="35"/>
  <c r="X211" i="31"/>
  <c r="Y211" i="31" s="1"/>
  <c r="M211" i="31"/>
  <c r="Z215" i="43"/>
  <c r="AH213" i="42"/>
  <c r="CC213" i="42"/>
  <c r="P213" i="42"/>
  <c r="Q213" i="42" s="1"/>
  <c r="AD215" i="43" l="1"/>
  <c r="AE215" i="43"/>
  <c r="O211" i="31"/>
  <c r="D71" i="2"/>
  <c r="A71" i="2" s="1"/>
  <c r="BL211" i="31"/>
  <c r="BP211" i="31" s="1"/>
  <c r="BH213" i="42"/>
  <c r="W213" i="42" s="1"/>
  <c r="CE213" i="42"/>
  <c r="CD213" i="42"/>
  <c r="N216" i="43"/>
  <c r="P216" i="43" s="1"/>
  <c r="Q216" i="43" s="1"/>
  <c r="CF213" i="42" l="1"/>
  <c r="Z211" i="31"/>
  <c r="AE211" i="31" s="1"/>
  <c r="X213" i="42"/>
  <c r="Y213" i="42" s="1"/>
  <c r="M213" i="42"/>
  <c r="O213" i="42" s="1"/>
  <c r="BH216" i="43"/>
  <c r="W216" i="43" s="1"/>
  <c r="X216" i="43" s="1"/>
  <c r="AH216" i="43"/>
  <c r="CC216" i="43"/>
  <c r="AD211" i="31" l="1"/>
  <c r="N212" i="31"/>
  <c r="CH212" i="31"/>
  <c r="CE216" i="43"/>
  <c r="CD216" i="43"/>
  <c r="M216" i="43"/>
  <c r="O216" i="43" s="1"/>
  <c r="BL213" i="42"/>
  <c r="BP213" i="42" s="1"/>
  <c r="Y216" i="43"/>
  <c r="BL216" i="43" s="1"/>
  <c r="BP216" i="43" s="1"/>
  <c r="CF216" i="43" l="1"/>
  <c r="P212" i="31"/>
  <c r="Q212" i="31" s="1"/>
  <c r="BH212" i="31" s="1"/>
  <c r="AH212" i="31"/>
  <c r="CC212" i="31"/>
  <c r="Z213" i="42"/>
  <c r="AE213" i="42" s="1"/>
  <c r="Z216" i="43"/>
  <c r="AE216" i="43" s="1"/>
  <c r="CD212" i="31" l="1"/>
  <c r="CE212" i="31"/>
  <c r="W212" i="31"/>
  <c r="N217" i="43"/>
  <c r="AD216" i="43"/>
  <c r="N214" i="42"/>
  <c r="AD213" i="42"/>
  <c r="CF212" i="31" l="1"/>
  <c r="X212" i="31"/>
  <c r="Y212" i="31" s="1"/>
  <c r="M212" i="31"/>
  <c r="O212" i="31" s="1"/>
  <c r="P214" i="42"/>
  <c r="Q214" i="42" s="1"/>
  <c r="AH217" i="43"/>
  <c r="CC217" i="43"/>
  <c r="P217" i="43"/>
  <c r="Q217" i="43" s="1"/>
  <c r="BH217" i="43" s="1"/>
  <c r="AH214" i="42"/>
  <c r="CC214" i="42"/>
  <c r="BL212" i="31" l="1"/>
  <c r="BP212" i="31" s="1"/>
  <c r="BH214" i="42"/>
  <c r="W214" i="42" s="1"/>
  <c r="M214" i="42" s="1"/>
  <c r="O214" i="42" s="1"/>
  <c r="CE214" i="42"/>
  <c r="CD214" i="42"/>
  <c r="W217" i="43"/>
  <c r="X217" i="43" s="1"/>
  <c r="CE217" i="43"/>
  <c r="CD217" i="43"/>
  <c r="CF214" i="42" l="1"/>
  <c r="CF217" i="43"/>
  <c r="M217" i="43"/>
  <c r="O217" i="43" s="1"/>
  <c r="Z212" i="31"/>
  <c r="AE212" i="31" s="1"/>
  <c r="X214" i="42"/>
  <c r="Y214" i="42" s="1"/>
  <c r="Y217" i="43"/>
  <c r="BL217" i="43" s="1"/>
  <c r="BP217" i="43" s="1"/>
  <c r="N213" i="31" l="1"/>
  <c r="AD212" i="31"/>
  <c r="CH213" i="31"/>
  <c r="BL214" i="42"/>
  <c r="Z217" i="43"/>
  <c r="AE217" i="43" s="1"/>
  <c r="AH213" i="31" l="1"/>
  <c r="CC213" i="31"/>
  <c r="P213" i="31"/>
  <c r="Q213" i="31" s="1"/>
  <c r="BH213" i="31" s="1"/>
  <c r="W213" i="31" s="1"/>
  <c r="N218" i="43"/>
  <c r="AD217" i="43"/>
  <c r="BP214" i="42"/>
  <c r="Z214" i="42"/>
  <c r="AE214" i="42" s="1"/>
  <c r="X213" i="31" l="1"/>
  <c r="Y213" i="31" s="1"/>
  <c r="M213" i="31"/>
  <c r="O213" i="31" s="1"/>
  <c r="CD213" i="31"/>
  <c r="CE213" i="31"/>
  <c r="AH218" i="43"/>
  <c r="CC218" i="43"/>
  <c r="N215" i="42"/>
  <c r="AD214" i="42"/>
  <c r="P218" i="43"/>
  <c r="Q218" i="43" s="1"/>
  <c r="BH218" i="43" s="1"/>
  <c r="CF213" i="31" l="1"/>
  <c r="BL213" i="31"/>
  <c r="BP213" i="31" s="1"/>
  <c r="CE218" i="43"/>
  <c r="CD218" i="43"/>
  <c r="W218" i="43"/>
  <c r="X218" i="43" s="1"/>
  <c r="P215" i="42"/>
  <c r="Q215" i="42" s="1"/>
  <c r="AH215" i="42"/>
  <c r="CC215" i="42"/>
  <c r="CF218" i="43" l="1"/>
  <c r="M218" i="43"/>
  <c r="O218" i="43" s="1"/>
  <c r="Z213" i="31"/>
  <c r="AE213" i="31" s="1"/>
  <c r="CE215" i="42"/>
  <c r="CD215" i="42"/>
  <c r="BH215" i="42"/>
  <c r="W215" i="42" s="1"/>
  <c r="Y218" i="43"/>
  <c r="BL218" i="43" s="1"/>
  <c r="BP218" i="43" s="1"/>
  <c r="CF215" i="42" l="1"/>
  <c r="X215" i="42"/>
  <c r="Y215" i="42" s="1"/>
  <c r="M215" i="42"/>
  <c r="O215" i="42" s="1"/>
  <c r="N214" i="31"/>
  <c r="CH214" i="31"/>
  <c r="AD213" i="31"/>
  <c r="Z218" i="43"/>
  <c r="AD218" i="43" l="1"/>
  <c r="AE218" i="43"/>
  <c r="P214" i="31"/>
  <c r="Q214" i="31" s="1"/>
  <c r="BH214" i="31" s="1"/>
  <c r="W214" i="31" s="1"/>
  <c r="AH214" i="31"/>
  <c r="CC214" i="31"/>
  <c r="N219" i="43"/>
  <c r="CC219" i="43" s="1"/>
  <c r="BL215" i="42"/>
  <c r="BP215" i="42" s="1"/>
  <c r="CD214" i="31" l="1"/>
  <c r="CE214" i="31"/>
  <c r="X214" i="31"/>
  <c r="Y214" i="31" s="1"/>
  <c r="M214" i="31"/>
  <c r="O214" i="31" s="1"/>
  <c r="CE219" i="43"/>
  <c r="CD219" i="43"/>
  <c r="P219" i="43"/>
  <c r="Q219" i="43" s="1"/>
  <c r="BH219" i="43" s="1"/>
  <c r="AH219" i="43"/>
  <c r="Z215" i="42"/>
  <c r="AE215" i="42" s="1"/>
  <c r="CF219" i="43" l="1"/>
  <c r="CF214" i="31"/>
  <c r="BL214" i="31"/>
  <c r="BP214" i="31" s="1"/>
  <c r="W219" i="43"/>
  <c r="X219" i="43" s="1"/>
  <c r="Y219" i="43" s="1"/>
  <c r="BL219" i="43" s="1"/>
  <c r="BP219" i="43" s="1"/>
  <c r="N216" i="42"/>
  <c r="AD215" i="42"/>
  <c r="Z214" i="31" l="1"/>
  <c r="AE214" i="31" s="1"/>
  <c r="M219" i="43"/>
  <c r="O219" i="43" s="1"/>
  <c r="AH216" i="42"/>
  <c r="CC216" i="42"/>
  <c r="P216" i="42"/>
  <c r="Q216" i="42" s="1"/>
  <c r="BH216" i="42" s="1"/>
  <c r="Z219" i="43"/>
  <c r="AE219" i="43" s="1"/>
  <c r="CH215" i="31" l="1"/>
  <c r="N215" i="31"/>
  <c r="AD214" i="31"/>
  <c r="CE216" i="42"/>
  <c r="CD216" i="42"/>
  <c r="W216" i="42"/>
  <c r="X216" i="42" s="1"/>
  <c r="N220" i="43"/>
  <c r="AD219" i="43"/>
  <c r="CF216" i="42" l="1"/>
  <c r="AH215" i="31"/>
  <c r="CC215" i="31"/>
  <c r="P215" i="31"/>
  <c r="Q215" i="31" s="1"/>
  <c r="BH215" i="31" s="1"/>
  <c r="W215" i="31" s="1"/>
  <c r="M216" i="42"/>
  <c r="O216" i="42" s="1"/>
  <c r="Y216" i="42"/>
  <c r="BL216" i="42" s="1"/>
  <c r="BP216" i="42" s="1"/>
  <c r="AH220" i="43"/>
  <c r="CC220" i="43"/>
  <c r="P220" i="43"/>
  <c r="Q220" i="43" s="1"/>
  <c r="BH220" i="43" s="1"/>
  <c r="M215" i="31" l="1"/>
  <c r="O215" i="31" s="1"/>
  <c r="X215" i="31"/>
  <c r="Y215" i="31" s="1"/>
  <c r="CE215" i="31"/>
  <c r="CD215" i="31"/>
  <c r="W220" i="43"/>
  <c r="M220" i="43" s="1"/>
  <c r="O220" i="43" s="1"/>
  <c r="CE220" i="43"/>
  <c r="CD220" i="43"/>
  <c r="Z216" i="42"/>
  <c r="AE216" i="42" s="1"/>
  <c r="CF215" i="31" l="1"/>
  <c r="CF220" i="43"/>
  <c r="BL215" i="31"/>
  <c r="BP215" i="31" s="1"/>
  <c r="X220" i="43"/>
  <c r="Y220" i="43" s="1"/>
  <c r="BL220" i="43" s="1"/>
  <c r="BP220" i="43" s="1"/>
  <c r="N217" i="42"/>
  <c r="AD216" i="42"/>
  <c r="Z215" i="31" l="1"/>
  <c r="AE215" i="31" s="1"/>
  <c r="Z220" i="43"/>
  <c r="AE220" i="43" s="1"/>
  <c r="AH217" i="42"/>
  <c r="CC217" i="42"/>
  <c r="P217" i="42"/>
  <c r="Q217" i="42" s="1"/>
  <c r="BH217" i="42" s="1"/>
  <c r="AD215" i="31" l="1"/>
  <c r="CH216" i="31"/>
  <c r="N216" i="31"/>
  <c r="CE217" i="42"/>
  <c r="CD217" i="42"/>
  <c r="W217" i="42"/>
  <c r="X217" i="42" s="1"/>
  <c r="N221" i="43"/>
  <c r="AD220" i="43"/>
  <c r="CF217" i="42" l="1"/>
  <c r="P216" i="31"/>
  <c r="Q216" i="31" s="1"/>
  <c r="BH216" i="31" s="1"/>
  <c r="AH216" i="31"/>
  <c r="CC216" i="31"/>
  <c r="M217" i="42"/>
  <c r="O217" i="42" s="1"/>
  <c r="AH221" i="43"/>
  <c r="CC221" i="43"/>
  <c r="P221" i="43"/>
  <c r="Q221" i="43" s="1"/>
  <c r="BH221" i="43" s="1"/>
  <c r="Y217" i="42"/>
  <c r="BL217" i="42" s="1"/>
  <c r="BP217" i="42" s="1"/>
  <c r="W216" i="31" l="1"/>
  <c r="CD216" i="31"/>
  <c r="CE216" i="31"/>
  <c r="CE221" i="43"/>
  <c r="CD221" i="43"/>
  <c r="W221" i="43"/>
  <c r="X221" i="43" s="1"/>
  <c r="Z217" i="42"/>
  <c r="CF221" i="43" l="1"/>
  <c r="CF216" i="31"/>
  <c r="AD217" i="42"/>
  <c r="AE217" i="42"/>
  <c r="M221" i="43"/>
  <c r="O221" i="43" s="1"/>
  <c r="X216" i="31"/>
  <c r="Y216" i="31" s="1"/>
  <c r="M216" i="31"/>
  <c r="O216" i="31" s="1"/>
  <c r="N218" i="42"/>
  <c r="P218" i="42" s="1"/>
  <c r="Q218" i="42" s="1"/>
  <c r="BH218" i="42" s="1"/>
  <c r="Y221" i="43"/>
  <c r="BL221" i="43" s="1"/>
  <c r="BP221" i="43" s="1"/>
  <c r="BL216" i="31" l="1"/>
  <c r="BP216" i="31" s="1"/>
  <c r="CC218" i="42"/>
  <c r="W218" i="42"/>
  <c r="M218" i="42" s="1"/>
  <c r="O218" i="42" s="1"/>
  <c r="AH218" i="42"/>
  <c r="Z221" i="43"/>
  <c r="AE221" i="43" s="1"/>
  <c r="Z216" i="31" l="1"/>
  <c r="AE216" i="31" s="1"/>
  <c r="X218" i="42"/>
  <c r="Y218" i="42" s="1"/>
  <c r="BL218" i="42" s="1"/>
  <c r="BP218" i="42" s="1"/>
  <c r="CE218" i="42"/>
  <c r="CD218" i="42"/>
  <c r="N222" i="43"/>
  <c r="AD221" i="43"/>
  <c r="CF218" i="42" l="1"/>
  <c r="CH217" i="31"/>
  <c r="AD216" i="31"/>
  <c r="N217" i="31"/>
  <c r="AH222" i="43"/>
  <c r="CC222" i="43"/>
  <c r="P222" i="43"/>
  <c r="Q222" i="43" s="1"/>
  <c r="Z218" i="42"/>
  <c r="AE218" i="42" s="1"/>
  <c r="P217" i="31" l="1"/>
  <c r="Q217" i="31" s="1"/>
  <c r="BH217" i="31" s="1"/>
  <c r="AH217" i="31"/>
  <c r="CC217" i="31"/>
  <c r="BH222" i="43"/>
  <c r="W222" i="43" s="1"/>
  <c r="AY24" i="43"/>
  <c r="CE222" i="43"/>
  <c r="CD222" i="43"/>
  <c r="N219" i="42"/>
  <c r="AD218" i="42"/>
  <c r="CF222" i="43" l="1"/>
  <c r="W217" i="31"/>
  <c r="CE217" i="31"/>
  <c r="CD217" i="31"/>
  <c r="X222" i="43"/>
  <c r="Y222" i="43" s="1"/>
  <c r="BL222" i="43" s="1"/>
  <c r="BP222" i="43" s="1"/>
  <c r="M222" i="43"/>
  <c r="O222" i="43" s="1"/>
  <c r="AH219" i="42"/>
  <c r="CC219" i="42"/>
  <c r="P219" i="42"/>
  <c r="Q219" i="42" s="1"/>
  <c r="BH219" i="42" s="1"/>
  <c r="CF217" i="31" l="1"/>
  <c r="X217" i="31"/>
  <c r="Y217" i="31" s="1"/>
  <c r="M217" i="31"/>
  <c r="O217" i="31" s="1"/>
  <c r="W219" i="42"/>
  <c r="M219" i="42" s="1"/>
  <c r="O219" i="42" s="1"/>
  <c r="CE219" i="42"/>
  <c r="CD219" i="42"/>
  <c r="Z222" i="43"/>
  <c r="AE222" i="43" s="1"/>
  <c r="CF219" i="42" l="1"/>
  <c r="X219" i="42"/>
  <c r="Y219" i="42" s="1"/>
  <c r="BL219" i="42" s="1"/>
  <c r="BP219" i="42" s="1"/>
  <c r="BL217" i="31"/>
  <c r="BP217" i="31" s="1"/>
  <c r="N223" i="43"/>
  <c r="AD222" i="43"/>
  <c r="Z217" i="31" l="1"/>
  <c r="AE217" i="31" s="1"/>
  <c r="Z219" i="42"/>
  <c r="AE219" i="42" s="1"/>
  <c r="AH223" i="43"/>
  <c r="CC223" i="43"/>
  <c r="P223" i="43"/>
  <c r="Q223" i="43" s="1"/>
  <c r="BH223" i="43" l="1"/>
  <c r="W223" i="43" s="1"/>
  <c r="CE223" i="43"/>
  <c r="CD223" i="43"/>
  <c r="N218" i="31"/>
  <c r="CH218" i="31"/>
  <c r="AD217" i="31"/>
  <c r="N220" i="42"/>
  <c r="AD219" i="42"/>
  <c r="CF223" i="43" l="1"/>
  <c r="X223" i="43"/>
  <c r="Y223" i="43" s="1"/>
  <c r="M223" i="43"/>
  <c r="O223" i="43" s="1"/>
  <c r="AH218" i="31"/>
  <c r="CC218" i="31"/>
  <c r="P218" i="31"/>
  <c r="Q218" i="31" s="1"/>
  <c r="BH218" i="31" s="1"/>
  <c r="P220" i="42"/>
  <c r="Q220" i="42" s="1"/>
  <c r="BH220" i="42" s="1"/>
  <c r="AH220" i="42"/>
  <c r="CC220" i="42"/>
  <c r="W218" i="31" l="1"/>
  <c r="CD218" i="31"/>
  <c r="CE218" i="31"/>
  <c r="CE220" i="42"/>
  <c r="CD220" i="42"/>
  <c r="W220" i="42"/>
  <c r="X220" i="42" s="1"/>
  <c r="BL223" i="43"/>
  <c r="CF220" i="42" l="1"/>
  <c r="CF218" i="31"/>
  <c r="M220" i="42"/>
  <c r="O220" i="42" s="1"/>
  <c r="X218" i="31"/>
  <c r="Y218" i="31" s="1"/>
  <c r="M218" i="31"/>
  <c r="O218" i="31" s="1"/>
  <c r="Y220" i="42"/>
  <c r="BL220" i="42" s="1"/>
  <c r="BP220" i="42" s="1"/>
  <c r="BP223" i="43"/>
  <c r="Z223" i="43"/>
  <c r="AE223" i="43" s="1"/>
  <c r="BL218" i="31" l="1"/>
  <c r="BP218" i="31" s="1"/>
  <c r="Z220" i="42"/>
  <c r="AE220" i="42" s="1"/>
  <c r="N224" i="43"/>
  <c r="AD223" i="43"/>
  <c r="Z218" i="31" l="1"/>
  <c r="AE218" i="31" s="1"/>
  <c r="P224" i="43"/>
  <c r="Q224" i="43" s="1"/>
  <c r="AH224" i="43"/>
  <c r="CC224" i="43"/>
  <c r="N221" i="42"/>
  <c r="AD220" i="42"/>
  <c r="CE224" i="43" l="1"/>
  <c r="CD224" i="43"/>
  <c r="BH224" i="43"/>
  <c r="W224" i="43" s="1"/>
  <c r="N219" i="31"/>
  <c r="CH219" i="31"/>
  <c r="AD218" i="31"/>
  <c r="AH221" i="42"/>
  <c r="CC221" i="42"/>
  <c r="P221" i="42"/>
  <c r="Q221" i="42" s="1"/>
  <c r="BH221" i="42" s="1"/>
  <c r="CF224" i="43" l="1"/>
  <c r="M224" i="43"/>
  <c r="O224" i="43" s="1"/>
  <c r="X224" i="43"/>
  <c r="Y224" i="43" s="1"/>
  <c r="AH219" i="31"/>
  <c r="CC219" i="31"/>
  <c r="P219" i="31"/>
  <c r="Q219" i="31" s="1"/>
  <c r="BH219" i="31" s="1"/>
  <c r="W221" i="42"/>
  <c r="X221" i="42" s="1"/>
  <c r="CE221" i="42"/>
  <c r="CD221" i="42"/>
  <c r="CF221" i="42" l="1"/>
  <c r="M221" i="42"/>
  <c r="O221" i="42" s="1"/>
  <c r="CD219" i="31"/>
  <c r="CE219" i="31"/>
  <c r="W219" i="31"/>
  <c r="BL224" i="43"/>
  <c r="Y221" i="42"/>
  <c r="BL221" i="42" s="1"/>
  <c r="BP221" i="42" s="1"/>
  <c r="CF219" i="31" l="1"/>
  <c r="X219" i="31"/>
  <c r="Y219" i="31" s="1"/>
  <c r="M219" i="31"/>
  <c r="O219" i="31" s="1"/>
  <c r="Z221" i="42"/>
  <c r="AE221" i="42" s="1"/>
  <c r="BP224" i="43"/>
  <c r="Z224" i="43"/>
  <c r="AE224" i="43" s="1"/>
  <c r="BL219" i="31" l="1"/>
  <c r="BP219" i="31" s="1"/>
  <c r="N222" i="42"/>
  <c r="AD221" i="42"/>
  <c r="N225" i="43"/>
  <c r="AD224" i="43"/>
  <c r="Z219" i="31" l="1"/>
  <c r="AE219" i="31" s="1"/>
  <c r="AH222" i="42"/>
  <c r="CC222" i="42"/>
  <c r="P222" i="42"/>
  <c r="Q222" i="42" s="1"/>
  <c r="AH225" i="43"/>
  <c r="CC225" i="43"/>
  <c r="P225" i="43"/>
  <c r="Q225" i="43" s="1"/>
  <c r="BH225" i="43" l="1"/>
  <c r="W225" i="43" s="1"/>
  <c r="CE225" i="43"/>
  <c r="CD225" i="43"/>
  <c r="AD219" i="31"/>
  <c r="N220" i="31"/>
  <c r="CH220" i="31"/>
  <c r="BH222" i="42"/>
  <c r="W222" i="42" s="1"/>
  <c r="X222" i="42" s="1"/>
  <c r="AA84" i="35"/>
  <c r="AY24" i="42"/>
  <c r="CE222" i="42"/>
  <c r="CD222" i="42"/>
  <c r="CF222" i="42" l="1"/>
  <c r="CF225" i="43"/>
  <c r="V84" i="35"/>
  <c r="D49" i="35" s="1"/>
  <c r="X225" i="43"/>
  <c r="Y225" i="43" s="1"/>
  <c r="M225" i="43"/>
  <c r="O225" i="43" s="1"/>
  <c r="P220" i="31"/>
  <c r="Q220" i="31" s="1"/>
  <c r="AH220" i="31"/>
  <c r="CC220" i="31"/>
  <c r="M222" i="42"/>
  <c r="O222" i="42" s="1"/>
  <c r="AB84" i="35"/>
  <c r="Y222" i="42"/>
  <c r="BL222" i="42" s="1"/>
  <c r="BP222" i="42" s="1"/>
  <c r="BH220" i="31" l="1"/>
  <c r="W220" i="31" s="1"/>
  <c r="CD220" i="31"/>
  <c r="CE220" i="31"/>
  <c r="BL225" i="43"/>
  <c r="Z222" i="42"/>
  <c r="AE222" i="42" s="1"/>
  <c r="AF84" i="35" s="1"/>
  <c r="CF220" i="31" l="1"/>
  <c r="X220" i="31"/>
  <c r="Y220" i="31" s="1"/>
  <c r="M220" i="31"/>
  <c r="O220" i="31" s="1"/>
  <c r="N223" i="42"/>
  <c r="AD222" i="42"/>
  <c r="BP225" i="43"/>
  <c r="Z225" i="43"/>
  <c r="AE225" i="43" s="1"/>
  <c r="BL220" i="31" l="1"/>
  <c r="BP220" i="31" s="1"/>
  <c r="N226" i="43"/>
  <c r="AD225" i="43"/>
  <c r="AH223" i="42"/>
  <c r="CC223" i="42"/>
  <c r="P223" i="42"/>
  <c r="Q223" i="42" s="1"/>
  <c r="AD84" i="35"/>
  <c r="AE84" i="35" s="1"/>
  <c r="CE223" i="42" l="1"/>
  <c r="CD223" i="42"/>
  <c r="BH223" i="42"/>
  <c r="W223" i="42" s="1"/>
  <c r="I49" i="35"/>
  <c r="Z220" i="31"/>
  <c r="AE220" i="31" s="1"/>
  <c r="AH226" i="43"/>
  <c r="CC226" i="43"/>
  <c r="P226" i="43"/>
  <c r="Q226" i="43" s="1"/>
  <c r="G49" i="35"/>
  <c r="H49" i="35"/>
  <c r="CF223" i="42" l="1"/>
  <c r="X223" i="42"/>
  <c r="Y223" i="42" s="1"/>
  <c r="M223" i="42"/>
  <c r="O223" i="42" s="1"/>
  <c r="BH226" i="43"/>
  <c r="W226" i="43" s="1"/>
  <c r="CE226" i="43"/>
  <c r="CD226" i="43"/>
  <c r="AD220" i="31"/>
  <c r="CH221" i="31"/>
  <c r="N221" i="31"/>
  <c r="CF226" i="43" l="1"/>
  <c r="X226" i="43"/>
  <c r="Y226" i="43" s="1"/>
  <c r="M226" i="43"/>
  <c r="O226" i="43" s="1"/>
  <c r="P221" i="31"/>
  <c r="Q221" i="31" s="1"/>
  <c r="AH221" i="31"/>
  <c r="CC221" i="31"/>
  <c r="BL223" i="42"/>
  <c r="BP223" i="42" s="1"/>
  <c r="CD221" i="31" l="1"/>
  <c r="CE221" i="31"/>
  <c r="BH221" i="31"/>
  <c r="W221" i="31" s="1"/>
  <c r="BL226" i="43"/>
  <c r="BP226" i="43" s="1"/>
  <c r="Z223" i="42"/>
  <c r="AE223" i="42" s="1"/>
  <c r="CF221" i="31" l="1"/>
  <c r="X221" i="31"/>
  <c r="Y221" i="31" s="1"/>
  <c r="M221" i="31"/>
  <c r="O221" i="31" s="1"/>
  <c r="Z226" i="43"/>
  <c r="AE226" i="43" s="1"/>
  <c r="N224" i="42"/>
  <c r="AD223" i="42"/>
  <c r="BL221" i="31" l="1"/>
  <c r="BP221" i="31" s="1"/>
  <c r="N227" i="43"/>
  <c r="AD226" i="43"/>
  <c r="AH224" i="42"/>
  <c r="CC224" i="42"/>
  <c r="P224" i="42"/>
  <c r="Q224" i="42" s="1"/>
  <c r="CE224" i="42" l="1"/>
  <c r="CD224" i="42"/>
  <c r="BH224" i="42"/>
  <c r="W224" i="42" s="1"/>
  <c r="Z221" i="31"/>
  <c r="AE221" i="31" s="1"/>
  <c r="AH227" i="43"/>
  <c r="CC227" i="43"/>
  <c r="P227" i="43"/>
  <c r="Q227" i="43" s="1"/>
  <c r="CF224" i="42" l="1"/>
  <c r="M224" i="42"/>
  <c r="O224" i="42" s="1"/>
  <c r="X224" i="42"/>
  <c r="Y224" i="42" s="1"/>
  <c r="CE227" i="43"/>
  <c r="CD227" i="43"/>
  <c r="BH227" i="43"/>
  <c r="W227" i="43" s="1"/>
  <c r="AD221" i="31"/>
  <c r="N222" i="31"/>
  <c r="CH222" i="31"/>
  <c r="CF227" i="43" l="1"/>
  <c r="M227" i="43"/>
  <c r="O227" i="43" s="1"/>
  <c r="X227" i="43"/>
  <c r="Y227" i="43" s="1"/>
  <c r="AH222" i="31"/>
  <c r="CC222" i="31"/>
  <c r="P222" i="31"/>
  <c r="Q222" i="31" s="1"/>
  <c r="BL224" i="42"/>
  <c r="BP224" i="42" s="1"/>
  <c r="CE222" i="31" l="1"/>
  <c r="CD222" i="31"/>
  <c r="BH222" i="31"/>
  <c r="W222" i="31" s="1"/>
  <c r="AA49" i="35"/>
  <c r="AY24" i="31"/>
  <c r="Z224" i="42"/>
  <c r="AE224" i="42" s="1"/>
  <c r="BL227" i="43"/>
  <c r="BP227" i="43" s="1"/>
  <c r="CF222" i="31" l="1"/>
  <c r="V49" i="35"/>
  <c r="J49" i="35" s="1"/>
  <c r="M222" i="31"/>
  <c r="O222" i="31" s="1"/>
  <c r="X222" i="31"/>
  <c r="Y222" i="31" s="1"/>
  <c r="Z227" i="43"/>
  <c r="N225" i="42"/>
  <c r="AD224" i="42"/>
  <c r="AD227" i="43" l="1"/>
  <c r="AE227" i="43"/>
  <c r="BL222" i="31"/>
  <c r="BP222" i="31" s="1"/>
  <c r="AB49" i="35"/>
  <c r="N228" i="43"/>
  <c r="AH225" i="42"/>
  <c r="CC225" i="42"/>
  <c r="P225" i="42"/>
  <c r="Q225" i="42" s="1"/>
  <c r="P228" i="43" l="1"/>
  <c r="Q228" i="43" s="1"/>
  <c r="BH228" i="43" s="1"/>
  <c r="BH225" i="42"/>
  <c r="W225" i="42" s="1"/>
  <c r="CE225" i="42"/>
  <c r="CD225" i="42"/>
  <c r="Z222" i="31"/>
  <c r="AH228" i="43"/>
  <c r="CC228" i="43"/>
  <c r="CF225" i="42" l="1"/>
  <c r="W228" i="43"/>
  <c r="M228" i="43" s="1"/>
  <c r="O228" i="43" s="1"/>
  <c r="CH223" i="31"/>
  <c r="AE222" i="31"/>
  <c r="AF49" i="35" s="1"/>
  <c r="X225" i="42"/>
  <c r="Y225" i="42" s="1"/>
  <c r="M225" i="42"/>
  <c r="O225" i="42" s="1"/>
  <c r="CE228" i="43"/>
  <c r="CD228" i="43"/>
  <c r="N223" i="31"/>
  <c r="CC223" i="31" s="1"/>
  <c r="AD222" i="31"/>
  <c r="AD49" i="35" s="1"/>
  <c r="AE49" i="35" s="1"/>
  <c r="CF228" i="43" l="1"/>
  <c r="X228" i="43"/>
  <c r="Y228" i="43" s="1"/>
  <c r="BL228" i="43" s="1"/>
  <c r="BP228" i="43" s="1"/>
  <c r="CE223" i="31"/>
  <c r="CD223" i="31"/>
  <c r="P223" i="31"/>
  <c r="Q223" i="31" s="1"/>
  <c r="O49" i="35"/>
  <c r="AH223" i="31"/>
  <c r="M49" i="35"/>
  <c r="BL225" i="42"/>
  <c r="BP225" i="42" s="1"/>
  <c r="CF223" i="31" l="1"/>
  <c r="Z228" i="43"/>
  <c r="AE228" i="43" s="1"/>
  <c r="BH223" i="31"/>
  <c r="W223" i="31" s="1"/>
  <c r="N49" i="35"/>
  <c r="Z225" i="42"/>
  <c r="AE225" i="42" s="1"/>
  <c r="AD228" i="43" l="1"/>
  <c r="N229" i="43"/>
  <c r="CC229" i="43" s="1"/>
  <c r="X223" i="31"/>
  <c r="Y223" i="31" s="1"/>
  <c r="M223" i="31"/>
  <c r="O223" i="31" s="1"/>
  <c r="N226" i="42"/>
  <c r="AD225" i="42"/>
  <c r="AH229" i="43" l="1"/>
  <c r="P229" i="43"/>
  <c r="Q229" i="43" s="1"/>
  <c r="BH229" i="43" s="1"/>
  <c r="BL223" i="31"/>
  <c r="BP223" i="31" s="1"/>
  <c r="CE229" i="43"/>
  <c r="CD229" i="43"/>
  <c r="P226" i="42"/>
  <c r="Q226" i="42" s="1"/>
  <c r="AH226" i="42"/>
  <c r="CC226" i="42"/>
  <c r="CF229" i="43" l="1"/>
  <c r="W229" i="43"/>
  <c r="X229" i="43" s="1"/>
  <c r="Y229" i="43" s="1"/>
  <c r="BL229" i="43" s="1"/>
  <c r="BP229" i="43" s="1"/>
  <c r="Z223" i="31"/>
  <c r="CE226" i="42"/>
  <c r="CD226" i="42"/>
  <c r="BH226" i="42"/>
  <c r="W226" i="42" s="1"/>
  <c r="CF226" i="42" l="1"/>
  <c r="M229" i="43"/>
  <c r="O229" i="43" s="1"/>
  <c r="AE223" i="31"/>
  <c r="CH224" i="31"/>
  <c r="N224" i="31"/>
  <c r="AD223" i="31"/>
  <c r="X226" i="42"/>
  <c r="Y226" i="42" s="1"/>
  <c r="M226" i="42"/>
  <c r="O226" i="42" s="1"/>
  <c r="Z229" i="43"/>
  <c r="AE229" i="43" s="1"/>
  <c r="P224" i="31" l="1"/>
  <c r="Q224" i="31" s="1"/>
  <c r="BH224" i="31" s="1"/>
  <c r="W224" i="31" s="1"/>
  <c r="M224" i="31" s="1"/>
  <c r="O224" i="31" s="1"/>
  <c r="CC224" i="31"/>
  <c r="AH224" i="31"/>
  <c r="BL226" i="42"/>
  <c r="BP226" i="42" s="1"/>
  <c r="N230" i="43"/>
  <c r="AD229" i="43"/>
  <c r="CE224" i="31" l="1"/>
  <c r="CD224" i="31"/>
  <c r="X224" i="31"/>
  <c r="Y224" i="31" s="1"/>
  <c r="P230" i="43"/>
  <c r="Q230" i="43" s="1"/>
  <c r="BH230" i="43" s="1"/>
  <c r="Z226" i="42"/>
  <c r="AE226" i="42" s="1"/>
  <c r="AH230" i="43"/>
  <c r="CC230" i="43"/>
  <c r="CF224" i="31" l="1"/>
  <c r="BL224" i="31"/>
  <c r="BP224" i="31" s="1"/>
  <c r="CE230" i="43"/>
  <c r="CD230" i="43"/>
  <c r="W230" i="43"/>
  <c r="X230" i="43" s="1"/>
  <c r="N227" i="42"/>
  <c r="AD226" i="42"/>
  <c r="CF230" i="43" l="1"/>
  <c r="M230" i="43"/>
  <c r="O230" i="43" s="1"/>
  <c r="Z224" i="31"/>
  <c r="AH227" i="42"/>
  <c r="CC227" i="42"/>
  <c r="P227" i="42"/>
  <c r="Q227" i="42" s="1"/>
  <c r="Y230" i="43"/>
  <c r="BL230" i="43" s="1"/>
  <c r="BP230" i="43" s="1"/>
  <c r="AE224" i="31" l="1"/>
  <c r="CH225" i="31"/>
  <c r="N225" i="31"/>
  <c r="AD224" i="31"/>
  <c r="CE227" i="42"/>
  <c r="CD227" i="42"/>
  <c r="BH227" i="42"/>
  <c r="W227" i="42" s="1"/>
  <c r="Z230" i="43"/>
  <c r="AE230" i="43" s="1"/>
  <c r="CF227" i="42" l="1"/>
  <c r="P225" i="31"/>
  <c r="Q225" i="31" s="1"/>
  <c r="BH225" i="31" s="1"/>
  <c r="AH225" i="31"/>
  <c r="CC225" i="31"/>
  <c r="X227" i="42"/>
  <c r="Y227" i="42" s="1"/>
  <c r="M227" i="42"/>
  <c r="O227" i="42" s="1"/>
  <c r="N231" i="43"/>
  <c r="AD230" i="43"/>
  <c r="CE225" i="31" l="1"/>
  <c r="CD225" i="31"/>
  <c r="W225" i="31"/>
  <c r="M225" i="31" s="1"/>
  <c r="O225" i="31" s="1"/>
  <c r="AH231" i="43"/>
  <c r="CC231" i="43"/>
  <c r="P231" i="43"/>
  <c r="Q231" i="43" s="1"/>
  <c r="BH231" i="43" s="1"/>
  <c r="BL227" i="42"/>
  <c r="BP227" i="42" s="1"/>
  <c r="CF225" i="31" l="1"/>
  <c r="X225" i="31"/>
  <c r="Y225" i="31" s="1"/>
  <c r="W231" i="43"/>
  <c r="M231" i="43" s="1"/>
  <c r="O231" i="43" s="1"/>
  <c r="CE231" i="43"/>
  <c r="CD231" i="43"/>
  <c r="Z227" i="42"/>
  <c r="AE227" i="42" s="1"/>
  <c r="CF231" i="43" l="1"/>
  <c r="BL225" i="31"/>
  <c r="BP225" i="31" s="1"/>
  <c r="X231" i="43"/>
  <c r="Y231" i="43" s="1"/>
  <c r="BL231" i="43" s="1"/>
  <c r="BP231" i="43" s="1"/>
  <c r="N228" i="42"/>
  <c r="AD227" i="42"/>
  <c r="Z225" i="31" l="1"/>
  <c r="Z231" i="43"/>
  <c r="AE231" i="43" s="1"/>
  <c r="AH228" i="42"/>
  <c r="CC228" i="42"/>
  <c r="P228" i="42"/>
  <c r="Q228" i="42" s="1"/>
  <c r="BH228" i="42" s="1"/>
  <c r="AE225" i="31" l="1"/>
  <c r="N226" i="31"/>
  <c r="AD225" i="31"/>
  <c r="CH226" i="31"/>
  <c r="W228" i="42"/>
  <c r="X228" i="42" s="1"/>
  <c r="CE228" i="42"/>
  <c r="CD228" i="42"/>
  <c r="N232" i="43"/>
  <c r="AD231" i="43"/>
  <c r="CF228" i="42" l="1"/>
  <c r="AH226" i="31"/>
  <c r="CC226" i="31"/>
  <c r="P226" i="31"/>
  <c r="Q226" i="31" s="1"/>
  <c r="BH226" i="31" s="1"/>
  <c r="M228" i="42"/>
  <c r="O228" i="42" s="1"/>
  <c r="P232" i="43"/>
  <c r="Q232" i="43" s="1"/>
  <c r="BH232" i="43" s="1"/>
  <c r="Y228" i="42"/>
  <c r="BL228" i="42" s="1"/>
  <c r="BP228" i="42" s="1"/>
  <c r="AH232" i="43"/>
  <c r="CC232" i="43"/>
  <c r="CE226" i="31" l="1"/>
  <c r="CD226" i="31"/>
  <c r="W226" i="31"/>
  <c r="CE232" i="43"/>
  <c r="CD232" i="43"/>
  <c r="W232" i="43"/>
  <c r="X232" i="43" s="1"/>
  <c r="Z228" i="42"/>
  <c r="CF226" i="31" l="1"/>
  <c r="CF232" i="43"/>
  <c r="M226" i="31"/>
  <c r="O226" i="31" s="1"/>
  <c r="X226" i="31"/>
  <c r="Y226" i="31" s="1"/>
  <c r="AD228" i="42"/>
  <c r="AE228" i="42"/>
  <c r="M232" i="43"/>
  <c r="O232" i="43" s="1"/>
  <c r="N229" i="42"/>
  <c r="AH229" i="42" s="1"/>
  <c r="Y232" i="43"/>
  <c r="BL232" i="43" s="1"/>
  <c r="BP232" i="43" s="1"/>
  <c r="BL226" i="31" l="1"/>
  <c r="BP226" i="31" s="1"/>
  <c r="CC229" i="42"/>
  <c r="CD229" i="42" s="1"/>
  <c r="P229" i="42"/>
  <c r="Q229" i="42" s="1"/>
  <c r="BH229" i="42" s="1"/>
  <c r="Z232" i="43"/>
  <c r="AE232" i="43" s="1"/>
  <c r="Z226" i="31" l="1"/>
  <c r="N227" i="31" s="1"/>
  <c r="AH227" i="31" s="1"/>
  <c r="CE229" i="42"/>
  <c r="CF229" i="42" s="1"/>
  <c r="W229" i="42"/>
  <c r="N233" i="43"/>
  <c r="AD232" i="43"/>
  <c r="AE226" i="31" l="1"/>
  <c r="AD226" i="31"/>
  <c r="P227" i="31" s="1"/>
  <c r="Q227" i="31" s="1"/>
  <c r="BH227" i="31" s="1"/>
  <c r="CC227" i="31"/>
  <c r="CH227" i="31"/>
  <c r="X229" i="42"/>
  <c r="Y229" i="42" s="1"/>
  <c r="BL229" i="42" s="1"/>
  <c r="BP229" i="42" s="1"/>
  <c r="M229" i="42"/>
  <c r="O229" i="42" s="1"/>
  <c r="AH233" i="43"/>
  <c r="CC233" i="43"/>
  <c r="P233" i="43"/>
  <c r="Q233" i="43" s="1"/>
  <c r="BH233" i="43" s="1"/>
  <c r="CE227" i="31" l="1"/>
  <c r="CD227" i="31"/>
  <c r="W227" i="31"/>
  <c r="X227" i="31" s="1"/>
  <c r="Y227" i="31" s="1"/>
  <c r="Z229" i="42"/>
  <c r="W233" i="43"/>
  <c r="M233" i="43" s="1"/>
  <c r="O233" i="43" s="1"/>
  <c r="CE233" i="43"/>
  <c r="CD233" i="43"/>
  <c r="CF227" i="31" l="1"/>
  <c r="CF233" i="43"/>
  <c r="M227" i="31"/>
  <c r="O227" i="31" s="1"/>
  <c r="BL227" i="31"/>
  <c r="BP227" i="31" s="1"/>
  <c r="N230" i="42"/>
  <c r="AE229" i="42"/>
  <c r="X233" i="43"/>
  <c r="Y233" i="43" s="1"/>
  <c r="BL233" i="43" s="1"/>
  <c r="BP233" i="43" s="1"/>
  <c r="AD229" i="42"/>
  <c r="Z227" i="31" l="1"/>
  <c r="P230" i="42"/>
  <c r="Q230" i="42" s="1"/>
  <c r="BH230" i="42" s="1"/>
  <c r="CC230" i="42"/>
  <c r="CE230" i="42" s="1"/>
  <c r="AH230" i="42"/>
  <c r="Z233" i="43"/>
  <c r="AE233" i="43" s="1"/>
  <c r="CD230" i="42" l="1"/>
  <c r="CF230" i="42" s="1"/>
  <c r="AE227" i="31"/>
  <c r="N228" i="31"/>
  <c r="CH228" i="31"/>
  <c r="AD227" i="31"/>
  <c r="W230" i="42"/>
  <c r="X230" i="42" s="1"/>
  <c r="Y230" i="42" s="1"/>
  <c r="BL230" i="42" s="1"/>
  <c r="BP230" i="42" s="1"/>
  <c r="N234" i="43"/>
  <c r="AD233" i="43"/>
  <c r="AH228" i="31" l="1"/>
  <c r="CC228" i="31"/>
  <c r="P228" i="31"/>
  <c r="Q228" i="31" s="1"/>
  <c r="BH228" i="31" s="1"/>
  <c r="M230" i="42"/>
  <c r="O230" i="42" s="1"/>
  <c r="AH234" i="43"/>
  <c r="CC234" i="43"/>
  <c r="P234" i="43"/>
  <c r="Q234" i="43" s="1"/>
  <c r="BH234" i="43" s="1"/>
  <c r="Z230" i="42"/>
  <c r="AE230" i="42" s="1"/>
  <c r="CE228" i="31" l="1"/>
  <c r="CD228" i="31"/>
  <c r="W228" i="31"/>
  <c r="W234" i="43"/>
  <c r="X234" i="43" s="1"/>
  <c r="CE234" i="43"/>
  <c r="CD234" i="43"/>
  <c r="N231" i="42"/>
  <c r="AD230" i="42"/>
  <c r="CF228" i="31" l="1"/>
  <c r="CF234" i="43"/>
  <c r="M234" i="43"/>
  <c r="O234" i="43" s="1"/>
  <c r="X228" i="31"/>
  <c r="Y228" i="31" s="1"/>
  <c r="M228" i="31"/>
  <c r="O228" i="31" s="1"/>
  <c r="AH231" i="42"/>
  <c r="CC231" i="42"/>
  <c r="P231" i="42"/>
  <c r="Q231" i="42" s="1"/>
  <c r="BH231" i="42" s="1"/>
  <c r="Y234" i="43"/>
  <c r="BL234" i="43" s="1"/>
  <c r="BP234" i="43" s="1"/>
  <c r="BL228" i="31" l="1"/>
  <c r="BP228" i="31" s="1"/>
  <c r="CE231" i="42"/>
  <c r="CD231" i="42"/>
  <c r="W231" i="42"/>
  <c r="X231" i="42" s="1"/>
  <c r="Z234" i="43"/>
  <c r="CF231" i="42" l="1"/>
  <c r="Z228" i="31"/>
  <c r="AD234" i="43"/>
  <c r="AE234" i="43"/>
  <c r="M231" i="42"/>
  <c r="O231" i="42" s="1"/>
  <c r="N235" i="43"/>
  <c r="Y231" i="42"/>
  <c r="BL231" i="42" s="1"/>
  <c r="BP231" i="42" s="1"/>
  <c r="AE228" i="31" l="1"/>
  <c r="N229" i="31"/>
  <c r="AD228" i="31"/>
  <c r="CH229" i="31"/>
  <c r="P235" i="43"/>
  <c r="Q235" i="43" s="1"/>
  <c r="AH235" i="43"/>
  <c r="CC235" i="43"/>
  <c r="Z231" i="42"/>
  <c r="AE231" i="42" s="1"/>
  <c r="AH229" i="31" l="1"/>
  <c r="CC229" i="31"/>
  <c r="P229" i="31"/>
  <c r="Q229" i="31" s="1"/>
  <c r="BH229" i="31" s="1"/>
  <c r="CE235" i="43"/>
  <c r="CD235" i="43"/>
  <c r="BH235" i="43"/>
  <c r="W235" i="43" s="1"/>
  <c r="N232" i="42"/>
  <c r="AD231" i="42"/>
  <c r="CE229" i="31" l="1"/>
  <c r="CD229" i="31"/>
  <c r="CF235" i="43"/>
  <c r="W229" i="31"/>
  <c r="X235" i="43"/>
  <c r="Y235" i="43" s="1"/>
  <c r="BL235" i="43" s="1"/>
  <c r="BP235" i="43" s="1"/>
  <c r="M235" i="43"/>
  <c r="O235" i="43" s="1"/>
  <c r="AH232" i="42"/>
  <c r="CC232" i="42"/>
  <c r="P232" i="42"/>
  <c r="Q232" i="42" s="1"/>
  <c r="BH232" i="42" s="1"/>
  <c r="CF229" i="31" l="1"/>
  <c r="M229" i="31"/>
  <c r="O229" i="31" s="1"/>
  <c r="X229" i="31"/>
  <c r="Y229" i="31" s="1"/>
  <c r="CE232" i="42"/>
  <c r="CD232" i="42"/>
  <c r="W232" i="42"/>
  <c r="X232" i="42" s="1"/>
  <c r="Z235" i="43"/>
  <c r="CF232" i="42" l="1"/>
  <c r="BL229" i="31"/>
  <c r="BP229" i="31" s="1"/>
  <c r="N236" i="43"/>
  <c r="AH236" i="43" s="1"/>
  <c r="AE235" i="43"/>
  <c r="M232" i="42"/>
  <c r="O232" i="42" s="1"/>
  <c r="AD235" i="43"/>
  <c r="Y232" i="42"/>
  <c r="BL232" i="42" s="1"/>
  <c r="BP232" i="42" s="1"/>
  <c r="Z229" i="31" l="1"/>
  <c r="CC236" i="43"/>
  <c r="CE236" i="43" s="1"/>
  <c r="P236" i="43"/>
  <c r="Q236" i="43" s="1"/>
  <c r="Z232" i="42"/>
  <c r="AE232" i="42" s="1"/>
  <c r="CD236" i="43" l="1"/>
  <c r="CF236" i="43" s="1"/>
  <c r="N230" i="31"/>
  <c r="AD229" i="31"/>
  <c r="AE229" i="31"/>
  <c r="CH230" i="31"/>
  <c r="BH236" i="43"/>
  <c r="W236" i="43" s="1"/>
  <c r="N233" i="42"/>
  <c r="AD232" i="42"/>
  <c r="AH230" i="31" l="1"/>
  <c r="CC230" i="31"/>
  <c r="P230" i="31"/>
  <c r="Q230" i="31" s="1"/>
  <c r="BH230" i="31" s="1"/>
  <c r="X236" i="43"/>
  <c r="Y236" i="43" s="1"/>
  <c r="BL236" i="43" s="1"/>
  <c r="BP236" i="43" s="1"/>
  <c r="M236" i="43"/>
  <c r="O236" i="43" s="1"/>
  <c r="AH233" i="42"/>
  <c r="CC233" i="42"/>
  <c r="P233" i="42"/>
  <c r="Q233" i="42" s="1"/>
  <c r="BH233" i="42" s="1"/>
  <c r="CE230" i="31" l="1"/>
  <c r="CD230" i="31"/>
  <c r="W230" i="31"/>
  <c r="CE233" i="42"/>
  <c r="CD233" i="42"/>
  <c r="W233" i="42"/>
  <c r="X233" i="42" s="1"/>
  <c r="Z236" i="43"/>
  <c r="AE236" i="43" s="1"/>
  <c r="CF230" i="31" l="1"/>
  <c r="CF233" i="42"/>
  <c r="M230" i="31"/>
  <c r="O230" i="31" s="1"/>
  <c r="X230" i="31"/>
  <c r="Y230" i="31" s="1"/>
  <c r="M233" i="42"/>
  <c r="O233" i="42" s="1"/>
  <c r="Y233" i="42"/>
  <c r="BL233" i="42" s="1"/>
  <c r="BP233" i="42" s="1"/>
  <c r="N237" i="43"/>
  <c r="AD236" i="43"/>
  <c r="BL230" i="31" l="1"/>
  <c r="BP230" i="31" s="1"/>
  <c r="Z233" i="42"/>
  <c r="AE233" i="42" s="1"/>
  <c r="AH237" i="43"/>
  <c r="CC237" i="43"/>
  <c r="P237" i="43"/>
  <c r="Q237" i="43" s="1"/>
  <c r="Z230" i="31" l="1"/>
  <c r="BH237" i="43"/>
  <c r="W237" i="43" s="1"/>
  <c r="CE237" i="43"/>
  <c r="CD237" i="43"/>
  <c r="N234" i="42"/>
  <c r="AD233" i="42"/>
  <c r="CF237" i="43" l="1"/>
  <c r="AE230" i="31"/>
  <c r="N231" i="31"/>
  <c r="AD230" i="31"/>
  <c r="CH231" i="31"/>
  <c r="M237" i="43"/>
  <c r="O237" i="43" s="1"/>
  <c r="X237" i="43"/>
  <c r="Y237" i="43" s="1"/>
  <c r="AH234" i="42"/>
  <c r="CC234" i="42"/>
  <c r="P234" i="42"/>
  <c r="Q234" i="42" s="1"/>
  <c r="BH234" i="42" s="1"/>
  <c r="AH231" i="31" l="1"/>
  <c r="CC231" i="31"/>
  <c r="P231" i="31"/>
  <c r="Q231" i="31" s="1"/>
  <c r="BH231" i="31" s="1"/>
  <c r="CE234" i="42"/>
  <c r="CD234" i="42"/>
  <c r="W234" i="42"/>
  <c r="X234" i="42" s="1"/>
  <c r="BL237" i="43"/>
  <c r="BP237" i="43" s="1"/>
  <c r="CE231" i="31" l="1"/>
  <c r="CD231" i="31"/>
  <c r="CF234" i="42"/>
  <c r="W231" i="31"/>
  <c r="M234" i="42"/>
  <c r="O234" i="42" s="1"/>
  <c r="AB85" i="35"/>
  <c r="Y234" i="42"/>
  <c r="BL234" i="42" s="1"/>
  <c r="BP234" i="42" s="1"/>
  <c r="Z237" i="43"/>
  <c r="AE237" i="43" s="1"/>
  <c r="CF231" i="31" l="1"/>
  <c r="M231" i="31"/>
  <c r="O231" i="31" s="1"/>
  <c r="X231" i="31"/>
  <c r="Y231" i="31" s="1"/>
  <c r="N238" i="43"/>
  <c r="AD237" i="43"/>
  <c r="Z234" i="42"/>
  <c r="AE234" i="42" s="1"/>
  <c r="AF85" i="35" s="1"/>
  <c r="BL231" i="31" l="1"/>
  <c r="BP231" i="31" s="1"/>
  <c r="AH238" i="43"/>
  <c r="CC238" i="43"/>
  <c r="P238" i="43"/>
  <c r="Q238" i="43" s="1"/>
  <c r="N235" i="42"/>
  <c r="AD234" i="42"/>
  <c r="Z231" i="31" l="1"/>
  <c r="CE238" i="43"/>
  <c r="CD238" i="43"/>
  <c r="BH238" i="43"/>
  <c r="W238" i="43" s="1"/>
  <c r="P235" i="42"/>
  <c r="Q235" i="42" s="1"/>
  <c r="AD85" i="35"/>
  <c r="AE85" i="35" s="1"/>
  <c r="AH235" i="42"/>
  <c r="CC235" i="42"/>
  <c r="CF238" i="43" l="1"/>
  <c r="AE231" i="31"/>
  <c r="CH232" i="31"/>
  <c r="N232" i="31"/>
  <c r="AD231" i="31"/>
  <c r="M238" i="43"/>
  <c r="O238" i="43" s="1"/>
  <c r="X238" i="43"/>
  <c r="Y238" i="43" s="1"/>
  <c r="CE235" i="42"/>
  <c r="CD235" i="42"/>
  <c r="BH235" i="42"/>
  <c r="W235" i="42" s="1"/>
  <c r="I50" i="35"/>
  <c r="G50" i="35"/>
  <c r="H50" i="35"/>
  <c r="CF235" i="42" l="1"/>
  <c r="AH232" i="31"/>
  <c r="CC232" i="31"/>
  <c r="P232" i="31"/>
  <c r="Q232" i="31" s="1"/>
  <c r="BH232" i="31" s="1"/>
  <c r="M235" i="42"/>
  <c r="O235" i="42" s="1"/>
  <c r="X235" i="42"/>
  <c r="Y235" i="42" s="1"/>
  <c r="BL238" i="43"/>
  <c r="BP238" i="43" s="1"/>
  <c r="CE232" i="31" l="1"/>
  <c r="CD232" i="31"/>
  <c r="W232" i="31"/>
  <c r="BL235" i="42"/>
  <c r="BP235" i="42" s="1"/>
  <c r="Z238" i="43"/>
  <c r="AE238" i="43" s="1"/>
  <c r="CF232" i="31" l="1"/>
  <c r="X232" i="31"/>
  <c r="Y232" i="31" s="1"/>
  <c r="M232" i="31"/>
  <c r="O232" i="31" s="1"/>
  <c r="N239" i="43"/>
  <c r="AD238" i="43"/>
  <c r="Z235" i="42"/>
  <c r="AE235" i="42" s="1"/>
  <c r="BL232" i="31" l="1"/>
  <c r="BP232" i="31" s="1"/>
  <c r="AH239" i="43"/>
  <c r="CC239" i="43"/>
  <c r="P239" i="43"/>
  <c r="Q239" i="43" s="1"/>
  <c r="N236" i="42"/>
  <c r="AD235" i="42"/>
  <c r="Z232" i="31" l="1"/>
  <c r="BH239" i="43"/>
  <c r="W239" i="43" s="1"/>
  <c r="CE239" i="43"/>
  <c r="CD239" i="43"/>
  <c r="AH236" i="42"/>
  <c r="CC236" i="42"/>
  <c r="P236" i="42"/>
  <c r="Q236" i="42" s="1"/>
  <c r="CF239" i="43" l="1"/>
  <c r="AE232" i="31"/>
  <c r="N233" i="31"/>
  <c r="AD232" i="31"/>
  <c r="CH233" i="31"/>
  <c r="X239" i="43"/>
  <c r="Y239" i="43" s="1"/>
  <c r="M239" i="43"/>
  <c r="O239" i="43" s="1"/>
  <c r="CE236" i="42"/>
  <c r="CD236" i="42"/>
  <c r="BH236" i="42"/>
  <c r="W236" i="42" s="1"/>
  <c r="CF236" i="42" l="1"/>
  <c r="AH233" i="31"/>
  <c r="CC233" i="31"/>
  <c r="P233" i="31"/>
  <c r="Q233" i="31" s="1"/>
  <c r="BH233" i="31" s="1"/>
  <c r="M236" i="42"/>
  <c r="O236" i="42" s="1"/>
  <c r="X236" i="42"/>
  <c r="Y236" i="42" s="1"/>
  <c r="BL239" i="43"/>
  <c r="CE233" i="31" l="1"/>
  <c r="CD233" i="31"/>
  <c r="W233" i="31"/>
  <c r="BP239" i="43"/>
  <c r="Z239" i="43"/>
  <c r="AE239" i="43" s="1"/>
  <c r="BL236" i="42"/>
  <c r="BP236" i="42" s="1"/>
  <c r="CF233" i="31" l="1"/>
  <c r="X233" i="31"/>
  <c r="Y233" i="31" s="1"/>
  <c r="M233" i="31"/>
  <c r="O233" i="31" s="1"/>
  <c r="Z236" i="42"/>
  <c r="N240" i="43"/>
  <c r="AD239" i="43"/>
  <c r="BL233" i="31" l="1"/>
  <c r="BP233" i="31" s="1"/>
  <c r="AD236" i="42"/>
  <c r="AE236" i="42"/>
  <c r="N237" i="42"/>
  <c r="CC237" i="42" s="1"/>
  <c r="AH240" i="43"/>
  <c r="CC240" i="43"/>
  <c r="P240" i="43"/>
  <c r="Q240" i="43" s="1"/>
  <c r="BH240" i="43" s="1"/>
  <c r="Z233" i="31" l="1"/>
  <c r="P237" i="42"/>
  <c r="Q237" i="42" s="1"/>
  <c r="BH237" i="42" s="1"/>
  <c r="CE240" i="43"/>
  <c r="CD240" i="43"/>
  <c r="CE237" i="42"/>
  <c r="CD237" i="42"/>
  <c r="W240" i="43"/>
  <c r="X240" i="43" s="1"/>
  <c r="AH237" i="42"/>
  <c r="CF237" i="42" l="1"/>
  <c r="CF240" i="43"/>
  <c r="AE233" i="31"/>
  <c r="N234" i="31"/>
  <c r="AD233" i="31"/>
  <c r="CH234" i="31"/>
  <c r="W237" i="42"/>
  <c r="M237" i="42" s="1"/>
  <c r="O237" i="42" s="1"/>
  <c r="M240" i="43"/>
  <c r="O240" i="43" s="1"/>
  <c r="Y240" i="43"/>
  <c r="BL240" i="43" s="1"/>
  <c r="BP240" i="43" s="1"/>
  <c r="AH234" i="31" l="1"/>
  <c r="CC234" i="31"/>
  <c r="P234" i="31"/>
  <c r="Q234" i="31" s="1"/>
  <c r="BH234" i="31" s="1"/>
  <c r="X237" i="42"/>
  <c r="Y237" i="42" s="1"/>
  <c r="BL237" i="42" s="1"/>
  <c r="BP237" i="42" s="1"/>
  <c r="Z240" i="43"/>
  <c r="AE240" i="43" s="1"/>
  <c r="CE234" i="31" l="1"/>
  <c r="CD234" i="31"/>
  <c r="W234" i="31"/>
  <c r="N241" i="43"/>
  <c r="AD240" i="43"/>
  <c r="Z237" i="42"/>
  <c r="AE237" i="42" s="1"/>
  <c r="CF234" i="31" l="1"/>
  <c r="X234" i="31"/>
  <c r="Y234" i="31" s="1"/>
  <c r="M234" i="31"/>
  <c r="O234" i="31" s="1"/>
  <c r="AH241" i="43"/>
  <c r="CC241" i="43"/>
  <c r="P241" i="43"/>
  <c r="Q241" i="43" s="1"/>
  <c r="BH241" i="43" s="1"/>
  <c r="N238" i="42"/>
  <c r="AD237" i="42"/>
  <c r="BL234" i="31" l="1"/>
  <c r="BP234" i="31" s="1"/>
  <c r="AB50" i="35"/>
  <c r="CE241" i="43"/>
  <c r="CD241" i="43"/>
  <c r="W241" i="43"/>
  <c r="X241" i="43" s="1"/>
  <c r="AH238" i="42"/>
  <c r="CC238" i="42"/>
  <c r="P238" i="42"/>
  <c r="Q238" i="42" s="1"/>
  <c r="CF241" i="43" l="1"/>
  <c r="Z234" i="31"/>
  <c r="M241" i="43"/>
  <c r="O241" i="43" s="1"/>
  <c r="BH238" i="42"/>
  <c r="W238" i="42" s="1"/>
  <c r="CE238" i="42"/>
  <c r="CD238" i="42"/>
  <c r="Y241" i="43"/>
  <c r="BL241" i="43" s="1"/>
  <c r="BP241" i="43" s="1"/>
  <c r="CF238" i="42" l="1"/>
  <c r="AE234" i="31"/>
  <c r="AF50" i="35" s="1"/>
  <c r="O50" i="35" s="1"/>
  <c r="N235" i="31"/>
  <c r="CH235" i="31"/>
  <c r="AD234" i="31"/>
  <c r="M238" i="42"/>
  <c r="O238" i="42" s="1"/>
  <c r="X238" i="42"/>
  <c r="Y238" i="42" s="1"/>
  <c r="Z241" i="43"/>
  <c r="AE241" i="43" s="1"/>
  <c r="AH235" i="31" l="1"/>
  <c r="CC235" i="31"/>
  <c r="AD50" i="35"/>
  <c r="P235" i="31"/>
  <c r="Q235" i="31" s="1"/>
  <c r="BH235" i="31" s="1"/>
  <c r="W235" i="31" s="1"/>
  <c r="BL238" i="42"/>
  <c r="BP238" i="42" s="1"/>
  <c r="N242" i="43"/>
  <c r="AD241" i="43"/>
  <c r="CE235" i="31" l="1"/>
  <c r="CD235" i="31"/>
  <c r="X235" i="31"/>
  <c r="Y235" i="31" s="1"/>
  <c r="M235" i="31"/>
  <c r="O235" i="31" s="1"/>
  <c r="AE50" i="35"/>
  <c r="N50" i="35" s="1"/>
  <c r="M50" i="35"/>
  <c r="P242" i="43"/>
  <c r="Q242" i="43" s="1"/>
  <c r="BH242" i="43" s="1"/>
  <c r="Z238" i="42"/>
  <c r="AE238" i="42" s="1"/>
  <c r="AH242" i="43"/>
  <c r="CC242" i="43"/>
  <c r="CF235" i="31" l="1"/>
  <c r="BL235" i="31"/>
  <c r="BP235" i="31" s="1"/>
  <c r="CE242" i="43"/>
  <c r="CD242" i="43"/>
  <c r="W242" i="43"/>
  <c r="M242" i="43" s="1"/>
  <c r="O242" i="43" s="1"/>
  <c r="N239" i="42"/>
  <c r="AD238" i="42"/>
  <c r="CF242" i="43" l="1"/>
  <c r="Z235" i="31"/>
  <c r="X242" i="43"/>
  <c r="Y242" i="43" s="1"/>
  <c r="BL242" i="43" s="1"/>
  <c r="BP242" i="43" s="1"/>
  <c r="P239" i="42"/>
  <c r="Q239" i="42" s="1"/>
  <c r="AH239" i="42"/>
  <c r="CC239" i="42"/>
  <c r="AE235" i="31" l="1"/>
  <c r="CH236" i="31"/>
  <c r="N236" i="31"/>
  <c r="AD235" i="31"/>
  <c r="CE239" i="42"/>
  <c r="CD239" i="42"/>
  <c r="BH239" i="42"/>
  <c r="W239" i="42" s="1"/>
  <c r="Z242" i="43"/>
  <c r="AE242" i="43" s="1"/>
  <c r="CF239" i="42" l="1"/>
  <c r="AH236" i="31"/>
  <c r="CC236" i="31"/>
  <c r="P236" i="31"/>
  <c r="Q236" i="31" s="1"/>
  <c r="BH236" i="31" s="1"/>
  <c r="X239" i="42"/>
  <c r="Y239" i="42" s="1"/>
  <c r="M239" i="42"/>
  <c r="O239" i="42" s="1"/>
  <c r="N243" i="43"/>
  <c r="AD242" i="43"/>
  <c r="CE236" i="31" l="1"/>
  <c r="CD236" i="31"/>
  <c r="W236" i="31"/>
  <c r="P243" i="43"/>
  <c r="Q243" i="43" s="1"/>
  <c r="BH243" i="43" s="1"/>
  <c r="BL239" i="42"/>
  <c r="BP239" i="42" s="1"/>
  <c r="AH243" i="43"/>
  <c r="CC243" i="43"/>
  <c r="CF236" i="31" l="1"/>
  <c r="X236" i="31"/>
  <c r="Y236" i="31" s="1"/>
  <c r="M236" i="31"/>
  <c r="O236" i="31" s="1"/>
  <c r="CE243" i="43"/>
  <c r="CD243" i="43"/>
  <c r="W243" i="43"/>
  <c r="X243" i="43" s="1"/>
  <c r="Z239" i="42"/>
  <c r="CF243" i="43" l="1"/>
  <c r="BL236" i="31"/>
  <c r="BP236" i="31" s="1"/>
  <c r="AD239" i="42"/>
  <c r="AE239" i="42"/>
  <c r="M243" i="43"/>
  <c r="O243" i="43" s="1"/>
  <c r="N240" i="42"/>
  <c r="Y243" i="43"/>
  <c r="BL243" i="43" s="1"/>
  <c r="BP243" i="43" s="1"/>
  <c r="P240" i="42" l="1"/>
  <c r="Q240" i="42" s="1"/>
  <c r="BH240" i="42" s="1"/>
  <c r="Z236" i="31"/>
  <c r="CC240" i="42"/>
  <c r="AH240" i="42"/>
  <c r="Z243" i="43"/>
  <c r="AE243" i="43" s="1"/>
  <c r="W240" i="42" l="1"/>
  <c r="X240" i="42" s="1"/>
  <c r="AE236" i="31"/>
  <c r="CH237" i="31"/>
  <c r="AD236" i="31"/>
  <c r="N237" i="31"/>
  <c r="CE240" i="42"/>
  <c r="CD240" i="42"/>
  <c r="M240" i="42"/>
  <c r="O240" i="42" s="1"/>
  <c r="Y240" i="42"/>
  <c r="BL240" i="42" s="1"/>
  <c r="BP240" i="42" s="1"/>
  <c r="N244" i="43"/>
  <c r="AD243" i="43"/>
  <c r="CF240" i="42" l="1"/>
  <c r="P237" i="31"/>
  <c r="Q237" i="31" s="1"/>
  <c r="BH237" i="31" s="1"/>
  <c r="W237" i="31" s="1"/>
  <c r="M237" i="31" s="1"/>
  <c r="O237" i="31" s="1"/>
  <c r="AH237" i="31"/>
  <c r="CC237" i="31"/>
  <c r="Z240" i="42"/>
  <c r="AE240" i="42" s="1"/>
  <c r="AH244" i="43"/>
  <c r="CC244" i="43"/>
  <c r="P244" i="43"/>
  <c r="Q244" i="43" s="1"/>
  <c r="BH244" i="43" s="1"/>
  <c r="CE237" i="31" l="1"/>
  <c r="CD237" i="31"/>
  <c r="X237" i="31"/>
  <c r="Y237" i="31" s="1"/>
  <c r="CE244" i="43"/>
  <c r="CD244" i="43"/>
  <c r="W244" i="43"/>
  <c r="X244" i="43" s="1"/>
  <c r="N241" i="42"/>
  <c r="AD240" i="42"/>
  <c r="CF237" i="31" l="1"/>
  <c r="CF244" i="43"/>
  <c r="BL237" i="31"/>
  <c r="BP237" i="31" s="1"/>
  <c r="M244" i="43"/>
  <c r="O244" i="43" s="1"/>
  <c r="AH241" i="42"/>
  <c r="CC241" i="42"/>
  <c r="Y244" i="43"/>
  <c r="BL244" i="43" s="1"/>
  <c r="BP244" i="43" s="1"/>
  <c r="P241" i="42"/>
  <c r="Q241" i="42" s="1"/>
  <c r="BH241" i="42" s="1"/>
  <c r="Z237" i="31" l="1"/>
  <c r="AD237" i="31" s="1"/>
  <c r="CE241" i="42"/>
  <c r="CD241" i="42"/>
  <c r="W241" i="42"/>
  <c r="M241" i="42" s="1"/>
  <c r="O241" i="42" s="1"/>
  <c r="Z244" i="43"/>
  <c r="AE237" i="31" l="1"/>
  <c r="CF241" i="42"/>
  <c r="N238" i="31"/>
  <c r="AH238" i="31" s="1"/>
  <c r="CH238" i="31"/>
  <c r="AD244" i="43"/>
  <c r="AE244" i="43"/>
  <c r="X241" i="42"/>
  <c r="Y241" i="42" s="1"/>
  <c r="BL241" i="42" s="1"/>
  <c r="BP241" i="42" s="1"/>
  <c r="N245" i="43"/>
  <c r="P245" i="43" s="1"/>
  <c r="Q245" i="43" s="1"/>
  <c r="BH245" i="43" s="1"/>
  <c r="CC238" i="31" l="1"/>
  <c r="P238" i="31"/>
  <c r="Q238" i="31" s="1"/>
  <c r="BH238" i="31" s="1"/>
  <c r="W238" i="31" s="1"/>
  <c r="M238" i="31" s="1"/>
  <c r="O238" i="31" s="1"/>
  <c r="Z241" i="42"/>
  <c r="W245" i="43"/>
  <c r="M245" i="43" s="1"/>
  <c r="O245" i="43" s="1"/>
  <c r="AH245" i="43"/>
  <c r="CC245" i="43"/>
  <c r="CE238" i="31" l="1"/>
  <c r="CD238" i="31"/>
  <c r="X238" i="31"/>
  <c r="Y238" i="31" s="1"/>
  <c r="N242" i="42"/>
  <c r="AH242" i="42" s="1"/>
  <c r="AE241" i="42"/>
  <c r="CE245" i="43"/>
  <c r="CD245" i="43"/>
  <c r="X245" i="43"/>
  <c r="Y245" i="43" s="1"/>
  <c r="BL245" i="43" s="1"/>
  <c r="BP245" i="43" s="1"/>
  <c r="AD241" i="42"/>
  <c r="CF238" i="31" l="1"/>
  <c r="CF245" i="43"/>
  <c r="BL238" i="31"/>
  <c r="P242" i="42"/>
  <c r="Q242" i="42" s="1"/>
  <c r="BH242" i="42" s="1"/>
  <c r="CC242" i="42"/>
  <c r="CE242" i="42" s="1"/>
  <c r="Z245" i="43"/>
  <c r="AE245" i="43" s="1"/>
  <c r="CD242" i="42" l="1"/>
  <c r="CF242" i="42" s="1"/>
  <c r="BP238" i="31"/>
  <c r="Z238" i="31"/>
  <c r="AD238" i="31" s="1"/>
  <c r="W242" i="42"/>
  <c r="X242" i="42" s="1"/>
  <c r="Y242" i="42" s="1"/>
  <c r="BL242" i="42" s="1"/>
  <c r="BP242" i="42" s="1"/>
  <c r="N246" i="43"/>
  <c r="AD245" i="43"/>
  <c r="N239" i="31" l="1"/>
  <c r="AE238" i="31"/>
  <c r="CH239" i="31"/>
  <c r="M242" i="42"/>
  <c r="O242" i="42" s="1"/>
  <c r="AH246" i="43"/>
  <c r="CC246" i="43"/>
  <c r="P246" i="43"/>
  <c r="Q246" i="43" s="1"/>
  <c r="Z242" i="42"/>
  <c r="AE242" i="42" s="1"/>
  <c r="AH239" i="31" l="1"/>
  <c r="CC239" i="31"/>
  <c r="P239" i="31"/>
  <c r="Q239" i="31" s="1"/>
  <c r="BH239" i="31" s="1"/>
  <c r="BH246" i="43"/>
  <c r="W246" i="43" s="1"/>
  <c r="X246" i="43" s="1"/>
  <c r="AY25" i="43"/>
  <c r="AY26" i="43"/>
  <c r="CE246" i="43"/>
  <c r="CD246" i="43"/>
  <c r="N243" i="42"/>
  <c r="AD242" i="42"/>
  <c r="CE239" i="31" l="1"/>
  <c r="CD239" i="31"/>
  <c r="CF246" i="43"/>
  <c r="W239" i="31"/>
  <c r="X239" i="31" s="1"/>
  <c r="Y239" i="31" s="1"/>
  <c r="M246" i="43"/>
  <c r="O246" i="43" s="1"/>
  <c r="AH243" i="42"/>
  <c r="CC243" i="42"/>
  <c r="P243" i="42"/>
  <c r="Q243" i="42" s="1"/>
  <c r="BH243" i="42" s="1"/>
  <c r="Y246" i="43"/>
  <c r="BL246" i="43" s="1"/>
  <c r="BP246" i="43" s="1"/>
  <c r="BL239" i="31" l="1"/>
  <c r="CF239" i="31"/>
  <c r="M239" i="31"/>
  <c r="O239" i="31" s="1"/>
  <c r="W243" i="42"/>
  <c r="X243" i="42" s="1"/>
  <c r="CE243" i="42"/>
  <c r="CD243" i="42"/>
  <c r="Z246" i="43"/>
  <c r="BP239" i="31" l="1"/>
  <c r="Z239" i="31"/>
  <c r="CH240" i="31" s="1"/>
  <c r="CF243" i="42"/>
  <c r="AD246" i="43"/>
  <c r="AE246" i="43"/>
  <c r="M243" i="42"/>
  <c r="O243" i="42" s="1"/>
  <c r="N247" i="43"/>
  <c r="AH247" i="43" s="1"/>
  <c r="Y243" i="42"/>
  <c r="BL243" i="42" s="1"/>
  <c r="BP243" i="42" s="1"/>
  <c r="AD239" i="31" l="1"/>
  <c r="N240" i="31"/>
  <c r="P240" i="31" s="1"/>
  <c r="Q240" i="31" s="1"/>
  <c r="BH240" i="31" s="1"/>
  <c r="AE239" i="31"/>
  <c r="P247" i="43"/>
  <c r="CC247" i="43"/>
  <c r="CE247" i="43" s="1"/>
  <c r="CF247" i="43" s="1"/>
  <c r="W247" i="43"/>
  <c r="X247" i="43" s="1"/>
  <c r="Z243" i="42"/>
  <c r="CC240" i="31" l="1"/>
  <c r="CE240" i="31" s="1"/>
  <c r="AH240" i="31"/>
  <c r="CD240" i="31"/>
  <c r="W240" i="31"/>
  <c r="X240" i="31" s="1"/>
  <c r="Y240" i="31" s="1"/>
  <c r="AD243" i="42"/>
  <c r="AE243" i="42"/>
  <c r="M247" i="43"/>
  <c r="O247" i="43" s="1"/>
  <c r="N244" i="42"/>
  <c r="CC244" i="42" s="1"/>
  <c r="Y247" i="43"/>
  <c r="CF240" i="31" l="1"/>
  <c r="M240" i="31"/>
  <c r="O240" i="31" s="1"/>
  <c r="BL240" i="31"/>
  <c r="BP240" i="31" s="1"/>
  <c r="CE244" i="42"/>
  <c r="CD244" i="42"/>
  <c r="P244" i="42"/>
  <c r="Q244" i="42" s="1"/>
  <c r="BH244" i="42" s="1"/>
  <c r="AH244" i="42"/>
  <c r="BL247" i="43"/>
  <c r="BP247" i="43" s="1"/>
  <c r="CF244" i="42" l="1"/>
  <c r="Z240" i="31"/>
  <c r="W244" i="42"/>
  <c r="M244" i="42" s="1"/>
  <c r="O244" i="42" s="1"/>
  <c r="Z247" i="43"/>
  <c r="AE247" i="43" s="1"/>
  <c r="AE240" i="31" l="1"/>
  <c r="N241" i="31"/>
  <c r="CH241" i="31"/>
  <c r="AD240" i="31"/>
  <c r="X244" i="42"/>
  <c r="Y244" i="42" s="1"/>
  <c r="BL244" i="42" s="1"/>
  <c r="BP244" i="42" s="1"/>
  <c r="N248" i="43"/>
  <c r="AD247" i="43"/>
  <c r="AH241" i="31" l="1"/>
  <c r="CC241" i="31"/>
  <c r="P241" i="31"/>
  <c r="Q241" i="31" s="1"/>
  <c r="BH241" i="31" s="1"/>
  <c r="Z244" i="42"/>
  <c r="P248" i="43"/>
  <c r="W248" i="43"/>
  <c r="AH248" i="43"/>
  <c r="CC248" i="43"/>
  <c r="CE248" i="43" s="1"/>
  <c r="CF248" i="43" s="1"/>
  <c r="CE241" i="31" l="1"/>
  <c r="CD241" i="31"/>
  <c r="W241" i="31"/>
  <c r="AD244" i="42"/>
  <c r="AE244" i="42"/>
  <c r="N245" i="42"/>
  <c r="P245" i="42" s="1"/>
  <c r="Q245" i="42" s="1"/>
  <c r="BH245" i="42" s="1"/>
  <c r="M248" i="43"/>
  <c r="O248" i="43" s="1"/>
  <c r="X248" i="43"/>
  <c r="CF241" i="31" l="1"/>
  <c r="X241" i="31"/>
  <c r="Y241" i="31" s="1"/>
  <c r="M241" i="31"/>
  <c r="O241" i="31" s="1"/>
  <c r="CC245" i="42"/>
  <c r="CE245" i="42" s="1"/>
  <c r="AH245" i="42"/>
  <c r="W245" i="42"/>
  <c r="X245" i="42" s="1"/>
  <c r="Y248" i="43"/>
  <c r="BL241" i="31" l="1"/>
  <c r="BP241" i="31" s="1"/>
  <c r="CD245" i="42"/>
  <c r="CF245" i="42" s="1"/>
  <c r="M245" i="42"/>
  <c r="O245" i="42" s="1"/>
  <c r="Y245" i="42"/>
  <c r="BL245" i="42" s="1"/>
  <c r="BP245" i="42" s="1"/>
  <c r="BL248" i="43"/>
  <c r="BP248" i="43" s="1"/>
  <c r="Z241" i="31" l="1"/>
  <c r="Z248" i="43"/>
  <c r="Z245" i="42"/>
  <c r="AE245" i="42" s="1"/>
  <c r="AE241" i="31" l="1"/>
  <c r="CH242" i="31"/>
  <c r="N242" i="31"/>
  <c r="AD241" i="31"/>
  <c r="AD248" i="43"/>
  <c r="AE248" i="43"/>
  <c r="N249" i="43"/>
  <c r="AH249" i="43" s="1"/>
  <c r="N246" i="42"/>
  <c r="AD245" i="42"/>
  <c r="AH242" i="31" l="1"/>
  <c r="CC242" i="31"/>
  <c r="P242" i="31"/>
  <c r="Q242" i="31" s="1"/>
  <c r="BH242" i="31" s="1"/>
  <c r="P249" i="43"/>
  <c r="CC249" i="43"/>
  <c r="CE249" i="43" s="1"/>
  <c r="CF249" i="43" s="1"/>
  <c r="W249" i="43"/>
  <c r="X249" i="43" s="1"/>
  <c r="AH246" i="42"/>
  <c r="CC246" i="42"/>
  <c r="P246" i="42"/>
  <c r="Q246" i="42" s="1"/>
  <c r="CE242" i="31" l="1"/>
  <c r="CD242" i="31"/>
  <c r="M249" i="43"/>
  <c r="O249" i="43" s="1"/>
  <c r="W242" i="31"/>
  <c r="CE246" i="42"/>
  <c r="CD246" i="42"/>
  <c r="BH246" i="42"/>
  <c r="W246" i="42" s="1"/>
  <c r="AA86" i="35"/>
  <c r="AY25" i="42"/>
  <c r="AY26" i="42"/>
  <c r="Y249" i="43"/>
  <c r="CF242" i="31" l="1"/>
  <c r="CF246" i="42"/>
  <c r="V86" i="35"/>
  <c r="D51" i="35" s="1"/>
  <c r="V85" i="35"/>
  <c r="D50" i="35" s="1"/>
  <c r="X242" i="31"/>
  <c r="Y242" i="31" s="1"/>
  <c r="M242" i="31"/>
  <c r="O242" i="31" s="1"/>
  <c r="X246" i="42"/>
  <c r="M246" i="42"/>
  <c r="O246" i="42" s="1"/>
  <c r="BL249" i="43"/>
  <c r="BL242" i="31" l="1"/>
  <c r="BP242" i="31" s="1"/>
  <c r="AB86" i="35"/>
  <c r="Y246" i="42"/>
  <c r="BL246" i="42" s="1"/>
  <c r="BP246" i="42" s="1"/>
  <c r="BP249" i="43"/>
  <c r="Z249" i="43"/>
  <c r="AE249" i="43" s="1"/>
  <c r="Z242" i="31" l="1"/>
  <c r="Z246" i="42"/>
  <c r="N250" i="43"/>
  <c r="AD249" i="43"/>
  <c r="AE242" i="31" l="1"/>
  <c r="CH243" i="31"/>
  <c r="N243" i="31"/>
  <c r="AD242" i="31"/>
  <c r="N247" i="42"/>
  <c r="AH247" i="42" s="1"/>
  <c r="AE246" i="42"/>
  <c r="AF86" i="35" s="1"/>
  <c r="AD246" i="42"/>
  <c r="AD86" i="35" s="1"/>
  <c r="AE86" i="35" s="1"/>
  <c r="AH250" i="43"/>
  <c r="CC250" i="43"/>
  <c r="CE250" i="43" s="1"/>
  <c r="CF250" i="43" s="1"/>
  <c r="P250" i="43"/>
  <c r="W250" i="43"/>
  <c r="AH243" i="31" l="1"/>
  <c r="CC243" i="31"/>
  <c r="P243" i="31"/>
  <c r="Q243" i="31" s="1"/>
  <c r="BH243" i="31" s="1"/>
  <c r="CC247" i="42"/>
  <c r="CE247" i="42" s="1"/>
  <c r="CF247" i="42" s="1"/>
  <c r="W247" i="42"/>
  <c r="X247" i="42" s="1"/>
  <c r="P247" i="42"/>
  <c r="I51" i="35"/>
  <c r="M250" i="43"/>
  <c r="O250" i="43" s="1"/>
  <c r="X250" i="43"/>
  <c r="G51" i="35"/>
  <c r="H51" i="35"/>
  <c r="CE243" i="31" l="1"/>
  <c r="CD243" i="31"/>
  <c r="W243" i="31"/>
  <c r="M247" i="42"/>
  <c r="O247" i="42" s="1"/>
  <c r="Y247" i="42"/>
  <c r="Y250" i="43"/>
  <c r="CF243" i="31" l="1"/>
  <c r="X243" i="31"/>
  <c r="Y243" i="31" s="1"/>
  <c r="M243" i="31"/>
  <c r="O243" i="31" s="1"/>
  <c r="BL250" i="43"/>
  <c r="BP250" i="43" s="1"/>
  <c r="BL247" i="42"/>
  <c r="BL243" i="31" l="1"/>
  <c r="BP243" i="31" s="1"/>
  <c r="Z250" i="43"/>
  <c r="AE250" i="43" s="1"/>
  <c r="BP247" i="42"/>
  <c r="Z247" i="42"/>
  <c r="AE247" i="42" s="1"/>
  <c r="Z243" i="31" l="1"/>
  <c r="AY25" i="31"/>
  <c r="N251" i="43"/>
  <c r="AD250" i="43"/>
  <c r="N248" i="42"/>
  <c r="AD247" i="42"/>
  <c r="V50" i="35" l="1"/>
  <c r="J50" i="35" s="1"/>
  <c r="AE243" i="31"/>
  <c r="N244" i="31"/>
  <c r="AD243" i="31"/>
  <c r="CH244" i="31"/>
  <c r="AH248" i="42"/>
  <c r="CC248" i="42"/>
  <c r="CE248" i="42" s="1"/>
  <c r="CF248" i="42" s="1"/>
  <c r="P248" i="42"/>
  <c r="W248" i="42"/>
  <c r="AH251" i="43"/>
  <c r="CC251" i="43"/>
  <c r="CE251" i="43" s="1"/>
  <c r="CF251" i="43" s="1"/>
  <c r="P251" i="43"/>
  <c r="W251" i="43"/>
  <c r="AH244" i="31" l="1"/>
  <c r="CC244" i="31"/>
  <c r="P244" i="31"/>
  <c r="Q244" i="31" s="1"/>
  <c r="M251" i="43"/>
  <c r="O251" i="43" s="1"/>
  <c r="X251" i="43"/>
  <c r="M248" i="42"/>
  <c r="O248" i="42" s="1"/>
  <c r="X248" i="42"/>
  <c r="CE244" i="31" l="1"/>
  <c r="CD244" i="31"/>
  <c r="BH244" i="31"/>
  <c r="W244" i="31" s="1"/>
  <c r="Y251" i="43"/>
  <c r="Y248" i="42"/>
  <c r="CF244" i="31" l="1"/>
  <c r="X244" i="31"/>
  <c r="Y244" i="31" s="1"/>
  <c r="M244" i="31"/>
  <c r="O244" i="31" s="1"/>
  <c r="BL248" i="42"/>
  <c r="BP248" i="42" s="1"/>
  <c r="BL251" i="43"/>
  <c r="BP251" i="43" s="1"/>
  <c r="BL244" i="31" l="1"/>
  <c r="BP244" i="31" s="1"/>
  <c r="Z248" i="42"/>
  <c r="Z251" i="43"/>
  <c r="Z244" i="31" l="1"/>
  <c r="N252" i="43"/>
  <c r="AH252" i="43" s="1"/>
  <c r="AE251" i="43"/>
  <c r="N249" i="42"/>
  <c r="AH249" i="42" s="1"/>
  <c r="AE248" i="42"/>
  <c r="AD248" i="42"/>
  <c r="AD251" i="43"/>
  <c r="P252" i="43" l="1"/>
  <c r="CC252" i="43"/>
  <c r="CE252" i="43" s="1"/>
  <c r="CF252" i="43" s="1"/>
  <c r="W249" i="42"/>
  <c r="X249" i="42" s="1"/>
  <c r="AE244" i="31"/>
  <c r="AD244" i="31"/>
  <c r="CH245" i="31"/>
  <c r="N245" i="31"/>
  <c r="W252" i="43"/>
  <c r="X252" i="43" s="1"/>
  <c r="P249" i="42"/>
  <c r="CC249" i="42"/>
  <c r="CE249" i="42" s="1"/>
  <c r="CF249" i="42" s="1"/>
  <c r="M249" i="42" l="1"/>
  <c r="O249" i="42" s="1"/>
  <c r="P245" i="31"/>
  <c r="Q245" i="31" s="1"/>
  <c r="AH245" i="31"/>
  <c r="CC245" i="31"/>
  <c r="M252" i="43"/>
  <c r="O252" i="43" s="1"/>
  <c r="Y252" i="43"/>
  <c r="BL252" i="43" s="1"/>
  <c r="BP252" i="43" s="1"/>
  <c r="Y249" i="42"/>
  <c r="CE245" i="31" l="1"/>
  <c r="CD245" i="31"/>
  <c r="BH245" i="31"/>
  <c r="W245" i="31" s="1"/>
  <c r="BL249" i="42"/>
  <c r="BP249" i="42" s="1"/>
  <c r="Z252" i="43"/>
  <c r="AE252" i="43" s="1"/>
  <c r="CF245" i="31" l="1"/>
  <c r="X245" i="31"/>
  <c r="Y245" i="31" s="1"/>
  <c r="M245" i="31"/>
  <c r="O245" i="31" s="1"/>
  <c r="N253" i="43"/>
  <c r="AD252" i="43"/>
  <c r="Z249" i="42"/>
  <c r="AE249" i="42" s="1"/>
  <c r="BL245" i="31" l="1"/>
  <c r="BP245" i="31" s="1"/>
  <c r="AH253" i="43"/>
  <c r="CC253" i="43"/>
  <c r="CE253" i="43" s="1"/>
  <c r="CF253" i="43" s="1"/>
  <c r="N250" i="42"/>
  <c r="AD249" i="42"/>
  <c r="P253" i="43"/>
  <c r="W253" i="43"/>
  <c r="Z245" i="31" l="1"/>
  <c r="M253" i="43"/>
  <c r="O253" i="43" s="1"/>
  <c r="X253" i="43"/>
  <c r="AH250" i="42"/>
  <c r="CC250" i="42"/>
  <c r="CE250" i="42" s="1"/>
  <c r="CF250" i="42" s="1"/>
  <c r="P250" i="42"/>
  <c r="W250" i="42"/>
  <c r="AE245" i="31" l="1"/>
  <c r="AD245" i="31"/>
  <c r="N246" i="31"/>
  <c r="CH246" i="31"/>
  <c r="M250" i="42"/>
  <c r="O250" i="42" s="1"/>
  <c r="X250" i="42"/>
  <c r="Y253" i="43"/>
  <c r="BL253" i="43" s="1"/>
  <c r="BP253" i="43" s="1"/>
  <c r="P246" i="31" l="1"/>
  <c r="Q246" i="31" s="1"/>
  <c r="AA51" i="35" s="1"/>
  <c r="AH246" i="31"/>
  <c r="CC246" i="31"/>
  <c r="Y250" i="42"/>
  <c r="Z253" i="43"/>
  <c r="AE253" i="43" s="1"/>
  <c r="CE246" i="31" l="1"/>
  <c r="CD246" i="31"/>
  <c r="BH246" i="31"/>
  <c r="W246" i="31" s="1"/>
  <c r="AY26" i="31"/>
  <c r="BL250" i="42"/>
  <c r="BP250" i="42" s="1"/>
  <c r="N254" i="43"/>
  <c r="AD253" i="43"/>
  <c r="CF246" i="31" l="1"/>
  <c r="V51" i="35"/>
  <c r="J51" i="35" s="1"/>
  <c r="X246" i="31"/>
  <c r="Y246" i="31" s="1"/>
  <c r="M246" i="31"/>
  <c r="O246" i="31" s="1"/>
  <c r="Z250" i="42"/>
  <c r="P254" i="43"/>
  <c r="W254" i="43"/>
  <c r="AH254" i="43"/>
  <c r="CC254" i="43"/>
  <c r="CE254" i="43" s="1"/>
  <c r="CF254" i="43" s="1"/>
  <c r="BL246" i="31" l="1"/>
  <c r="BP246" i="31" s="1"/>
  <c r="AB51" i="35"/>
  <c r="AD250" i="42"/>
  <c r="AE250" i="42"/>
  <c r="N251" i="42"/>
  <c r="M254" i="43"/>
  <c r="O254" i="43" s="1"/>
  <c r="X254" i="43"/>
  <c r="Z246" i="31" l="1"/>
  <c r="P251" i="42"/>
  <c r="CC251" i="42"/>
  <c r="CE251" i="42" s="1"/>
  <c r="CF251" i="42" s="1"/>
  <c r="AH251" i="42"/>
  <c r="W251" i="42"/>
  <c r="X251" i="42" s="1"/>
  <c r="Y254" i="43"/>
  <c r="BL254" i="43" s="1"/>
  <c r="BP254" i="43" s="1"/>
  <c r="AE246" i="31" l="1"/>
  <c r="AF51" i="35" s="1"/>
  <c r="O51" i="35" s="1"/>
  <c r="CH247" i="31"/>
  <c r="AD246" i="31"/>
  <c r="N247" i="31"/>
  <c r="M251" i="42"/>
  <c r="O251" i="42" s="1"/>
  <c r="Y251" i="42"/>
  <c r="Z254" i="43"/>
  <c r="AE254" i="43" s="1"/>
  <c r="AD51" i="35" l="1"/>
  <c r="W247" i="31"/>
  <c r="P247" i="31"/>
  <c r="AH247" i="31"/>
  <c r="CC247" i="31"/>
  <c r="CE247" i="31" s="1"/>
  <c r="CF247" i="31" s="1"/>
  <c r="BL251" i="42"/>
  <c r="BP251" i="42" s="1"/>
  <c r="N255" i="43"/>
  <c r="AD254" i="43"/>
  <c r="AE51" i="35" l="1"/>
  <c r="N51" i="35" s="1"/>
  <c r="M51" i="35"/>
  <c r="X247" i="31"/>
  <c r="Y247" i="31" s="1"/>
  <c r="M247" i="31"/>
  <c r="O247" i="31" s="1"/>
  <c r="P255" i="43"/>
  <c r="W255" i="43"/>
  <c r="Z251" i="42"/>
  <c r="AE251" i="42" s="1"/>
  <c r="AH255" i="43"/>
  <c r="CC255" i="43"/>
  <c r="CE255" i="43" s="1"/>
  <c r="CF255" i="43" s="1"/>
  <c r="BL247" i="31" l="1"/>
  <c r="BP247" i="31" s="1"/>
  <c r="M255" i="43"/>
  <c r="O255" i="43" s="1"/>
  <c r="X255" i="43"/>
  <c r="N252" i="42"/>
  <c r="AD251" i="42"/>
  <c r="Z247" i="31" l="1"/>
  <c r="Y255" i="43"/>
  <c r="BL255" i="43" s="1"/>
  <c r="BP255" i="43" s="1"/>
  <c r="AH252" i="42"/>
  <c r="CC252" i="42"/>
  <c r="CE252" i="42" s="1"/>
  <c r="CF252" i="42" s="1"/>
  <c r="P252" i="42"/>
  <c r="W252" i="42"/>
  <c r="AE247" i="31" l="1"/>
  <c r="AD247" i="31"/>
  <c r="CH248" i="31"/>
  <c r="N248" i="31"/>
  <c r="Z255" i="43"/>
  <c r="AE255" i="43" s="1"/>
  <c r="M252" i="42"/>
  <c r="O252" i="42" s="1"/>
  <c r="X252" i="42"/>
  <c r="W248" i="31" l="1"/>
  <c r="P248" i="31"/>
  <c r="AH248" i="31"/>
  <c r="CC248" i="31"/>
  <c r="CE248" i="31" s="1"/>
  <c r="CF248" i="31" s="1"/>
  <c r="N256" i="43"/>
  <c r="AD255" i="43"/>
  <c r="Y252" i="42"/>
  <c r="BL252" i="42" s="1"/>
  <c r="BP252" i="42" s="1"/>
  <c r="M248" i="31" l="1"/>
  <c r="O248" i="31" s="1"/>
  <c r="X248" i="31"/>
  <c r="Y248" i="31" s="1"/>
  <c r="AH256" i="43"/>
  <c r="CC256" i="43"/>
  <c r="CE256" i="43" s="1"/>
  <c r="CF256" i="43" s="1"/>
  <c r="P256" i="43"/>
  <c r="W256" i="43"/>
  <c r="Z252" i="42"/>
  <c r="AE252" i="42" s="1"/>
  <c r="BL248" i="31" l="1"/>
  <c r="BP248" i="31" s="1"/>
  <c r="M256" i="43"/>
  <c r="O256" i="43" s="1"/>
  <c r="X256" i="43"/>
  <c r="N253" i="42"/>
  <c r="AD252" i="42"/>
  <c r="Z248" i="31" l="1"/>
  <c r="Y256" i="43"/>
  <c r="BL256" i="43" s="1"/>
  <c r="BP256" i="43" s="1"/>
  <c r="AH253" i="42"/>
  <c r="CC253" i="42"/>
  <c r="CE253" i="42" s="1"/>
  <c r="CF253" i="42" s="1"/>
  <c r="P253" i="42"/>
  <c r="W253" i="42"/>
  <c r="AE248" i="31" l="1"/>
  <c r="AD248" i="31"/>
  <c r="N249" i="31"/>
  <c r="CH249" i="31"/>
  <c r="Z256" i="43"/>
  <c r="AE256" i="43" s="1"/>
  <c r="M253" i="42"/>
  <c r="O253" i="42" s="1"/>
  <c r="X253" i="42"/>
  <c r="W249" i="31" l="1"/>
  <c r="P249" i="31"/>
  <c r="AH249" i="31"/>
  <c r="CC249" i="31"/>
  <c r="CE249" i="31" s="1"/>
  <c r="CF249" i="31" s="1"/>
  <c r="N257" i="43"/>
  <c r="AD256" i="43"/>
  <c r="Y253" i="42"/>
  <c r="BL253" i="42" s="1"/>
  <c r="BP253" i="42" s="1"/>
  <c r="X249" i="31" l="1"/>
  <c r="Y249" i="31" s="1"/>
  <c r="M249" i="31"/>
  <c r="O249" i="31" s="1"/>
  <c r="AH257" i="43"/>
  <c r="CC257" i="43"/>
  <c r="CE257" i="43" s="1"/>
  <c r="CF257" i="43" s="1"/>
  <c r="P257" i="43"/>
  <c r="W257" i="43"/>
  <c r="Z253" i="42"/>
  <c r="AE253" i="42" s="1"/>
  <c r="BL249" i="31" l="1"/>
  <c r="BP249" i="31" s="1"/>
  <c r="M257" i="43"/>
  <c r="O257" i="43" s="1"/>
  <c r="X257" i="43"/>
  <c r="N254" i="42"/>
  <c r="AD253" i="42"/>
  <c r="Z249" i="31" l="1"/>
  <c r="AH254" i="42"/>
  <c r="CC254" i="42"/>
  <c r="CE254" i="42" s="1"/>
  <c r="CF254" i="42" s="1"/>
  <c r="P254" i="42"/>
  <c r="W254" i="42"/>
  <c r="Y257" i="43"/>
  <c r="BL257" i="43" s="1"/>
  <c r="BP257" i="43" s="1"/>
  <c r="AE249" i="31" l="1"/>
  <c r="CH250" i="31"/>
  <c r="N250" i="31"/>
  <c r="AD249" i="31"/>
  <c r="Z257" i="43"/>
  <c r="M254" i="42"/>
  <c r="O254" i="42" s="1"/>
  <c r="X254" i="42"/>
  <c r="AH250" i="31" l="1"/>
  <c r="CC250" i="31"/>
  <c r="CE250" i="31" s="1"/>
  <c r="CF250" i="31" s="1"/>
  <c r="W250" i="31"/>
  <c r="P250" i="31"/>
  <c r="AD257" i="43"/>
  <c r="AE257" i="43"/>
  <c r="N258" i="43"/>
  <c r="AH258" i="43" s="1"/>
  <c r="Y254" i="42"/>
  <c r="BL254" i="42" s="1"/>
  <c r="BP254" i="42" s="1"/>
  <c r="M250" i="31" l="1"/>
  <c r="O250" i="31" s="1"/>
  <c r="X250" i="31"/>
  <c r="Y250" i="31" s="1"/>
  <c r="P258" i="43"/>
  <c r="CC258" i="43"/>
  <c r="CE258" i="43" s="1"/>
  <c r="CF258" i="43" s="1"/>
  <c r="W258" i="43"/>
  <c r="X258" i="43" s="1"/>
  <c r="Z254" i="42"/>
  <c r="AE254" i="42" s="1"/>
  <c r="BL250" i="31" l="1"/>
  <c r="BP250" i="31" s="1"/>
  <c r="M258" i="43"/>
  <c r="O258" i="43" s="1"/>
  <c r="Y258" i="43"/>
  <c r="BL258" i="43" s="1"/>
  <c r="BP258" i="43" s="1"/>
  <c r="N255" i="42"/>
  <c r="AD254" i="42"/>
  <c r="Z250" i="31" l="1"/>
  <c r="AH255" i="42"/>
  <c r="CC255" i="42"/>
  <c r="CE255" i="42" s="1"/>
  <c r="CF255" i="42" s="1"/>
  <c r="Z258" i="43"/>
  <c r="AE258" i="43" s="1"/>
  <c r="P255" i="42"/>
  <c r="W255" i="42"/>
  <c r="AE250" i="31" l="1"/>
  <c r="N251" i="31"/>
  <c r="CH251" i="31"/>
  <c r="AD250" i="31"/>
  <c r="M255" i="42"/>
  <c r="O255" i="42" s="1"/>
  <c r="X255" i="42"/>
  <c r="N259" i="43"/>
  <c r="AD258" i="43"/>
  <c r="AH251" i="31" l="1"/>
  <c r="CC251" i="31"/>
  <c r="CE251" i="31" s="1"/>
  <c r="CF251" i="31" s="1"/>
  <c r="W251" i="31"/>
  <c r="P251" i="31"/>
  <c r="AH259" i="43"/>
  <c r="CC259" i="43"/>
  <c r="CE259" i="43" s="1"/>
  <c r="CF259" i="43" s="1"/>
  <c r="Y255" i="42"/>
  <c r="BL255" i="42" s="1"/>
  <c r="BP255" i="42" s="1"/>
  <c r="P259" i="43"/>
  <c r="W259" i="43"/>
  <c r="M251" i="31" l="1"/>
  <c r="O251" i="31" s="1"/>
  <c r="X251" i="31"/>
  <c r="Y251" i="31" s="1"/>
  <c r="Z255" i="42"/>
  <c r="M259" i="43"/>
  <c r="O259" i="43" s="1"/>
  <c r="X259" i="43"/>
  <c r="BL251" i="31" l="1"/>
  <c r="BP251" i="31" s="1"/>
  <c r="AD255" i="42"/>
  <c r="AE255" i="42"/>
  <c r="N256" i="42"/>
  <c r="Y259" i="43"/>
  <c r="P256" i="42" l="1"/>
  <c r="Z251" i="31"/>
  <c r="CC256" i="42"/>
  <c r="CE256" i="42" s="1"/>
  <c r="CF256" i="42" s="1"/>
  <c r="W256" i="42"/>
  <c r="M256" i="42" s="1"/>
  <c r="O256" i="42" s="1"/>
  <c r="AH256" i="42"/>
  <c r="BL259" i="43"/>
  <c r="BP259" i="43" s="1"/>
  <c r="AE251" i="31" l="1"/>
  <c r="AD251" i="31"/>
  <c r="CH252" i="31"/>
  <c r="N252" i="31"/>
  <c r="X256" i="42"/>
  <c r="Y256" i="42" s="1"/>
  <c r="BL256" i="42" s="1"/>
  <c r="BP256" i="42" s="1"/>
  <c r="Z259" i="43"/>
  <c r="AE259" i="43" s="1"/>
  <c r="W252" i="31" l="1"/>
  <c r="P252" i="31"/>
  <c r="AH252" i="31"/>
  <c r="CC252" i="31"/>
  <c r="CE252" i="31" s="1"/>
  <c r="CF252" i="31" s="1"/>
  <c r="N260" i="43"/>
  <c r="AD259" i="43"/>
  <c r="Z256" i="42"/>
  <c r="AE256" i="42" s="1"/>
  <c r="M252" i="31" l="1"/>
  <c r="O252" i="31" s="1"/>
  <c r="X252" i="31"/>
  <c r="Y252" i="31" s="1"/>
  <c r="AH260" i="43"/>
  <c r="CC260" i="43"/>
  <c r="CE260" i="43" s="1"/>
  <c r="CF260" i="43" s="1"/>
  <c r="P260" i="43"/>
  <c r="W260" i="43"/>
  <c r="N257" i="42"/>
  <c r="AD256" i="42"/>
  <c r="BL252" i="31" l="1"/>
  <c r="BP252" i="31" s="1"/>
  <c r="P257" i="42"/>
  <c r="W257" i="42"/>
  <c r="AH257" i="42"/>
  <c r="CC257" i="42"/>
  <c r="CE257" i="42" s="1"/>
  <c r="CF257" i="42" s="1"/>
  <c r="M260" i="43"/>
  <c r="O260" i="43" s="1"/>
  <c r="X260" i="43"/>
  <c r="Z252" i="31" l="1"/>
  <c r="M257" i="42"/>
  <c r="O257" i="42" s="1"/>
  <c r="X257" i="42"/>
  <c r="Y260" i="43"/>
  <c r="AE252" i="31" l="1"/>
  <c r="AD252" i="31"/>
  <c r="CH253" i="31"/>
  <c r="N253" i="31"/>
  <c r="Y257" i="42"/>
  <c r="BL257" i="42" s="1"/>
  <c r="BP257" i="42" s="1"/>
  <c r="BL260" i="43"/>
  <c r="BP260" i="43" s="1"/>
  <c r="W253" i="31" l="1"/>
  <c r="P253" i="31"/>
  <c r="AH253" i="31"/>
  <c r="CC253" i="31"/>
  <c r="CE253" i="31" s="1"/>
  <c r="CF253" i="31" s="1"/>
  <c r="Z257" i="42"/>
  <c r="Z260" i="43"/>
  <c r="AE260" i="43" s="1"/>
  <c r="M253" i="31" l="1"/>
  <c r="O253" i="31" s="1"/>
  <c r="X253" i="31"/>
  <c r="Y253" i="31" s="1"/>
  <c r="AD257" i="42"/>
  <c r="AE257" i="42"/>
  <c r="N258" i="42"/>
  <c r="AH258" i="42" s="1"/>
  <c r="N261" i="43"/>
  <c r="AD260" i="43"/>
  <c r="BL253" i="31" l="1"/>
  <c r="BP253" i="31" s="1"/>
  <c r="CC258" i="42"/>
  <c r="CE258" i="42" s="1"/>
  <c r="CF258" i="42" s="1"/>
  <c r="P258" i="42"/>
  <c r="W258" i="42"/>
  <c r="M258" i="42" s="1"/>
  <c r="O258" i="42" s="1"/>
  <c r="AH261" i="43"/>
  <c r="CC261" i="43"/>
  <c r="CE261" i="43" s="1"/>
  <c r="CF261" i="43" s="1"/>
  <c r="P261" i="43"/>
  <c r="W261" i="43"/>
  <c r="X258" i="42" l="1"/>
  <c r="Y258" i="42" s="1"/>
  <c r="BL258" i="42" s="1"/>
  <c r="BP258" i="42" s="1"/>
  <c r="Z253" i="31"/>
  <c r="M261" i="43"/>
  <c r="O261" i="43" s="1"/>
  <c r="X261" i="43"/>
  <c r="AE253" i="31" l="1"/>
  <c r="CH254" i="31"/>
  <c r="N254" i="31"/>
  <c r="AD253" i="31"/>
  <c r="Y261" i="43"/>
  <c r="Z258" i="42"/>
  <c r="AE258" i="42" s="1"/>
  <c r="AH254" i="31" l="1"/>
  <c r="CC254" i="31"/>
  <c r="CE254" i="31" s="1"/>
  <c r="CF254" i="31" s="1"/>
  <c r="W254" i="31"/>
  <c r="P254" i="31"/>
  <c r="BL261" i="43"/>
  <c r="N259" i="42"/>
  <c r="AD258" i="42"/>
  <c r="X254" i="31" l="1"/>
  <c r="Y254" i="31" s="1"/>
  <c r="M254" i="31"/>
  <c r="O254" i="31" s="1"/>
  <c r="AH259" i="42"/>
  <c r="CC259" i="42"/>
  <c r="CE259" i="42" s="1"/>
  <c r="CF259" i="42" s="1"/>
  <c r="P259" i="42"/>
  <c r="W259" i="42"/>
  <c r="BP261" i="43"/>
  <c r="Z261" i="43"/>
  <c r="AE261" i="43" s="1"/>
  <c r="BL254" i="31" l="1"/>
  <c r="BP254" i="31" s="1"/>
  <c r="N262" i="43"/>
  <c r="AD261" i="43"/>
  <c r="M259" i="42"/>
  <c r="O259" i="42" s="1"/>
  <c r="X259" i="42"/>
  <c r="Z254" i="31" l="1"/>
  <c r="AH262" i="43"/>
  <c r="CC262" i="43"/>
  <c r="CE262" i="43" s="1"/>
  <c r="CF262" i="43" s="1"/>
  <c r="P262" i="43"/>
  <c r="W262" i="43"/>
  <c r="Y259" i="42"/>
  <c r="AE254" i="31" l="1"/>
  <c r="N255" i="31"/>
  <c r="CH255" i="31"/>
  <c r="AD254" i="31"/>
  <c r="BL259" i="42"/>
  <c r="M262" i="43"/>
  <c r="O262" i="43" s="1"/>
  <c r="X262" i="43"/>
  <c r="AH255" i="31" l="1"/>
  <c r="CC255" i="31"/>
  <c r="CE255" i="31" s="1"/>
  <c r="CF255" i="31" s="1"/>
  <c r="W255" i="31"/>
  <c r="P255" i="31"/>
  <c r="Y262" i="43"/>
  <c r="BP259" i="42"/>
  <c r="Z259" i="42"/>
  <c r="AE259" i="42" s="1"/>
  <c r="X255" i="31" l="1"/>
  <c r="Y255" i="31" s="1"/>
  <c r="M255" i="31"/>
  <c r="O255" i="31" s="1"/>
  <c r="N260" i="42"/>
  <c r="AD259" i="42"/>
  <c r="BL262" i="43"/>
  <c r="BP262" i="43" s="1"/>
  <c r="BL255" i="31" l="1"/>
  <c r="BP255" i="31" s="1"/>
  <c r="Z262" i="43"/>
  <c r="AH260" i="42"/>
  <c r="CC260" i="42"/>
  <c r="CE260" i="42" s="1"/>
  <c r="CF260" i="42" s="1"/>
  <c r="P260" i="42"/>
  <c r="W260" i="42"/>
  <c r="Z255" i="31" l="1"/>
  <c r="N263" i="43"/>
  <c r="AH263" i="43" s="1"/>
  <c r="AE262" i="43"/>
  <c r="AD262" i="43"/>
  <c r="M260" i="42"/>
  <c r="O260" i="42" s="1"/>
  <c r="X260" i="42"/>
  <c r="AE255" i="31" l="1"/>
  <c r="AD255" i="31"/>
  <c r="CH256" i="31"/>
  <c r="N256" i="31"/>
  <c r="CC263" i="43"/>
  <c r="CE263" i="43" s="1"/>
  <c r="CF263" i="43" s="1"/>
  <c r="W263" i="43"/>
  <c r="M263" i="43" s="1"/>
  <c r="O263" i="43" s="1"/>
  <c r="P263" i="43"/>
  <c r="Y260" i="42"/>
  <c r="W256" i="31" l="1"/>
  <c r="P256" i="31"/>
  <c r="AH256" i="31"/>
  <c r="CC256" i="31"/>
  <c r="CE256" i="31" s="1"/>
  <c r="CF256" i="31" s="1"/>
  <c r="X263" i="43"/>
  <c r="Y263" i="43" s="1"/>
  <c r="BL260" i="42"/>
  <c r="M256" i="31" l="1"/>
  <c r="O256" i="31" s="1"/>
  <c r="X256" i="31"/>
  <c r="Y256" i="31" s="1"/>
  <c r="BL263" i="43"/>
  <c r="BP260" i="42"/>
  <c r="Z260" i="42"/>
  <c r="AE260" i="42" s="1"/>
  <c r="BL256" i="31" l="1"/>
  <c r="BP256" i="31" s="1"/>
  <c r="N261" i="42"/>
  <c r="AD260" i="42"/>
  <c r="BP263" i="43"/>
  <c r="Z263" i="43"/>
  <c r="AE263" i="43" s="1"/>
  <c r="Z256" i="31" l="1"/>
  <c r="N264" i="43"/>
  <c r="AD263" i="43"/>
  <c r="AH261" i="42"/>
  <c r="CC261" i="42"/>
  <c r="CE261" i="42" s="1"/>
  <c r="CF261" i="42" s="1"/>
  <c r="P261" i="42"/>
  <c r="W261" i="42"/>
  <c r="AE256" i="31" l="1"/>
  <c r="N257" i="31"/>
  <c r="CH257" i="31"/>
  <c r="AD256" i="31"/>
  <c r="M261" i="42"/>
  <c r="O261" i="42" s="1"/>
  <c r="X261" i="42"/>
  <c r="AH264" i="43"/>
  <c r="CC264" i="43"/>
  <c r="CE264" i="43" s="1"/>
  <c r="CF264" i="43" s="1"/>
  <c r="P264" i="43"/>
  <c r="W264" i="43"/>
  <c r="AH257" i="31" l="1"/>
  <c r="CC257" i="31"/>
  <c r="CE257" i="31" s="1"/>
  <c r="CF257" i="31" s="1"/>
  <c r="W257" i="31"/>
  <c r="P257" i="31"/>
  <c r="Y261" i="42"/>
  <c r="M264" i="43"/>
  <c r="O264" i="43" s="1"/>
  <c r="X264" i="43"/>
  <c r="M257" i="31" l="1"/>
  <c r="O257" i="31" s="1"/>
  <c r="X257" i="31"/>
  <c r="Y257" i="31" s="1"/>
  <c r="BL261" i="42"/>
  <c r="BP261" i="42" s="1"/>
  <c r="Y264" i="43"/>
  <c r="BL264" i="43" s="1"/>
  <c r="BP264" i="43" s="1"/>
  <c r="BL257" i="31" l="1"/>
  <c r="BP257" i="31" s="1"/>
  <c r="Z261" i="42"/>
  <c r="AE261" i="42" s="1"/>
  <c r="Z264" i="43"/>
  <c r="AE264" i="43" s="1"/>
  <c r="Z257" i="31" l="1"/>
  <c r="N265" i="43"/>
  <c r="AD264" i="43"/>
  <c r="N262" i="42"/>
  <c r="AD261" i="42"/>
  <c r="AE257" i="31" l="1"/>
  <c r="N258" i="31"/>
  <c r="CH258" i="31"/>
  <c r="AD257" i="31"/>
  <c r="P262" i="42"/>
  <c r="W262" i="42"/>
  <c r="P265" i="43"/>
  <c r="W265" i="43"/>
  <c r="AH262" i="42"/>
  <c r="CC262" i="42"/>
  <c r="CE262" i="42" s="1"/>
  <c r="CF262" i="42" s="1"/>
  <c r="AH265" i="43"/>
  <c r="CC265" i="43"/>
  <c r="CE265" i="43" s="1"/>
  <c r="CF265" i="43" s="1"/>
  <c r="AH258" i="31" l="1"/>
  <c r="CC258" i="31"/>
  <c r="CE258" i="31" s="1"/>
  <c r="CF258" i="31" s="1"/>
  <c r="W258" i="31"/>
  <c r="P258" i="31"/>
  <c r="M262" i="42"/>
  <c r="O262" i="42" s="1"/>
  <c r="X262" i="42"/>
  <c r="M265" i="43"/>
  <c r="O265" i="43" s="1"/>
  <c r="X265" i="43"/>
  <c r="M258" i="31" l="1"/>
  <c r="O258" i="31" s="1"/>
  <c r="X258" i="31"/>
  <c r="Y258" i="31" s="1"/>
  <c r="Y265" i="43"/>
  <c r="BL265" i="43" s="1"/>
  <c r="BP265" i="43" s="1"/>
  <c r="Y262" i="42"/>
  <c r="BL258" i="31" l="1"/>
  <c r="BP258" i="31" s="1"/>
  <c r="Z265" i="43"/>
  <c r="BL262" i="42"/>
  <c r="BP262" i="42" s="1"/>
  <c r="Z258" i="31" l="1"/>
  <c r="AD265" i="43"/>
  <c r="AE265" i="43"/>
  <c r="N266" i="43"/>
  <c r="AH266" i="43" s="1"/>
  <c r="Z262" i="42"/>
  <c r="AE262" i="42" s="1"/>
  <c r="AE258" i="31" l="1"/>
  <c r="AD258" i="31"/>
  <c r="CH259" i="31"/>
  <c r="N259" i="31"/>
  <c r="P266" i="43"/>
  <c r="CC266" i="43"/>
  <c r="CE266" i="43" s="1"/>
  <c r="CF266" i="43" s="1"/>
  <c r="W266" i="43"/>
  <c r="X266" i="43" s="1"/>
  <c r="N263" i="42"/>
  <c r="AD262" i="42"/>
  <c r="W259" i="31" l="1"/>
  <c r="P259" i="31"/>
  <c r="AH259" i="31"/>
  <c r="CC259" i="31"/>
  <c r="CE259" i="31" s="1"/>
  <c r="CF259" i="31" s="1"/>
  <c r="M266" i="43"/>
  <c r="O266" i="43" s="1"/>
  <c r="AH263" i="42"/>
  <c r="CC263" i="42"/>
  <c r="CE263" i="42" s="1"/>
  <c r="CF263" i="42" s="1"/>
  <c r="Y266" i="43"/>
  <c r="BL266" i="43" s="1"/>
  <c r="BP266" i="43" s="1"/>
  <c r="P263" i="42"/>
  <c r="W263" i="42"/>
  <c r="X259" i="31" l="1"/>
  <c r="Y259" i="31" s="1"/>
  <c r="M259" i="31"/>
  <c r="O259" i="31" s="1"/>
  <c r="Z266" i="43"/>
  <c r="AE266" i="43" s="1"/>
  <c r="M263" i="42"/>
  <c r="O263" i="42" s="1"/>
  <c r="X263" i="42"/>
  <c r="BL259" i="31" l="1"/>
  <c r="BP259" i="31" s="1"/>
  <c r="Y263" i="42"/>
  <c r="N267" i="43"/>
  <c r="AD266" i="43"/>
  <c r="Z259" i="31" l="1"/>
  <c r="BL263" i="42"/>
  <c r="BP263" i="42" s="1"/>
  <c r="P267" i="43"/>
  <c r="W267" i="43"/>
  <c r="AH267" i="43"/>
  <c r="CC267" i="43"/>
  <c r="CE267" i="43" s="1"/>
  <c r="CF267" i="43" s="1"/>
  <c r="AE259" i="31" l="1"/>
  <c r="AD259" i="31"/>
  <c r="CH260" i="31"/>
  <c r="N260" i="31"/>
  <c r="M267" i="43"/>
  <c r="O267" i="43" s="1"/>
  <c r="X267" i="43"/>
  <c r="Z263" i="42"/>
  <c r="AE263" i="42" s="1"/>
  <c r="W260" i="31" l="1"/>
  <c r="P260" i="31"/>
  <c r="AH260" i="31"/>
  <c r="CC260" i="31"/>
  <c r="CE260" i="31" s="1"/>
  <c r="CF260" i="31" s="1"/>
  <c r="N264" i="42"/>
  <c r="AD263" i="42"/>
  <c r="Y267" i="43"/>
  <c r="BL267" i="43" s="1"/>
  <c r="BP267" i="43" s="1"/>
  <c r="X260" i="31" l="1"/>
  <c r="Y260" i="31" s="1"/>
  <c r="M260" i="31"/>
  <c r="O260" i="31" s="1"/>
  <c r="AH264" i="42"/>
  <c r="CC264" i="42"/>
  <c r="CE264" i="42" s="1"/>
  <c r="CF264" i="42" s="1"/>
  <c r="P264" i="42"/>
  <c r="W264" i="42"/>
  <c r="Z267" i="43"/>
  <c r="AE267" i="43" s="1"/>
  <c r="BL260" i="31" l="1"/>
  <c r="BP260" i="31" s="1"/>
  <c r="N268" i="43"/>
  <c r="AD267" i="43"/>
  <c r="M264" i="42"/>
  <c r="O264" i="42" s="1"/>
  <c r="X264" i="42"/>
  <c r="Z260" i="31" l="1"/>
  <c r="AH268" i="43"/>
  <c r="CC268" i="43"/>
  <c r="CE268" i="43" s="1"/>
  <c r="CF268" i="43" s="1"/>
  <c r="P268" i="43"/>
  <c r="W268" i="43"/>
  <c r="Y264" i="42"/>
  <c r="BL264" i="42" s="1"/>
  <c r="BP264" i="42" s="1"/>
  <c r="AE260" i="31" l="1"/>
  <c r="CH261" i="31"/>
  <c r="N261" i="31"/>
  <c r="AD260" i="31"/>
  <c r="Z264" i="42"/>
  <c r="M268" i="43"/>
  <c r="O268" i="43" s="1"/>
  <c r="X268" i="43"/>
  <c r="AH261" i="31" l="1"/>
  <c r="CC261" i="31"/>
  <c r="CE261" i="31" s="1"/>
  <c r="CF261" i="31" s="1"/>
  <c r="W261" i="31"/>
  <c r="P261" i="31"/>
  <c r="AD264" i="42"/>
  <c r="AE264" i="42"/>
  <c r="N265" i="42"/>
  <c r="Y268" i="43"/>
  <c r="BL268" i="43" s="1"/>
  <c r="BP268" i="43" s="1"/>
  <c r="W265" i="42" l="1"/>
  <c r="M265" i="42" s="1"/>
  <c r="O265" i="42" s="1"/>
  <c r="M261" i="31"/>
  <c r="O261" i="31" s="1"/>
  <c r="X261" i="31"/>
  <c r="Y261" i="31" s="1"/>
  <c r="Z268" i="43"/>
  <c r="P265" i="42"/>
  <c r="AH265" i="42"/>
  <c r="CC265" i="42"/>
  <c r="CE265" i="42" s="1"/>
  <c r="CF265" i="42" s="1"/>
  <c r="X265" i="42" l="1"/>
  <c r="Y265" i="42" s="1"/>
  <c r="BL265" i="42" s="1"/>
  <c r="BP265" i="42" s="1"/>
  <c r="BL261" i="31"/>
  <c r="BP261" i="31" s="1"/>
  <c r="AD268" i="43"/>
  <c r="AE268" i="43"/>
  <c r="N269" i="43"/>
  <c r="CC269" i="43" s="1"/>
  <c r="CE269" i="43" s="1"/>
  <c r="CF269" i="43" s="1"/>
  <c r="Z261" i="31" l="1"/>
  <c r="P269" i="43"/>
  <c r="W269" i="43"/>
  <c r="X269" i="43" s="1"/>
  <c r="AH269" i="43"/>
  <c r="Z265" i="42"/>
  <c r="AE265" i="42" s="1"/>
  <c r="AE261" i="31" l="1"/>
  <c r="N262" i="31"/>
  <c r="AD261" i="31"/>
  <c r="CH262" i="31"/>
  <c r="M269" i="43"/>
  <c r="O269" i="43" s="1"/>
  <c r="Y269" i="43"/>
  <c r="BL269" i="43" s="1"/>
  <c r="BP269" i="43" s="1"/>
  <c r="N266" i="42"/>
  <c r="AD265" i="42"/>
  <c r="AH262" i="31" l="1"/>
  <c r="CC262" i="31"/>
  <c r="CE262" i="31" s="1"/>
  <c r="CF262" i="31" s="1"/>
  <c r="W262" i="31"/>
  <c r="P262" i="31"/>
  <c r="Z269" i="43"/>
  <c r="P266" i="42"/>
  <c r="W266" i="42"/>
  <c r="AH266" i="42"/>
  <c r="CC266" i="42"/>
  <c r="CE266" i="42" s="1"/>
  <c r="CF266" i="42" s="1"/>
  <c r="M262" i="31" l="1"/>
  <c r="O262" i="31" s="1"/>
  <c r="X262" i="31"/>
  <c r="Y262" i="31" s="1"/>
  <c r="AD269" i="43"/>
  <c r="AE269" i="43"/>
  <c r="N270" i="43"/>
  <c r="AH270" i="43" s="1"/>
  <c r="M266" i="42"/>
  <c r="O266" i="42" s="1"/>
  <c r="X266" i="42"/>
  <c r="BL262" i="31" l="1"/>
  <c r="BP262" i="31" s="1"/>
  <c r="P270" i="43"/>
  <c r="CC270" i="43"/>
  <c r="CE270" i="43" s="1"/>
  <c r="CF270" i="43" s="1"/>
  <c r="W270" i="43"/>
  <c r="X270" i="43" s="1"/>
  <c r="Y266" i="42"/>
  <c r="BL266" i="42" s="1"/>
  <c r="BP266" i="42" s="1"/>
  <c r="Z262" i="31" l="1"/>
  <c r="M270" i="43"/>
  <c r="O270" i="43" s="1"/>
  <c r="Z266" i="42"/>
  <c r="AE266" i="42" s="1"/>
  <c r="Y270" i="43"/>
  <c r="BL270" i="43" s="1"/>
  <c r="BP270" i="43" s="1"/>
  <c r="AE262" i="31" l="1"/>
  <c r="AD262" i="31"/>
  <c r="CH263" i="31"/>
  <c r="N263" i="31"/>
  <c r="Z270" i="43"/>
  <c r="AE270" i="43" s="1"/>
  <c r="N267" i="42"/>
  <c r="AD266" i="42"/>
  <c r="W263" i="31" l="1"/>
  <c r="P263" i="31"/>
  <c r="AH263" i="31"/>
  <c r="CC263" i="31"/>
  <c r="CE263" i="31" s="1"/>
  <c r="CF263" i="31" s="1"/>
  <c r="N271" i="43"/>
  <c r="AD270" i="43"/>
  <c r="AH267" i="42"/>
  <c r="CC267" i="42"/>
  <c r="CE267" i="42" s="1"/>
  <c r="CF267" i="42" s="1"/>
  <c r="P267" i="42"/>
  <c r="W267" i="42"/>
  <c r="M263" i="31" l="1"/>
  <c r="O263" i="31" s="1"/>
  <c r="X263" i="31"/>
  <c r="Y263" i="31" s="1"/>
  <c r="AH271" i="43"/>
  <c r="CC271" i="43"/>
  <c r="CE271" i="43" s="1"/>
  <c r="CF271" i="43" s="1"/>
  <c r="P271" i="43"/>
  <c r="W271" i="43"/>
  <c r="M267" i="42"/>
  <c r="O267" i="42" s="1"/>
  <c r="X267" i="42"/>
  <c r="BL263" i="31" l="1"/>
  <c r="BP263" i="31" s="1"/>
  <c r="Y267" i="42"/>
  <c r="BL267" i="42" s="1"/>
  <c r="BP267" i="42" s="1"/>
  <c r="M271" i="43"/>
  <c r="O271" i="43" s="1"/>
  <c r="X271" i="43"/>
  <c r="Z263" i="31" l="1"/>
  <c r="Y271" i="43"/>
  <c r="Z267" i="42"/>
  <c r="AE267" i="42" s="1"/>
  <c r="AE263" i="31" l="1"/>
  <c r="CH264" i="31"/>
  <c r="N264" i="31"/>
  <c r="AD263" i="31"/>
  <c r="N268" i="42"/>
  <c r="AD267" i="42"/>
  <c r="BL271" i="43"/>
  <c r="AH264" i="31" l="1"/>
  <c r="CC264" i="31"/>
  <c r="CE264" i="31" s="1"/>
  <c r="CF264" i="31" s="1"/>
  <c r="W264" i="31"/>
  <c r="P264" i="31"/>
  <c r="P268" i="42"/>
  <c r="W268" i="42"/>
  <c r="BP271" i="43"/>
  <c r="Z271" i="43"/>
  <c r="AE271" i="43" s="1"/>
  <c r="AH268" i="42"/>
  <c r="CC268" i="42"/>
  <c r="CE268" i="42" s="1"/>
  <c r="CF268" i="42" s="1"/>
  <c r="X264" i="31" l="1"/>
  <c r="Y264" i="31" s="1"/>
  <c r="M264" i="31"/>
  <c r="O264" i="31" s="1"/>
  <c r="N272" i="43"/>
  <c r="AD271" i="43"/>
  <c r="M268" i="42"/>
  <c r="O268" i="42" s="1"/>
  <c r="X268" i="42"/>
  <c r="BL264" i="31" l="1"/>
  <c r="BP264" i="31" s="1"/>
  <c r="AH272" i="43"/>
  <c r="CC272" i="43"/>
  <c r="CE272" i="43" s="1"/>
  <c r="CF272" i="43" s="1"/>
  <c r="Y268" i="42"/>
  <c r="BL268" i="42" s="1"/>
  <c r="BP268" i="42" s="1"/>
  <c r="P272" i="43"/>
  <c r="W272" i="43"/>
  <c r="Z264" i="31" l="1"/>
  <c r="M272" i="43"/>
  <c r="O272" i="43" s="1"/>
  <c r="X272" i="43"/>
  <c r="Z268" i="42"/>
  <c r="AE268" i="42" s="1"/>
  <c r="AE264" i="31" l="1"/>
  <c r="N265" i="31"/>
  <c r="CH265" i="31"/>
  <c r="AD264" i="31"/>
  <c r="N269" i="42"/>
  <c r="AD268" i="42"/>
  <c r="Y272" i="43"/>
  <c r="AH265" i="31" l="1"/>
  <c r="CC265" i="31"/>
  <c r="CE265" i="31" s="1"/>
  <c r="CF265" i="31" s="1"/>
  <c r="W265" i="31"/>
  <c r="P265" i="31"/>
  <c r="BL272" i="43"/>
  <c r="BP272" i="43" s="1"/>
  <c r="P269" i="42"/>
  <c r="W269" i="42"/>
  <c r="AH269" i="42"/>
  <c r="CC269" i="42"/>
  <c r="CE269" i="42" s="1"/>
  <c r="CF269" i="42" s="1"/>
  <c r="M265" i="31" l="1"/>
  <c r="O265" i="31" s="1"/>
  <c r="X265" i="31"/>
  <c r="Y265" i="31" s="1"/>
  <c r="Z272" i="43"/>
  <c r="M269" i="42"/>
  <c r="O269" i="42" s="1"/>
  <c r="X269" i="42"/>
  <c r="BL265" i="31" l="1"/>
  <c r="BP265" i="31" s="1"/>
  <c r="AD272" i="43"/>
  <c r="AE272" i="43"/>
  <c r="N273" i="43"/>
  <c r="Y269" i="42"/>
  <c r="BL269" i="42" s="1"/>
  <c r="BP269" i="42" s="1"/>
  <c r="Z265" i="31" l="1"/>
  <c r="W273" i="43"/>
  <c r="M273" i="43" s="1"/>
  <c r="O273" i="43" s="1"/>
  <c r="CC273" i="43"/>
  <c r="CE273" i="43" s="1"/>
  <c r="CF273" i="43" s="1"/>
  <c r="P273" i="43"/>
  <c r="AH273" i="43"/>
  <c r="Z269" i="42"/>
  <c r="AE269" i="42" s="1"/>
  <c r="AE265" i="31" l="1"/>
  <c r="CH266" i="31"/>
  <c r="N266" i="31"/>
  <c r="AD265" i="31"/>
  <c r="X273" i="43"/>
  <c r="Y273" i="43" s="1"/>
  <c r="N270" i="42"/>
  <c r="AD269" i="42"/>
  <c r="AH266" i="31" l="1"/>
  <c r="CC266" i="31"/>
  <c r="CE266" i="31" s="1"/>
  <c r="CF266" i="31" s="1"/>
  <c r="W266" i="31"/>
  <c r="P266" i="31"/>
  <c r="P270" i="42"/>
  <c r="W270" i="42"/>
  <c r="BL273" i="43"/>
  <c r="BP273" i="43" s="1"/>
  <c r="AH270" i="42"/>
  <c r="CC270" i="42"/>
  <c r="CE270" i="42" s="1"/>
  <c r="CF270" i="42" s="1"/>
  <c r="X266" i="31" l="1"/>
  <c r="Y266" i="31" s="1"/>
  <c r="M266" i="31"/>
  <c r="O266" i="31" s="1"/>
  <c r="Z273" i="43"/>
  <c r="AE273" i="43" s="1"/>
  <c r="M270" i="42"/>
  <c r="O270" i="42" s="1"/>
  <c r="X270" i="42"/>
  <c r="BL266" i="31" l="1"/>
  <c r="BP266" i="31" s="1"/>
  <c r="N274" i="43"/>
  <c r="AD273" i="43"/>
  <c r="Y270" i="42"/>
  <c r="BL270" i="42" s="1"/>
  <c r="BP270" i="42" s="1"/>
  <c r="Z266" i="31" l="1"/>
  <c r="Z270" i="42"/>
  <c r="AH274" i="43"/>
  <c r="CC274" i="43"/>
  <c r="CE274" i="43" s="1"/>
  <c r="CF274" i="43" s="1"/>
  <c r="P274" i="43"/>
  <c r="W274" i="43"/>
  <c r="AE266" i="31" l="1"/>
  <c r="N267" i="31"/>
  <c r="AD266" i="31"/>
  <c r="CH267" i="31"/>
  <c r="AD270" i="42"/>
  <c r="AE270" i="42"/>
  <c r="N271" i="42"/>
  <c r="CC271" i="42" s="1"/>
  <c r="CE271" i="42" s="1"/>
  <c r="CF271" i="42" s="1"/>
  <c r="M274" i="43"/>
  <c r="O274" i="43" s="1"/>
  <c r="X274" i="43"/>
  <c r="AH267" i="31" l="1"/>
  <c r="CC267" i="31"/>
  <c r="CE267" i="31" s="1"/>
  <c r="CF267" i="31" s="1"/>
  <c r="W267" i="31"/>
  <c r="P267" i="31"/>
  <c r="W271" i="42"/>
  <c r="X271" i="42" s="1"/>
  <c r="AH271" i="42"/>
  <c r="P271" i="42"/>
  <c r="Y274" i="43"/>
  <c r="M267" i="31" l="1"/>
  <c r="O267" i="31" s="1"/>
  <c r="X267" i="31"/>
  <c r="Y267" i="31" s="1"/>
  <c r="M271" i="42"/>
  <c r="O271" i="42" s="1"/>
  <c r="BL274" i="43"/>
  <c r="BP274" i="43" s="1"/>
  <c r="Y271" i="42"/>
  <c r="BL267" i="31" l="1"/>
  <c r="BP267" i="31" s="1"/>
  <c r="BL271" i="42"/>
  <c r="BP271" i="42" s="1"/>
  <c r="Z274" i="43"/>
  <c r="AE274" i="43" s="1"/>
  <c r="Z267" i="31" l="1"/>
  <c r="Z271" i="42"/>
  <c r="AE271" i="42" s="1"/>
  <c r="N275" i="43"/>
  <c r="AD274" i="43"/>
  <c r="AE267" i="31" l="1"/>
  <c r="N268" i="31"/>
  <c r="CH268" i="31"/>
  <c r="AD267" i="31"/>
  <c r="AH275" i="43"/>
  <c r="CC275" i="43"/>
  <c r="CE275" i="43" s="1"/>
  <c r="CF275" i="43" s="1"/>
  <c r="N272" i="42"/>
  <c r="AD271" i="42"/>
  <c r="P275" i="43"/>
  <c r="W275" i="43"/>
  <c r="AH268" i="31" l="1"/>
  <c r="CC268" i="31"/>
  <c r="CE268" i="31" s="1"/>
  <c r="CF268" i="31" s="1"/>
  <c r="W268" i="31"/>
  <c r="P268" i="31"/>
  <c r="M275" i="43"/>
  <c r="O275" i="43" s="1"/>
  <c r="X275" i="43"/>
  <c r="AH272" i="42"/>
  <c r="CC272" i="42"/>
  <c r="CE272" i="42" s="1"/>
  <c r="CF272" i="42" s="1"/>
  <c r="P272" i="42"/>
  <c r="W272" i="42"/>
  <c r="X268" i="31" l="1"/>
  <c r="Y268" i="31" s="1"/>
  <c r="M268" i="31"/>
  <c r="O268" i="31" s="1"/>
  <c r="Y275" i="43"/>
  <c r="M272" i="42"/>
  <c r="O272" i="42" s="1"/>
  <c r="X272" i="42"/>
  <c r="BL268" i="31" l="1"/>
  <c r="BP268" i="31" s="1"/>
  <c r="BL275" i="43"/>
  <c r="BP275" i="43" s="1"/>
  <c r="Y272" i="42"/>
  <c r="Z268" i="31" l="1"/>
  <c r="Z275" i="43"/>
  <c r="BL272" i="42"/>
  <c r="BP272" i="42" s="1"/>
  <c r="AE268" i="31" l="1"/>
  <c r="N269" i="31"/>
  <c r="CH269" i="31"/>
  <c r="AD268" i="31"/>
  <c r="AD275" i="43"/>
  <c r="AE275" i="43"/>
  <c r="N276" i="43"/>
  <c r="AH276" i="43" s="1"/>
  <c r="Z272" i="42"/>
  <c r="AH269" i="31" l="1"/>
  <c r="CC269" i="31"/>
  <c r="CE269" i="31" s="1"/>
  <c r="CF269" i="31" s="1"/>
  <c r="W269" i="31"/>
  <c r="P269" i="31"/>
  <c r="N273" i="42"/>
  <c r="AH273" i="42" s="1"/>
  <c r="AE272" i="42"/>
  <c r="AD272" i="42"/>
  <c r="W276" i="43"/>
  <c r="M276" i="43" s="1"/>
  <c r="O276" i="43" s="1"/>
  <c r="P276" i="43"/>
  <c r="CC276" i="43"/>
  <c r="CE276" i="43" s="1"/>
  <c r="CF276" i="43" s="1"/>
  <c r="CC273" i="42" l="1"/>
  <c r="CE273" i="42" s="1"/>
  <c r="CF273" i="42" s="1"/>
  <c r="M269" i="31"/>
  <c r="O269" i="31" s="1"/>
  <c r="X269" i="31"/>
  <c r="Y269" i="31" s="1"/>
  <c r="W273" i="42"/>
  <c r="X273" i="42" s="1"/>
  <c r="P273" i="42"/>
  <c r="X276" i="43"/>
  <c r="Y276" i="43" s="1"/>
  <c r="BL276" i="43" s="1"/>
  <c r="BP276" i="43" s="1"/>
  <c r="BL269" i="31" l="1"/>
  <c r="BP269" i="31" s="1"/>
  <c r="M273" i="42"/>
  <c r="O273" i="42" s="1"/>
  <c r="Y273" i="42"/>
  <c r="Z276" i="43"/>
  <c r="AE276" i="43" s="1"/>
  <c r="Z269" i="31" l="1"/>
  <c r="BL273" i="42"/>
  <c r="BP273" i="42" s="1"/>
  <c r="N277" i="43"/>
  <c r="AD276" i="43"/>
  <c r="AE269" i="31" l="1"/>
  <c r="N270" i="31"/>
  <c r="CH270" i="31"/>
  <c r="AD269" i="31"/>
  <c r="AH277" i="43"/>
  <c r="CC277" i="43"/>
  <c r="CE277" i="43" s="1"/>
  <c r="CF277" i="43" s="1"/>
  <c r="P277" i="43"/>
  <c r="W277" i="43"/>
  <c r="Z273" i="42"/>
  <c r="AE273" i="42" s="1"/>
  <c r="AH270" i="31" l="1"/>
  <c r="CC270" i="31"/>
  <c r="CE270" i="31" s="1"/>
  <c r="CF270" i="31" s="1"/>
  <c r="W270" i="31"/>
  <c r="P270" i="31"/>
  <c r="M277" i="43"/>
  <c r="O277" i="43" s="1"/>
  <c r="X277" i="43"/>
  <c r="N274" i="42"/>
  <c r="AD273" i="42"/>
  <c r="X270" i="31" l="1"/>
  <c r="Y270" i="31" s="1"/>
  <c r="M270" i="31"/>
  <c r="O270" i="31" s="1"/>
  <c r="Y277" i="43"/>
  <c r="BL277" i="43" s="1"/>
  <c r="BP277" i="43" s="1"/>
  <c r="AH274" i="42"/>
  <c r="CC274" i="42"/>
  <c r="CE274" i="42" s="1"/>
  <c r="CF274" i="42" s="1"/>
  <c r="P274" i="42"/>
  <c r="W274" i="42"/>
  <c r="BL270" i="31" l="1"/>
  <c r="BP270" i="31" s="1"/>
  <c r="Z277" i="43"/>
  <c r="AE277" i="43" s="1"/>
  <c r="M274" i="42"/>
  <c r="O274" i="42" s="1"/>
  <c r="X274" i="42"/>
  <c r="Z270" i="31" l="1"/>
  <c r="N278" i="43"/>
  <c r="AD277" i="43"/>
  <c r="Y274" i="42"/>
  <c r="AE270" i="31" l="1"/>
  <c r="CH271" i="31"/>
  <c r="AD270" i="31"/>
  <c r="N271" i="31"/>
  <c r="AH278" i="43"/>
  <c r="CC278" i="43"/>
  <c r="CE278" i="43" s="1"/>
  <c r="CF278" i="43" s="1"/>
  <c r="P278" i="43"/>
  <c r="W278" i="43"/>
  <c r="BL274" i="42"/>
  <c r="BP274" i="42" s="1"/>
  <c r="W271" i="31" l="1"/>
  <c r="P271" i="31"/>
  <c r="AH271" i="31"/>
  <c r="CC271" i="31"/>
  <c r="CE271" i="31" s="1"/>
  <c r="CF271" i="31" s="1"/>
  <c r="Z274" i="42"/>
  <c r="M278" i="43"/>
  <c r="O278" i="43" s="1"/>
  <c r="X278" i="43"/>
  <c r="X271" i="31" l="1"/>
  <c r="Y271" i="31" s="1"/>
  <c r="M271" i="31"/>
  <c r="O271" i="31" s="1"/>
  <c r="N275" i="42"/>
  <c r="CC275" i="42" s="1"/>
  <c r="CE275" i="42" s="1"/>
  <c r="CF275" i="42" s="1"/>
  <c r="AE274" i="42"/>
  <c r="AD274" i="42"/>
  <c r="Y278" i="43"/>
  <c r="BL278" i="43" s="1"/>
  <c r="BP278" i="43" s="1"/>
  <c r="BL271" i="31" l="1"/>
  <c r="BP271" i="31" s="1"/>
  <c r="AH275" i="42"/>
  <c r="P275" i="42"/>
  <c r="W275" i="42"/>
  <c r="X275" i="42" s="1"/>
  <c r="Z278" i="43"/>
  <c r="Z271" i="31" l="1"/>
  <c r="AD278" i="43"/>
  <c r="AE278" i="43"/>
  <c r="M275" i="42"/>
  <c r="O275" i="42" s="1"/>
  <c r="N279" i="43"/>
  <c r="AH279" i="43" s="1"/>
  <c r="Y275" i="42"/>
  <c r="AE271" i="31" l="1"/>
  <c r="AD271" i="31"/>
  <c r="N272" i="31"/>
  <c r="CH272" i="31"/>
  <c r="P279" i="43"/>
  <c r="W279" i="43"/>
  <c r="M279" i="43" s="1"/>
  <c r="O279" i="43" s="1"/>
  <c r="CC279" i="43"/>
  <c r="CE279" i="43" s="1"/>
  <c r="CF279" i="43" s="1"/>
  <c r="BL275" i="42"/>
  <c r="BP275" i="42" s="1"/>
  <c r="W272" i="31" l="1"/>
  <c r="P272" i="31"/>
  <c r="AH272" i="31"/>
  <c r="CC272" i="31"/>
  <c r="CE272" i="31" s="1"/>
  <c r="CF272" i="31" s="1"/>
  <c r="X279" i="43"/>
  <c r="Y279" i="43" s="1"/>
  <c r="BL279" i="43" s="1"/>
  <c r="BP279" i="43" s="1"/>
  <c r="Z275" i="42"/>
  <c r="AE275" i="42" s="1"/>
  <c r="M272" i="31" l="1"/>
  <c r="O272" i="31" s="1"/>
  <c r="X272" i="31"/>
  <c r="Y272" i="31" s="1"/>
  <c r="Z279" i="43"/>
  <c r="AE279" i="43" s="1"/>
  <c r="N276" i="42"/>
  <c r="AD275" i="42"/>
  <c r="BL272" i="31" l="1"/>
  <c r="BP272" i="31" s="1"/>
  <c r="P276" i="42"/>
  <c r="W276" i="42"/>
  <c r="AH276" i="42"/>
  <c r="CC276" i="42"/>
  <c r="CE276" i="42" s="1"/>
  <c r="CF276" i="42" s="1"/>
  <c r="N280" i="43"/>
  <c r="AD279" i="43"/>
  <c r="Z272" i="31" l="1"/>
  <c r="AH280" i="43"/>
  <c r="CC280" i="43"/>
  <c r="CE280" i="43" s="1"/>
  <c r="CF280" i="43" s="1"/>
  <c r="P280" i="43"/>
  <c r="W280" i="43"/>
  <c r="M276" i="42"/>
  <c r="O276" i="42" s="1"/>
  <c r="X276" i="42"/>
  <c r="AE272" i="31" l="1"/>
  <c r="AD272" i="31"/>
  <c r="CH273" i="31"/>
  <c r="N273" i="31"/>
  <c r="Y276" i="42"/>
  <c r="BL276" i="42" s="1"/>
  <c r="BP276" i="42" s="1"/>
  <c r="M280" i="43"/>
  <c r="O280" i="43" s="1"/>
  <c r="X280" i="43"/>
  <c r="W273" i="31" l="1"/>
  <c r="P273" i="31"/>
  <c r="AH273" i="31"/>
  <c r="CC273" i="31"/>
  <c r="CE273" i="31" s="1"/>
  <c r="CF273" i="31" s="1"/>
  <c r="Z276" i="42"/>
  <c r="AE276" i="42" s="1"/>
  <c r="Y280" i="43"/>
  <c r="BL280" i="43" s="1"/>
  <c r="BP280" i="43" s="1"/>
  <c r="M273" i="31" l="1"/>
  <c r="O273" i="31" s="1"/>
  <c r="X273" i="31"/>
  <c r="Y273" i="31" s="1"/>
  <c r="N277" i="42"/>
  <c r="AD276" i="42"/>
  <c r="Z280" i="43"/>
  <c r="AE280" i="43" s="1"/>
  <c r="BL273" i="31" l="1"/>
  <c r="BP273" i="31" s="1"/>
  <c r="N281" i="43"/>
  <c r="AD280" i="43"/>
  <c r="AH277" i="42"/>
  <c r="CC277" i="42"/>
  <c r="CE277" i="42" s="1"/>
  <c r="CF277" i="42" s="1"/>
  <c r="P277" i="42"/>
  <c r="W277" i="42"/>
  <c r="Z273" i="31" l="1"/>
  <c r="AH281" i="43"/>
  <c r="CC281" i="43"/>
  <c r="CE281" i="43" s="1"/>
  <c r="CF281" i="43" s="1"/>
  <c r="M277" i="42"/>
  <c r="O277" i="42" s="1"/>
  <c r="X277" i="42"/>
  <c r="P281" i="43"/>
  <c r="W281" i="43"/>
  <c r="AE273" i="31" l="1"/>
  <c r="CH274" i="31"/>
  <c r="AD273" i="31"/>
  <c r="N274" i="31"/>
  <c r="M281" i="43"/>
  <c r="O281" i="43" s="1"/>
  <c r="X281" i="43"/>
  <c r="Y277" i="42"/>
  <c r="BL277" i="42" s="1"/>
  <c r="BP277" i="42" s="1"/>
  <c r="W274" i="31" l="1"/>
  <c r="P274" i="31"/>
  <c r="AH274" i="31"/>
  <c r="CC274" i="31"/>
  <c r="CE274" i="31" s="1"/>
  <c r="CF274" i="31" s="1"/>
  <c r="Z277" i="42"/>
  <c r="Y281" i="43"/>
  <c r="BL281" i="43" s="1"/>
  <c r="BP281" i="43" s="1"/>
  <c r="M274" i="31" l="1"/>
  <c r="O274" i="31" s="1"/>
  <c r="X274" i="31"/>
  <c r="Y274" i="31" s="1"/>
  <c r="AD277" i="42"/>
  <c r="AE277" i="42"/>
  <c r="N278" i="42"/>
  <c r="CC278" i="42" s="1"/>
  <c r="CE278" i="42" s="1"/>
  <c r="CF278" i="42" s="1"/>
  <c r="Z281" i="43"/>
  <c r="BL274" i="31" l="1"/>
  <c r="BP274" i="31" s="1"/>
  <c r="N282" i="43"/>
  <c r="AH282" i="43" s="1"/>
  <c r="AE281" i="43"/>
  <c r="AD281" i="43"/>
  <c r="P278" i="42"/>
  <c r="W278" i="42"/>
  <c r="M278" i="42" s="1"/>
  <c r="O278" i="42" s="1"/>
  <c r="AH278" i="42"/>
  <c r="Z274" i="31" l="1"/>
  <c r="CC282" i="43"/>
  <c r="CE282" i="43" s="1"/>
  <c r="CF282" i="43" s="1"/>
  <c r="P282" i="43"/>
  <c r="W282" i="43"/>
  <c r="X282" i="43" s="1"/>
  <c r="X278" i="42"/>
  <c r="Y278" i="42" s="1"/>
  <c r="BL278" i="42" s="1"/>
  <c r="BP278" i="42" s="1"/>
  <c r="AE274" i="31" l="1"/>
  <c r="CH275" i="31"/>
  <c r="N275" i="31"/>
  <c r="AD274" i="31"/>
  <c r="M282" i="43"/>
  <c r="O282" i="43" s="1"/>
  <c r="Y282" i="43"/>
  <c r="BL282" i="43" s="1"/>
  <c r="BP282" i="43" s="1"/>
  <c r="Z278" i="42"/>
  <c r="AE278" i="42" s="1"/>
  <c r="AH275" i="31" l="1"/>
  <c r="CC275" i="31"/>
  <c r="CE275" i="31" s="1"/>
  <c r="CF275" i="31" s="1"/>
  <c r="W275" i="31"/>
  <c r="P275" i="31"/>
  <c r="Z282" i="43"/>
  <c r="AE282" i="43" s="1"/>
  <c r="N279" i="42"/>
  <c r="AD278" i="42"/>
  <c r="M275" i="31" l="1"/>
  <c r="O275" i="31" s="1"/>
  <c r="X275" i="31"/>
  <c r="Y275" i="31" s="1"/>
  <c r="AH279" i="42"/>
  <c r="CC279" i="42"/>
  <c r="CE279" i="42" s="1"/>
  <c r="CF279" i="42" s="1"/>
  <c r="N283" i="43"/>
  <c r="AD282" i="43"/>
  <c r="P279" i="42"/>
  <c r="W279" i="42"/>
  <c r="BL275" i="31" l="1"/>
  <c r="BP275" i="31" s="1"/>
  <c r="M279" i="42"/>
  <c r="O279" i="42" s="1"/>
  <c r="X279" i="42"/>
  <c r="P283" i="43"/>
  <c r="W283" i="43"/>
  <c r="AH283" i="43"/>
  <c r="CC283" i="43"/>
  <c r="CE283" i="43" s="1"/>
  <c r="CF283" i="43" s="1"/>
  <c r="Z275" i="31" l="1"/>
  <c r="M283" i="43"/>
  <c r="O283" i="43" s="1"/>
  <c r="X283" i="43"/>
  <c r="Y279" i="42"/>
  <c r="BL279" i="42" s="1"/>
  <c r="BP279" i="42" s="1"/>
  <c r="AE275" i="31" l="1"/>
  <c r="AD275" i="31"/>
  <c r="CH276" i="31"/>
  <c r="N276" i="31"/>
  <c r="Y283" i="43"/>
  <c r="Z279" i="42"/>
  <c r="AE279" i="42" s="1"/>
  <c r="W276" i="31" l="1"/>
  <c r="P276" i="31"/>
  <c r="AH276" i="31"/>
  <c r="CC276" i="31"/>
  <c r="CE276" i="31" s="1"/>
  <c r="CF276" i="31" s="1"/>
  <c r="N280" i="42"/>
  <c r="AD279" i="42"/>
  <c r="BL283" i="43"/>
  <c r="M276" i="31" l="1"/>
  <c r="O276" i="31" s="1"/>
  <c r="X276" i="31"/>
  <c r="Y276" i="31" s="1"/>
  <c r="BP283" i="43"/>
  <c r="Z283" i="43"/>
  <c r="AE283" i="43" s="1"/>
  <c r="AH280" i="42"/>
  <c r="CC280" i="42"/>
  <c r="CE280" i="42" s="1"/>
  <c r="CF280" i="42" s="1"/>
  <c r="P280" i="42"/>
  <c r="W280" i="42"/>
  <c r="BL276" i="31" l="1"/>
  <c r="BP276" i="31" s="1"/>
  <c r="M280" i="42"/>
  <c r="O280" i="42" s="1"/>
  <c r="X280" i="42"/>
  <c r="N284" i="43"/>
  <c r="AD283" i="43"/>
  <c r="Z276" i="31" l="1"/>
  <c r="Y280" i="42"/>
  <c r="BL280" i="42" s="1"/>
  <c r="BP280" i="42" s="1"/>
  <c r="P284" i="43"/>
  <c r="W284" i="43"/>
  <c r="AH284" i="43"/>
  <c r="CC284" i="43"/>
  <c r="CE284" i="43" s="1"/>
  <c r="CF284" i="43" s="1"/>
  <c r="AE276" i="31" l="1"/>
  <c r="N277" i="31"/>
  <c r="AD276" i="31"/>
  <c r="CH277" i="31"/>
  <c r="Z280" i="42"/>
  <c r="M284" i="43"/>
  <c r="O284" i="43" s="1"/>
  <c r="X284" i="43"/>
  <c r="AH277" i="31" l="1"/>
  <c r="CC277" i="31"/>
  <c r="CE277" i="31" s="1"/>
  <c r="CF277" i="31" s="1"/>
  <c r="W277" i="31"/>
  <c r="P277" i="31"/>
  <c r="AD280" i="42"/>
  <c r="AE280" i="42"/>
  <c r="N281" i="42"/>
  <c r="AH281" i="42" s="1"/>
  <c r="Y284" i="43"/>
  <c r="X277" i="31" l="1"/>
  <c r="Y277" i="31" s="1"/>
  <c r="M277" i="31"/>
  <c r="O277" i="31" s="1"/>
  <c r="P281" i="42"/>
  <c r="CC281" i="42"/>
  <c r="CE281" i="42" s="1"/>
  <c r="CF281" i="42" s="1"/>
  <c r="W281" i="42"/>
  <c r="M281" i="42" s="1"/>
  <c r="O281" i="42" s="1"/>
  <c r="BL284" i="43"/>
  <c r="BP284" i="43" s="1"/>
  <c r="BL277" i="31" l="1"/>
  <c r="BP277" i="31" s="1"/>
  <c r="X281" i="42"/>
  <c r="Y281" i="42" s="1"/>
  <c r="BL281" i="42" s="1"/>
  <c r="BP281" i="42" s="1"/>
  <c r="Z284" i="43"/>
  <c r="AE284" i="43" s="1"/>
  <c r="Z277" i="31" l="1"/>
  <c r="Z281" i="42"/>
  <c r="N285" i="43"/>
  <c r="AD284" i="43"/>
  <c r="AE277" i="31" l="1"/>
  <c r="CH278" i="31"/>
  <c r="N278" i="31"/>
  <c r="AD277" i="31"/>
  <c r="AD281" i="42"/>
  <c r="AE281" i="42"/>
  <c r="N282" i="42"/>
  <c r="AH285" i="43"/>
  <c r="CC285" i="43"/>
  <c r="CE285" i="43" s="1"/>
  <c r="CF285" i="43" s="1"/>
  <c r="P285" i="43"/>
  <c r="W285" i="43"/>
  <c r="P282" i="42" l="1"/>
  <c r="AH278" i="31"/>
  <c r="CC278" i="31"/>
  <c r="CE278" i="31" s="1"/>
  <c r="CF278" i="31" s="1"/>
  <c r="W278" i="31"/>
  <c r="P278" i="31"/>
  <c r="W282" i="42"/>
  <c r="M282" i="42" s="1"/>
  <c r="O282" i="42" s="1"/>
  <c r="AH282" i="42"/>
  <c r="CC282" i="42"/>
  <c r="CE282" i="42" s="1"/>
  <c r="CF282" i="42" s="1"/>
  <c r="M285" i="43"/>
  <c r="O285" i="43" s="1"/>
  <c r="X285" i="43"/>
  <c r="X278" i="31" l="1"/>
  <c r="Y278" i="31" s="1"/>
  <c r="M278" i="31"/>
  <c r="O278" i="31" s="1"/>
  <c r="X282" i="42"/>
  <c r="Y282" i="42" s="1"/>
  <c r="BL282" i="42" s="1"/>
  <c r="BP282" i="42" s="1"/>
  <c r="Y285" i="43"/>
  <c r="BL278" i="31" l="1"/>
  <c r="BP278" i="31" s="1"/>
  <c r="BL285" i="43"/>
  <c r="BP285" i="43" s="1"/>
  <c r="Z282" i="42"/>
  <c r="AE282" i="42" s="1"/>
  <c r="Z278" i="31" l="1"/>
  <c r="Z285" i="43"/>
  <c r="AE285" i="43" s="1"/>
  <c r="N283" i="42"/>
  <c r="AD282" i="42"/>
  <c r="AE278" i="31" l="1"/>
  <c r="N279" i="31"/>
  <c r="CH279" i="31"/>
  <c r="AD278" i="31"/>
  <c r="AH283" i="42"/>
  <c r="CC283" i="42"/>
  <c r="CE283" i="42" s="1"/>
  <c r="CF283" i="42" s="1"/>
  <c r="P283" i="42"/>
  <c r="W283" i="42"/>
  <c r="N286" i="43"/>
  <c r="AD285" i="43"/>
  <c r="AH279" i="31" l="1"/>
  <c r="CC279" i="31"/>
  <c r="CE279" i="31" s="1"/>
  <c r="CF279" i="31" s="1"/>
  <c r="W279" i="31"/>
  <c r="P279" i="31"/>
  <c r="P286" i="43"/>
  <c r="W286" i="43"/>
  <c r="M283" i="42"/>
  <c r="O283" i="42" s="1"/>
  <c r="X283" i="42"/>
  <c r="AH286" i="43"/>
  <c r="CC286" i="43"/>
  <c r="CE286" i="43" s="1"/>
  <c r="CF286" i="43" s="1"/>
  <c r="X279" i="31" l="1"/>
  <c r="Y279" i="31" s="1"/>
  <c r="M279" i="31"/>
  <c r="O279" i="31" s="1"/>
  <c r="Y283" i="42"/>
  <c r="M286" i="43"/>
  <c r="O286" i="43" s="1"/>
  <c r="X286" i="43"/>
  <c r="BL279" i="31" l="1"/>
  <c r="BP279" i="31" s="1"/>
  <c r="BL283" i="42"/>
  <c r="BP283" i="42" s="1"/>
  <c r="Y286" i="43"/>
  <c r="Z279" i="31" l="1"/>
  <c r="BL286" i="43"/>
  <c r="Z283" i="42"/>
  <c r="AE283" i="42" s="1"/>
  <c r="AE279" i="31" l="1"/>
  <c r="N280" i="31"/>
  <c r="CH280" i="31"/>
  <c r="AD279" i="31"/>
  <c r="N284" i="42"/>
  <c r="AD283" i="42"/>
  <c r="BP286" i="43"/>
  <c r="Z286" i="43"/>
  <c r="AE286" i="43" s="1"/>
  <c r="AH280" i="31" l="1"/>
  <c r="CC280" i="31"/>
  <c r="CE280" i="31" s="1"/>
  <c r="CF280" i="31" s="1"/>
  <c r="W280" i="31"/>
  <c r="P280" i="31"/>
  <c r="AH284" i="42"/>
  <c r="CC284" i="42"/>
  <c r="CE284" i="42" s="1"/>
  <c r="CF284" i="42" s="1"/>
  <c r="P284" i="42"/>
  <c r="W284" i="42"/>
  <c r="N287" i="43"/>
  <c r="AD286" i="43"/>
  <c r="M280" i="31" l="1"/>
  <c r="O280" i="31" s="1"/>
  <c r="X280" i="31"/>
  <c r="Y280" i="31" s="1"/>
  <c r="P287" i="43"/>
  <c r="W287" i="43"/>
  <c r="M284" i="42"/>
  <c r="O284" i="42" s="1"/>
  <c r="X284" i="42"/>
  <c r="AH287" i="43"/>
  <c r="CC287" i="43"/>
  <c r="CE287" i="43" s="1"/>
  <c r="CF287" i="43" s="1"/>
  <c r="BL280" i="31" l="1"/>
  <c r="BP280" i="31" s="1"/>
  <c r="Y284" i="42"/>
  <c r="M287" i="43"/>
  <c r="O287" i="43" s="1"/>
  <c r="X287" i="43"/>
  <c r="Z280" i="31" l="1"/>
  <c r="BL284" i="42"/>
  <c r="BP284" i="42" s="1"/>
  <c r="Y287" i="43"/>
  <c r="AE280" i="31" l="1"/>
  <c r="AD280" i="31"/>
  <c r="CH281" i="31"/>
  <c r="N281" i="31"/>
  <c r="BL287" i="43"/>
  <c r="BP287" i="43" s="1"/>
  <c r="Z284" i="42"/>
  <c r="AE284" i="42" s="1"/>
  <c r="W281" i="31" l="1"/>
  <c r="P281" i="31"/>
  <c r="AH281" i="31"/>
  <c r="CC281" i="31"/>
  <c r="CE281" i="31" s="1"/>
  <c r="CF281" i="31" s="1"/>
  <c r="Z287" i="43"/>
  <c r="N288" i="43" s="1"/>
  <c r="AD284" i="42"/>
  <c r="N285" i="42"/>
  <c r="X281" i="31" l="1"/>
  <c r="Y281" i="31" s="1"/>
  <c r="M281" i="31"/>
  <c r="O281" i="31" s="1"/>
  <c r="AD287" i="43"/>
  <c r="P288" i="43" s="1"/>
  <c r="AE287" i="43"/>
  <c r="P285" i="42"/>
  <c r="W285" i="42"/>
  <c r="AH285" i="42"/>
  <c r="CC285" i="42"/>
  <c r="CE285" i="42" s="1"/>
  <c r="CF285" i="42" s="1"/>
  <c r="AH288" i="43"/>
  <c r="CC288" i="43"/>
  <c r="CE288" i="43" s="1"/>
  <c r="CF288" i="43" s="1"/>
  <c r="W288" i="43" l="1"/>
  <c r="X288" i="43" s="1"/>
  <c r="BL281" i="31"/>
  <c r="BP281" i="31" s="1"/>
  <c r="M285" i="42"/>
  <c r="O285" i="42" s="1"/>
  <c r="X285" i="42"/>
  <c r="M288" i="43" l="1"/>
  <c r="O288" i="43" s="1"/>
  <c r="Z281" i="31"/>
  <c r="Y285" i="42"/>
  <c r="Y288" i="43"/>
  <c r="BL288" i="43" s="1"/>
  <c r="BP288" i="43" s="1"/>
  <c r="AE281" i="31" l="1"/>
  <c r="CH282" i="31"/>
  <c r="N282" i="31"/>
  <c r="AD281" i="31"/>
  <c r="Z288" i="43"/>
  <c r="AE288" i="43" s="1"/>
  <c r="BL285" i="42"/>
  <c r="BP285" i="42" s="1"/>
  <c r="AH282" i="31" l="1"/>
  <c r="CC282" i="31"/>
  <c r="CE282" i="31" s="1"/>
  <c r="CF282" i="31" s="1"/>
  <c r="W282" i="31"/>
  <c r="P282" i="31"/>
  <c r="Z285" i="42"/>
  <c r="N289" i="43"/>
  <c r="AD288" i="43"/>
  <c r="M282" i="31" l="1"/>
  <c r="O282" i="31" s="1"/>
  <c r="X282" i="31"/>
  <c r="Y282" i="31" s="1"/>
  <c r="AD285" i="42"/>
  <c r="AE285" i="42"/>
  <c r="N286" i="42"/>
  <c r="CC286" i="42" s="1"/>
  <c r="CE286" i="42" s="1"/>
  <c r="CF286" i="42" s="1"/>
  <c r="AH289" i="43"/>
  <c r="CC289" i="43"/>
  <c r="CE289" i="43" s="1"/>
  <c r="CF289" i="43" s="1"/>
  <c r="P289" i="43"/>
  <c r="W289" i="43"/>
  <c r="BL282" i="31" l="1"/>
  <c r="BP282" i="31" s="1"/>
  <c r="P286" i="42"/>
  <c r="AH286" i="42"/>
  <c r="W286" i="42"/>
  <c r="X286" i="42" s="1"/>
  <c r="M289" i="43"/>
  <c r="O289" i="43" s="1"/>
  <c r="X289" i="43"/>
  <c r="Z282" i="31" l="1"/>
  <c r="M286" i="42"/>
  <c r="O286" i="42" s="1"/>
  <c r="Y289" i="43"/>
  <c r="BL289" i="43" s="1"/>
  <c r="BP289" i="43" s="1"/>
  <c r="Y286" i="42"/>
  <c r="AE282" i="31" l="1"/>
  <c r="N283" i="31"/>
  <c r="CH283" i="31"/>
  <c r="AD282" i="31"/>
  <c r="BL286" i="42"/>
  <c r="BP286" i="42" s="1"/>
  <c r="Z289" i="43"/>
  <c r="AE289" i="43" s="1"/>
  <c r="AH283" i="31" l="1"/>
  <c r="CC283" i="31"/>
  <c r="CE283" i="31" s="1"/>
  <c r="CF283" i="31" s="1"/>
  <c r="W283" i="31"/>
  <c r="P283" i="31"/>
  <c r="N290" i="43"/>
  <c r="AD289" i="43"/>
  <c r="Z286" i="42"/>
  <c r="AE286" i="42" s="1"/>
  <c r="X283" i="31" l="1"/>
  <c r="Y283" i="31" s="1"/>
  <c r="M283" i="31"/>
  <c r="O283" i="31" s="1"/>
  <c r="AH290" i="43"/>
  <c r="CC290" i="43"/>
  <c r="CE290" i="43" s="1"/>
  <c r="CF290" i="43" s="1"/>
  <c r="P290" i="43"/>
  <c r="W290" i="43"/>
  <c r="N287" i="42"/>
  <c r="AD286" i="42"/>
  <c r="BL283" i="31" l="1"/>
  <c r="BP283" i="31" s="1"/>
  <c r="M290" i="43"/>
  <c r="O290" i="43" s="1"/>
  <c r="X290" i="43"/>
  <c r="AH287" i="42"/>
  <c r="CC287" i="42"/>
  <c r="CE287" i="42" s="1"/>
  <c r="CF287" i="42" s="1"/>
  <c r="P287" i="42"/>
  <c r="W287" i="42"/>
  <c r="Z283" i="31" l="1"/>
  <c r="M287" i="42"/>
  <c r="O287" i="42" s="1"/>
  <c r="X287" i="42"/>
  <c r="Y290" i="43"/>
  <c r="BL290" i="43" s="1"/>
  <c r="BP290" i="43" s="1"/>
  <c r="AE283" i="31" l="1"/>
  <c r="AD283" i="31"/>
  <c r="CH284" i="31"/>
  <c r="N284" i="31"/>
  <c r="Y287" i="42"/>
  <c r="Z290" i="43"/>
  <c r="AE290" i="43" s="1"/>
  <c r="W284" i="31" l="1"/>
  <c r="P284" i="31"/>
  <c r="AH284" i="31"/>
  <c r="CC284" i="31"/>
  <c r="CE284" i="31" s="1"/>
  <c r="CF284" i="31" s="1"/>
  <c r="BL287" i="42"/>
  <c r="BP287" i="42" s="1"/>
  <c r="N291" i="43"/>
  <c r="AD290" i="43"/>
  <c r="X284" i="31" l="1"/>
  <c r="Y284" i="31" s="1"/>
  <c r="M284" i="31"/>
  <c r="O284" i="31" s="1"/>
  <c r="P291" i="43"/>
  <c r="W291" i="43"/>
  <c r="Z287" i="42"/>
  <c r="AE287" i="42" s="1"/>
  <c r="AH291" i="43"/>
  <c r="CC291" i="43"/>
  <c r="CE291" i="43" s="1"/>
  <c r="CF291" i="43" s="1"/>
  <c r="BL284" i="31" l="1"/>
  <c r="BP284" i="31" s="1"/>
  <c r="N288" i="42"/>
  <c r="AD287" i="42"/>
  <c r="M291" i="43"/>
  <c r="O291" i="43" s="1"/>
  <c r="X291" i="43"/>
  <c r="Z284" i="31" l="1"/>
  <c r="AH288" i="42"/>
  <c r="CC288" i="42"/>
  <c r="CE288" i="42" s="1"/>
  <c r="CF288" i="42" s="1"/>
  <c r="P288" i="42"/>
  <c r="W288" i="42"/>
  <c r="Y291" i="43"/>
  <c r="BL291" i="43" s="1"/>
  <c r="BP291" i="43" s="1"/>
  <c r="AE284" i="31" l="1"/>
  <c r="CH285" i="31"/>
  <c r="N285" i="31"/>
  <c r="AD284" i="31"/>
  <c r="M288" i="42"/>
  <c r="O288" i="42" s="1"/>
  <c r="X288" i="42"/>
  <c r="Z291" i="43"/>
  <c r="AE291" i="43" s="1"/>
  <c r="AH285" i="31" l="1"/>
  <c r="CC285" i="31"/>
  <c r="CE285" i="31" s="1"/>
  <c r="CF285" i="31" s="1"/>
  <c r="W285" i="31"/>
  <c r="P285" i="31"/>
  <c r="N292" i="43"/>
  <c r="AD291" i="43"/>
  <c r="Y288" i="42"/>
  <c r="BL288" i="42" s="1"/>
  <c r="BP288" i="42" s="1"/>
  <c r="X285" i="31" l="1"/>
  <c r="Y285" i="31" s="1"/>
  <c r="M285" i="31"/>
  <c r="O285" i="31" s="1"/>
  <c r="AH292" i="43"/>
  <c r="CC292" i="43"/>
  <c r="CE292" i="43" s="1"/>
  <c r="CF292" i="43" s="1"/>
  <c r="P292" i="43"/>
  <c r="W292" i="43"/>
  <c r="Z288" i="42"/>
  <c r="AE288" i="42" s="1"/>
  <c r="BL285" i="31" l="1"/>
  <c r="BP285" i="31" s="1"/>
  <c r="N289" i="42"/>
  <c r="AD288" i="42"/>
  <c r="M292" i="43"/>
  <c r="O292" i="43" s="1"/>
  <c r="X292" i="43"/>
  <c r="Z285" i="31" l="1"/>
  <c r="AH289" i="42"/>
  <c r="CC289" i="42"/>
  <c r="CE289" i="42" s="1"/>
  <c r="CF289" i="42" s="1"/>
  <c r="P289" i="42"/>
  <c r="W289" i="42"/>
  <c r="Y292" i="43"/>
  <c r="BL292" i="43" s="1"/>
  <c r="BP292" i="43" s="1"/>
  <c r="AE285" i="31" l="1"/>
  <c r="N286" i="31"/>
  <c r="CH286" i="31"/>
  <c r="AD285" i="31"/>
  <c r="Z292" i="43"/>
  <c r="M289" i="42"/>
  <c r="O289" i="42" s="1"/>
  <c r="X289" i="42"/>
  <c r="AH286" i="31" l="1"/>
  <c r="CC286" i="31"/>
  <c r="CE286" i="31" s="1"/>
  <c r="CF286" i="31" s="1"/>
  <c r="W286" i="31"/>
  <c r="P286" i="31"/>
  <c r="AD292" i="43"/>
  <c r="AE292" i="43"/>
  <c r="N293" i="43"/>
  <c r="CC293" i="43" s="1"/>
  <c r="CE293" i="43" s="1"/>
  <c r="CF293" i="43" s="1"/>
  <c r="Y289" i="42"/>
  <c r="BL289" i="42" s="1"/>
  <c r="BP289" i="42" s="1"/>
  <c r="X286" i="31" l="1"/>
  <c r="Y286" i="31" s="1"/>
  <c r="M286" i="31"/>
  <c r="O286" i="31" s="1"/>
  <c r="P293" i="43"/>
  <c r="AH293" i="43"/>
  <c r="W293" i="43"/>
  <c r="X293" i="43" s="1"/>
  <c r="Z289" i="42"/>
  <c r="BL286" i="31" l="1"/>
  <c r="BP286" i="31" s="1"/>
  <c r="N290" i="42"/>
  <c r="CC290" i="42" s="1"/>
  <c r="CE290" i="42" s="1"/>
  <c r="CF290" i="42" s="1"/>
  <c r="AE289" i="42"/>
  <c r="M293" i="43"/>
  <c r="O293" i="43" s="1"/>
  <c r="AD289" i="42"/>
  <c r="Y293" i="43"/>
  <c r="BL293" i="43" s="1"/>
  <c r="BP293" i="43" s="1"/>
  <c r="Z286" i="31" l="1"/>
  <c r="AH290" i="42"/>
  <c r="P290" i="42"/>
  <c r="W290" i="42"/>
  <c r="X290" i="42" s="1"/>
  <c r="Z293" i="43"/>
  <c r="AE286" i="31" l="1"/>
  <c r="AD286" i="31"/>
  <c r="N287" i="31"/>
  <c r="CH287" i="31"/>
  <c r="AD293" i="43"/>
  <c r="AE293" i="43"/>
  <c r="M290" i="42"/>
  <c r="O290" i="42" s="1"/>
  <c r="N294" i="43"/>
  <c r="AH294" i="43" s="1"/>
  <c r="Y290" i="42"/>
  <c r="BL290" i="42" s="1"/>
  <c r="BP290" i="42" s="1"/>
  <c r="W287" i="31" l="1"/>
  <c r="P287" i="31"/>
  <c r="AH287" i="31"/>
  <c r="CC287" i="31"/>
  <c r="CE287" i="31" s="1"/>
  <c r="CF287" i="31" s="1"/>
  <c r="CC294" i="43"/>
  <c r="CE294" i="43" s="1"/>
  <c r="CF294" i="43" s="1"/>
  <c r="P294" i="43"/>
  <c r="W294" i="43"/>
  <c r="X294" i="43" s="1"/>
  <c r="Z290" i="42"/>
  <c r="AE290" i="42" s="1"/>
  <c r="M287" i="31" l="1"/>
  <c r="O287" i="31" s="1"/>
  <c r="X287" i="31"/>
  <c r="Y287" i="31" s="1"/>
  <c r="M294" i="43"/>
  <c r="O294" i="43" s="1"/>
  <c r="Y294" i="43"/>
  <c r="BL294" i="43" s="1"/>
  <c r="BP294" i="43" s="1"/>
  <c r="N291" i="42"/>
  <c r="AD290" i="42"/>
  <c r="BL287" i="31" l="1"/>
  <c r="BP287" i="31" s="1"/>
  <c r="AH291" i="42"/>
  <c r="CC291" i="42"/>
  <c r="CE291" i="42" s="1"/>
  <c r="CF291" i="42" s="1"/>
  <c r="Z294" i="43"/>
  <c r="AE294" i="43" s="1"/>
  <c r="P291" i="42"/>
  <c r="W291" i="42"/>
  <c r="Z287" i="31" l="1"/>
  <c r="M291" i="42"/>
  <c r="O291" i="42" s="1"/>
  <c r="X291" i="42"/>
  <c r="N295" i="43"/>
  <c r="AD294" i="43"/>
  <c r="AE287" i="31" l="1"/>
  <c r="CH288" i="31"/>
  <c r="N288" i="31"/>
  <c r="AD287" i="31"/>
  <c r="Y291" i="42"/>
  <c r="BL291" i="42" s="1"/>
  <c r="BP291" i="42" s="1"/>
  <c r="AH295" i="43"/>
  <c r="CC295" i="43"/>
  <c r="CE295" i="43" s="1"/>
  <c r="CF295" i="43" s="1"/>
  <c r="P295" i="43"/>
  <c r="W295" i="43"/>
  <c r="AH288" i="31" l="1"/>
  <c r="CC288" i="31"/>
  <c r="CE288" i="31" s="1"/>
  <c r="CF288" i="31" s="1"/>
  <c r="W288" i="31"/>
  <c r="P288" i="31"/>
  <c r="M295" i="43"/>
  <c r="O295" i="43" s="1"/>
  <c r="X295" i="43"/>
  <c r="Z291" i="42"/>
  <c r="AE291" i="42" s="1"/>
  <c r="X288" i="31" l="1"/>
  <c r="Y288" i="31" s="1"/>
  <c r="M288" i="31"/>
  <c r="O288" i="31" s="1"/>
  <c r="Y295" i="43"/>
  <c r="N292" i="42"/>
  <c r="AD291" i="42"/>
  <c r="BL288" i="31" l="1"/>
  <c r="BP288" i="31" s="1"/>
  <c r="BL295" i="43"/>
  <c r="BP295" i="43" s="1"/>
  <c r="AH292" i="42"/>
  <c r="CC292" i="42"/>
  <c r="CE292" i="42" s="1"/>
  <c r="CF292" i="42" s="1"/>
  <c r="P292" i="42"/>
  <c r="W292" i="42"/>
  <c r="Z288" i="31" l="1"/>
  <c r="Z295" i="43"/>
  <c r="M292" i="42"/>
  <c r="O292" i="42" s="1"/>
  <c r="X292" i="42"/>
  <c r="AE288" i="31" l="1"/>
  <c r="N289" i="31"/>
  <c r="AD288" i="31"/>
  <c r="CH289" i="31"/>
  <c r="AD295" i="43"/>
  <c r="AE295" i="43"/>
  <c r="N296" i="43"/>
  <c r="Y292" i="42"/>
  <c r="BL292" i="42" s="1"/>
  <c r="BP292" i="42" s="1"/>
  <c r="AH289" i="31" l="1"/>
  <c r="CC289" i="31"/>
  <c r="CE289" i="31" s="1"/>
  <c r="CF289" i="31" s="1"/>
  <c r="W289" i="31"/>
  <c r="P289" i="31"/>
  <c r="W296" i="43"/>
  <c r="X296" i="43" s="1"/>
  <c r="CC296" i="43"/>
  <c r="CE296" i="43" s="1"/>
  <c r="CF296" i="43" s="1"/>
  <c r="Z292" i="42"/>
  <c r="P296" i="43"/>
  <c r="AH296" i="43"/>
  <c r="M296" i="43" l="1"/>
  <c r="O296" i="43" s="1"/>
  <c r="X289" i="31"/>
  <c r="Y289" i="31" s="1"/>
  <c r="M289" i="31"/>
  <c r="O289" i="31" s="1"/>
  <c r="AD292" i="42"/>
  <c r="AE292" i="42"/>
  <c r="N293" i="42"/>
  <c r="Y296" i="43"/>
  <c r="W293" i="42" l="1"/>
  <c r="X293" i="42" s="1"/>
  <c r="BL289" i="31"/>
  <c r="BP289" i="31" s="1"/>
  <c r="CC293" i="42"/>
  <c r="CE293" i="42" s="1"/>
  <c r="CF293" i="42" s="1"/>
  <c r="AH293" i="42"/>
  <c r="P293" i="42"/>
  <c r="BL296" i="43"/>
  <c r="M293" i="42" l="1"/>
  <c r="O293" i="42" s="1"/>
  <c r="Z289" i="31"/>
  <c r="BP296" i="43"/>
  <c r="Z296" i="43"/>
  <c r="AE296" i="43" s="1"/>
  <c r="Y293" i="42"/>
  <c r="BL293" i="42" s="1"/>
  <c r="BP293" i="42" s="1"/>
  <c r="AE289" i="31" l="1"/>
  <c r="N290" i="31"/>
  <c r="CH290" i="31"/>
  <c r="AD289" i="31"/>
  <c r="N297" i="43"/>
  <c r="AD296" i="43"/>
  <c r="Z293" i="42"/>
  <c r="AE293" i="42" s="1"/>
  <c r="AH290" i="31" l="1"/>
  <c r="CC290" i="31"/>
  <c r="CE290" i="31" s="1"/>
  <c r="CF290" i="31" s="1"/>
  <c r="W290" i="31"/>
  <c r="P290" i="31"/>
  <c r="AH297" i="43"/>
  <c r="CC297" i="43"/>
  <c r="CE297" i="43" s="1"/>
  <c r="CF297" i="43" s="1"/>
  <c r="N294" i="42"/>
  <c r="AD293" i="42"/>
  <c r="P297" i="43"/>
  <c r="W297" i="43"/>
  <c r="M290" i="31" l="1"/>
  <c r="O290" i="31" s="1"/>
  <c r="X290" i="31"/>
  <c r="Y290" i="31" s="1"/>
  <c r="M297" i="43"/>
  <c r="O297" i="43" s="1"/>
  <c r="X297" i="43"/>
  <c r="AH294" i="42"/>
  <c r="CC294" i="42"/>
  <c r="CE294" i="42" s="1"/>
  <c r="CF294" i="42" s="1"/>
  <c r="P294" i="42"/>
  <c r="W294" i="42"/>
  <c r="BL290" i="31" l="1"/>
  <c r="BP290" i="31" s="1"/>
  <c r="Y297" i="43"/>
  <c r="M294" i="42"/>
  <c r="O294" i="42" s="1"/>
  <c r="X294" i="42"/>
  <c r="Z290" i="31" l="1"/>
  <c r="BL297" i="43"/>
  <c r="BP297" i="43" s="1"/>
  <c r="Y294" i="42"/>
  <c r="BL294" i="42" s="1"/>
  <c r="BP294" i="42" s="1"/>
  <c r="AE290" i="31" l="1"/>
  <c r="AD290" i="31"/>
  <c r="CH291" i="31"/>
  <c r="N291" i="31"/>
  <c r="Z294" i="42"/>
  <c r="AE294" i="42" s="1"/>
  <c r="Z297" i="43"/>
  <c r="AE297" i="43" s="1"/>
  <c r="W291" i="31" l="1"/>
  <c r="P291" i="31"/>
  <c r="AH291" i="31"/>
  <c r="CC291" i="31"/>
  <c r="CE291" i="31" s="1"/>
  <c r="CF291" i="31" s="1"/>
  <c r="N295" i="42"/>
  <c r="AD294" i="42"/>
  <c r="N298" i="43"/>
  <c r="AD297" i="43"/>
  <c r="X291" i="31" l="1"/>
  <c r="Y291" i="31" s="1"/>
  <c r="M291" i="31"/>
  <c r="O291" i="31" s="1"/>
  <c r="P298" i="43"/>
  <c r="W298" i="43"/>
  <c r="AH295" i="42"/>
  <c r="CC295" i="42"/>
  <c r="CE295" i="42" s="1"/>
  <c r="CF295" i="42" s="1"/>
  <c r="AH298" i="43"/>
  <c r="CC298" i="43"/>
  <c r="CE298" i="43" s="1"/>
  <c r="CF298" i="43" s="1"/>
  <c r="P295" i="42"/>
  <c r="W295" i="42"/>
  <c r="BL291" i="31" l="1"/>
  <c r="BP291" i="31" s="1"/>
  <c r="M298" i="43"/>
  <c r="O298" i="43" s="1"/>
  <c r="X298" i="43"/>
  <c r="M295" i="42"/>
  <c r="O295" i="42" s="1"/>
  <c r="X295" i="42"/>
  <c r="Z291" i="31" l="1"/>
  <c r="Y298" i="43"/>
  <c r="Y295" i="42"/>
  <c r="AE291" i="31" l="1"/>
  <c r="AD291" i="31"/>
  <c r="CH292" i="31"/>
  <c r="N292" i="31"/>
  <c r="BL298" i="43"/>
  <c r="BP298" i="43" s="1"/>
  <c r="BL295" i="42"/>
  <c r="W292" i="31" l="1"/>
  <c r="P292" i="31"/>
  <c r="AH292" i="31"/>
  <c r="CC292" i="31"/>
  <c r="CE292" i="31" s="1"/>
  <c r="CF292" i="31" s="1"/>
  <c r="BP295" i="42"/>
  <c r="Z295" i="42"/>
  <c r="AE295" i="42" s="1"/>
  <c r="Z298" i="43"/>
  <c r="AE298" i="43" s="1"/>
  <c r="X292" i="31" l="1"/>
  <c r="Y292" i="31" s="1"/>
  <c r="M292" i="31"/>
  <c r="O292" i="31" s="1"/>
  <c r="N299" i="43"/>
  <c r="AD298" i="43"/>
  <c r="N296" i="42"/>
  <c r="AD295" i="42"/>
  <c r="BL292" i="31" l="1"/>
  <c r="BP292" i="31" s="1"/>
  <c r="AH299" i="43"/>
  <c r="CC299" i="43"/>
  <c r="CE299" i="43" s="1"/>
  <c r="CF299" i="43" s="1"/>
  <c r="AH296" i="42"/>
  <c r="CC296" i="42"/>
  <c r="CE296" i="42" s="1"/>
  <c r="CF296" i="42" s="1"/>
  <c r="P296" i="42"/>
  <c r="W296" i="42"/>
  <c r="P299" i="43"/>
  <c r="W299" i="43"/>
  <c r="Z292" i="31" l="1"/>
  <c r="M299" i="43"/>
  <c r="O299" i="43" s="1"/>
  <c r="X299" i="43"/>
  <c r="M296" i="42"/>
  <c r="O296" i="42" s="1"/>
  <c r="X296" i="42"/>
  <c r="AE292" i="31" l="1"/>
  <c r="AD292" i="31"/>
  <c r="CH293" i="31"/>
  <c r="N293" i="31"/>
  <c r="Y299" i="43"/>
  <c r="Y296" i="42"/>
  <c r="W293" i="31" l="1"/>
  <c r="P293" i="31"/>
  <c r="AH293" i="31"/>
  <c r="CC293" i="31"/>
  <c r="CE293" i="31" s="1"/>
  <c r="CF293" i="31" s="1"/>
  <c r="BL296" i="42"/>
  <c r="BL299" i="43"/>
  <c r="BP299" i="43" s="1"/>
  <c r="M293" i="31" l="1"/>
  <c r="O293" i="31" s="1"/>
  <c r="X293" i="31"/>
  <c r="Y293" i="31" s="1"/>
  <c r="BP296" i="42"/>
  <c r="Z296" i="42"/>
  <c r="AE296" i="42" s="1"/>
  <c r="Z299" i="43"/>
  <c r="AE299" i="43" s="1"/>
  <c r="BL293" i="31" l="1"/>
  <c r="BP293" i="31" s="1"/>
  <c r="N297" i="42"/>
  <c r="AD296" i="42"/>
  <c r="N300" i="43"/>
  <c r="AD299" i="43"/>
  <c r="Z293" i="31" l="1"/>
  <c r="AH297" i="42"/>
  <c r="CC297" i="42"/>
  <c r="CE297" i="42" s="1"/>
  <c r="CF297" i="42" s="1"/>
  <c r="P297" i="42"/>
  <c r="W297" i="42"/>
  <c r="P300" i="43"/>
  <c r="W300" i="43"/>
  <c r="AH300" i="43"/>
  <c r="CC300" i="43"/>
  <c r="CE300" i="43" s="1"/>
  <c r="CF300" i="43" s="1"/>
  <c r="AE293" i="31" l="1"/>
  <c r="N294" i="31"/>
  <c r="AD293" i="31"/>
  <c r="CH294" i="31"/>
  <c r="M300" i="43"/>
  <c r="O300" i="43" s="1"/>
  <c r="X300" i="43"/>
  <c r="M297" i="42"/>
  <c r="O297" i="42" s="1"/>
  <c r="X297" i="42"/>
  <c r="AH294" i="31" l="1"/>
  <c r="CC294" i="31"/>
  <c r="CE294" i="31" s="1"/>
  <c r="CF294" i="31" s="1"/>
  <c r="W294" i="31"/>
  <c r="P294" i="31"/>
  <c r="Y300" i="43"/>
  <c r="BL300" i="43" s="1"/>
  <c r="BP300" i="43" s="1"/>
  <c r="Y297" i="42"/>
  <c r="M294" i="31" l="1"/>
  <c r="O294" i="31" s="1"/>
  <c r="X294" i="31"/>
  <c r="Y294" i="31" s="1"/>
  <c r="BL297" i="42"/>
  <c r="BP297" i="42" s="1"/>
  <c r="Z300" i="43"/>
  <c r="AE300" i="43" s="1"/>
  <c r="BL294" i="31" l="1"/>
  <c r="BP294" i="31" s="1"/>
  <c r="N301" i="43"/>
  <c r="AD300" i="43"/>
  <c r="Z297" i="42"/>
  <c r="AE297" i="42" s="1"/>
  <c r="Z294" i="31" l="1"/>
  <c r="AH301" i="43"/>
  <c r="CC301" i="43"/>
  <c r="CE301" i="43" s="1"/>
  <c r="CF301" i="43" s="1"/>
  <c r="N298" i="42"/>
  <c r="AD297" i="42"/>
  <c r="P301" i="43"/>
  <c r="W301" i="43"/>
  <c r="AE294" i="31" l="1"/>
  <c r="AD294" i="31"/>
  <c r="CH295" i="31"/>
  <c r="N295" i="31"/>
  <c r="P298" i="42"/>
  <c r="W298" i="42"/>
  <c r="M301" i="43"/>
  <c r="O301" i="43" s="1"/>
  <c r="X301" i="43"/>
  <c r="AH298" i="42"/>
  <c r="CC298" i="42"/>
  <c r="CE298" i="42" s="1"/>
  <c r="CF298" i="42" s="1"/>
  <c r="W295" i="31" l="1"/>
  <c r="P295" i="31"/>
  <c r="AH295" i="31"/>
  <c r="CC295" i="31"/>
  <c r="CE295" i="31" s="1"/>
  <c r="CF295" i="31" s="1"/>
  <c r="M298" i="42"/>
  <c r="O298" i="42" s="1"/>
  <c r="X298" i="42"/>
  <c r="Y301" i="43"/>
  <c r="BL301" i="43" s="1"/>
  <c r="BP301" i="43" s="1"/>
  <c r="M295" i="31" l="1"/>
  <c r="O295" i="31" s="1"/>
  <c r="X295" i="31"/>
  <c r="Y295" i="31" s="1"/>
  <c r="Z301" i="43"/>
  <c r="Y298" i="42"/>
  <c r="BL295" i="31" l="1"/>
  <c r="BP295" i="31" s="1"/>
  <c r="AD301" i="43"/>
  <c r="AE301" i="43"/>
  <c r="N302" i="43"/>
  <c r="BL298" i="42"/>
  <c r="BP298" i="42" s="1"/>
  <c r="Z295" i="31" l="1"/>
  <c r="W302" i="43"/>
  <c r="X302" i="43" s="1"/>
  <c r="CC302" i="43"/>
  <c r="CE302" i="43" s="1"/>
  <c r="CF302" i="43" s="1"/>
  <c r="AH302" i="43"/>
  <c r="P302" i="43"/>
  <c r="Z298" i="42"/>
  <c r="AE298" i="42" s="1"/>
  <c r="M302" i="43" l="1"/>
  <c r="O302" i="43" s="1"/>
  <c r="AE295" i="31"/>
  <c r="N296" i="31"/>
  <c r="CH296" i="31"/>
  <c r="AD295" i="31"/>
  <c r="Y302" i="43"/>
  <c r="BL302" i="43" s="1"/>
  <c r="BP302" i="43" s="1"/>
  <c r="N299" i="42"/>
  <c r="AD298" i="42"/>
  <c r="AH296" i="31" l="1"/>
  <c r="CC296" i="31"/>
  <c r="CE296" i="31" s="1"/>
  <c r="CF296" i="31" s="1"/>
  <c r="W296" i="31"/>
  <c r="P296" i="31"/>
  <c r="Z302" i="43"/>
  <c r="P299" i="42"/>
  <c r="W299" i="42"/>
  <c r="AH299" i="42"/>
  <c r="CC299" i="42"/>
  <c r="CE299" i="42" s="1"/>
  <c r="CF299" i="42" s="1"/>
  <c r="M296" i="31" l="1"/>
  <c r="O296" i="31" s="1"/>
  <c r="X296" i="31"/>
  <c r="Y296" i="31" s="1"/>
  <c r="AD302" i="43"/>
  <c r="AE302" i="43"/>
  <c r="N303" i="43"/>
  <c r="M299" i="42"/>
  <c r="O299" i="42" s="1"/>
  <c r="X299" i="42"/>
  <c r="W303" i="43" l="1"/>
  <c r="X303" i="43" s="1"/>
  <c r="BL296" i="31"/>
  <c r="BP296" i="31" s="1"/>
  <c r="CC303" i="43"/>
  <c r="CE303" i="43" s="1"/>
  <c r="CF303" i="43" s="1"/>
  <c r="P303" i="43"/>
  <c r="AH303" i="43"/>
  <c r="Y299" i="42"/>
  <c r="M303" i="43"/>
  <c r="O303" i="43" s="1"/>
  <c r="Z296" i="31" l="1"/>
  <c r="BL299" i="42"/>
  <c r="BP299" i="42" s="1"/>
  <c r="Y303" i="43"/>
  <c r="BL303" i="43" s="1"/>
  <c r="BP303" i="43" s="1"/>
  <c r="AE296" i="31" l="1"/>
  <c r="N297" i="31"/>
  <c r="AD296" i="31"/>
  <c r="CH297" i="31"/>
  <c r="Z299" i="42"/>
  <c r="Z303" i="43"/>
  <c r="AH297" i="31" l="1"/>
  <c r="CC297" i="31"/>
  <c r="CE297" i="31" s="1"/>
  <c r="CF297" i="31" s="1"/>
  <c r="W297" i="31"/>
  <c r="P297" i="31"/>
  <c r="AD303" i="43"/>
  <c r="AE303" i="43"/>
  <c r="AD299" i="42"/>
  <c r="AE299" i="42"/>
  <c r="N304" i="43"/>
  <c r="N300" i="42"/>
  <c r="AH300" i="42" s="1"/>
  <c r="M297" i="31" l="1"/>
  <c r="O297" i="31" s="1"/>
  <c r="X297" i="31"/>
  <c r="Y297" i="31" s="1"/>
  <c r="W304" i="43"/>
  <c r="M304" i="43" s="1"/>
  <c r="O304" i="43" s="1"/>
  <c r="CC300" i="42"/>
  <c r="CE300" i="42" s="1"/>
  <c r="CF300" i="42" s="1"/>
  <c r="P300" i="42"/>
  <c r="P304" i="43"/>
  <c r="AH304" i="43"/>
  <c r="CC304" i="43"/>
  <c r="CE304" i="43" s="1"/>
  <c r="CF304" i="43" s="1"/>
  <c r="W300" i="42"/>
  <c r="M300" i="42" s="1"/>
  <c r="O300" i="42" s="1"/>
  <c r="X304" i="43" l="1"/>
  <c r="Y304" i="43" s="1"/>
  <c r="BL304" i="43" s="1"/>
  <c r="BP304" i="43" s="1"/>
  <c r="BL297" i="31"/>
  <c r="BP297" i="31" s="1"/>
  <c r="X300" i="42"/>
  <c r="Y300" i="42" s="1"/>
  <c r="BL300" i="42" s="1"/>
  <c r="BP300" i="42" s="1"/>
  <c r="Z297" i="31" l="1"/>
  <c r="Z300" i="42"/>
  <c r="Z304" i="43"/>
  <c r="AE304" i="43" s="1"/>
  <c r="AE297" i="31" l="1"/>
  <c r="N298" i="31"/>
  <c r="AD297" i="31"/>
  <c r="CH298" i="31"/>
  <c r="AD300" i="42"/>
  <c r="AE300" i="42"/>
  <c r="N301" i="42"/>
  <c r="N305" i="43"/>
  <c r="AD304" i="43"/>
  <c r="AH298" i="31" l="1"/>
  <c r="CC298" i="31"/>
  <c r="CE298" i="31" s="1"/>
  <c r="CF298" i="31" s="1"/>
  <c r="W298" i="31"/>
  <c r="P298" i="31"/>
  <c r="W301" i="42"/>
  <c r="M301" i="42" s="1"/>
  <c r="O301" i="42" s="1"/>
  <c r="CC301" i="42"/>
  <c r="CE301" i="42" s="1"/>
  <c r="CF301" i="42" s="1"/>
  <c r="P301" i="42"/>
  <c r="AH301" i="42"/>
  <c r="P305" i="43"/>
  <c r="W305" i="43"/>
  <c r="AH305" i="43"/>
  <c r="CC305" i="43"/>
  <c r="CE305" i="43" s="1"/>
  <c r="CF305" i="43" s="1"/>
  <c r="X301" i="42" l="1"/>
  <c r="Y301" i="42" s="1"/>
  <c r="BL301" i="42" s="1"/>
  <c r="BP301" i="42" s="1"/>
  <c r="M298" i="31"/>
  <c r="O298" i="31" s="1"/>
  <c r="X298" i="31"/>
  <c r="Y298" i="31" s="1"/>
  <c r="M305" i="43"/>
  <c r="O305" i="43" s="1"/>
  <c r="X305" i="43"/>
  <c r="BL298" i="31" l="1"/>
  <c r="BP298" i="31" s="1"/>
  <c r="Y305" i="43"/>
  <c r="BL305" i="43" s="1"/>
  <c r="BP305" i="43" s="1"/>
  <c r="Z301" i="42"/>
  <c r="AE301" i="42" s="1"/>
  <c r="Z298" i="31" l="1"/>
  <c r="Z305" i="43"/>
  <c r="AE305" i="43" s="1"/>
  <c r="N302" i="42"/>
  <c r="AD301" i="42"/>
  <c r="AE298" i="31" l="1"/>
  <c r="N299" i="31"/>
  <c r="AD298" i="31"/>
  <c r="CH299" i="31"/>
  <c r="AH302" i="42"/>
  <c r="CC302" i="42"/>
  <c r="CE302" i="42" s="1"/>
  <c r="CF302" i="42" s="1"/>
  <c r="N306" i="43"/>
  <c r="AD305" i="43"/>
  <c r="P302" i="42"/>
  <c r="W302" i="42"/>
  <c r="AH299" i="31" l="1"/>
  <c r="CC299" i="31"/>
  <c r="CE299" i="31" s="1"/>
  <c r="CF299" i="31" s="1"/>
  <c r="W299" i="31"/>
  <c r="P299" i="31"/>
  <c r="P306" i="43"/>
  <c r="W306" i="43"/>
  <c r="M302" i="42"/>
  <c r="O302" i="42" s="1"/>
  <c r="X302" i="42"/>
  <c r="AH306" i="43"/>
  <c r="CC306" i="43"/>
  <c r="CE306" i="43" s="1"/>
  <c r="CF306" i="43" s="1"/>
  <c r="X299" i="31" l="1"/>
  <c r="Y299" i="31" s="1"/>
  <c r="M299" i="31"/>
  <c r="O299" i="31" s="1"/>
  <c r="Y302" i="42"/>
  <c r="BL302" i="42" s="1"/>
  <c r="BP302" i="42" s="1"/>
  <c r="M306" i="43"/>
  <c r="O306" i="43" s="1"/>
  <c r="X306" i="43"/>
  <c r="BL299" i="31" l="1"/>
  <c r="BP299" i="31" s="1"/>
  <c r="Y306" i="43"/>
  <c r="BL306" i="43" s="1"/>
  <c r="BP306" i="43" s="1"/>
  <c r="Z302" i="42"/>
  <c r="AE302" i="42" s="1"/>
  <c r="Z299" i="31" l="1"/>
  <c r="Z306" i="43"/>
  <c r="AE306" i="43" s="1"/>
  <c r="N303" i="42"/>
  <c r="AD302" i="42"/>
  <c r="AE299" i="31" l="1"/>
  <c r="AD299" i="31"/>
  <c r="N300" i="31"/>
  <c r="CH300" i="31"/>
  <c r="AH303" i="42"/>
  <c r="CC303" i="42"/>
  <c r="CE303" i="42" s="1"/>
  <c r="CF303" i="42" s="1"/>
  <c r="N307" i="43"/>
  <c r="AD306" i="43"/>
  <c r="P303" i="42"/>
  <c r="W303" i="42"/>
  <c r="W300" i="31" l="1"/>
  <c r="P300" i="31"/>
  <c r="AH300" i="31"/>
  <c r="CC300" i="31"/>
  <c r="CE300" i="31" s="1"/>
  <c r="CF300" i="31" s="1"/>
  <c r="P307" i="43"/>
  <c r="W307" i="43"/>
  <c r="M303" i="42"/>
  <c r="O303" i="42" s="1"/>
  <c r="X303" i="42"/>
  <c r="AH307" i="43"/>
  <c r="CC307" i="43"/>
  <c r="CE307" i="43" s="1"/>
  <c r="CF307" i="43" s="1"/>
  <c r="X300" i="31" l="1"/>
  <c r="Y300" i="31" s="1"/>
  <c r="M300" i="31"/>
  <c r="O300" i="31" s="1"/>
  <c r="Y303" i="42"/>
  <c r="BL303" i="42" s="1"/>
  <c r="BP303" i="42" s="1"/>
  <c r="M307" i="43"/>
  <c r="O307" i="43" s="1"/>
  <c r="X307" i="43"/>
  <c r="BL300" i="31" l="1"/>
  <c r="BP300" i="31" s="1"/>
  <c r="Z303" i="42"/>
  <c r="AE303" i="42" s="1"/>
  <c r="Y307" i="43"/>
  <c r="Z300" i="31" l="1"/>
  <c r="N304" i="42"/>
  <c r="AD303" i="42"/>
  <c r="BL307" i="43"/>
  <c r="BP307" i="43" s="1"/>
  <c r="AE300" i="31" l="1"/>
  <c r="CH301" i="31"/>
  <c r="N301" i="31"/>
  <c r="AD300" i="31"/>
  <c r="Z307" i="43"/>
  <c r="P304" i="42"/>
  <c r="W304" i="42"/>
  <c r="AH304" i="42"/>
  <c r="CC304" i="42"/>
  <c r="CE304" i="42" s="1"/>
  <c r="CF304" i="42" s="1"/>
  <c r="AH301" i="31" l="1"/>
  <c r="CC301" i="31"/>
  <c r="CE301" i="31" s="1"/>
  <c r="CF301" i="31" s="1"/>
  <c r="W301" i="31"/>
  <c r="P301" i="31"/>
  <c r="AD307" i="43"/>
  <c r="AE307" i="43"/>
  <c r="N308" i="43"/>
  <c r="AH308" i="43" s="1"/>
  <c r="M304" i="42"/>
  <c r="O304" i="42" s="1"/>
  <c r="X304" i="42"/>
  <c r="X301" i="31" l="1"/>
  <c r="Y301" i="31" s="1"/>
  <c r="M301" i="31"/>
  <c r="O301" i="31" s="1"/>
  <c r="CC308" i="43"/>
  <c r="CE308" i="43" s="1"/>
  <c r="CF308" i="43" s="1"/>
  <c r="P308" i="43"/>
  <c r="W308" i="43"/>
  <c r="M308" i="43" s="1"/>
  <c r="O308" i="43" s="1"/>
  <c r="Y304" i="42"/>
  <c r="BL304" i="42" s="1"/>
  <c r="BP304" i="42" s="1"/>
  <c r="BL301" i="31" l="1"/>
  <c r="BP301" i="31" s="1"/>
  <c r="X308" i="43"/>
  <c r="Y308" i="43" s="1"/>
  <c r="Z304" i="42"/>
  <c r="AE304" i="42" s="1"/>
  <c r="Z301" i="31" l="1"/>
  <c r="N305" i="42"/>
  <c r="AD304" i="42"/>
  <c r="BL308" i="43"/>
  <c r="BP308" i="43" s="1"/>
  <c r="AE301" i="31" l="1"/>
  <c r="N302" i="31"/>
  <c r="CH302" i="31"/>
  <c r="AD301" i="31"/>
  <c r="P305" i="42"/>
  <c r="W305" i="42"/>
  <c r="Z308" i="43"/>
  <c r="AE308" i="43" s="1"/>
  <c r="AH305" i="42"/>
  <c r="CC305" i="42"/>
  <c r="CE305" i="42" s="1"/>
  <c r="CF305" i="42" s="1"/>
  <c r="AH302" i="31" l="1"/>
  <c r="CC302" i="31"/>
  <c r="CE302" i="31" s="1"/>
  <c r="CF302" i="31" s="1"/>
  <c r="W302" i="31"/>
  <c r="P302" i="31"/>
  <c r="N309" i="43"/>
  <c r="AD308" i="43"/>
  <c r="M305" i="42"/>
  <c r="O305" i="42" s="1"/>
  <c r="X305" i="42"/>
  <c r="M302" i="31" l="1"/>
  <c r="O302" i="31" s="1"/>
  <c r="X302" i="31"/>
  <c r="Y302" i="31" s="1"/>
  <c r="AH309" i="43"/>
  <c r="CC309" i="43"/>
  <c r="CE309" i="43" s="1"/>
  <c r="CF309" i="43" s="1"/>
  <c r="Y305" i="42"/>
  <c r="BL305" i="42" s="1"/>
  <c r="BP305" i="42" s="1"/>
  <c r="P309" i="43"/>
  <c r="W309" i="43"/>
  <c r="BL302" i="31" l="1"/>
  <c r="BP302" i="31" s="1"/>
  <c r="M309" i="43"/>
  <c r="O309" i="43" s="1"/>
  <c r="X309" i="43"/>
  <c r="Z305" i="42"/>
  <c r="AE305" i="42" s="1"/>
  <c r="Z302" i="31" l="1"/>
  <c r="Y309" i="43"/>
  <c r="N306" i="42"/>
  <c r="AD305" i="42"/>
  <c r="AE302" i="31" l="1"/>
  <c r="N303" i="31"/>
  <c r="AD302" i="31"/>
  <c r="CH303" i="31"/>
  <c r="BL309" i="43"/>
  <c r="BP309" i="43" s="1"/>
  <c r="AH306" i="42"/>
  <c r="CC306" i="42"/>
  <c r="CE306" i="42" s="1"/>
  <c r="CF306" i="42" s="1"/>
  <c r="P306" i="42"/>
  <c r="W306" i="42"/>
  <c r="AH303" i="31" l="1"/>
  <c r="CC303" i="31"/>
  <c r="CE303" i="31" s="1"/>
  <c r="CF303" i="31" s="1"/>
  <c r="W303" i="31"/>
  <c r="P303" i="31"/>
  <c r="Z309" i="43"/>
  <c r="M306" i="42"/>
  <c r="O306" i="42" s="1"/>
  <c r="X306" i="42"/>
  <c r="X303" i="31" l="1"/>
  <c r="Y303" i="31" s="1"/>
  <c r="M303" i="31"/>
  <c r="O303" i="31" s="1"/>
  <c r="N310" i="43"/>
  <c r="AH310" i="43" s="1"/>
  <c r="AE309" i="43"/>
  <c r="AD309" i="43"/>
  <c r="Y306" i="42"/>
  <c r="BL306" i="42" s="1"/>
  <c r="BP306" i="42" s="1"/>
  <c r="CC310" i="43" l="1"/>
  <c r="CE310" i="43" s="1"/>
  <c r="CF310" i="43" s="1"/>
  <c r="BL303" i="31"/>
  <c r="BP303" i="31" s="1"/>
  <c r="W310" i="43"/>
  <c r="M310" i="43" s="1"/>
  <c r="O310" i="43" s="1"/>
  <c r="P310" i="43"/>
  <c r="Z306" i="42"/>
  <c r="AE306" i="42" s="1"/>
  <c r="Z303" i="31" l="1"/>
  <c r="X310" i="43"/>
  <c r="Y310" i="43" s="1"/>
  <c r="N307" i="42"/>
  <c r="AD306" i="42"/>
  <c r="AE303" i="31" l="1"/>
  <c r="AD303" i="31"/>
  <c r="CH304" i="31"/>
  <c r="N304" i="31"/>
  <c r="BL310" i="43"/>
  <c r="BP310" i="43" s="1"/>
  <c r="AH307" i="42"/>
  <c r="CC307" i="42"/>
  <c r="CE307" i="42" s="1"/>
  <c r="CF307" i="42" s="1"/>
  <c r="P307" i="42"/>
  <c r="W307" i="42"/>
  <c r="W304" i="31" l="1"/>
  <c r="P304" i="31"/>
  <c r="AH304" i="31"/>
  <c r="CC304" i="31"/>
  <c r="CE304" i="31" s="1"/>
  <c r="CF304" i="31" s="1"/>
  <c r="M307" i="42"/>
  <c r="O307" i="42" s="1"/>
  <c r="X307" i="42"/>
  <c r="Z310" i="43"/>
  <c r="AE310" i="43" s="1"/>
  <c r="M304" i="31" l="1"/>
  <c r="O304" i="31" s="1"/>
  <c r="X304" i="31"/>
  <c r="Y304" i="31" s="1"/>
  <c r="N311" i="43"/>
  <c r="AD310" i="43"/>
  <c r="Y307" i="42"/>
  <c r="BL304" i="31" l="1"/>
  <c r="BP304" i="31" s="1"/>
  <c r="AH311" i="43"/>
  <c r="CC311" i="43"/>
  <c r="CE311" i="43" s="1"/>
  <c r="CF311" i="43" s="1"/>
  <c r="P311" i="43"/>
  <c r="W311" i="43"/>
  <c r="BL307" i="42"/>
  <c r="BP307" i="42" s="1"/>
  <c r="Z304" i="31" l="1"/>
  <c r="Z307" i="42"/>
  <c r="M311" i="43"/>
  <c r="O311" i="43" s="1"/>
  <c r="X311" i="43"/>
  <c r="AE304" i="31" l="1"/>
  <c r="N305" i="31"/>
  <c r="CH305" i="31"/>
  <c r="AD304" i="31"/>
  <c r="N308" i="42"/>
  <c r="CC308" i="42" s="1"/>
  <c r="CE308" i="42" s="1"/>
  <c r="CF308" i="42" s="1"/>
  <c r="AE307" i="42"/>
  <c r="AD307" i="42"/>
  <c r="Y311" i="43"/>
  <c r="AH305" i="31" l="1"/>
  <c r="CC305" i="31"/>
  <c r="CE305" i="31" s="1"/>
  <c r="CF305" i="31" s="1"/>
  <c r="W305" i="31"/>
  <c r="P305" i="31"/>
  <c r="AH308" i="42"/>
  <c r="W308" i="42"/>
  <c r="X308" i="42" s="1"/>
  <c r="P308" i="42"/>
  <c r="BL311" i="43"/>
  <c r="M308" i="42" l="1"/>
  <c r="O308" i="42" s="1"/>
  <c r="M305" i="31"/>
  <c r="O305" i="31" s="1"/>
  <c r="X305" i="31"/>
  <c r="Y305" i="31" s="1"/>
  <c r="BP311" i="43"/>
  <c r="Z311" i="43"/>
  <c r="AE311" i="43" s="1"/>
  <c r="Y308" i="42"/>
  <c r="BL305" i="31" l="1"/>
  <c r="BP305" i="31" s="1"/>
  <c r="BL308" i="42"/>
  <c r="BP308" i="42" s="1"/>
  <c r="N312" i="43"/>
  <c r="AD311" i="43"/>
  <c r="Z305" i="31" l="1"/>
  <c r="AH312" i="43"/>
  <c r="CC312" i="43"/>
  <c r="CE312" i="43" s="1"/>
  <c r="CF312" i="43" s="1"/>
  <c r="P312" i="43"/>
  <c r="W312" i="43"/>
  <c r="Z308" i="42"/>
  <c r="AE308" i="42" s="1"/>
  <c r="AE305" i="31" l="1"/>
  <c r="N306" i="31"/>
  <c r="AD305" i="31"/>
  <c r="CH306" i="31"/>
  <c r="N309" i="42"/>
  <c r="AD308" i="42"/>
  <c r="M312" i="43"/>
  <c r="O312" i="43" s="1"/>
  <c r="X312" i="43"/>
  <c r="AH306" i="31" l="1"/>
  <c r="CC306" i="31"/>
  <c r="CE306" i="31" s="1"/>
  <c r="CF306" i="31" s="1"/>
  <c r="W306" i="31"/>
  <c r="P306" i="31"/>
  <c r="AH309" i="42"/>
  <c r="CC309" i="42"/>
  <c r="CE309" i="42" s="1"/>
  <c r="CF309" i="42" s="1"/>
  <c r="P309" i="42"/>
  <c r="W309" i="42"/>
  <c r="Y312" i="43"/>
  <c r="BL312" i="43" s="1"/>
  <c r="BP312" i="43" s="1"/>
  <c r="M306" i="31" l="1"/>
  <c r="O306" i="31" s="1"/>
  <c r="X306" i="31"/>
  <c r="Y306" i="31" s="1"/>
  <c r="Z312" i="43"/>
  <c r="M309" i="42"/>
  <c r="O309" i="42" s="1"/>
  <c r="X309" i="42"/>
  <c r="BL306" i="31" l="1"/>
  <c r="BP306" i="31" s="1"/>
  <c r="AD312" i="43"/>
  <c r="AE312" i="43"/>
  <c r="N313" i="43"/>
  <c r="Y309" i="42"/>
  <c r="W313" i="43" l="1"/>
  <c r="X313" i="43" s="1"/>
  <c r="Z306" i="31"/>
  <c r="AH313" i="43"/>
  <c r="CC313" i="43"/>
  <c r="CE313" i="43" s="1"/>
  <c r="CF313" i="43" s="1"/>
  <c r="P313" i="43"/>
  <c r="BL309" i="42"/>
  <c r="BP309" i="42" s="1"/>
  <c r="M313" i="43" l="1"/>
  <c r="O313" i="43" s="1"/>
  <c r="AE306" i="31"/>
  <c r="N307" i="31"/>
  <c r="AD306" i="31"/>
  <c r="CH307" i="31"/>
  <c r="Y313" i="43"/>
  <c r="BL313" i="43" s="1"/>
  <c r="BP313" i="43" s="1"/>
  <c r="Z309" i="42"/>
  <c r="AE309" i="42" s="1"/>
  <c r="AH307" i="31" l="1"/>
  <c r="CC307" i="31"/>
  <c r="CE307" i="31" s="1"/>
  <c r="CF307" i="31" s="1"/>
  <c r="W307" i="31"/>
  <c r="P307" i="31"/>
  <c r="N310" i="42"/>
  <c r="AD309" i="42"/>
  <c r="Z313" i="43"/>
  <c r="AE313" i="43" s="1"/>
  <c r="M307" i="31" l="1"/>
  <c r="O307" i="31" s="1"/>
  <c r="X307" i="31"/>
  <c r="Y307" i="31" s="1"/>
  <c r="AH310" i="42"/>
  <c r="CC310" i="42"/>
  <c r="CE310" i="42" s="1"/>
  <c r="CF310" i="42" s="1"/>
  <c r="N314" i="43"/>
  <c r="AD313" i="43"/>
  <c r="P310" i="42"/>
  <c r="W310" i="42"/>
  <c r="BL307" i="31" l="1"/>
  <c r="BP307" i="31" s="1"/>
  <c r="AH314" i="43"/>
  <c r="CC314" i="43"/>
  <c r="CE314" i="43" s="1"/>
  <c r="CF314" i="43" s="1"/>
  <c r="M310" i="42"/>
  <c r="O310" i="42" s="1"/>
  <c r="X310" i="42"/>
  <c r="P314" i="43"/>
  <c r="W314" i="43"/>
  <c r="Z307" i="31" l="1"/>
  <c r="M314" i="43"/>
  <c r="O314" i="43" s="1"/>
  <c r="X314" i="43"/>
  <c r="Y310" i="42"/>
  <c r="AE307" i="31" l="1"/>
  <c r="CH308" i="31"/>
  <c r="AD307" i="31"/>
  <c r="N308" i="31"/>
  <c r="BL310" i="42"/>
  <c r="BP310" i="42" s="1"/>
  <c r="Y314" i="43"/>
  <c r="BL314" i="43" s="1"/>
  <c r="BP314" i="43" s="1"/>
  <c r="W308" i="31" l="1"/>
  <c r="P308" i="31"/>
  <c r="AH308" i="31"/>
  <c r="CC308" i="31"/>
  <c r="CE308" i="31" s="1"/>
  <c r="CF308" i="31" s="1"/>
  <c r="Z314" i="43"/>
  <c r="AE314" i="43" s="1"/>
  <c r="Z310" i="42"/>
  <c r="AE310" i="42" s="1"/>
  <c r="M308" i="31" l="1"/>
  <c r="O308" i="31" s="1"/>
  <c r="X308" i="31"/>
  <c r="Y308" i="31" s="1"/>
  <c r="N311" i="42"/>
  <c r="AD310" i="42"/>
  <c r="N315" i="43"/>
  <c r="AD314" i="43"/>
  <c r="BL308" i="31" l="1"/>
  <c r="BP308" i="31" s="1"/>
  <c r="AH311" i="42"/>
  <c r="CC311" i="42"/>
  <c r="CE311" i="42" s="1"/>
  <c r="CF311" i="42" s="1"/>
  <c r="AH315" i="43"/>
  <c r="CC315" i="43"/>
  <c r="CE315" i="43" s="1"/>
  <c r="CF315" i="43" s="1"/>
  <c r="P315" i="43"/>
  <c r="W315" i="43"/>
  <c r="P311" i="42"/>
  <c r="W311" i="42"/>
  <c r="Z308" i="31" l="1"/>
  <c r="M315" i="43"/>
  <c r="O315" i="43" s="1"/>
  <c r="X315" i="43"/>
  <c r="M311" i="42"/>
  <c r="O311" i="42" s="1"/>
  <c r="X311" i="42"/>
  <c r="AE308" i="31" l="1"/>
  <c r="AD308" i="31"/>
  <c r="N309" i="31"/>
  <c r="CH309" i="31"/>
  <c r="Y311" i="42"/>
  <c r="Y315" i="43"/>
  <c r="BL315" i="43" s="1"/>
  <c r="BP315" i="43" s="1"/>
  <c r="W309" i="31" l="1"/>
  <c r="P309" i="31"/>
  <c r="AH309" i="31"/>
  <c r="CC309" i="31"/>
  <c r="CE309" i="31" s="1"/>
  <c r="CF309" i="31" s="1"/>
  <c r="BL311" i="42"/>
  <c r="BP311" i="42" s="1"/>
  <c r="Z315" i="43"/>
  <c r="AE315" i="43" s="1"/>
  <c r="M309" i="31" l="1"/>
  <c r="O309" i="31" s="1"/>
  <c r="X309" i="31"/>
  <c r="Y309" i="31" s="1"/>
  <c r="Z311" i="42"/>
  <c r="N316" i="43"/>
  <c r="AD315" i="43"/>
  <c r="BL309" i="31" l="1"/>
  <c r="BP309" i="31" s="1"/>
  <c r="N312" i="42"/>
  <c r="CC312" i="42" s="1"/>
  <c r="CE312" i="42" s="1"/>
  <c r="CF312" i="42" s="1"/>
  <c r="AE311" i="42"/>
  <c r="AD311" i="42"/>
  <c r="P316" i="43"/>
  <c r="W316" i="43"/>
  <c r="AH316" i="43"/>
  <c r="CC316" i="43"/>
  <c r="CE316" i="43" s="1"/>
  <c r="CF316" i="43" s="1"/>
  <c r="Z309" i="31" l="1"/>
  <c r="AH312" i="42"/>
  <c r="W312" i="42"/>
  <c r="X312" i="42" s="1"/>
  <c r="P312" i="42"/>
  <c r="M316" i="43"/>
  <c r="O316" i="43" s="1"/>
  <c r="X316" i="43"/>
  <c r="M312" i="42" l="1"/>
  <c r="O312" i="42" s="1"/>
  <c r="AE309" i="31"/>
  <c r="N310" i="31"/>
  <c r="AD309" i="31"/>
  <c r="CH310" i="31"/>
  <c r="Y312" i="42"/>
  <c r="BL312" i="42" s="1"/>
  <c r="BP312" i="42" s="1"/>
  <c r="Y316" i="43"/>
  <c r="BL316" i="43" s="1"/>
  <c r="BP316" i="43" s="1"/>
  <c r="AH310" i="31" l="1"/>
  <c r="CC310" i="31"/>
  <c r="CE310" i="31" s="1"/>
  <c r="CF310" i="31" s="1"/>
  <c r="W310" i="31"/>
  <c r="P310" i="31"/>
  <c r="Z316" i="43"/>
  <c r="Z312" i="42"/>
  <c r="AE312" i="42" s="1"/>
  <c r="X310" i="31" l="1"/>
  <c r="Y310" i="31" s="1"/>
  <c r="M310" i="31"/>
  <c r="O310" i="31" s="1"/>
  <c r="AD316" i="43"/>
  <c r="AE316" i="43"/>
  <c r="N317" i="43"/>
  <c r="AH317" i="43" s="1"/>
  <c r="N313" i="42"/>
  <c r="AD312" i="42"/>
  <c r="BL310" i="31" l="1"/>
  <c r="BP310" i="31" s="1"/>
  <c r="CC317" i="43"/>
  <c r="CE317" i="43" s="1"/>
  <c r="CF317" i="43" s="1"/>
  <c r="P317" i="43"/>
  <c r="W317" i="43"/>
  <c r="X317" i="43" s="1"/>
  <c r="P313" i="42"/>
  <c r="W313" i="42"/>
  <c r="AH313" i="42"/>
  <c r="CC313" i="42"/>
  <c r="CE313" i="42" s="1"/>
  <c r="CF313" i="42" s="1"/>
  <c r="Z310" i="31" l="1"/>
  <c r="M317" i="43"/>
  <c r="O317" i="43" s="1"/>
  <c r="Y317" i="43"/>
  <c r="BL317" i="43" s="1"/>
  <c r="BP317" i="43" s="1"/>
  <c r="M313" i="42"/>
  <c r="O313" i="42" s="1"/>
  <c r="X313" i="42"/>
  <c r="AE310" i="31" l="1"/>
  <c r="N311" i="31"/>
  <c r="CH311" i="31"/>
  <c r="AD310" i="31"/>
  <c r="Y313" i="42"/>
  <c r="BL313" i="42" s="1"/>
  <c r="BP313" i="42" s="1"/>
  <c r="Z317" i="43"/>
  <c r="AE317" i="43" s="1"/>
  <c r="AH311" i="31" l="1"/>
  <c r="CC311" i="31"/>
  <c r="CE311" i="31" s="1"/>
  <c r="CF311" i="31" s="1"/>
  <c r="W311" i="31"/>
  <c r="P311" i="31"/>
  <c r="N318" i="43"/>
  <c r="AD317" i="43"/>
  <c r="Z313" i="42"/>
  <c r="AE313" i="42" s="1"/>
  <c r="M311" i="31" l="1"/>
  <c r="O311" i="31" s="1"/>
  <c r="X311" i="31"/>
  <c r="Y311" i="31" s="1"/>
  <c r="P318" i="43"/>
  <c r="W318" i="43"/>
  <c r="N314" i="42"/>
  <c r="AD313" i="42"/>
  <c r="AH318" i="43"/>
  <c r="CC318" i="43"/>
  <c r="CE318" i="43" s="1"/>
  <c r="CF318" i="43" s="1"/>
  <c r="BL311" i="31" l="1"/>
  <c r="BP311" i="31" s="1"/>
  <c r="AH314" i="42"/>
  <c r="CC314" i="42"/>
  <c r="CE314" i="42" s="1"/>
  <c r="CF314" i="42" s="1"/>
  <c r="M318" i="43"/>
  <c r="O318" i="43" s="1"/>
  <c r="X318" i="43"/>
  <c r="P314" i="42"/>
  <c r="W314" i="42"/>
  <c r="Z311" i="31" l="1"/>
  <c r="Y318" i="43"/>
  <c r="BL318" i="43" s="1"/>
  <c r="BP318" i="43" s="1"/>
  <c r="M314" i="42"/>
  <c r="O314" i="42" s="1"/>
  <c r="X314" i="42"/>
  <c r="AE311" i="31" l="1"/>
  <c r="AD311" i="31"/>
  <c r="CH312" i="31"/>
  <c r="N312" i="31"/>
  <c r="Y314" i="42"/>
  <c r="BL314" i="42" s="1"/>
  <c r="BP314" i="42" s="1"/>
  <c r="Z318" i="43"/>
  <c r="AE318" i="43" s="1"/>
  <c r="W312" i="31" l="1"/>
  <c r="P312" i="31"/>
  <c r="AH312" i="31"/>
  <c r="CC312" i="31"/>
  <c r="CE312" i="31" s="1"/>
  <c r="CF312" i="31" s="1"/>
  <c r="N319" i="43"/>
  <c r="AD318" i="43"/>
  <c r="Z314" i="42"/>
  <c r="AE314" i="42" s="1"/>
  <c r="M312" i="31" l="1"/>
  <c r="O312" i="31" s="1"/>
  <c r="X312" i="31"/>
  <c r="Y312" i="31" s="1"/>
  <c r="P319" i="43"/>
  <c r="W319" i="43"/>
  <c r="N315" i="42"/>
  <c r="AD314" i="42"/>
  <c r="AH319" i="43"/>
  <c r="CC319" i="43"/>
  <c r="CE319" i="43" s="1"/>
  <c r="CF319" i="43" s="1"/>
  <c r="BL312" i="31" l="1"/>
  <c r="BP312" i="31" s="1"/>
  <c r="M319" i="43"/>
  <c r="O319" i="43" s="1"/>
  <c r="X319" i="43"/>
  <c r="AH315" i="42"/>
  <c r="CC315" i="42"/>
  <c r="CE315" i="42" s="1"/>
  <c r="CF315" i="42" s="1"/>
  <c r="P315" i="42"/>
  <c r="W315" i="42"/>
  <c r="Z312" i="31" l="1"/>
  <c r="M315" i="42"/>
  <c r="O315" i="42" s="1"/>
  <c r="X315" i="42"/>
  <c r="Y319" i="43"/>
  <c r="AE312" i="31" l="1"/>
  <c r="N313" i="31"/>
  <c r="CH313" i="31"/>
  <c r="AD312" i="31"/>
  <c r="Y315" i="42"/>
  <c r="BL315" i="42" s="1"/>
  <c r="BP315" i="42" s="1"/>
  <c r="BL319" i="43"/>
  <c r="BP319" i="43" s="1"/>
  <c r="AH313" i="31" l="1"/>
  <c r="CC313" i="31"/>
  <c r="CE313" i="31" s="1"/>
  <c r="CF313" i="31" s="1"/>
  <c r="W313" i="31"/>
  <c r="P313" i="31"/>
  <c r="Z319" i="43"/>
  <c r="Z315" i="42"/>
  <c r="AE315" i="42" s="1"/>
  <c r="X313" i="31" l="1"/>
  <c r="Y313" i="31" s="1"/>
  <c r="M313" i="31"/>
  <c r="O313" i="31" s="1"/>
  <c r="AD319" i="43"/>
  <c r="AE319" i="43"/>
  <c r="N320" i="43"/>
  <c r="AH320" i="43" s="1"/>
  <c r="N316" i="42"/>
  <c r="AD315" i="42"/>
  <c r="P320" i="43" l="1"/>
  <c r="BL313" i="31"/>
  <c r="BP313" i="31" s="1"/>
  <c r="CC320" i="43"/>
  <c r="CE320" i="43" s="1"/>
  <c r="CF320" i="43" s="1"/>
  <c r="W320" i="43"/>
  <c r="X320" i="43" s="1"/>
  <c r="AH316" i="42"/>
  <c r="CC316" i="42"/>
  <c r="CE316" i="42" s="1"/>
  <c r="CF316" i="42" s="1"/>
  <c r="P316" i="42"/>
  <c r="W316" i="42"/>
  <c r="Z313" i="31" l="1"/>
  <c r="M320" i="43"/>
  <c r="O320" i="43" s="1"/>
  <c r="Y320" i="43"/>
  <c r="M316" i="42"/>
  <c r="O316" i="42" s="1"/>
  <c r="X316" i="42"/>
  <c r="AE313" i="31" l="1"/>
  <c r="AD313" i="31"/>
  <c r="N314" i="31"/>
  <c r="CH314" i="31"/>
  <c r="BL320" i="43"/>
  <c r="BP320" i="43" s="1"/>
  <c r="Y316" i="42"/>
  <c r="BL316" i="42" s="1"/>
  <c r="BP316" i="42" s="1"/>
  <c r="W314" i="31" l="1"/>
  <c r="P314" i="31"/>
  <c r="AH314" i="31"/>
  <c r="CC314" i="31"/>
  <c r="CE314" i="31" s="1"/>
  <c r="CF314" i="31" s="1"/>
  <c r="Z316" i="42"/>
  <c r="Z320" i="43"/>
  <c r="AE320" i="43" s="1"/>
  <c r="X314" i="31" l="1"/>
  <c r="Y314" i="31" s="1"/>
  <c r="M314" i="31"/>
  <c r="O314" i="31" s="1"/>
  <c r="AD316" i="42"/>
  <c r="AE316" i="42"/>
  <c r="N317" i="42"/>
  <c r="AH317" i="42" s="1"/>
  <c r="N321" i="43"/>
  <c r="AD320" i="43"/>
  <c r="BL314" i="31" l="1"/>
  <c r="BP314" i="31" s="1"/>
  <c r="P317" i="42"/>
  <c r="CC317" i="42"/>
  <c r="CE317" i="42" s="1"/>
  <c r="CF317" i="42" s="1"/>
  <c r="W317" i="42"/>
  <c r="X317" i="42" s="1"/>
  <c r="AH321" i="43"/>
  <c r="CC321" i="43"/>
  <c r="CE321" i="43" s="1"/>
  <c r="CF321" i="43" s="1"/>
  <c r="P321" i="43"/>
  <c r="W321" i="43"/>
  <c r="Z314" i="31" l="1"/>
  <c r="M317" i="42"/>
  <c r="O317" i="42" s="1"/>
  <c r="M321" i="43"/>
  <c r="O321" i="43" s="1"/>
  <c r="X321" i="43"/>
  <c r="Y317" i="42"/>
  <c r="BL317" i="42" s="1"/>
  <c r="BP317" i="42" s="1"/>
  <c r="AE314" i="31" l="1"/>
  <c r="N315" i="31"/>
  <c r="AD314" i="31"/>
  <c r="CH315" i="31"/>
  <c r="Z317" i="42"/>
  <c r="AE317" i="42" s="1"/>
  <c r="Y321" i="43"/>
  <c r="AH315" i="31" l="1"/>
  <c r="CC315" i="31"/>
  <c r="CE315" i="31" s="1"/>
  <c r="CF315" i="31" s="1"/>
  <c r="W315" i="31"/>
  <c r="P315" i="31"/>
  <c r="N318" i="42"/>
  <c r="AD317" i="42"/>
  <c r="BL321" i="43"/>
  <c r="BP321" i="43" s="1"/>
  <c r="X315" i="31" l="1"/>
  <c r="Y315" i="31" s="1"/>
  <c r="M315" i="31"/>
  <c r="O315" i="31" s="1"/>
  <c r="Z321" i="43"/>
  <c r="AE321" i="43" s="1"/>
  <c r="AH318" i="42"/>
  <c r="CC318" i="42"/>
  <c r="CE318" i="42" s="1"/>
  <c r="CF318" i="42" s="1"/>
  <c r="P318" i="42"/>
  <c r="W318" i="42"/>
  <c r="BL315" i="31" l="1"/>
  <c r="BP315" i="31" s="1"/>
  <c r="N322" i="43"/>
  <c r="AD321" i="43"/>
  <c r="M318" i="42"/>
  <c r="O318" i="42" s="1"/>
  <c r="X318" i="42"/>
  <c r="Z315" i="31" l="1"/>
  <c r="AH322" i="43"/>
  <c r="CC322" i="43"/>
  <c r="CE322" i="43" s="1"/>
  <c r="CF322" i="43" s="1"/>
  <c r="P322" i="43"/>
  <c r="W322" i="43"/>
  <c r="Y318" i="42"/>
  <c r="BL318" i="42" s="1"/>
  <c r="BP318" i="42" s="1"/>
  <c r="AE315" i="31" l="1"/>
  <c r="AD315" i="31"/>
  <c r="CH316" i="31"/>
  <c r="N316" i="31"/>
  <c r="Z318" i="42"/>
  <c r="AE318" i="42" s="1"/>
  <c r="M322" i="43"/>
  <c r="O322" i="43" s="1"/>
  <c r="X322" i="43"/>
  <c r="W316" i="31" l="1"/>
  <c r="P316" i="31"/>
  <c r="AH316" i="31"/>
  <c r="CC316" i="31"/>
  <c r="CE316" i="31" s="1"/>
  <c r="CF316" i="31" s="1"/>
  <c r="N319" i="42"/>
  <c r="AD318" i="42"/>
  <c r="Y322" i="43"/>
  <c r="X316" i="31" l="1"/>
  <c r="Y316" i="31" s="1"/>
  <c r="M316" i="31"/>
  <c r="O316" i="31" s="1"/>
  <c r="AH319" i="42"/>
  <c r="CC319" i="42"/>
  <c r="CE319" i="42" s="1"/>
  <c r="CF319" i="42" s="1"/>
  <c r="P319" i="42"/>
  <c r="W319" i="42"/>
  <c r="BL322" i="43"/>
  <c r="BL316" i="31" l="1"/>
  <c r="BP316" i="31" s="1"/>
  <c r="BP322" i="43"/>
  <c r="Z322" i="43"/>
  <c r="AE322" i="43" s="1"/>
  <c r="M319" i="42"/>
  <c r="O319" i="42" s="1"/>
  <c r="X319" i="42"/>
  <c r="Z316" i="31" l="1"/>
  <c r="N323" i="43"/>
  <c r="AD322" i="43"/>
  <c r="Y319" i="42"/>
  <c r="AE316" i="31" l="1"/>
  <c r="N317" i="31"/>
  <c r="CH317" i="31"/>
  <c r="AD316" i="31"/>
  <c r="AH323" i="43"/>
  <c r="CC323" i="43"/>
  <c r="CE323" i="43" s="1"/>
  <c r="CF323" i="43" s="1"/>
  <c r="BL319" i="42"/>
  <c r="BP319" i="42" s="1"/>
  <c r="P323" i="43"/>
  <c r="W323" i="43"/>
  <c r="AH317" i="31" l="1"/>
  <c r="CC317" i="31"/>
  <c r="CE317" i="31" s="1"/>
  <c r="CF317" i="31" s="1"/>
  <c r="W317" i="31"/>
  <c r="P317" i="31"/>
  <c r="Z319" i="42"/>
  <c r="N320" i="42" s="1"/>
  <c r="M323" i="43"/>
  <c r="O323" i="43" s="1"/>
  <c r="X323" i="43"/>
  <c r="M317" i="31" l="1"/>
  <c r="O317" i="31" s="1"/>
  <c r="X317" i="31"/>
  <c r="Y317" i="31" s="1"/>
  <c r="AD319" i="42"/>
  <c r="W320" i="42" s="1"/>
  <c r="AE319" i="42"/>
  <c r="Y323" i="43"/>
  <c r="AH320" i="42"/>
  <c r="CC320" i="42"/>
  <c r="CE320" i="42" s="1"/>
  <c r="CF320" i="42" s="1"/>
  <c r="BL317" i="31" l="1"/>
  <c r="BP317" i="31" s="1"/>
  <c r="P320" i="42"/>
  <c r="M320" i="42"/>
  <c r="O320" i="42" s="1"/>
  <c r="X320" i="42"/>
  <c r="BL323" i="43"/>
  <c r="Z317" i="31" l="1"/>
  <c r="Y320" i="42"/>
  <c r="BP323" i="43"/>
  <c r="Z323" i="43"/>
  <c r="AE323" i="43" s="1"/>
  <c r="AE317" i="31" l="1"/>
  <c r="AD317" i="31"/>
  <c r="N318" i="31"/>
  <c r="CH318" i="31"/>
  <c r="BL320" i="42"/>
  <c r="N324" i="43"/>
  <c r="AD323" i="43"/>
  <c r="W318" i="31" l="1"/>
  <c r="P318" i="31"/>
  <c r="AH318" i="31"/>
  <c r="CC318" i="31"/>
  <c r="CE318" i="31" s="1"/>
  <c r="CF318" i="31" s="1"/>
  <c r="BP320" i="42"/>
  <c r="Z320" i="42"/>
  <c r="AE320" i="42" s="1"/>
  <c r="AH324" i="43"/>
  <c r="CC324" i="43"/>
  <c r="CE324" i="43" s="1"/>
  <c r="CF324" i="43" s="1"/>
  <c r="P324" i="43"/>
  <c r="W324" i="43"/>
  <c r="M318" i="31" l="1"/>
  <c r="O318" i="31" s="1"/>
  <c r="X318" i="31"/>
  <c r="Y318" i="31" s="1"/>
  <c r="N321" i="42"/>
  <c r="AD320" i="42"/>
  <c r="M324" i="43"/>
  <c r="O324" i="43" s="1"/>
  <c r="X324" i="43"/>
  <c r="BL318" i="31" l="1"/>
  <c r="BP318" i="31" s="1"/>
  <c r="AH321" i="42"/>
  <c r="CC321" i="42"/>
  <c r="CE321" i="42" s="1"/>
  <c r="CF321" i="42" s="1"/>
  <c r="Y324" i="43"/>
  <c r="BL324" i="43" s="1"/>
  <c r="BP324" i="43" s="1"/>
  <c r="P321" i="42"/>
  <c r="W321" i="42"/>
  <c r="Z318" i="31" l="1"/>
  <c r="Z324" i="43"/>
  <c r="M321" i="42"/>
  <c r="O321" i="42" s="1"/>
  <c r="X321" i="42"/>
  <c r="AE318" i="31" l="1"/>
  <c r="N319" i="31"/>
  <c r="CH319" i="31"/>
  <c r="AD318" i="31"/>
  <c r="AD324" i="43"/>
  <c r="AE324" i="43"/>
  <c r="N325" i="43"/>
  <c r="Y321" i="42"/>
  <c r="P325" i="43" l="1"/>
  <c r="AH319" i="31"/>
  <c r="CC319" i="31"/>
  <c r="CE319" i="31" s="1"/>
  <c r="CF319" i="31" s="1"/>
  <c r="W319" i="31"/>
  <c r="P319" i="31"/>
  <c r="CC325" i="43"/>
  <c r="CE325" i="43" s="1"/>
  <c r="CF325" i="43" s="1"/>
  <c r="W325" i="43"/>
  <c r="X325" i="43" s="1"/>
  <c r="AH325" i="43"/>
  <c r="BL321" i="42"/>
  <c r="M319" i="31" l="1"/>
  <c r="O319" i="31" s="1"/>
  <c r="X319" i="31"/>
  <c r="Y319" i="31" s="1"/>
  <c r="M325" i="43"/>
  <c r="O325" i="43" s="1"/>
  <c r="Y325" i="43"/>
  <c r="BL325" i="43" s="1"/>
  <c r="BP325" i="43" s="1"/>
  <c r="BP321" i="42"/>
  <c r="Z321" i="42"/>
  <c r="AE321" i="42" s="1"/>
  <c r="BL319" i="31" l="1"/>
  <c r="BP319" i="31" s="1"/>
  <c r="N322" i="42"/>
  <c r="AD321" i="42"/>
  <c r="Z325" i="43"/>
  <c r="AE325" i="43" s="1"/>
  <c r="Z319" i="31" l="1"/>
  <c r="N326" i="43"/>
  <c r="AD325" i="43"/>
  <c r="AH322" i="42"/>
  <c r="CC322" i="42"/>
  <c r="CE322" i="42" s="1"/>
  <c r="CF322" i="42" s="1"/>
  <c r="P322" i="42"/>
  <c r="W322" i="42"/>
  <c r="AD319" i="31" l="1"/>
  <c r="N320" i="31"/>
  <c r="CH320" i="31"/>
  <c r="AE319" i="31"/>
  <c r="AH326" i="43"/>
  <c r="CC326" i="43"/>
  <c r="CE326" i="43" s="1"/>
  <c r="CF326" i="43" s="1"/>
  <c r="P326" i="43"/>
  <c r="W326" i="43"/>
  <c r="M322" i="42"/>
  <c r="O322" i="42" s="1"/>
  <c r="X322" i="42"/>
  <c r="W320" i="31" l="1"/>
  <c r="P320" i="31"/>
  <c r="CC320" i="31"/>
  <c r="CE320" i="31" s="1"/>
  <c r="CF320" i="31" s="1"/>
  <c r="AH320" i="31"/>
  <c r="M326" i="43"/>
  <c r="O326" i="43" s="1"/>
  <c r="X326" i="43"/>
  <c r="Y322" i="42"/>
  <c r="X320" i="31" l="1"/>
  <c r="Y320" i="31" s="1"/>
  <c r="M320" i="31"/>
  <c r="O320" i="31" s="1"/>
  <c r="BL322" i="42"/>
  <c r="Y326" i="43"/>
  <c r="BL326" i="43" s="1"/>
  <c r="BP326" i="43" s="1"/>
  <c r="BL320" i="31" l="1"/>
  <c r="BP320" i="31" s="1"/>
  <c r="BP322" i="42"/>
  <c r="Z322" i="42"/>
  <c r="AE322" i="42" s="1"/>
  <c r="Z326" i="43"/>
  <c r="AE326" i="43" s="1"/>
  <c r="Z320" i="31" l="1"/>
  <c r="N327" i="43"/>
  <c r="AD326" i="43"/>
  <c r="N323" i="42"/>
  <c r="AD322" i="42"/>
  <c r="AE320" i="31" l="1"/>
  <c r="CH321" i="31"/>
  <c r="AD320" i="31"/>
  <c r="N321" i="31"/>
  <c r="P323" i="42"/>
  <c r="W323" i="42"/>
  <c r="AH327" i="43"/>
  <c r="CC327" i="43"/>
  <c r="CE327" i="43" s="1"/>
  <c r="CF327" i="43" s="1"/>
  <c r="P327" i="43"/>
  <c r="W327" i="43"/>
  <c r="AH323" i="42"/>
  <c r="CC323" i="42"/>
  <c r="CE323" i="42" s="1"/>
  <c r="CF323" i="42" s="1"/>
  <c r="W321" i="31" l="1"/>
  <c r="P321" i="31"/>
  <c r="AH321" i="31"/>
  <c r="CC321" i="31"/>
  <c r="CE321" i="31" s="1"/>
  <c r="CF321" i="31" s="1"/>
  <c r="M323" i="42"/>
  <c r="O323" i="42" s="1"/>
  <c r="X323" i="42"/>
  <c r="M327" i="43"/>
  <c r="O327" i="43" s="1"/>
  <c r="X327" i="43"/>
  <c r="M321" i="31" l="1"/>
  <c r="O321" i="31" s="1"/>
  <c r="X321" i="31"/>
  <c r="Y321" i="31" s="1"/>
  <c r="Y323" i="42"/>
  <c r="Y327" i="43"/>
  <c r="BL327" i="43" s="1"/>
  <c r="BP327" i="43" s="1"/>
  <c r="BL321" i="31" l="1"/>
  <c r="BP321" i="31" s="1"/>
  <c r="BL323" i="42"/>
  <c r="BP323" i="42" s="1"/>
  <c r="Z327" i="43"/>
  <c r="AE327" i="43" s="1"/>
  <c r="Z321" i="31" l="1"/>
  <c r="N328" i="43"/>
  <c r="AD327" i="43"/>
  <c r="Z323" i="42"/>
  <c r="AE323" i="42" s="1"/>
  <c r="N322" i="31" l="1"/>
  <c r="AD321" i="31"/>
  <c r="CH322" i="31"/>
  <c r="AE321" i="31"/>
  <c r="AH328" i="43"/>
  <c r="CC328" i="43"/>
  <c r="CE328" i="43" s="1"/>
  <c r="CF328" i="43" s="1"/>
  <c r="P328" i="43"/>
  <c r="W328" i="43"/>
  <c r="N324" i="42"/>
  <c r="AD323" i="42"/>
  <c r="P322" i="31" l="1"/>
  <c r="AH322" i="31"/>
  <c r="CC322" i="31"/>
  <c r="CE322" i="31" s="1"/>
  <c r="CF322" i="31" s="1"/>
  <c r="W322" i="31"/>
  <c r="M328" i="43"/>
  <c r="O328" i="43" s="1"/>
  <c r="X328" i="43"/>
  <c r="AH324" i="42"/>
  <c r="CC324" i="42"/>
  <c r="CE324" i="42" s="1"/>
  <c r="CF324" i="42" s="1"/>
  <c r="P324" i="42"/>
  <c r="W324" i="42"/>
  <c r="X322" i="31" l="1"/>
  <c r="Y322" i="31" s="1"/>
  <c r="M322" i="31"/>
  <c r="O322" i="31" s="1"/>
  <c r="Y328" i="43"/>
  <c r="BL328" i="43" s="1"/>
  <c r="BP328" i="43" s="1"/>
  <c r="M324" i="42"/>
  <c r="O324" i="42" s="1"/>
  <c r="X324" i="42"/>
  <c r="BL322" i="31" l="1"/>
  <c r="BP322" i="31" s="1"/>
  <c r="Y324" i="42"/>
  <c r="BL324" i="42" s="1"/>
  <c r="BP324" i="42" s="1"/>
  <c r="Z328" i="43"/>
  <c r="AE328" i="43" s="1"/>
  <c r="Z322" i="31" l="1"/>
  <c r="N329" i="43"/>
  <c r="AD328" i="43"/>
  <c r="Z324" i="42"/>
  <c r="AE324" i="42" s="1"/>
  <c r="AE322" i="31" l="1"/>
  <c r="N323" i="31"/>
  <c r="AD322" i="31"/>
  <c r="CH323" i="31"/>
  <c r="AH329" i="43"/>
  <c r="CC329" i="43"/>
  <c r="CE329" i="43" s="1"/>
  <c r="CF329" i="43" s="1"/>
  <c r="P329" i="43"/>
  <c r="W329" i="43"/>
  <c r="N325" i="42"/>
  <c r="AD324" i="42"/>
  <c r="AH323" i="31" l="1"/>
  <c r="CC323" i="31"/>
  <c r="CE323" i="31" s="1"/>
  <c r="CF323" i="31" s="1"/>
  <c r="W323" i="31"/>
  <c r="P323" i="31"/>
  <c r="AH325" i="42"/>
  <c r="CC325" i="42"/>
  <c r="CE325" i="42" s="1"/>
  <c r="CF325" i="42" s="1"/>
  <c r="M329" i="43"/>
  <c r="O329" i="43" s="1"/>
  <c r="X329" i="43"/>
  <c r="P325" i="42"/>
  <c r="W325" i="42"/>
  <c r="X323" i="31" l="1"/>
  <c r="Y323" i="31" s="1"/>
  <c r="M323" i="31"/>
  <c r="O323" i="31" s="1"/>
  <c r="M325" i="42"/>
  <c r="O325" i="42" s="1"/>
  <c r="X325" i="42"/>
  <c r="Y329" i="43"/>
  <c r="BL329" i="43" s="1"/>
  <c r="BP329" i="43" s="1"/>
  <c r="BL323" i="31" l="1"/>
  <c r="BP323" i="31" s="1"/>
  <c r="Y325" i="42"/>
  <c r="BL325" i="42" s="1"/>
  <c r="BP325" i="42" s="1"/>
  <c r="Z329" i="43"/>
  <c r="AE329" i="43" s="1"/>
  <c r="Z323" i="31" l="1"/>
  <c r="Z325" i="42"/>
  <c r="AE325" i="42" s="1"/>
  <c r="N330" i="43"/>
  <c r="AD329" i="43"/>
  <c r="AE323" i="31" l="1"/>
  <c r="N324" i="31"/>
  <c r="CH324" i="31"/>
  <c r="AD323" i="31"/>
  <c r="AH330" i="43"/>
  <c r="CC330" i="43"/>
  <c r="CE330" i="43" s="1"/>
  <c r="CF330" i="43" s="1"/>
  <c r="N326" i="42"/>
  <c r="AD325" i="42"/>
  <c r="P330" i="43"/>
  <c r="W330" i="43"/>
  <c r="AH324" i="31" l="1"/>
  <c r="CC324" i="31"/>
  <c r="CE324" i="31" s="1"/>
  <c r="CF324" i="31" s="1"/>
  <c r="W324" i="31"/>
  <c r="P324" i="31"/>
  <c r="P326" i="42"/>
  <c r="W326" i="42"/>
  <c r="M330" i="43"/>
  <c r="O330" i="43" s="1"/>
  <c r="X330" i="43"/>
  <c r="AH326" i="42"/>
  <c r="CC326" i="42"/>
  <c r="CE326" i="42" s="1"/>
  <c r="CF326" i="42" s="1"/>
  <c r="X324" i="31" l="1"/>
  <c r="Y324" i="31" s="1"/>
  <c r="M324" i="31"/>
  <c r="O324" i="31" s="1"/>
  <c r="Y330" i="43"/>
  <c r="BL330" i="43" s="1"/>
  <c r="BP330" i="43" s="1"/>
  <c r="M326" i="42"/>
  <c r="O326" i="42" s="1"/>
  <c r="X326" i="42"/>
  <c r="BL324" i="31" l="1"/>
  <c r="BP324" i="31" s="1"/>
  <c r="Y326" i="42"/>
  <c r="BL326" i="42" s="1"/>
  <c r="BP326" i="42" s="1"/>
  <c r="Z330" i="43"/>
  <c r="AE330" i="43" s="1"/>
  <c r="Z324" i="31" l="1"/>
  <c r="Z326" i="42"/>
  <c r="AE326" i="42" s="1"/>
  <c r="N331" i="43"/>
  <c r="AD330" i="43"/>
  <c r="AE324" i="31" l="1"/>
  <c r="N325" i="31"/>
  <c r="CH325" i="31"/>
  <c r="AD324" i="31"/>
  <c r="AH331" i="43"/>
  <c r="CC331" i="43"/>
  <c r="CE331" i="43" s="1"/>
  <c r="CF331" i="43" s="1"/>
  <c r="N327" i="42"/>
  <c r="AD326" i="42"/>
  <c r="P331" i="43"/>
  <c r="W331" i="43"/>
  <c r="AH325" i="31" l="1"/>
  <c r="CC325" i="31"/>
  <c r="CE325" i="31" s="1"/>
  <c r="CF325" i="31" s="1"/>
  <c r="W325" i="31"/>
  <c r="P325" i="31"/>
  <c r="AH327" i="42"/>
  <c r="CC327" i="42"/>
  <c r="CE327" i="42" s="1"/>
  <c r="CF327" i="42" s="1"/>
  <c r="P327" i="42"/>
  <c r="W327" i="42"/>
  <c r="M331" i="43"/>
  <c r="O331" i="43" s="1"/>
  <c r="X331" i="43"/>
  <c r="X325" i="31" l="1"/>
  <c r="Y325" i="31" s="1"/>
  <c r="M325" i="31"/>
  <c r="O325" i="31" s="1"/>
  <c r="Y331" i="43"/>
  <c r="M327" i="42"/>
  <c r="O327" i="42" s="1"/>
  <c r="X327" i="42"/>
  <c r="BL325" i="31" l="1"/>
  <c r="BP325" i="31" s="1"/>
  <c r="BL331" i="43"/>
  <c r="BP331" i="43" s="1"/>
  <c r="Y327" i="42"/>
  <c r="BL327" i="42" s="1"/>
  <c r="BP327" i="42" s="1"/>
  <c r="Z325" i="31" l="1"/>
  <c r="Z331" i="43"/>
  <c r="AE331" i="43" s="1"/>
  <c r="Z327" i="42"/>
  <c r="AE327" i="42" s="1"/>
  <c r="AE325" i="31" l="1"/>
  <c r="AD325" i="31"/>
  <c r="N326" i="31"/>
  <c r="CH326" i="31"/>
  <c r="N328" i="42"/>
  <c r="AD327" i="42"/>
  <c r="N332" i="43"/>
  <c r="AD331" i="43"/>
  <c r="W326" i="31" l="1"/>
  <c r="P326" i="31"/>
  <c r="AH326" i="31"/>
  <c r="CC326" i="31"/>
  <c r="CE326" i="31" s="1"/>
  <c r="CF326" i="31" s="1"/>
  <c r="AH328" i="42"/>
  <c r="CC328" i="42"/>
  <c r="CE328" i="42" s="1"/>
  <c r="CF328" i="42" s="1"/>
  <c r="AH332" i="43"/>
  <c r="CC332" i="43"/>
  <c r="CE332" i="43" s="1"/>
  <c r="CF332" i="43" s="1"/>
  <c r="P328" i="42"/>
  <c r="W328" i="42"/>
  <c r="P332" i="43"/>
  <c r="W332" i="43"/>
  <c r="X326" i="31" l="1"/>
  <c r="Y326" i="31" s="1"/>
  <c r="M326" i="31"/>
  <c r="O326" i="31" s="1"/>
  <c r="M332" i="43"/>
  <c r="O332" i="43" s="1"/>
  <c r="X332" i="43"/>
  <c r="M328" i="42"/>
  <c r="O328" i="42" s="1"/>
  <c r="X328" i="42"/>
  <c r="BL326" i="31" l="1"/>
  <c r="BP326" i="31" s="1"/>
  <c r="Y328" i="42"/>
  <c r="BL328" i="42" s="1"/>
  <c r="BP328" i="42" s="1"/>
  <c r="Y332" i="43"/>
  <c r="Z326" i="31" l="1"/>
  <c r="Z328" i="42"/>
  <c r="AE328" i="42" s="1"/>
  <c r="BL332" i="43"/>
  <c r="AD326" i="31" l="1"/>
  <c r="CH327" i="31"/>
  <c r="N327" i="31"/>
  <c r="AE326" i="31"/>
  <c r="BP332" i="43"/>
  <c r="Z332" i="43"/>
  <c r="AE332" i="43" s="1"/>
  <c r="N329" i="42"/>
  <c r="AD328" i="42"/>
  <c r="W327" i="31" l="1"/>
  <c r="P327" i="31"/>
  <c r="AH327" i="31"/>
  <c r="CC327" i="31"/>
  <c r="CE327" i="31" s="1"/>
  <c r="CF327" i="31" s="1"/>
  <c r="N333" i="43"/>
  <c r="AD332" i="43"/>
  <c r="AH329" i="42"/>
  <c r="CC329" i="42"/>
  <c r="CE329" i="42" s="1"/>
  <c r="CF329" i="42" s="1"/>
  <c r="P329" i="42"/>
  <c r="W329" i="42"/>
  <c r="M327" i="31" l="1"/>
  <c r="O327" i="31" s="1"/>
  <c r="X327" i="31"/>
  <c r="Y327" i="31" s="1"/>
  <c r="P333" i="43"/>
  <c r="W333" i="43"/>
  <c r="M329" i="42"/>
  <c r="O329" i="42" s="1"/>
  <c r="X329" i="42"/>
  <c r="AH333" i="43"/>
  <c r="CC333" i="43"/>
  <c r="CE333" i="43" s="1"/>
  <c r="CF333" i="43" s="1"/>
  <c r="BL327" i="31" l="1"/>
  <c r="BP327" i="31" s="1"/>
  <c r="Y329" i="42"/>
  <c r="BL329" i="42" s="1"/>
  <c r="BP329" i="42" s="1"/>
  <c r="M333" i="43"/>
  <c r="O333" i="43" s="1"/>
  <c r="X333" i="43"/>
  <c r="Z327" i="31" l="1"/>
  <c r="Z329" i="42"/>
  <c r="AE329" i="42" s="1"/>
  <c r="Y333" i="43"/>
  <c r="AE327" i="31" l="1"/>
  <c r="CH328" i="31"/>
  <c r="AD327" i="31"/>
  <c r="N328" i="31"/>
  <c r="BL333" i="43"/>
  <c r="BP333" i="43" s="1"/>
  <c r="N330" i="42"/>
  <c r="AD329" i="42"/>
  <c r="W328" i="31" l="1"/>
  <c r="P328" i="31"/>
  <c r="AH328" i="31"/>
  <c r="CC328" i="31"/>
  <c r="CE328" i="31" s="1"/>
  <c r="CF328" i="31" s="1"/>
  <c r="Z333" i="43"/>
  <c r="AD333" i="43" s="1"/>
  <c r="AH330" i="42"/>
  <c r="CC330" i="42"/>
  <c r="CE330" i="42" s="1"/>
  <c r="CF330" i="42" s="1"/>
  <c r="P330" i="42"/>
  <c r="W330" i="42"/>
  <c r="X328" i="31" l="1"/>
  <c r="Y328" i="31" s="1"/>
  <c r="M328" i="31"/>
  <c r="O328" i="31" s="1"/>
  <c r="N334" i="43"/>
  <c r="W334" i="43" s="1"/>
  <c r="AE333" i="43"/>
  <c r="M330" i="42"/>
  <c r="O330" i="42" s="1"/>
  <c r="X330" i="42"/>
  <c r="CC334" i="43" l="1"/>
  <c r="CE334" i="43" s="1"/>
  <c r="CF334" i="43" s="1"/>
  <c r="AH334" i="43"/>
  <c r="P334" i="43"/>
  <c r="BL328" i="31"/>
  <c r="BP328" i="31" s="1"/>
  <c r="Y330" i="42"/>
  <c r="BL330" i="42" s="1"/>
  <c r="BP330" i="42" s="1"/>
  <c r="M334" i="43"/>
  <c r="O334" i="43" s="1"/>
  <c r="X334" i="43"/>
  <c r="Z328" i="31" l="1"/>
  <c r="Z330" i="42"/>
  <c r="AE330" i="42" s="1"/>
  <c r="Y334" i="43"/>
  <c r="AE328" i="31" l="1"/>
  <c r="AD328" i="31"/>
  <c r="CH329" i="31"/>
  <c r="N329" i="31"/>
  <c r="N331" i="42"/>
  <c r="AD330" i="42"/>
  <c r="BL334" i="43"/>
  <c r="W329" i="31" l="1"/>
  <c r="P329" i="31"/>
  <c r="AH329" i="31"/>
  <c r="CC329" i="31"/>
  <c r="CE329" i="31" s="1"/>
  <c r="CF329" i="31" s="1"/>
  <c r="AH331" i="42"/>
  <c r="CC331" i="42"/>
  <c r="CE331" i="42" s="1"/>
  <c r="CF331" i="42" s="1"/>
  <c r="P331" i="42"/>
  <c r="W331" i="42"/>
  <c r="BP334" i="43"/>
  <c r="Z334" i="43"/>
  <c r="AE334" i="43" s="1"/>
  <c r="X329" i="31" l="1"/>
  <c r="Y329" i="31" s="1"/>
  <c r="M329" i="31"/>
  <c r="O329" i="31" s="1"/>
  <c r="N335" i="43"/>
  <c r="AD334" i="43"/>
  <c r="M331" i="42"/>
  <c r="O331" i="42" s="1"/>
  <c r="X331" i="42"/>
  <c r="BL329" i="31" l="1"/>
  <c r="BP329" i="31" s="1"/>
  <c r="AH335" i="43"/>
  <c r="CC335" i="43"/>
  <c r="CE335" i="43" s="1"/>
  <c r="CF335" i="43" s="1"/>
  <c r="P335" i="43"/>
  <c r="W335" i="43"/>
  <c r="Y331" i="42"/>
  <c r="Z329" i="31" l="1"/>
  <c r="M335" i="43"/>
  <c r="O335" i="43" s="1"/>
  <c r="X335" i="43"/>
  <c r="BL331" i="42"/>
  <c r="AE329" i="31" l="1"/>
  <c r="N330" i="31"/>
  <c r="CH330" i="31"/>
  <c r="AD329" i="31"/>
  <c r="BP331" i="42"/>
  <c r="Z331" i="42"/>
  <c r="AE331" i="42" s="1"/>
  <c r="Y335" i="43"/>
  <c r="AH330" i="31" l="1"/>
  <c r="CC330" i="31"/>
  <c r="CE330" i="31" s="1"/>
  <c r="CF330" i="31" s="1"/>
  <c r="W330" i="31"/>
  <c r="P330" i="31"/>
  <c r="N332" i="42"/>
  <c r="AD331" i="42"/>
  <c r="BL335" i="43"/>
  <c r="BP335" i="43" s="1"/>
  <c r="X330" i="31" l="1"/>
  <c r="Y330" i="31" s="1"/>
  <c r="M330" i="31"/>
  <c r="O330" i="31" s="1"/>
  <c r="Z335" i="43"/>
  <c r="N336" i="43" s="1"/>
  <c r="AH332" i="42"/>
  <c r="CC332" i="42"/>
  <c r="CE332" i="42" s="1"/>
  <c r="CF332" i="42" s="1"/>
  <c r="P332" i="42"/>
  <c r="W332" i="42"/>
  <c r="BL330" i="31" l="1"/>
  <c r="BP330" i="31" s="1"/>
  <c r="AD335" i="43"/>
  <c r="W336" i="43" s="1"/>
  <c r="AE335" i="43"/>
  <c r="AH336" i="43"/>
  <c r="CC336" i="43"/>
  <c r="CE336" i="43" s="1"/>
  <c r="CF336" i="43" s="1"/>
  <c r="P336" i="43"/>
  <c r="M332" i="42"/>
  <c r="O332" i="42" s="1"/>
  <c r="X332" i="42"/>
  <c r="Z330" i="31" l="1"/>
  <c r="Y332" i="42"/>
  <c r="M336" i="43"/>
  <c r="O336" i="43" s="1"/>
  <c r="X336" i="43"/>
  <c r="AE330" i="31" l="1"/>
  <c r="N331" i="31"/>
  <c r="AD330" i="31"/>
  <c r="CH331" i="31"/>
  <c r="BL332" i="42"/>
  <c r="BP332" i="42" s="1"/>
  <c r="Y336" i="43"/>
  <c r="BL336" i="43" s="1"/>
  <c r="BP336" i="43" s="1"/>
  <c r="AH331" i="31" l="1"/>
  <c r="CC331" i="31"/>
  <c r="CE331" i="31" s="1"/>
  <c r="CF331" i="31" s="1"/>
  <c r="W331" i="31"/>
  <c r="P331" i="31"/>
  <c r="Z332" i="42"/>
  <c r="AE332" i="42" s="1"/>
  <c r="Z336" i="43"/>
  <c r="AE336" i="43" s="1"/>
  <c r="X331" i="31" l="1"/>
  <c r="Y331" i="31" s="1"/>
  <c r="M331" i="31"/>
  <c r="O331" i="31" s="1"/>
  <c r="N333" i="42"/>
  <c r="AD332" i="42"/>
  <c r="N337" i="43"/>
  <c r="AD336" i="43"/>
  <c r="BL331" i="31" l="1"/>
  <c r="BP331" i="31" s="1"/>
  <c r="AH333" i="42"/>
  <c r="CC333" i="42"/>
  <c r="CE333" i="42" s="1"/>
  <c r="CF333" i="42" s="1"/>
  <c r="P333" i="42"/>
  <c r="W333" i="42"/>
  <c r="AH337" i="43"/>
  <c r="CC337" i="43"/>
  <c r="CE337" i="43" s="1"/>
  <c r="CF337" i="43" s="1"/>
  <c r="P337" i="43"/>
  <c r="W337" i="43"/>
  <c r="Z331" i="31" l="1"/>
  <c r="M333" i="42"/>
  <c r="O333" i="42" s="1"/>
  <c r="X333" i="42"/>
  <c r="M337" i="43"/>
  <c r="O337" i="43" s="1"/>
  <c r="X337" i="43"/>
  <c r="AE331" i="31" l="1"/>
  <c r="AD331" i="31"/>
  <c r="N332" i="31"/>
  <c r="CH332" i="31"/>
  <c r="Y337" i="43"/>
  <c r="BL337" i="43" s="1"/>
  <c r="BP337" i="43" s="1"/>
  <c r="Y333" i="42"/>
  <c r="W332" i="31" l="1"/>
  <c r="P332" i="31"/>
  <c r="AH332" i="31"/>
  <c r="CC332" i="31"/>
  <c r="CE332" i="31" s="1"/>
  <c r="CF332" i="31" s="1"/>
  <c r="BL333" i="42"/>
  <c r="BP333" i="42" s="1"/>
  <c r="Z337" i="43"/>
  <c r="AE337" i="43" s="1"/>
  <c r="X332" i="31" l="1"/>
  <c r="Y332" i="31" s="1"/>
  <c r="M332" i="31"/>
  <c r="O332" i="31" s="1"/>
  <c r="Z333" i="42"/>
  <c r="AE333" i="42" s="1"/>
  <c r="N338" i="43"/>
  <c r="AD337" i="43"/>
  <c r="BL332" i="31" l="1"/>
  <c r="BP332" i="31" s="1"/>
  <c r="AH338" i="43"/>
  <c r="CC338" i="43"/>
  <c r="CE338" i="43" s="1"/>
  <c r="CF338" i="43" s="1"/>
  <c r="P338" i="43"/>
  <c r="W338" i="43"/>
  <c r="N334" i="42"/>
  <c r="AD333" i="42"/>
  <c r="Z332" i="31" l="1"/>
  <c r="M338" i="43"/>
  <c r="O338" i="43" s="1"/>
  <c r="X338" i="43"/>
  <c r="AH334" i="42"/>
  <c r="CC334" i="42"/>
  <c r="CE334" i="42" s="1"/>
  <c r="CF334" i="42" s="1"/>
  <c r="P334" i="42"/>
  <c r="W334" i="42"/>
  <c r="CH333" i="31" l="1"/>
  <c r="N333" i="31"/>
  <c r="AD332" i="31"/>
  <c r="AE332" i="31"/>
  <c r="M334" i="42"/>
  <c r="O334" i="42" s="1"/>
  <c r="X334" i="42"/>
  <c r="Y338" i="43"/>
  <c r="BL338" i="43" s="1"/>
  <c r="BP338" i="43" s="1"/>
  <c r="AH333" i="31" l="1"/>
  <c r="CC333" i="31"/>
  <c r="CE333" i="31" s="1"/>
  <c r="CF333" i="31" s="1"/>
  <c r="W333" i="31"/>
  <c r="P333" i="31"/>
  <c r="Y334" i="42"/>
  <c r="Z338" i="43"/>
  <c r="AE338" i="43" s="1"/>
  <c r="X333" i="31" l="1"/>
  <c r="Y333" i="31" s="1"/>
  <c r="M333" i="31"/>
  <c r="O333" i="31" s="1"/>
  <c r="N339" i="43"/>
  <c r="AD338" i="43"/>
  <c r="BL334" i="42"/>
  <c r="BP334" i="42" s="1"/>
  <c r="BL333" i="31" l="1"/>
  <c r="BP333" i="31" s="1"/>
  <c r="Z334" i="42"/>
  <c r="AH339" i="43"/>
  <c r="CC339" i="43"/>
  <c r="CE339" i="43" s="1"/>
  <c r="CF339" i="43" s="1"/>
  <c r="P339" i="43"/>
  <c r="W339" i="43"/>
  <c r="Z333" i="31" l="1"/>
  <c r="AD334" i="42"/>
  <c r="AE334" i="42"/>
  <c r="N335" i="42"/>
  <c r="CC335" i="42" s="1"/>
  <c r="CE335" i="42" s="1"/>
  <c r="CF335" i="42" s="1"/>
  <c r="M339" i="43"/>
  <c r="O339" i="43" s="1"/>
  <c r="X339" i="43"/>
  <c r="AE333" i="31" l="1"/>
  <c r="AD333" i="31"/>
  <c r="CH334" i="31"/>
  <c r="N334" i="31"/>
  <c r="P335" i="42"/>
  <c r="W335" i="42"/>
  <c r="M335" i="42" s="1"/>
  <c r="O335" i="42" s="1"/>
  <c r="AH335" i="42"/>
  <c r="Y339" i="43"/>
  <c r="BL339" i="43" s="1"/>
  <c r="BP339" i="43" s="1"/>
  <c r="W334" i="31" l="1"/>
  <c r="P334" i="31"/>
  <c r="AH334" i="31"/>
  <c r="CC334" i="31"/>
  <c r="CE334" i="31" s="1"/>
  <c r="CF334" i="31" s="1"/>
  <c r="X335" i="42"/>
  <c r="Y335" i="42" s="1"/>
  <c r="Z339" i="43"/>
  <c r="AE339" i="43" s="1"/>
  <c r="X334" i="31" l="1"/>
  <c r="Y334" i="31" s="1"/>
  <c r="M334" i="31"/>
  <c r="O334" i="31" s="1"/>
  <c r="BL335" i="42"/>
  <c r="BP335" i="42" s="1"/>
  <c r="N340" i="43"/>
  <c r="AD339" i="43"/>
  <c r="BL334" i="31" l="1"/>
  <c r="BP334" i="31" s="1"/>
  <c r="P340" i="43"/>
  <c r="W340" i="43"/>
  <c r="AH340" i="43"/>
  <c r="CC340" i="43"/>
  <c r="CE340" i="43" s="1"/>
  <c r="CF340" i="43" s="1"/>
  <c r="Z335" i="42"/>
  <c r="AE335" i="42" s="1"/>
  <c r="Z334" i="31" l="1"/>
  <c r="N336" i="42"/>
  <c r="AD335" i="42"/>
  <c r="M340" i="43"/>
  <c r="O340" i="43" s="1"/>
  <c r="X340" i="43"/>
  <c r="AE334" i="31" l="1"/>
  <c r="CH335" i="31"/>
  <c r="AD334" i="31"/>
  <c r="N335" i="31"/>
  <c r="AH336" i="42"/>
  <c r="CC336" i="42"/>
  <c r="CE336" i="42" s="1"/>
  <c r="CF336" i="42" s="1"/>
  <c r="P336" i="42"/>
  <c r="W336" i="42"/>
  <c r="Y340" i="43"/>
  <c r="BL340" i="43" s="1"/>
  <c r="BP340" i="43" s="1"/>
  <c r="W335" i="31" l="1"/>
  <c r="P335" i="31"/>
  <c r="AH335" i="31"/>
  <c r="CC335" i="31"/>
  <c r="CE335" i="31" s="1"/>
  <c r="CF335" i="31" s="1"/>
  <c r="Z340" i="43"/>
  <c r="AE340" i="43" s="1"/>
  <c r="M336" i="42"/>
  <c r="O336" i="42" s="1"/>
  <c r="X336" i="42"/>
  <c r="X335" i="31" l="1"/>
  <c r="Y335" i="31" s="1"/>
  <c r="M335" i="31"/>
  <c r="O335" i="31" s="1"/>
  <c r="Y336" i="42"/>
  <c r="BL336" i="42" s="1"/>
  <c r="BP336" i="42" s="1"/>
  <c r="N341" i="43"/>
  <c r="AD340" i="43"/>
  <c r="BL335" i="31" l="1"/>
  <c r="BP335" i="31" s="1"/>
  <c r="Z336" i="42"/>
  <c r="AE336" i="42" s="1"/>
  <c r="AH341" i="43"/>
  <c r="CC341" i="43"/>
  <c r="CE341" i="43" s="1"/>
  <c r="CF341" i="43" s="1"/>
  <c r="P341" i="43"/>
  <c r="W341" i="43"/>
  <c r="Z335" i="31" l="1"/>
  <c r="N337" i="42"/>
  <c r="AD336" i="42"/>
  <c r="M341" i="43"/>
  <c r="O341" i="43" s="1"/>
  <c r="X341" i="43"/>
  <c r="AE335" i="31" l="1"/>
  <c r="N336" i="31"/>
  <c r="AD335" i="31"/>
  <c r="CH336" i="31"/>
  <c r="AH337" i="42"/>
  <c r="CC337" i="42"/>
  <c r="CE337" i="42" s="1"/>
  <c r="CF337" i="42" s="1"/>
  <c r="Y341" i="43"/>
  <c r="BL341" i="43" s="1"/>
  <c r="BP341" i="43" s="1"/>
  <c r="P337" i="42"/>
  <c r="W337" i="42"/>
  <c r="AH336" i="31" l="1"/>
  <c r="CC336" i="31"/>
  <c r="CE336" i="31" s="1"/>
  <c r="CF336" i="31" s="1"/>
  <c r="W336" i="31"/>
  <c r="P336" i="31"/>
  <c r="Z341" i="43"/>
  <c r="M337" i="42"/>
  <c r="O337" i="42" s="1"/>
  <c r="X337" i="42"/>
  <c r="X336" i="31" l="1"/>
  <c r="Y336" i="31" s="1"/>
  <c r="M336" i="31"/>
  <c r="O336" i="31" s="1"/>
  <c r="AD341" i="43"/>
  <c r="AE341" i="43"/>
  <c r="N342" i="43"/>
  <c r="AH342" i="43" s="1"/>
  <c r="Y337" i="42"/>
  <c r="BL337" i="42" s="1"/>
  <c r="BP337" i="42" s="1"/>
  <c r="CC342" i="43" l="1"/>
  <c r="CE342" i="43" s="1"/>
  <c r="CF342" i="43" s="1"/>
  <c r="BL336" i="31"/>
  <c r="BP336" i="31" s="1"/>
  <c r="W342" i="43"/>
  <c r="X342" i="43" s="1"/>
  <c r="P342" i="43"/>
  <c r="Z337" i="42"/>
  <c r="AE337" i="42" s="1"/>
  <c r="Z336" i="31" l="1"/>
  <c r="M342" i="43"/>
  <c r="O342" i="43" s="1"/>
  <c r="N338" i="42"/>
  <c r="AD337" i="42"/>
  <c r="Y342" i="43"/>
  <c r="BL342" i="43" s="1"/>
  <c r="BP342" i="43" s="1"/>
  <c r="CH337" i="31" l="1"/>
  <c r="N337" i="31"/>
  <c r="AD336" i="31"/>
  <c r="AE336" i="31"/>
  <c r="AH338" i="42"/>
  <c r="CC338" i="42"/>
  <c r="CE338" i="42" s="1"/>
  <c r="CF338" i="42" s="1"/>
  <c r="P338" i="42"/>
  <c r="W338" i="42"/>
  <c r="Z342" i="43"/>
  <c r="AE342" i="43" s="1"/>
  <c r="AH337" i="31" l="1"/>
  <c r="CC337" i="31"/>
  <c r="CE337" i="31" s="1"/>
  <c r="CF337" i="31" s="1"/>
  <c r="W337" i="31"/>
  <c r="P337" i="31"/>
  <c r="M338" i="42"/>
  <c r="O338" i="42" s="1"/>
  <c r="X338" i="42"/>
  <c r="N343" i="43"/>
  <c r="AD342" i="43"/>
  <c r="X337" i="31" l="1"/>
  <c r="Y337" i="31" s="1"/>
  <c r="M337" i="31"/>
  <c r="O337" i="31" s="1"/>
  <c r="Y338" i="42"/>
  <c r="BL338" i="42" s="1"/>
  <c r="BP338" i="42" s="1"/>
  <c r="AH343" i="43"/>
  <c r="CC343" i="43"/>
  <c r="CE343" i="43" s="1"/>
  <c r="CF343" i="43" s="1"/>
  <c r="P343" i="43"/>
  <c r="W343" i="43"/>
  <c r="BL337" i="31" l="1"/>
  <c r="BP337" i="31" s="1"/>
  <c r="Z338" i="42"/>
  <c r="AE338" i="42" s="1"/>
  <c r="M343" i="43"/>
  <c r="O343" i="43" s="1"/>
  <c r="X343" i="43"/>
  <c r="Z337" i="31" l="1"/>
  <c r="N339" i="42"/>
  <c r="AD338" i="42"/>
  <c r="Y343" i="43"/>
  <c r="AD337" i="31" l="1"/>
  <c r="N338" i="31"/>
  <c r="CH338" i="31"/>
  <c r="AE337" i="31"/>
  <c r="AH339" i="42"/>
  <c r="CC339" i="42"/>
  <c r="CE339" i="42" s="1"/>
  <c r="CF339" i="42" s="1"/>
  <c r="BL343" i="43"/>
  <c r="BP343" i="43" s="1"/>
  <c r="P339" i="42"/>
  <c r="W339" i="42"/>
  <c r="W338" i="31" l="1"/>
  <c r="P338" i="31"/>
  <c r="AH338" i="31"/>
  <c r="CC338" i="31"/>
  <c r="CE338" i="31" s="1"/>
  <c r="CF338" i="31" s="1"/>
  <c r="Z343" i="43"/>
  <c r="AE343" i="43" s="1"/>
  <c r="M339" i="42"/>
  <c r="O339" i="42" s="1"/>
  <c r="X339" i="42"/>
  <c r="M338" i="31" l="1"/>
  <c r="O338" i="31" s="1"/>
  <c r="X338" i="31"/>
  <c r="Y338" i="31" s="1"/>
  <c r="N344" i="43"/>
  <c r="AD343" i="43"/>
  <c r="Y339" i="42"/>
  <c r="BL339" i="42" s="1"/>
  <c r="BP339" i="42" s="1"/>
  <c r="BL338" i="31" l="1"/>
  <c r="BP338" i="31" s="1"/>
  <c r="AH344" i="43"/>
  <c r="CC344" i="43"/>
  <c r="CE344" i="43" s="1"/>
  <c r="CF344" i="43" s="1"/>
  <c r="P344" i="43"/>
  <c r="W344" i="43"/>
  <c r="Z339" i="42"/>
  <c r="AE339" i="42" s="1"/>
  <c r="Z338" i="31" l="1"/>
  <c r="N340" i="42"/>
  <c r="AD339" i="42"/>
  <c r="M344" i="43"/>
  <c r="O344" i="43" s="1"/>
  <c r="X344" i="43"/>
  <c r="AE338" i="31" l="1"/>
  <c r="AD338" i="31"/>
  <c r="N339" i="31"/>
  <c r="CH339" i="31"/>
  <c r="AH340" i="42"/>
  <c r="CC340" i="42"/>
  <c r="CE340" i="42" s="1"/>
  <c r="CF340" i="42" s="1"/>
  <c r="Y344" i="43"/>
  <c r="P340" i="42"/>
  <c r="W340" i="42"/>
  <c r="W339" i="31" l="1"/>
  <c r="P339" i="31"/>
  <c r="AH339" i="31"/>
  <c r="CC339" i="31"/>
  <c r="CE339" i="31" s="1"/>
  <c r="CF339" i="31" s="1"/>
  <c r="M340" i="42"/>
  <c r="O340" i="42" s="1"/>
  <c r="X340" i="42"/>
  <c r="BL344" i="43"/>
  <c r="X339" i="31" l="1"/>
  <c r="Y339" i="31" s="1"/>
  <c r="M339" i="31"/>
  <c r="O339" i="31" s="1"/>
  <c r="BP344" i="43"/>
  <c r="Z344" i="43"/>
  <c r="AE344" i="43" s="1"/>
  <c r="Y340" i="42"/>
  <c r="BL340" i="42" s="1"/>
  <c r="BP340" i="42" s="1"/>
  <c r="BL339" i="31" l="1"/>
  <c r="BP339" i="31" s="1"/>
  <c r="Z340" i="42"/>
  <c r="N345" i="43"/>
  <c r="AD344" i="43"/>
  <c r="Z339" i="31" l="1"/>
  <c r="AD340" i="42"/>
  <c r="AE340" i="42"/>
  <c r="N341" i="42"/>
  <c r="AH341" i="42" s="1"/>
  <c r="AH345" i="43"/>
  <c r="CC345" i="43"/>
  <c r="CE345" i="43" s="1"/>
  <c r="CF345" i="43" s="1"/>
  <c r="P345" i="43"/>
  <c r="W345" i="43"/>
  <c r="AE339" i="31" l="1"/>
  <c r="N340" i="31"/>
  <c r="CH340" i="31"/>
  <c r="AD339" i="31"/>
  <c r="CC341" i="42"/>
  <c r="CE341" i="42" s="1"/>
  <c r="CF341" i="42" s="1"/>
  <c r="P341" i="42"/>
  <c r="W341" i="42"/>
  <c r="M341" i="42" s="1"/>
  <c r="O341" i="42" s="1"/>
  <c r="M345" i="43"/>
  <c r="O345" i="43" s="1"/>
  <c r="X345" i="43"/>
  <c r="AH340" i="31" l="1"/>
  <c r="CC340" i="31"/>
  <c r="CE340" i="31" s="1"/>
  <c r="CF340" i="31" s="1"/>
  <c r="W340" i="31"/>
  <c r="P340" i="31"/>
  <c r="X341" i="42"/>
  <c r="Y341" i="42" s="1"/>
  <c r="BL341" i="42" s="1"/>
  <c r="BP341" i="42" s="1"/>
  <c r="Y345" i="43"/>
  <c r="M340" i="31" l="1"/>
  <c r="O340" i="31" s="1"/>
  <c r="X340" i="31"/>
  <c r="Y340" i="31" s="1"/>
  <c r="Z341" i="42"/>
  <c r="AE341" i="42" s="1"/>
  <c r="BL345" i="43"/>
  <c r="BL340" i="31" l="1"/>
  <c r="BP340" i="31" s="1"/>
  <c r="BP345" i="43"/>
  <c r="Z345" i="43"/>
  <c r="AE345" i="43" s="1"/>
  <c r="N342" i="42"/>
  <c r="AD341" i="42"/>
  <c r="Z340" i="31" l="1"/>
  <c r="AH342" i="42"/>
  <c r="CC342" i="42"/>
  <c r="CE342" i="42" s="1"/>
  <c r="CF342" i="42" s="1"/>
  <c r="P342" i="42"/>
  <c r="W342" i="42"/>
  <c r="N346" i="43"/>
  <c r="AD345" i="43"/>
  <c r="AE340" i="31" l="1"/>
  <c r="AD340" i="31"/>
  <c r="CH341" i="31"/>
  <c r="N341" i="31"/>
  <c r="AH346" i="43"/>
  <c r="CC346" i="43"/>
  <c r="CE346" i="43" s="1"/>
  <c r="CF346" i="43" s="1"/>
  <c r="P346" i="43"/>
  <c r="W346" i="43"/>
  <c r="M342" i="42"/>
  <c r="O342" i="42" s="1"/>
  <c r="X342" i="42"/>
  <c r="W341" i="31" l="1"/>
  <c r="P341" i="31"/>
  <c r="AH341" i="31"/>
  <c r="CC341" i="31"/>
  <c r="CE341" i="31" s="1"/>
  <c r="CF341" i="31" s="1"/>
  <c r="M346" i="43"/>
  <c r="O346" i="43" s="1"/>
  <c r="X346" i="43"/>
  <c r="Y342" i="42"/>
  <c r="BL342" i="42" s="1"/>
  <c r="BP342" i="42" s="1"/>
  <c r="M341" i="31" l="1"/>
  <c r="O341" i="31" s="1"/>
  <c r="X341" i="31"/>
  <c r="Y341" i="31" s="1"/>
  <c r="Z342" i="42"/>
  <c r="Y346" i="43"/>
  <c r="BL341" i="31" l="1"/>
  <c r="BP341" i="31" s="1"/>
  <c r="AD342" i="42"/>
  <c r="AE342" i="42"/>
  <c r="N343" i="42"/>
  <c r="AH343" i="42" s="1"/>
  <c r="BL346" i="43"/>
  <c r="BP346" i="43" s="1"/>
  <c r="Z341" i="31" l="1"/>
  <c r="CC343" i="42"/>
  <c r="CE343" i="42" s="1"/>
  <c r="CF343" i="42" s="1"/>
  <c r="P343" i="42"/>
  <c r="W343" i="42"/>
  <c r="X343" i="42" s="1"/>
  <c r="Z346" i="43"/>
  <c r="AE346" i="43" s="1"/>
  <c r="AE341" i="31" l="1"/>
  <c r="N342" i="31"/>
  <c r="AD341" i="31"/>
  <c r="CH342" i="31"/>
  <c r="M343" i="42"/>
  <c r="O343" i="42" s="1"/>
  <c r="N347" i="43"/>
  <c r="AD346" i="43"/>
  <c r="Y343" i="42"/>
  <c r="AH342" i="31" l="1"/>
  <c r="CC342" i="31"/>
  <c r="CE342" i="31" s="1"/>
  <c r="CF342" i="31" s="1"/>
  <c r="W342" i="31"/>
  <c r="P342" i="31"/>
  <c r="BL343" i="42"/>
  <c r="BP343" i="42" s="1"/>
  <c r="AH347" i="43"/>
  <c r="CC347" i="43"/>
  <c r="CE347" i="43" s="1"/>
  <c r="CF347" i="43" s="1"/>
  <c r="P347" i="43"/>
  <c r="W347" i="43"/>
  <c r="M342" i="31" l="1"/>
  <c r="O342" i="31" s="1"/>
  <c r="X342" i="31"/>
  <c r="Y342" i="31" s="1"/>
  <c r="Z343" i="42"/>
  <c r="M347" i="43"/>
  <c r="O347" i="43" s="1"/>
  <c r="X347" i="43"/>
  <c r="BL342" i="31" l="1"/>
  <c r="BP342" i="31" s="1"/>
  <c r="N344" i="42"/>
  <c r="AH344" i="42" s="1"/>
  <c r="AE343" i="42"/>
  <c r="AD343" i="42"/>
  <c r="Y347" i="43"/>
  <c r="P344" i="42" l="1"/>
  <c r="Z342" i="31"/>
  <c r="CC344" i="42"/>
  <c r="CE344" i="42" s="1"/>
  <c r="CF344" i="42" s="1"/>
  <c r="W344" i="42"/>
  <c r="X344" i="42" s="1"/>
  <c r="BL347" i="43"/>
  <c r="AE342" i="31" l="1"/>
  <c r="AD342" i="31"/>
  <c r="CH343" i="31"/>
  <c r="N343" i="31"/>
  <c r="M344" i="42"/>
  <c r="O344" i="42" s="1"/>
  <c r="Y344" i="42"/>
  <c r="BP347" i="43"/>
  <c r="Z347" i="43"/>
  <c r="AE347" i="43" s="1"/>
  <c r="W343" i="31" l="1"/>
  <c r="P343" i="31"/>
  <c r="AH343" i="31"/>
  <c r="CC343" i="31"/>
  <c r="CE343" i="31" s="1"/>
  <c r="CF343" i="31" s="1"/>
  <c r="N348" i="43"/>
  <c r="AD347" i="43"/>
  <c r="BL344" i="42"/>
  <c r="X343" i="31" l="1"/>
  <c r="Y343" i="31" s="1"/>
  <c r="M343" i="31"/>
  <c r="O343" i="31" s="1"/>
  <c r="BP344" i="42"/>
  <c r="Z344" i="42"/>
  <c r="AE344" i="42" s="1"/>
  <c r="AH348" i="43"/>
  <c r="CC348" i="43"/>
  <c r="CE348" i="43" s="1"/>
  <c r="CF348" i="43" s="1"/>
  <c r="P348" i="43"/>
  <c r="W348" i="43"/>
  <c r="BL343" i="31" l="1"/>
  <c r="BP343" i="31" s="1"/>
  <c r="N345" i="42"/>
  <c r="AD344" i="42"/>
  <c r="M348" i="43"/>
  <c r="O348" i="43" s="1"/>
  <c r="X348" i="43"/>
  <c r="Z343" i="31" l="1"/>
  <c r="AH345" i="42"/>
  <c r="CC345" i="42"/>
  <c r="CE345" i="42" s="1"/>
  <c r="CF345" i="42" s="1"/>
  <c r="P345" i="42"/>
  <c r="W345" i="42"/>
  <c r="Y348" i="43"/>
  <c r="BL348" i="43" s="1"/>
  <c r="BP348" i="43" s="1"/>
  <c r="AE343" i="31" l="1"/>
  <c r="AD343" i="31"/>
  <c r="N344" i="31"/>
  <c r="CH344" i="31"/>
  <c r="M345" i="42"/>
  <c r="O345" i="42" s="1"/>
  <c r="X345" i="42"/>
  <c r="Z348" i="43"/>
  <c r="AE348" i="43" s="1"/>
  <c r="W344" i="31" l="1"/>
  <c r="P344" i="31"/>
  <c r="AH344" i="31"/>
  <c r="CC344" i="31"/>
  <c r="CE344" i="31" s="1"/>
  <c r="CF344" i="31" s="1"/>
  <c r="N349" i="43"/>
  <c r="AD348" i="43"/>
  <c r="Y345" i="42"/>
  <c r="X344" i="31" l="1"/>
  <c r="Y344" i="31" s="1"/>
  <c r="M344" i="31"/>
  <c r="O344" i="31" s="1"/>
  <c r="AH349" i="43"/>
  <c r="CC349" i="43"/>
  <c r="CE349" i="43" s="1"/>
  <c r="CF349" i="43" s="1"/>
  <c r="BL345" i="42"/>
  <c r="BP345" i="42" s="1"/>
  <c r="P349" i="43"/>
  <c r="W349" i="43"/>
  <c r="Z345" i="42" l="1"/>
  <c r="AE345" i="42" s="1"/>
  <c r="BL344" i="31"/>
  <c r="BP344" i="31" s="1"/>
  <c r="M349" i="43"/>
  <c r="O349" i="43" s="1"/>
  <c r="X349" i="43"/>
  <c r="AD345" i="42" l="1"/>
  <c r="N346" i="42"/>
  <c r="AH346" i="42" s="1"/>
  <c r="Z344" i="31"/>
  <c r="Y349" i="43"/>
  <c r="BL349" i="43" s="1"/>
  <c r="BP349" i="43" s="1"/>
  <c r="CC346" i="42" l="1"/>
  <c r="CE346" i="42" s="1"/>
  <c r="CF346" i="42" s="1"/>
  <c r="P346" i="42"/>
  <c r="W346" i="42"/>
  <c r="X346" i="42" s="1"/>
  <c r="AE344" i="31"/>
  <c r="N345" i="31"/>
  <c r="CH345" i="31"/>
  <c r="AD344" i="31"/>
  <c r="Z349" i="43"/>
  <c r="AE349" i="43" s="1"/>
  <c r="M346" i="42" l="1"/>
  <c r="O346" i="42" s="1"/>
  <c r="AH345" i="31"/>
  <c r="CC345" i="31"/>
  <c r="CE345" i="31" s="1"/>
  <c r="CF345" i="31" s="1"/>
  <c r="W345" i="31"/>
  <c r="P345" i="31"/>
  <c r="N350" i="43"/>
  <c r="AD349" i="43"/>
  <c r="Y346" i="42"/>
  <c r="X345" i="31" l="1"/>
  <c r="Y345" i="31" s="1"/>
  <c r="M345" i="31"/>
  <c r="O345" i="31" s="1"/>
  <c r="AH350" i="43"/>
  <c r="CC350" i="43"/>
  <c r="CE350" i="43" s="1"/>
  <c r="CF350" i="43" s="1"/>
  <c r="BL346" i="42"/>
  <c r="BP346" i="42" s="1"/>
  <c r="P350" i="43"/>
  <c r="W350" i="43"/>
  <c r="Z346" i="42" l="1"/>
  <c r="AE346" i="42" s="1"/>
  <c r="BL345" i="31"/>
  <c r="BP345" i="31" s="1"/>
  <c r="M350" i="43"/>
  <c r="O350" i="43" s="1"/>
  <c r="X350" i="43"/>
  <c r="AD346" i="42" l="1"/>
  <c r="N347" i="42"/>
  <c r="AH347" i="42" s="1"/>
  <c r="Z345" i="31"/>
  <c r="Y350" i="43"/>
  <c r="BL350" i="43" s="1"/>
  <c r="BP350" i="43" s="1"/>
  <c r="CC347" i="42" l="1"/>
  <c r="CE347" i="42" s="1"/>
  <c r="CF347" i="42" s="1"/>
  <c r="P347" i="42"/>
  <c r="W347" i="42"/>
  <c r="X347" i="42" s="1"/>
  <c r="N346" i="31"/>
  <c r="AD345" i="31"/>
  <c r="CH346" i="31"/>
  <c r="AE345" i="31"/>
  <c r="Z350" i="43"/>
  <c r="AE350" i="43" s="1"/>
  <c r="M347" i="42" l="1"/>
  <c r="O347" i="42" s="1"/>
  <c r="P346" i="31"/>
  <c r="W346" i="31"/>
  <c r="AH346" i="31"/>
  <c r="CC346" i="31"/>
  <c r="CE346" i="31" s="1"/>
  <c r="CF346" i="31" s="1"/>
  <c r="N351" i="43"/>
  <c r="AD350" i="43"/>
  <c r="Y347" i="42"/>
  <c r="M346" i="31" l="1"/>
  <c r="O346" i="31" s="1"/>
  <c r="X346" i="31"/>
  <c r="Y346" i="31" s="1"/>
  <c r="P351" i="43"/>
  <c r="W351" i="43"/>
  <c r="AH351" i="43"/>
  <c r="CC351" i="43"/>
  <c r="CE351" i="43" s="1"/>
  <c r="CF351" i="43" s="1"/>
  <c r="BL347" i="42"/>
  <c r="BP347" i="42" s="1"/>
  <c r="BL346" i="31" l="1"/>
  <c r="BP346" i="31" s="1"/>
  <c r="M351" i="43"/>
  <c r="O351" i="43" s="1"/>
  <c r="X351" i="43"/>
  <c r="Z347" i="42"/>
  <c r="AE347" i="42" s="1"/>
  <c r="Z346" i="31" l="1"/>
  <c r="Y351" i="43"/>
  <c r="BL351" i="43" s="1"/>
  <c r="BP351" i="43" s="1"/>
  <c r="N348" i="42"/>
  <c r="AD347" i="42"/>
  <c r="AE346" i="31" l="1"/>
  <c r="N347" i="31"/>
  <c r="CH347" i="31"/>
  <c r="AD346" i="31"/>
  <c r="AH348" i="42"/>
  <c r="CC348" i="42"/>
  <c r="CE348" i="42" s="1"/>
  <c r="CF348" i="42" s="1"/>
  <c r="P348" i="42"/>
  <c r="W348" i="42"/>
  <c r="Z351" i="43"/>
  <c r="AE351" i="43" s="1"/>
  <c r="AH347" i="31" l="1"/>
  <c r="CC347" i="31"/>
  <c r="CE347" i="31" s="1"/>
  <c r="CF347" i="31" s="1"/>
  <c r="W347" i="31"/>
  <c r="P347" i="31"/>
  <c r="M348" i="42"/>
  <c r="O348" i="42" s="1"/>
  <c r="X348" i="42"/>
  <c r="N352" i="43"/>
  <c r="AD351" i="43"/>
  <c r="X347" i="31" l="1"/>
  <c r="Y347" i="31" s="1"/>
  <c r="M347" i="31"/>
  <c r="O347" i="31" s="1"/>
  <c r="AH352" i="43"/>
  <c r="CC352" i="43"/>
  <c r="CE352" i="43" s="1"/>
  <c r="CF352" i="43" s="1"/>
  <c r="Y348" i="42"/>
  <c r="BL348" i="42" s="1"/>
  <c r="BP348" i="42" s="1"/>
  <c r="P352" i="43"/>
  <c r="W352" i="43"/>
  <c r="BL347" i="31" l="1"/>
  <c r="BP347" i="31" s="1"/>
  <c r="Z348" i="42"/>
  <c r="N349" i="42" s="1"/>
  <c r="M352" i="43"/>
  <c r="O352" i="43" s="1"/>
  <c r="X352" i="43"/>
  <c r="Z347" i="31" l="1"/>
  <c r="AD348" i="42"/>
  <c r="W349" i="42" s="1"/>
  <c r="AE348" i="42"/>
  <c r="AH349" i="42"/>
  <c r="CC349" i="42"/>
  <c r="CE349" i="42" s="1"/>
  <c r="CF349" i="42" s="1"/>
  <c r="P349" i="42"/>
  <c r="Y352" i="43"/>
  <c r="BL352" i="43" s="1"/>
  <c r="BP352" i="43" s="1"/>
  <c r="AE347" i="31" l="1"/>
  <c r="N348" i="31"/>
  <c r="CH348" i="31"/>
  <c r="AD347" i="31"/>
  <c r="Z352" i="43"/>
  <c r="M349" i="42"/>
  <c r="O349" i="42" s="1"/>
  <c r="X349" i="42"/>
  <c r="AH348" i="31" l="1"/>
  <c r="CC348" i="31"/>
  <c r="CE348" i="31" s="1"/>
  <c r="CF348" i="31" s="1"/>
  <c r="W348" i="31"/>
  <c r="P348" i="31"/>
  <c r="AD352" i="43"/>
  <c r="AE352" i="43"/>
  <c r="N353" i="43"/>
  <c r="AH353" i="43" s="1"/>
  <c r="Y349" i="42"/>
  <c r="BL349" i="42" s="1"/>
  <c r="BP349" i="42" s="1"/>
  <c r="X348" i="31" l="1"/>
  <c r="Y348" i="31" s="1"/>
  <c r="M348" i="31"/>
  <c r="O348" i="31" s="1"/>
  <c r="CC353" i="43"/>
  <c r="CE353" i="43" s="1"/>
  <c r="CF353" i="43" s="1"/>
  <c r="P353" i="43"/>
  <c r="W353" i="43"/>
  <c r="X353" i="43" s="1"/>
  <c r="Z349" i="42"/>
  <c r="AE349" i="42" s="1"/>
  <c r="BL348" i="31" l="1"/>
  <c r="BP348" i="31" s="1"/>
  <c r="M353" i="43"/>
  <c r="O353" i="43" s="1"/>
  <c r="Y353" i="43"/>
  <c r="BL353" i="43" s="1"/>
  <c r="BP353" i="43" s="1"/>
  <c r="N350" i="42"/>
  <c r="AD349" i="42"/>
  <c r="Z348" i="31" l="1"/>
  <c r="Z353" i="43"/>
  <c r="AE353" i="43" s="1"/>
  <c r="AH350" i="42"/>
  <c r="CC350" i="42"/>
  <c r="CE350" i="42" s="1"/>
  <c r="CF350" i="42" s="1"/>
  <c r="P350" i="42"/>
  <c r="W350" i="42"/>
  <c r="AE348" i="31" l="1"/>
  <c r="AD348" i="31"/>
  <c r="N349" i="31"/>
  <c r="CH349" i="31"/>
  <c r="M350" i="42"/>
  <c r="O350" i="42" s="1"/>
  <c r="X350" i="42"/>
  <c r="N354" i="43"/>
  <c r="AD353" i="43"/>
  <c r="W349" i="31" l="1"/>
  <c r="P349" i="31"/>
  <c r="AH349" i="31"/>
  <c r="CC349" i="31"/>
  <c r="CE349" i="31" s="1"/>
  <c r="CF349" i="31" s="1"/>
  <c r="P354" i="43"/>
  <c r="W354" i="43"/>
  <c r="AH354" i="43"/>
  <c r="CC354" i="43"/>
  <c r="CE354" i="43" s="1"/>
  <c r="CF354" i="43" s="1"/>
  <c r="Y350" i="42"/>
  <c r="BL350" i="42" s="1"/>
  <c r="BP350" i="42" s="1"/>
  <c r="X349" i="31" l="1"/>
  <c r="Y349" i="31" s="1"/>
  <c r="M349" i="31"/>
  <c r="O349" i="31" s="1"/>
  <c r="M354" i="43"/>
  <c r="O354" i="43" s="1"/>
  <c r="X354" i="43"/>
  <c r="Z350" i="42"/>
  <c r="AE350" i="42" s="1"/>
  <c r="BL349" i="31" l="1"/>
  <c r="BP349" i="31" s="1"/>
  <c r="N351" i="42"/>
  <c r="AD350" i="42"/>
  <c r="Y354" i="43"/>
  <c r="BL354" i="43" s="1"/>
  <c r="BP354" i="43" s="1"/>
  <c r="Z349" i="31" l="1"/>
  <c r="AH351" i="42"/>
  <c r="CC351" i="42"/>
  <c r="CE351" i="42" s="1"/>
  <c r="CF351" i="42" s="1"/>
  <c r="P351" i="42"/>
  <c r="W351" i="42"/>
  <c r="Z354" i="43"/>
  <c r="AE354" i="43" s="1"/>
  <c r="AE349" i="31" l="1"/>
  <c r="AD349" i="31"/>
  <c r="CH350" i="31"/>
  <c r="N350" i="31"/>
  <c r="M351" i="42"/>
  <c r="O351" i="42" s="1"/>
  <c r="X351" i="42"/>
  <c r="N355" i="43"/>
  <c r="AD354" i="43"/>
  <c r="W350" i="31" l="1"/>
  <c r="P350" i="31"/>
  <c r="AH350" i="31"/>
  <c r="CC350" i="31"/>
  <c r="CE350" i="31" s="1"/>
  <c r="CF350" i="31" s="1"/>
  <c r="Y351" i="42"/>
  <c r="BL351" i="42" s="1"/>
  <c r="BP351" i="42" s="1"/>
  <c r="AH355" i="43"/>
  <c r="CC355" i="43"/>
  <c r="CE355" i="43" s="1"/>
  <c r="CF355" i="43" s="1"/>
  <c r="P355" i="43"/>
  <c r="W355" i="43"/>
  <c r="X350" i="31" l="1"/>
  <c r="Y350" i="31" s="1"/>
  <c r="M350" i="31"/>
  <c r="O350" i="31" s="1"/>
  <c r="M355" i="43"/>
  <c r="O355" i="43" s="1"/>
  <c r="X355" i="43"/>
  <c r="Z351" i="42"/>
  <c r="AE351" i="42" s="1"/>
  <c r="BL350" i="31" l="1"/>
  <c r="BP350" i="31" s="1"/>
  <c r="N352" i="42"/>
  <c r="AD351" i="42"/>
  <c r="Y355" i="43"/>
  <c r="Z350" i="31" l="1"/>
  <c r="P352" i="42"/>
  <c r="W352" i="42"/>
  <c r="AH352" i="42"/>
  <c r="CC352" i="42"/>
  <c r="CE352" i="42" s="1"/>
  <c r="CF352" i="42" s="1"/>
  <c r="BL355" i="43"/>
  <c r="AE350" i="31" l="1"/>
  <c r="AD350" i="31"/>
  <c r="N351" i="31"/>
  <c r="CH351" i="31"/>
  <c r="BP355" i="43"/>
  <c r="Z355" i="43"/>
  <c r="AE355" i="43" s="1"/>
  <c r="M352" i="42"/>
  <c r="O352" i="42" s="1"/>
  <c r="X352" i="42"/>
  <c r="W351" i="31" l="1"/>
  <c r="P351" i="31"/>
  <c r="AH351" i="31"/>
  <c r="CC351" i="31"/>
  <c r="CE351" i="31" s="1"/>
  <c r="CF351" i="31" s="1"/>
  <c r="N356" i="43"/>
  <c r="AD355" i="43"/>
  <c r="Y352" i="42"/>
  <c r="BL352" i="42" s="1"/>
  <c r="BP352" i="42" s="1"/>
  <c r="M351" i="31" l="1"/>
  <c r="O351" i="31" s="1"/>
  <c r="X351" i="31"/>
  <c r="Y351" i="31" s="1"/>
  <c r="AH356" i="43"/>
  <c r="CC356" i="43"/>
  <c r="CE356" i="43" s="1"/>
  <c r="CF356" i="43" s="1"/>
  <c r="P356" i="43"/>
  <c r="W356" i="43"/>
  <c r="Z352" i="42"/>
  <c r="AE352" i="42" s="1"/>
  <c r="BL351" i="31" l="1"/>
  <c r="BP351" i="31" s="1"/>
  <c r="M356" i="43"/>
  <c r="O356" i="43" s="1"/>
  <c r="X356" i="43"/>
  <c r="N353" i="42"/>
  <c r="AD352" i="42"/>
  <c r="Z351" i="31" l="1"/>
  <c r="Y356" i="43"/>
  <c r="AH353" i="42"/>
  <c r="CC353" i="42"/>
  <c r="CE353" i="42" s="1"/>
  <c r="CF353" i="42" s="1"/>
  <c r="P353" i="42"/>
  <c r="W353" i="42"/>
  <c r="AE351" i="31" l="1"/>
  <c r="CH352" i="31"/>
  <c r="AD351" i="31"/>
  <c r="N352" i="31"/>
  <c r="M353" i="42"/>
  <c r="O353" i="42" s="1"/>
  <c r="X353" i="42"/>
  <c r="BL356" i="43"/>
  <c r="W352" i="31" l="1"/>
  <c r="P352" i="31"/>
  <c r="AH352" i="31"/>
  <c r="CC352" i="31"/>
  <c r="CE352" i="31" s="1"/>
  <c r="CF352" i="31" s="1"/>
  <c r="BP356" i="43"/>
  <c r="Z356" i="43"/>
  <c r="AE356" i="43" s="1"/>
  <c r="Y353" i="42"/>
  <c r="BL353" i="42" s="1"/>
  <c r="BP353" i="42" s="1"/>
  <c r="X352" i="31" l="1"/>
  <c r="Y352" i="31" s="1"/>
  <c r="M352" i="31"/>
  <c r="O352" i="31" s="1"/>
  <c r="Z353" i="42"/>
  <c r="AE353" i="42" s="1"/>
  <c r="N357" i="43"/>
  <c r="AD356" i="43"/>
  <c r="BL352" i="31" l="1"/>
  <c r="BP352" i="31" s="1"/>
  <c r="N354" i="42"/>
  <c r="AD353" i="42"/>
  <c r="AH357" i="43"/>
  <c r="CC357" i="43"/>
  <c r="CE357" i="43" s="1"/>
  <c r="CF357" i="43" s="1"/>
  <c r="P357" i="43"/>
  <c r="W357" i="43"/>
  <c r="Z352" i="31" l="1"/>
  <c r="AH354" i="42"/>
  <c r="CC354" i="42"/>
  <c r="CE354" i="42" s="1"/>
  <c r="CF354" i="42" s="1"/>
  <c r="P354" i="42"/>
  <c r="W354" i="42"/>
  <c r="M357" i="43"/>
  <c r="O357" i="43" s="1"/>
  <c r="X357" i="43"/>
  <c r="AE352" i="31" l="1"/>
  <c r="AD352" i="31"/>
  <c r="N353" i="31"/>
  <c r="CH353" i="31"/>
  <c r="Y357" i="43"/>
  <c r="M354" i="42"/>
  <c r="O354" i="42" s="1"/>
  <c r="X354" i="42"/>
  <c r="W353" i="31" l="1"/>
  <c r="P353" i="31"/>
  <c r="AH353" i="31"/>
  <c r="CC353" i="31"/>
  <c r="CE353" i="31" s="1"/>
  <c r="CF353" i="31" s="1"/>
  <c r="Y354" i="42"/>
  <c r="BL354" i="42" s="1"/>
  <c r="BP354" i="42" s="1"/>
  <c r="BL357" i="43"/>
  <c r="BP357" i="43" s="1"/>
  <c r="X353" i="31" l="1"/>
  <c r="Y353" i="31" s="1"/>
  <c r="M353" i="31"/>
  <c r="O353" i="31" s="1"/>
  <c r="Z357" i="43"/>
  <c r="Z354" i="42"/>
  <c r="AE354" i="42" s="1"/>
  <c r="BL353" i="31" l="1"/>
  <c r="BP353" i="31" s="1"/>
  <c r="AD357" i="43"/>
  <c r="AE357" i="43"/>
  <c r="N358" i="43"/>
  <c r="AH358" i="43" s="1"/>
  <c r="N355" i="42"/>
  <c r="AD354" i="42"/>
  <c r="Z353" i="31" l="1"/>
  <c r="CC358" i="43"/>
  <c r="CE358" i="43" s="1"/>
  <c r="CF358" i="43" s="1"/>
  <c r="W358" i="43"/>
  <c r="M358" i="43" s="1"/>
  <c r="O358" i="43" s="1"/>
  <c r="P358" i="43"/>
  <c r="P355" i="42"/>
  <c r="W355" i="42"/>
  <c r="AH355" i="42"/>
  <c r="CC355" i="42"/>
  <c r="CE355" i="42" s="1"/>
  <c r="CF355" i="42" s="1"/>
  <c r="AE353" i="31" l="1"/>
  <c r="AD353" i="31"/>
  <c r="CH354" i="31"/>
  <c r="N354" i="31"/>
  <c r="X358" i="43"/>
  <c r="Y358" i="43" s="1"/>
  <c r="M355" i="42"/>
  <c r="O355" i="42" s="1"/>
  <c r="X355" i="42"/>
  <c r="W354" i="31" l="1"/>
  <c r="P354" i="31"/>
  <c r="AH354" i="31"/>
  <c r="CC354" i="31"/>
  <c r="CE354" i="31" s="1"/>
  <c r="CF354" i="31" s="1"/>
  <c r="BL358" i="43"/>
  <c r="Y355" i="42"/>
  <c r="X354" i="31" l="1"/>
  <c r="Y354" i="31" s="1"/>
  <c r="M354" i="31"/>
  <c r="O354" i="31" s="1"/>
  <c r="BL355" i="42"/>
  <c r="BP355" i="42" s="1"/>
  <c r="BP358" i="43"/>
  <c r="Z358" i="43"/>
  <c r="AE358" i="43" s="1"/>
  <c r="BL354" i="31" l="1"/>
  <c r="BP354" i="31" s="1"/>
  <c r="N359" i="43"/>
  <c r="AD358" i="43"/>
  <c r="Z355" i="42"/>
  <c r="AE355" i="42" s="1"/>
  <c r="Z354" i="31" l="1"/>
  <c r="P359" i="43"/>
  <c r="W359" i="43"/>
  <c r="AH359" i="43"/>
  <c r="CC359" i="43"/>
  <c r="CE359" i="43" s="1"/>
  <c r="CF359" i="43" s="1"/>
  <c r="N356" i="42"/>
  <c r="AD355" i="42"/>
  <c r="AE354" i="31" l="1"/>
  <c r="N355" i="31"/>
  <c r="CH355" i="31"/>
  <c r="AD354" i="31"/>
  <c r="M359" i="43"/>
  <c r="O359" i="43" s="1"/>
  <c r="X359" i="43"/>
  <c r="AH356" i="42"/>
  <c r="CC356" i="42"/>
  <c r="CE356" i="42" s="1"/>
  <c r="CF356" i="42" s="1"/>
  <c r="P356" i="42"/>
  <c r="W356" i="42"/>
  <c r="AH355" i="31" l="1"/>
  <c r="CC355" i="31"/>
  <c r="CE355" i="31" s="1"/>
  <c r="CF355" i="31" s="1"/>
  <c r="W355" i="31"/>
  <c r="P355" i="31"/>
  <c r="Y359" i="43"/>
  <c r="M356" i="42"/>
  <c r="O356" i="42" s="1"/>
  <c r="X356" i="42"/>
  <c r="X355" i="31" l="1"/>
  <c r="Y355" i="31" s="1"/>
  <c r="M355" i="31"/>
  <c r="O355" i="31" s="1"/>
  <c r="BL359" i="43"/>
  <c r="Y356" i="42"/>
  <c r="BL355" i="31" l="1"/>
  <c r="BP355" i="31" s="1"/>
  <c r="BP359" i="43"/>
  <c r="Z359" i="43"/>
  <c r="AE359" i="43" s="1"/>
  <c r="BL356" i="42"/>
  <c r="BP356" i="42" s="1"/>
  <c r="Z355" i="31" l="1"/>
  <c r="Z356" i="42"/>
  <c r="N360" i="43"/>
  <c r="AD359" i="43"/>
  <c r="AE355" i="31" l="1"/>
  <c r="AD355" i="31"/>
  <c r="N356" i="31"/>
  <c r="CH356" i="31"/>
  <c r="AD356" i="42"/>
  <c r="AE356" i="42"/>
  <c r="N357" i="42"/>
  <c r="AH357" i="42" s="1"/>
  <c r="AH360" i="43"/>
  <c r="CC360" i="43"/>
  <c r="CE360" i="43" s="1"/>
  <c r="CF360" i="43" s="1"/>
  <c r="P360" i="43"/>
  <c r="W360" i="43"/>
  <c r="W356" i="31" l="1"/>
  <c r="P356" i="31"/>
  <c r="AH356" i="31"/>
  <c r="CC356" i="31"/>
  <c r="CE356" i="31" s="1"/>
  <c r="CF356" i="31" s="1"/>
  <c r="P357" i="42"/>
  <c r="W357" i="42"/>
  <c r="X357" i="42" s="1"/>
  <c r="CC357" i="42"/>
  <c r="CE357" i="42" s="1"/>
  <c r="CF357" i="42" s="1"/>
  <c r="M360" i="43"/>
  <c r="O360" i="43" s="1"/>
  <c r="X360" i="43"/>
  <c r="X356" i="31" l="1"/>
  <c r="Y356" i="31" s="1"/>
  <c r="M356" i="31"/>
  <c r="O356" i="31" s="1"/>
  <c r="M357" i="42"/>
  <c r="O357" i="42" s="1"/>
  <c r="Y357" i="42"/>
  <c r="Y360" i="43"/>
  <c r="BL360" i="43" s="1"/>
  <c r="BP360" i="43" s="1"/>
  <c r="BL356" i="31" l="1"/>
  <c r="BP356" i="31" s="1"/>
  <c r="BL357" i="42"/>
  <c r="Z360" i="43"/>
  <c r="AE360" i="43" s="1"/>
  <c r="Z356" i="31" l="1"/>
  <c r="BP357" i="42"/>
  <c r="Z357" i="42"/>
  <c r="AE357" i="42" s="1"/>
  <c r="N361" i="43"/>
  <c r="AD360" i="43"/>
  <c r="AE356" i="31" l="1"/>
  <c r="CH357" i="31"/>
  <c r="AD356" i="31"/>
  <c r="N357" i="31"/>
  <c r="N358" i="42"/>
  <c r="AD357" i="42"/>
  <c r="AH361" i="43"/>
  <c r="CC361" i="43"/>
  <c r="CE361" i="43" s="1"/>
  <c r="CF361" i="43" s="1"/>
  <c r="P361" i="43"/>
  <c r="W361" i="43"/>
  <c r="W357" i="31" l="1"/>
  <c r="P357" i="31"/>
  <c r="AH357" i="31"/>
  <c r="CC357" i="31"/>
  <c r="CE357" i="31" s="1"/>
  <c r="CF357" i="31" s="1"/>
  <c r="P358" i="42"/>
  <c r="W358" i="42"/>
  <c r="M361" i="43"/>
  <c r="O361" i="43" s="1"/>
  <c r="X361" i="43"/>
  <c r="AH358" i="42"/>
  <c r="CC358" i="42"/>
  <c r="CE358" i="42" s="1"/>
  <c r="CF358" i="42" s="1"/>
  <c r="X357" i="31" l="1"/>
  <c r="Y357" i="31" s="1"/>
  <c r="M357" i="31"/>
  <c r="O357" i="31" s="1"/>
  <c r="M358" i="42"/>
  <c r="O358" i="42" s="1"/>
  <c r="X358" i="42"/>
  <c r="Y361" i="43"/>
  <c r="BL361" i="43" s="1"/>
  <c r="BP361" i="43" s="1"/>
  <c r="BL357" i="31" l="1"/>
  <c r="BP357" i="31" s="1"/>
  <c r="Y358" i="42"/>
  <c r="Z361" i="43"/>
  <c r="AE361" i="43" s="1"/>
  <c r="Z357" i="31" l="1"/>
  <c r="BL358" i="42"/>
  <c r="BP358" i="42" s="1"/>
  <c r="N362" i="43"/>
  <c r="AD361" i="43"/>
  <c r="AE357" i="31" l="1"/>
  <c r="CH358" i="31"/>
  <c r="AD357" i="31"/>
  <c r="N358" i="31"/>
  <c r="AH362" i="43"/>
  <c r="CC362" i="43"/>
  <c r="CE362" i="43" s="1"/>
  <c r="CF362" i="43" s="1"/>
  <c r="P362" i="43"/>
  <c r="W362" i="43"/>
  <c r="Z358" i="42"/>
  <c r="AE358" i="42" s="1"/>
  <c r="W358" i="31" l="1"/>
  <c r="P358" i="31"/>
  <c r="AH358" i="31"/>
  <c r="CC358" i="31"/>
  <c r="CE358" i="31" s="1"/>
  <c r="CF358" i="31" s="1"/>
  <c r="N359" i="42"/>
  <c r="AD358" i="42"/>
  <c r="M362" i="43"/>
  <c r="O362" i="43" s="1"/>
  <c r="X362" i="43"/>
  <c r="M358" i="31" l="1"/>
  <c r="O358" i="31" s="1"/>
  <c r="X358" i="31"/>
  <c r="Y358" i="31" s="1"/>
  <c r="AH359" i="42"/>
  <c r="CC359" i="42"/>
  <c r="CE359" i="42" s="1"/>
  <c r="CF359" i="42" s="1"/>
  <c r="P359" i="42"/>
  <c r="W359" i="42"/>
  <c r="Y362" i="43"/>
  <c r="BL362" i="43" s="1"/>
  <c r="BP362" i="43" s="1"/>
  <c r="BL358" i="31" l="1"/>
  <c r="BP358" i="31" s="1"/>
  <c r="Z362" i="43"/>
  <c r="M359" i="42"/>
  <c r="O359" i="42" s="1"/>
  <c r="X359" i="42"/>
  <c r="Z358" i="31" l="1"/>
  <c r="AD362" i="43"/>
  <c r="AE362" i="43"/>
  <c r="N363" i="43"/>
  <c r="Y359" i="42"/>
  <c r="W363" i="43" l="1"/>
  <c r="X363" i="43" s="1"/>
  <c r="CH359" i="31"/>
  <c r="AD358" i="31"/>
  <c r="N359" i="31"/>
  <c r="AE358" i="31"/>
  <c r="CC363" i="43"/>
  <c r="CE363" i="43" s="1"/>
  <c r="CF363" i="43" s="1"/>
  <c r="P363" i="43"/>
  <c r="AH363" i="43"/>
  <c r="BL359" i="42"/>
  <c r="M363" i="43" l="1"/>
  <c r="O363" i="43" s="1"/>
  <c r="W359" i="31"/>
  <c r="P359" i="31"/>
  <c r="AH359" i="31"/>
  <c r="CC359" i="31"/>
  <c r="CE359" i="31" s="1"/>
  <c r="CF359" i="31" s="1"/>
  <c r="Y363" i="43"/>
  <c r="BL363" i="43" s="1"/>
  <c r="BP363" i="43" s="1"/>
  <c r="BP359" i="42"/>
  <c r="Z359" i="42"/>
  <c r="AE359" i="42" s="1"/>
  <c r="X359" i="31" l="1"/>
  <c r="Y359" i="31" s="1"/>
  <c r="M359" i="31"/>
  <c r="O359" i="31" s="1"/>
  <c r="Z363" i="43"/>
  <c r="AE363" i="43" s="1"/>
  <c r="N360" i="42"/>
  <c r="AD359" i="42"/>
  <c r="BL359" i="31" l="1"/>
  <c r="BP359" i="31" s="1"/>
  <c r="N364" i="43"/>
  <c r="AD363" i="43"/>
  <c r="AH360" i="42"/>
  <c r="CC360" i="42"/>
  <c r="CE360" i="42" s="1"/>
  <c r="CF360" i="42" s="1"/>
  <c r="P360" i="42"/>
  <c r="W360" i="42"/>
  <c r="Z359" i="31" l="1"/>
  <c r="AH364" i="43"/>
  <c r="CC364" i="43"/>
  <c r="CE364" i="43" s="1"/>
  <c r="CF364" i="43" s="1"/>
  <c r="P364" i="43"/>
  <c r="W364" i="43"/>
  <c r="M360" i="42"/>
  <c r="O360" i="42" s="1"/>
  <c r="X360" i="42"/>
  <c r="AE359" i="31" l="1"/>
  <c r="AD359" i="31"/>
  <c r="N360" i="31"/>
  <c r="CH360" i="31"/>
  <c r="Y360" i="42"/>
  <c r="BL360" i="42" s="1"/>
  <c r="BP360" i="42" s="1"/>
  <c r="M364" i="43"/>
  <c r="O364" i="43" s="1"/>
  <c r="X364" i="43"/>
  <c r="W360" i="31" l="1"/>
  <c r="P360" i="31"/>
  <c r="AH360" i="31"/>
  <c r="CC360" i="31"/>
  <c r="CE360" i="31" s="1"/>
  <c r="CF360" i="31" s="1"/>
  <c r="Z360" i="42"/>
  <c r="AE360" i="42" s="1"/>
  <c r="Y364" i="43"/>
  <c r="BL364" i="43" s="1"/>
  <c r="BP364" i="43" s="1"/>
  <c r="M360" i="31" l="1"/>
  <c r="O360" i="31" s="1"/>
  <c r="X360" i="31"/>
  <c r="Y360" i="31" s="1"/>
  <c r="N361" i="42"/>
  <c r="AD360" i="42"/>
  <c r="Z364" i="43"/>
  <c r="AE364" i="43" s="1"/>
  <c r="BL360" i="31" l="1"/>
  <c r="BP360" i="31" s="1"/>
  <c r="AH361" i="42"/>
  <c r="CC361" i="42"/>
  <c r="CE361" i="42" s="1"/>
  <c r="CF361" i="42" s="1"/>
  <c r="N365" i="43"/>
  <c r="AD364" i="43"/>
  <c r="P361" i="42"/>
  <c r="W361" i="42"/>
  <c r="Z360" i="31" l="1"/>
  <c r="M361" i="42"/>
  <c r="O361" i="42" s="1"/>
  <c r="X361" i="42"/>
  <c r="P365" i="43"/>
  <c r="W365" i="43"/>
  <c r="AH365" i="43"/>
  <c r="CC365" i="43"/>
  <c r="CE365" i="43" s="1"/>
  <c r="CF365" i="43" s="1"/>
  <c r="CH361" i="31" l="1"/>
  <c r="N361" i="31"/>
  <c r="AD360" i="31"/>
  <c r="AE360" i="31"/>
  <c r="Y361" i="42"/>
  <c r="BL361" i="42" s="1"/>
  <c r="BP361" i="42" s="1"/>
  <c r="M365" i="43"/>
  <c r="O365" i="43" s="1"/>
  <c r="X365" i="43"/>
  <c r="AH361" i="31" l="1"/>
  <c r="CC361" i="31"/>
  <c r="CE361" i="31" s="1"/>
  <c r="CF361" i="31" s="1"/>
  <c r="W361" i="31"/>
  <c r="P361" i="31"/>
  <c r="Z361" i="42"/>
  <c r="AE361" i="42" s="1"/>
  <c r="Y365" i="43"/>
  <c r="BL365" i="43" s="1"/>
  <c r="BP365" i="43" s="1"/>
  <c r="X361" i="31" l="1"/>
  <c r="Y361" i="31" s="1"/>
  <c r="M361" i="31"/>
  <c r="O361" i="31" s="1"/>
  <c r="N362" i="42"/>
  <c r="AD361" i="42"/>
  <c r="Z365" i="43"/>
  <c r="AE365" i="43" s="1"/>
  <c r="BL361" i="31" l="1"/>
  <c r="BP361" i="31" s="1"/>
  <c r="AH362" i="42"/>
  <c r="CC362" i="42"/>
  <c r="CE362" i="42" s="1"/>
  <c r="CF362" i="42" s="1"/>
  <c r="N366" i="43"/>
  <c r="AD365" i="43"/>
  <c r="P362" i="42"/>
  <c r="W362" i="42"/>
  <c r="Z361" i="31" l="1"/>
  <c r="M362" i="42"/>
  <c r="O362" i="42" s="1"/>
  <c r="X362" i="42"/>
  <c r="P366" i="43"/>
  <c r="W366" i="43"/>
  <c r="AH366" i="43"/>
  <c r="CC366" i="43"/>
  <c r="CE366" i="43" s="1"/>
  <c r="CF366" i="43" s="1"/>
  <c r="AE361" i="31" l="1"/>
  <c r="AD361" i="31"/>
  <c r="CH362" i="31"/>
  <c r="N362" i="31"/>
  <c r="Y362" i="42"/>
  <c r="BL362" i="42" s="1"/>
  <c r="BP362" i="42" s="1"/>
  <c r="M366" i="43"/>
  <c r="O366" i="43" s="1"/>
  <c r="X366" i="43"/>
  <c r="W362" i="31" l="1"/>
  <c r="P362" i="31"/>
  <c r="AH362" i="31"/>
  <c r="CC362" i="31"/>
  <c r="CE362" i="31" s="1"/>
  <c r="CF362" i="31" s="1"/>
  <c r="Z362" i="42"/>
  <c r="Y366" i="43"/>
  <c r="BL366" i="43" s="1"/>
  <c r="BP366" i="43" s="1"/>
  <c r="M362" i="31" l="1"/>
  <c r="O362" i="31" s="1"/>
  <c r="X362" i="31"/>
  <c r="Y362" i="31" s="1"/>
  <c r="N363" i="42"/>
  <c r="AH363" i="42" s="1"/>
  <c r="AE362" i="42"/>
  <c r="AD362" i="42"/>
  <c r="Z366" i="43"/>
  <c r="AE366" i="43" s="1"/>
  <c r="CC363" i="42" l="1"/>
  <c r="CE363" i="42" s="1"/>
  <c r="CF363" i="42" s="1"/>
  <c r="P363" i="42"/>
  <c r="BL362" i="31"/>
  <c r="BP362" i="31" s="1"/>
  <c r="W363" i="42"/>
  <c r="X363" i="42" s="1"/>
  <c r="N367" i="43"/>
  <c r="AD366" i="43"/>
  <c r="Z362" i="31" l="1"/>
  <c r="M363" i="42"/>
  <c r="O363" i="42" s="1"/>
  <c r="AH367" i="43"/>
  <c r="AH3" i="43" s="1"/>
  <c r="AH4" i="43" s="1"/>
  <c r="CC367" i="43"/>
  <c r="CE367" i="43" s="1"/>
  <c r="CF367" i="43" s="1"/>
  <c r="BF7" i="43"/>
  <c r="CC2" i="43"/>
  <c r="BF8" i="43"/>
  <c r="BF9" i="43"/>
  <c r="BF10" i="43"/>
  <c r="BF11" i="43"/>
  <c r="BF12" i="43"/>
  <c r="BF13" i="43"/>
  <c r="BF14" i="43"/>
  <c r="BF15" i="43"/>
  <c r="BF16" i="43"/>
  <c r="BF17" i="43"/>
  <c r="BF18" i="43"/>
  <c r="BF19" i="43"/>
  <c r="BF20" i="43"/>
  <c r="BF21" i="43"/>
  <c r="BF22" i="43"/>
  <c r="BF23" i="43"/>
  <c r="BF24" i="43"/>
  <c r="BF25" i="43"/>
  <c r="BF26" i="43"/>
  <c r="BF27" i="43"/>
  <c r="BF28" i="43"/>
  <c r="BF29" i="43"/>
  <c r="BF30" i="43"/>
  <c r="BF31" i="43"/>
  <c r="BF32" i="43"/>
  <c r="BF33" i="43"/>
  <c r="BF34" i="43"/>
  <c r="BF35" i="43"/>
  <c r="BF36" i="43"/>
  <c r="P367" i="43"/>
  <c r="W367" i="43"/>
  <c r="Y363" i="42"/>
  <c r="BL363" i="42" s="1"/>
  <c r="BP363" i="42" s="1"/>
  <c r="AE362" i="31" l="1"/>
  <c r="N363" i="31"/>
  <c r="CH363" i="31"/>
  <c r="AD362" i="31"/>
  <c r="Z363" i="42"/>
  <c r="AB29" i="35"/>
  <c r="M367" i="43"/>
  <c r="O367" i="43" s="1"/>
  <c r="O6" i="43" s="1"/>
  <c r="X367" i="43"/>
  <c r="AH363" i="31" l="1"/>
  <c r="CC363" i="31"/>
  <c r="CE363" i="31" s="1"/>
  <c r="CF363" i="31" s="1"/>
  <c r="W363" i="31"/>
  <c r="P363" i="31"/>
  <c r="AD363" i="42"/>
  <c r="AE363" i="42"/>
  <c r="N364" i="42"/>
  <c r="AH364" i="42" s="1"/>
  <c r="Y367" i="43"/>
  <c r="M363" i="31" l="1"/>
  <c r="O363" i="31" s="1"/>
  <c r="X363" i="31"/>
  <c r="Y363" i="31" s="1"/>
  <c r="CC364" i="42"/>
  <c r="CE364" i="42" s="1"/>
  <c r="CF364" i="42" s="1"/>
  <c r="P364" i="42"/>
  <c r="W364" i="42"/>
  <c r="X364" i="42" s="1"/>
  <c r="BL367" i="43"/>
  <c r="BC7" i="43"/>
  <c r="BC8" i="43"/>
  <c r="BC9" i="43"/>
  <c r="BC10" i="43"/>
  <c r="BC11" i="43"/>
  <c r="BC12" i="43"/>
  <c r="BC13" i="43"/>
  <c r="BC14" i="43"/>
  <c r="BC15" i="43"/>
  <c r="BC16" i="43"/>
  <c r="BC17" i="43"/>
  <c r="BC18" i="43"/>
  <c r="BC19" i="43"/>
  <c r="BC20" i="43"/>
  <c r="BC21" i="43"/>
  <c r="BC22" i="43"/>
  <c r="BC23" i="43"/>
  <c r="BC24" i="43"/>
  <c r="BC25" i="43"/>
  <c r="BC26" i="43"/>
  <c r="BC27" i="43"/>
  <c r="BC28" i="43"/>
  <c r="BC29" i="43"/>
  <c r="BC30" i="43"/>
  <c r="BC31" i="43"/>
  <c r="BC32" i="43"/>
  <c r="BC33" i="43"/>
  <c r="BC34" i="43"/>
  <c r="BC35" i="43"/>
  <c r="BC36" i="43"/>
  <c r="M364" i="42"/>
  <c r="O364" i="42" s="1"/>
  <c r="BL363" i="31" l="1"/>
  <c r="BP363" i="31" s="1"/>
  <c r="BP367" i="43"/>
  <c r="Z367" i="43"/>
  <c r="Y364" i="42"/>
  <c r="BL364" i="42" s="1"/>
  <c r="BP364" i="42" s="1"/>
  <c r="Z363" i="31" l="1"/>
  <c r="AD367" i="43"/>
  <c r="AE367" i="43"/>
  <c r="BD7" i="43"/>
  <c r="BD8" i="43"/>
  <c r="BD9" i="43"/>
  <c r="BD10" i="43"/>
  <c r="BD11" i="43"/>
  <c r="BD12" i="43"/>
  <c r="BD13" i="43"/>
  <c r="BD14" i="43"/>
  <c r="BD15" i="43"/>
  <c r="BD16" i="43"/>
  <c r="BD17" i="43"/>
  <c r="BD18" i="43"/>
  <c r="BD19" i="43"/>
  <c r="BD20" i="43"/>
  <c r="BD21" i="43"/>
  <c r="BD22" i="43"/>
  <c r="BD23" i="43"/>
  <c r="BD24" i="43"/>
  <c r="BD25" i="43"/>
  <c r="BD26" i="43"/>
  <c r="BD27" i="43"/>
  <c r="BD28" i="43"/>
  <c r="BD29" i="43"/>
  <c r="BD30" i="43"/>
  <c r="BD31" i="43"/>
  <c r="BD32" i="43"/>
  <c r="BD33" i="43"/>
  <c r="BD34" i="43"/>
  <c r="BD35" i="43"/>
  <c r="BD36" i="43"/>
  <c r="Z364" i="42"/>
  <c r="AE364" i="42" s="1"/>
  <c r="AE363" i="31" l="1"/>
  <c r="CH364" i="31"/>
  <c r="AD363" i="31"/>
  <c r="N364" i="31"/>
  <c r="N365" i="42"/>
  <c r="AD364" i="42"/>
  <c r="W364" i="31" l="1"/>
  <c r="P364" i="31"/>
  <c r="AH364" i="31"/>
  <c r="CC364" i="31"/>
  <c r="CE364" i="31" s="1"/>
  <c r="CF364" i="31" s="1"/>
  <c r="AH365" i="42"/>
  <c r="CC365" i="42"/>
  <c r="CE365" i="42" s="1"/>
  <c r="CF365" i="42" s="1"/>
  <c r="P365" i="42"/>
  <c r="W365" i="42"/>
  <c r="M364" i="31" l="1"/>
  <c r="O364" i="31" s="1"/>
  <c r="X364" i="31"/>
  <c r="Y364" i="31" s="1"/>
  <c r="M365" i="42"/>
  <c r="O365" i="42" s="1"/>
  <c r="X365" i="42"/>
  <c r="BL364" i="31" l="1"/>
  <c r="BP364" i="31" s="1"/>
  <c r="BF7" i="31"/>
  <c r="BF8" i="31"/>
  <c r="BF9" i="31"/>
  <c r="BF10" i="31"/>
  <c r="BF11" i="31"/>
  <c r="BF12" i="31"/>
  <c r="BF13" i="31"/>
  <c r="BF14" i="31"/>
  <c r="BF15" i="31"/>
  <c r="BF16" i="31"/>
  <c r="BF17" i="31"/>
  <c r="BF18" i="31"/>
  <c r="BF19" i="31"/>
  <c r="BF20" i="31"/>
  <c r="BF21" i="31"/>
  <c r="BF22" i="31"/>
  <c r="BF23" i="31"/>
  <c r="BF24" i="31"/>
  <c r="BF25" i="31"/>
  <c r="BF26" i="31"/>
  <c r="BF27" i="31"/>
  <c r="BF28" i="31"/>
  <c r="BF29" i="31"/>
  <c r="BF30" i="31"/>
  <c r="BF31" i="31"/>
  <c r="BF32" i="31"/>
  <c r="BF33" i="31"/>
  <c r="BF34" i="31"/>
  <c r="BF35" i="31"/>
  <c r="Y365" i="42"/>
  <c r="BL365" i="42" s="1"/>
  <c r="BP365" i="42" s="1"/>
  <c r="Z364" i="31" l="1"/>
  <c r="F70" i="2"/>
  <c r="G71" i="2" s="1"/>
  <c r="Z365" i="42"/>
  <c r="CH365" i="31" l="1"/>
  <c r="AD364" i="31"/>
  <c r="N365" i="31"/>
  <c r="AE364" i="31"/>
  <c r="AD365" i="42"/>
  <c r="AE365" i="42"/>
  <c r="N366" i="42"/>
  <c r="CC366" i="42" s="1"/>
  <c r="CE366" i="42" s="1"/>
  <c r="CF366" i="42" s="1"/>
  <c r="F19" i="2"/>
  <c r="G19" i="2" s="1"/>
  <c r="F10" i="2"/>
  <c r="W365" i="31" l="1"/>
  <c r="P365" i="31"/>
  <c r="CC365" i="31"/>
  <c r="CE365" i="31" s="1"/>
  <c r="CF365" i="31" s="1"/>
  <c r="AH365" i="31"/>
  <c r="W366" i="42"/>
  <c r="M366" i="42" s="1"/>
  <c r="O366" i="42" s="1"/>
  <c r="AH366" i="42"/>
  <c r="P366" i="42"/>
  <c r="G10" i="2"/>
  <c r="BC7" i="31"/>
  <c r="AC32" i="35" s="1"/>
  <c r="K32" i="35" s="1"/>
  <c r="BC8" i="31"/>
  <c r="AC33" i="35" s="1"/>
  <c r="K33" i="35" s="1"/>
  <c r="BC9" i="31"/>
  <c r="AC34" i="35" s="1"/>
  <c r="K34" i="35" s="1"/>
  <c r="BC10" i="31"/>
  <c r="AC35" i="35" s="1"/>
  <c r="K35" i="35" s="1"/>
  <c r="BC11" i="31"/>
  <c r="AC36" i="35" s="1"/>
  <c r="K36" i="35" s="1"/>
  <c r="BC12" i="31"/>
  <c r="AC37" i="35" s="1"/>
  <c r="K37" i="35" s="1"/>
  <c r="BC13" i="31"/>
  <c r="AC38" i="35" s="1"/>
  <c r="K38" i="35" s="1"/>
  <c r="BC14" i="31"/>
  <c r="AC39" i="35" s="1"/>
  <c r="K39" i="35" s="1"/>
  <c r="BC15" i="31"/>
  <c r="AC40" i="35" s="1"/>
  <c r="K40" i="35" s="1"/>
  <c r="BC16" i="31"/>
  <c r="AC41" i="35" s="1"/>
  <c r="K41" i="35" s="1"/>
  <c r="BC17" i="31"/>
  <c r="AC42" i="35" s="1"/>
  <c r="K42" i="35" s="1"/>
  <c r="BC18" i="31"/>
  <c r="AC43" i="35" s="1"/>
  <c r="K43" i="35" s="1"/>
  <c r="BC19" i="31"/>
  <c r="AC44" i="35" s="1"/>
  <c r="K44" i="35" s="1"/>
  <c r="BC20" i="31"/>
  <c r="AC45" i="35" s="1"/>
  <c r="K45" i="35" s="1"/>
  <c r="BC21" i="31"/>
  <c r="AC46" i="35" s="1"/>
  <c r="K46" i="35" s="1"/>
  <c r="BC22" i="31"/>
  <c r="AC47" i="35" s="1"/>
  <c r="K47" i="35" s="1"/>
  <c r="BC23" i="31"/>
  <c r="AC48" i="35" s="1"/>
  <c r="K48" i="35" s="1"/>
  <c r="BC24" i="31"/>
  <c r="AC49" i="35" s="1"/>
  <c r="K49" i="35" s="1"/>
  <c r="BC25" i="31"/>
  <c r="AC50" i="35" s="1"/>
  <c r="K50" i="35" s="1"/>
  <c r="BC26" i="31"/>
  <c r="AC51" i="35" s="1"/>
  <c r="K51" i="35" s="1"/>
  <c r="BC27" i="31"/>
  <c r="BC28" i="31"/>
  <c r="BC29" i="31"/>
  <c r="BC30" i="31"/>
  <c r="BC31" i="31"/>
  <c r="BC32" i="31"/>
  <c r="BC33" i="31"/>
  <c r="BC34" i="31"/>
  <c r="BC35" i="31"/>
  <c r="X366" i="42" l="1"/>
  <c r="Y366" i="42" s="1"/>
  <c r="BL366" i="42" s="1"/>
  <c r="BP366" i="42" s="1"/>
  <c r="X365" i="31"/>
  <c r="Y365" i="31" s="1"/>
  <c r="M365" i="31"/>
  <c r="O365" i="31" s="1"/>
  <c r="BD7" i="31" l="1"/>
  <c r="W32" i="35" s="1"/>
  <c r="L32" i="35" s="1"/>
  <c r="BD8" i="31"/>
  <c r="W33" i="35" s="1"/>
  <c r="L33" i="35" s="1"/>
  <c r="BD9" i="31"/>
  <c r="W34" i="35" s="1"/>
  <c r="L34" i="35" s="1"/>
  <c r="BD10" i="31"/>
  <c r="W35" i="35" s="1"/>
  <c r="L35" i="35" s="1"/>
  <c r="BD11" i="31"/>
  <c r="W36" i="35" s="1"/>
  <c r="L36" i="35" s="1"/>
  <c r="BD12" i="31"/>
  <c r="W37" i="35" s="1"/>
  <c r="L37" i="35" s="1"/>
  <c r="BD13" i="31"/>
  <c r="W38" i="35" s="1"/>
  <c r="L38" i="35" s="1"/>
  <c r="BD14" i="31"/>
  <c r="W39" i="35" s="1"/>
  <c r="L39" i="35" s="1"/>
  <c r="BD15" i="31"/>
  <c r="W40" i="35" s="1"/>
  <c r="L40" i="35" s="1"/>
  <c r="BD16" i="31"/>
  <c r="W41" i="35" s="1"/>
  <c r="L41" i="35" s="1"/>
  <c r="BD17" i="31"/>
  <c r="W42" i="35" s="1"/>
  <c r="L42" i="35" s="1"/>
  <c r="BD18" i="31"/>
  <c r="W43" i="35" s="1"/>
  <c r="L43" i="35" s="1"/>
  <c r="BD19" i="31"/>
  <c r="W44" i="35" s="1"/>
  <c r="L44" i="35" s="1"/>
  <c r="BD20" i="31"/>
  <c r="W45" i="35" s="1"/>
  <c r="L45" i="35" s="1"/>
  <c r="BD21" i="31"/>
  <c r="W46" i="35" s="1"/>
  <c r="L46" i="35" s="1"/>
  <c r="BD22" i="31"/>
  <c r="W47" i="35" s="1"/>
  <c r="L47" i="35" s="1"/>
  <c r="BD23" i="31"/>
  <c r="W48" i="35" s="1"/>
  <c r="L48" i="35" s="1"/>
  <c r="BD24" i="31"/>
  <c r="W49" i="35" s="1"/>
  <c r="L49" i="35" s="1"/>
  <c r="BD25" i="31"/>
  <c r="W50" i="35" s="1"/>
  <c r="L50" i="35" s="1"/>
  <c r="BD26" i="31"/>
  <c r="W51" i="35" s="1"/>
  <c r="L51" i="35" s="1"/>
  <c r="BD27" i="31"/>
  <c r="BD28" i="31"/>
  <c r="BD29" i="31"/>
  <c r="BD30" i="31"/>
  <c r="BD31" i="31"/>
  <c r="BD32" i="31"/>
  <c r="BD33" i="31"/>
  <c r="BD34" i="31"/>
  <c r="BD35" i="31"/>
  <c r="Z366" i="42"/>
  <c r="AE366" i="42" s="1"/>
  <c r="BL365" i="31" l="1"/>
  <c r="BP365" i="31" s="1"/>
  <c r="N367" i="42"/>
  <c r="AD366" i="42"/>
  <c r="Z365" i="31" l="1"/>
  <c r="AH367" i="42"/>
  <c r="AH3" i="42" s="1"/>
  <c r="AH4" i="42" s="1"/>
  <c r="BF7" i="42"/>
  <c r="CC367" i="42"/>
  <c r="CE367" i="42" s="1"/>
  <c r="CF367" i="42" s="1"/>
  <c r="CC2" i="42"/>
  <c r="BF8" i="42"/>
  <c r="BF9" i="42"/>
  <c r="BF10" i="42"/>
  <c r="BF11" i="42"/>
  <c r="BF12" i="42"/>
  <c r="BF13" i="42"/>
  <c r="BF14" i="42"/>
  <c r="BF15" i="42"/>
  <c r="BF16" i="42"/>
  <c r="BF17" i="42"/>
  <c r="BF18" i="42"/>
  <c r="BF19" i="42"/>
  <c r="BF20" i="42"/>
  <c r="BF21" i="42"/>
  <c r="BF22" i="42"/>
  <c r="BF23" i="42"/>
  <c r="BF24" i="42"/>
  <c r="BF25" i="42"/>
  <c r="BF26" i="42"/>
  <c r="BF27" i="42"/>
  <c r="BF28" i="42"/>
  <c r="BF29" i="42"/>
  <c r="BF30" i="42"/>
  <c r="BF31" i="42"/>
  <c r="BF32" i="42"/>
  <c r="BF33" i="42"/>
  <c r="BF34" i="42"/>
  <c r="BF35" i="42"/>
  <c r="BF36" i="42"/>
  <c r="P367" i="42"/>
  <c r="W367" i="42"/>
  <c r="AE365" i="31" l="1"/>
  <c r="AD365" i="31"/>
  <c r="CH366" i="31"/>
  <c r="N366" i="31"/>
  <c r="M367" i="42"/>
  <c r="O367" i="42" s="1"/>
  <c r="O6" i="42" s="1"/>
  <c r="X367" i="42"/>
  <c r="W366" i="31" l="1"/>
  <c r="P366" i="31"/>
  <c r="AH366" i="31"/>
  <c r="BF36" i="31"/>
  <c r="CC366" i="31"/>
  <c r="CE366" i="31" s="1"/>
  <c r="CF366" i="31" s="1"/>
  <c r="Y367" i="42"/>
  <c r="X366" i="31" l="1"/>
  <c r="Y366" i="31" s="1"/>
  <c r="M366" i="31"/>
  <c r="O366" i="31" s="1"/>
  <c r="BL367" i="42"/>
  <c r="BC7" i="42"/>
  <c r="AC67" i="35" s="1"/>
  <c r="BC8" i="42"/>
  <c r="AC68" i="35" s="1"/>
  <c r="BC9" i="42"/>
  <c r="AC69" i="35" s="1"/>
  <c r="BC10" i="42"/>
  <c r="AC70" i="35" s="1"/>
  <c r="BC11" i="42"/>
  <c r="AC71" i="35" s="1"/>
  <c r="BC12" i="42"/>
  <c r="AC72" i="35" s="1"/>
  <c r="BC13" i="42"/>
  <c r="AC73" i="35" s="1"/>
  <c r="BC14" i="42"/>
  <c r="AC74" i="35" s="1"/>
  <c r="BC15" i="42"/>
  <c r="AC75" i="35" s="1"/>
  <c r="BC16" i="42"/>
  <c r="AC76" i="35" s="1"/>
  <c r="BC17" i="42"/>
  <c r="AC77" i="35" s="1"/>
  <c r="BC18" i="42"/>
  <c r="AC78" i="35" s="1"/>
  <c r="BC19" i="42"/>
  <c r="AC79" i="35" s="1"/>
  <c r="BC20" i="42"/>
  <c r="AC80" i="35" s="1"/>
  <c r="BC21" i="42"/>
  <c r="AC81" i="35" s="1"/>
  <c r="BC22" i="42"/>
  <c r="AC82" i="35" s="1"/>
  <c r="BC23" i="42"/>
  <c r="AC83" i="35" s="1"/>
  <c r="E48" i="35" s="1"/>
  <c r="BC24" i="42"/>
  <c r="AC84" i="35" s="1"/>
  <c r="E49" i="35" s="1"/>
  <c r="BC25" i="42"/>
  <c r="AC85" i="35" s="1"/>
  <c r="E50" i="35" s="1"/>
  <c r="BC26" i="42"/>
  <c r="AC86" i="35" s="1"/>
  <c r="E51" i="35" s="1"/>
  <c r="BC27" i="42"/>
  <c r="BC28" i="42"/>
  <c r="BC29" i="42"/>
  <c r="BC30" i="42"/>
  <c r="BC31" i="42"/>
  <c r="BC32" i="42"/>
  <c r="BC33" i="42"/>
  <c r="BC34" i="42"/>
  <c r="BC35" i="42"/>
  <c r="BC36" i="42"/>
  <c r="E47" i="35" l="1"/>
  <c r="E45" i="35"/>
  <c r="E46" i="35"/>
  <c r="E42" i="35"/>
  <c r="E43" i="35"/>
  <c r="E44" i="35"/>
  <c r="E39" i="35"/>
  <c r="E35" i="35"/>
  <c r="E40" i="35"/>
  <c r="E36" i="35"/>
  <c r="E41" i="35"/>
  <c r="E37" i="35"/>
  <c r="E33" i="35"/>
  <c r="E38" i="35"/>
  <c r="E34" i="35"/>
  <c r="E32" i="35"/>
  <c r="BP367" i="42"/>
  <c r="Z367" i="42"/>
  <c r="BL366" i="31" l="1"/>
  <c r="BC36" i="31"/>
  <c r="AD367" i="42"/>
  <c r="AE367" i="42"/>
  <c r="BD7" i="42"/>
  <c r="W67" i="35" s="1"/>
  <c r="BD8" i="42"/>
  <c r="W68" i="35" s="1"/>
  <c r="BD9" i="42"/>
  <c r="W69" i="35" s="1"/>
  <c r="BD10" i="42"/>
  <c r="W70" i="35" s="1"/>
  <c r="BD11" i="42"/>
  <c r="W71" i="35" s="1"/>
  <c r="BD12" i="42"/>
  <c r="W72" i="35" s="1"/>
  <c r="BD13" i="42"/>
  <c r="W73" i="35" s="1"/>
  <c r="BD14" i="42"/>
  <c r="W74" i="35" s="1"/>
  <c r="BD15" i="42"/>
  <c r="W75" i="35" s="1"/>
  <c r="BD16" i="42"/>
  <c r="W76" i="35" s="1"/>
  <c r="BD17" i="42"/>
  <c r="W77" i="35" s="1"/>
  <c r="BD18" i="42"/>
  <c r="W78" i="35" s="1"/>
  <c r="BD19" i="42"/>
  <c r="W79" i="35" s="1"/>
  <c r="BD20" i="42"/>
  <c r="W80" i="35" s="1"/>
  <c r="BD21" i="42"/>
  <c r="W81" i="35" s="1"/>
  <c r="BD22" i="42"/>
  <c r="W82" i="35" s="1"/>
  <c r="BD23" i="42"/>
  <c r="W83" i="35" s="1"/>
  <c r="F48" i="35" s="1"/>
  <c r="BD24" i="42"/>
  <c r="W84" i="35" s="1"/>
  <c r="F49" i="35" s="1"/>
  <c r="BD25" i="42"/>
  <c r="W85" i="35" s="1"/>
  <c r="F50" i="35" s="1"/>
  <c r="BD26" i="42"/>
  <c r="W86" i="35" s="1"/>
  <c r="F51" i="35" s="1"/>
  <c r="BD27" i="42"/>
  <c r="BD28" i="42"/>
  <c r="BD29" i="42"/>
  <c r="BD30" i="42"/>
  <c r="BD31" i="42"/>
  <c r="BD32" i="42"/>
  <c r="BD33" i="42"/>
  <c r="BD34" i="42"/>
  <c r="BD35" i="42"/>
  <c r="BD36" i="42"/>
  <c r="F44" i="35" l="1"/>
  <c r="F40" i="35"/>
  <c r="F36" i="35"/>
  <c r="F45" i="35"/>
  <c r="F41" i="35"/>
  <c r="F37" i="35"/>
  <c r="F33" i="35"/>
  <c r="F46" i="35"/>
  <c r="F42" i="35"/>
  <c r="F38" i="35"/>
  <c r="F34" i="35"/>
  <c r="F47" i="35"/>
  <c r="F43" i="35"/>
  <c r="F39" i="35"/>
  <c r="F35" i="35"/>
  <c r="F32" i="35"/>
  <c r="BP366" i="31"/>
  <c r="BD36" i="31" s="1"/>
  <c r="Z366" i="31"/>
  <c r="AD366" i="31" l="1"/>
  <c r="N367" i="31"/>
  <c r="CH367" i="31"/>
  <c r="CH4" i="31" s="1"/>
  <c r="F16" i="2" s="1"/>
  <c r="AE366" i="31"/>
  <c r="F73" i="2" l="1"/>
  <c r="G16" i="2"/>
  <c r="F20" i="2"/>
  <c r="W367" i="31"/>
  <c r="P367" i="31"/>
  <c r="AH367" i="31"/>
  <c r="AH3" i="31" s="1"/>
  <c r="AH4" i="31" s="1"/>
  <c r="G24" i="2" s="1"/>
  <c r="CC2" i="31"/>
  <c r="CC367" i="31"/>
  <c r="CE367" i="31" s="1"/>
  <c r="CF367" i="31" s="1"/>
  <c r="F25" i="2" l="1"/>
  <c r="H24" i="2"/>
  <c r="G25" i="2"/>
  <c r="F23" i="2"/>
  <c r="C24" i="2"/>
  <c r="C25" i="2" s="1"/>
  <c r="D10" i="35" s="1"/>
  <c r="H25" i="2"/>
  <c r="I24" i="2"/>
  <c r="H23" i="2"/>
  <c r="I23" i="2"/>
  <c r="F24" i="2"/>
  <c r="G23" i="2"/>
  <c r="X367" i="31"/>
  <c r="Y367" i="31" s="1"/>
  <c r="M367" i="31"/>
  <c r="O367" i="31" s="1"/>
  <c r="O6" i="31" s="1"/>
  <c r="G6" i="2" l="1"/>
  <c r="J23" i="2"/>
  <c r="J24" i="2"/>
  <c r="BL367" i="31"/>
  <c r="BP367" i="31" s="1"/>
  <c r="Z367" i="31" l="1"/>
  <c r="AD367" i="31" l="1"/>
  <c r="AE367" i="31"/>
</calcChain>
</file>

<file path=xl/comments1.xml><?xml version="1.0" encoding="utf-8"?>
<comments xmlns="http://schemas.openxmlformats.org/spreadsheetml/2006/main">
  <authors>
    <author>33555</author>
    <author>46925</author>
  </authors>
  <commentList>
    <comment ref="F34" authorId="0">
      <text>
        <r>
          <rPr>
            <sz val="9"/>
            <color indexed="81"/>
            <rFont val="Tahoma"/>
            <family val="2"/>
          </rPr>
          <t>The Flag is used in PQIS for scenarios of TOP UP, Partial Withdrawals, EMR/RPM etc, to mention the "illustration is not standard"</t>
        </r>
      </text>
    </comment>
    <comment ref="F71" authorId="1">
      <text>
        <r>
          <rPr>
            <b/>
            <sz val="9"/>
            <color indexed="81"/>
            <rFont val="Tahoma"/>
            <family val="2"/>
          </rPr>
          <t>46925:</t>
        </r>
        <r>
          <rPr>
            <sz val="9"/>
            <color indexed="81"/>
            <rFont val="Tahoma"/>
            <family val="2"/>
          </rPr>
          <t xml:space="preserve">
Please enter amount of F70 here</t>
        </r>
      </text>
    </comment>
  </commentList>
</comments>
</file>

<file path=xl/comments2.xml><?xml version="1.0" encoding="utf-8"?>
<comments xmlns="http://schemas.openxmlformats.org/spreadsheetml/2006/main">
  <authors>
    <author>46925</author>
  </authors>
  <commentList>
    <comment ref="W2" authorId="0">
      <text>
        <r>
          <rPr>
            <b/>
            <sz val="9"/>
            <color indexed="81"/>
            <rFont val="Tahoma"/>
            <family val="2"/>
          </rPr>
          <t>46925:</t>
        </r>
        <r>
          <rPr>
            <sz val="9"/>
            <color indexed="81"/>
            <rFont val="Tahoma"/>
            <family val="2"/>
          </rPr>
          <t xml:space="preserve">
Use this FMC for matching calculations with Pricing Model.</t>
        </r>
      </text>
    </comment>
    <comment ref="AH7" authorId="0">
      <text>
        <r>
          <rPr>
            <b/>
            <sz val="9"/>
            <color indexed="81"/>
            <rFont val="Tahoma"/>
            <family val="2"/>
          </rPr>
          <t>46925:</t>
        </r>
        <r>
          <rPr>
            <sz val="9"/>
            <color indexed="81"/>
            <rFont val="Tahoma"/>
            <family val="2"/>
          </rPr>
          <t xml:space="preserve">
Do I need to subtract PW?
</t>
        </r>
      </text>
    </comment>
  </commentList>
</comments>
</file>

<file path=xl/comments3.xml><?xml version="1.0" encoding="utf-8"?>
<comments xmlns="http://schemas.openxmlformats.org/spreadsheetml/2006/main">
  <authors>
    <author>t_Ayush</author>
    <author>46925</author>
  </authors>
  <commentList>
    <comment ref="P5" authorId="0">
      <text>
        <r>
          <rPr>
            <b/>
            <sz val="9"/>
            <color indexed="81"/>
            <rFont val="Tahoma"/>
            <family val="2"/>
          </rPr>
          <t>t_Ayush:</t>
        </r>
        <r>
          <rPr>
            <sz val="9"/>
            <color indexed="81"/>
            <rFont val="Tahoma"/>
            <family val="2"/>
          </rPr>
          <t xml:space="preserve">
value goes to 0 very early
</t>
        </r>
      </text>
    </comment>
    <comment ref="AH7" authorId="1">
      <text>
        <r>
          <rPr>
            <b/>
            <sz val="9"/>
            <color indexed="81"/>
            <rFont val="Tahoma"/>
            <family val="2"/>
          </rPr>
          <t>46925:</t>
        </r>
        <r>
          <rPr>
            <sz val="9"/>
            <color indexed="81"/>
            <rFont val="Tahoma"/>
            <family val="2"/>
          </rPr>
          <t xml:space="preserve">
Do I need to subtract PW?
</t>
        </r>
      </text>
    </comment>
  </commentList>
</comments>
</file>

<file path=xl/comments4.xml><?xml version="1.0" encoding="utf-8"?>
<comments xmlns="http://schemas.openxmlformats.org/spreadsheetml/2006/main">
  <authors>
    <author>t_Ayush</author>
    <author>46925</author>
  </authors>
  <commentList>
    <comment ref="P5" authorId="0">
      <text>
        <r>
          <rPr>
            <b/>
            <sz val="9"/>
            <color indexed="81"/>
            <rFont val="Tahoma"/>
            <family val="2"/>
          </rPr>
          <t>t_Ayush:</t>
        </r>
        <r>
          <rPr>
            <sz val="9"/>
            <color indexed="81"/>
            <rFont val="Tahoma"/>
            <family val="2"/>
          </rPr>
          <t xml:space="preserve">
value goes to 0 very early
</t>
        </r>
      </text>
    </comment>
    <comment ref="AH7" authorId="1">
      <text>
        <r>
          <rPr>
            <b/>
            <sz val="9"/>
            <color indexed="81"/>
            <rFont val="Tahoma"/>
            <family val="2"/>
          </rPr>
          <t>46925:</t>
        </r>
        <r>
          <rPr>
            <sz val="9"/>
            <color indexed="81"/>
            <rFont val="Tahoma"/>
            <family val="2"/>
          </rPr>
          <t xml:space="preserve">
Do I need to subtract PW?
</t>
        </r>
      </text>
    </comment>
  </commentList>
</comments>
</file>

<file path=xl/sharedStrings.xml><?xml version="1.0" encoding="utf-8"?>
<sst xmlns="http://schemas.openxmlformats.org/spreadsheetml/2006/main" count="757" uniqueCount="440">
  <si>
    <t>Weighted FMC</t>
  </si>
  <si>
    <t>Fund Management Charges (p.a.)</t>
  </si>
  <si>
    <t>Mortality Charge</t>
  </si>
  <si>
    <t>Date of Issue</t>
  </si>
  <si>
    <t xml:space="preserve">- Date </t>
  </si>
  <si>
    <t>- Month</t>
  </si>
  <si>
    <t>- Year</t>
  </si>
  <si>
    <t>N</t>
  </si>
  <si>
    <t xml:space="preserve">Total </t>
  </si>
  <si>
    <t>Top Up Premium</t>
  </si>
  <si>
    <t>Duration</t>
  </si>
  <si>
    <t>Amount</t>
  </si>
  <si>
    <t>Month</t>
  </si>
  <si>
    <t>Year</t>
  </si>
  <si>
    <t>Allocation Rate</t>
  </si>
  <si>
    <t>Allocated Premium</t>
  </si>
  <si>
    <t>Riders Available</t>
  </si>
  <si>
    <t>Age</t>
  </si>
  <si>
    <t>Mortality Charges</t>
  </si>
  <si>
    <t>Fund at the beginning of the month after deducting Charges</t>
  </si>
  <si>
    <t>per 1000 SA</t>
  </si>
  <si>
    <t>Systematic Top Up Premium</t>
  </si>
  <si>
    <t>Start Year</t>
  </si>
  <si>
    <t>Yield Calculation</t>
  </si>
  <si>
    <t>Monthly Cashflow</t>
  </si>
  <si>
    <t>Monthly Yield</t>
  </si>
  <si>
    <t>Yearly Yield</t>
  </si>
  <si>
    <t>Allocated Top Up premium</t>
  </si>
  <si>
    <t>Top Up Premium Calculation</t>
  </si>
  <si>
    <t>PAC</t>
  </si>
  <si>
    <t>Fund Value</t>
  </si>
  <si>
    <t>IRR</t>
  </si>
  <si>
    <t>Extra Premium ratings</t>
  </si>
  <si>
    <t>Life 1</t>
  </si>
  <si>
    <t>EMR%</t>
  </si>
  <si>
    <t>Fixed Extra</t>
  </si>
  <si>
    <t>FMC</t>
  </si>
  <si>
    <t>Scenario</t>
  </si>
  <si>
    <t xml:space="preserve"> Age of Life</t>
  </si>
  <si>
    <t>Death Benefit</t>
  </si>
  <si>
    <t>Policy Administration Charges</t>
  </si>
  <si>
    <t>Sum at Risk for Death</t>
  </si>
  <si>
    <t>Sr no</t>
  </si>
  <si>
    <t>Features</t>
  </si>
  <si>
    <t>Applicable cell no in excel</t>
  </si>
  <si>
    <t>Validations</t>
  </si>
  <si>
    <t>Gender</t>
  </si>
  <si>
    <t>Top Up premiums (duration)</t>
  </si>
  <si>
    <t>Top Up premiums (amount)</t>
  </si>
  <si>
    <t>Partial Withdrawal (duration)</t>
  </si>
  <si>
    <t>Partial Withdrawal (amount)</t>
  </si>
  <si>
    <t>Systematic Partial Withdrawal start year</t>
  </si>
  <si>
    <t>Systematic Partial Withdrawal duration</t>
  </si>
  <si>
    <t>Systematic Partial Withdrawal amount</t>
  </si>
  <si>
    <t>Allocation Charge</t>
  </si>
  <si>
    <t>Gross Return</t>
  </si>
  <si>
    <t>Monthly FMC factor</t>
  </si>
  <si>
    <t>Top Up Fund at the end of month before FMC</t>
  </si>
  <si>
    <t>Sum Assured for Top Up Premium</t>
  </si>
  <si>
    <t>Death Benefit for Top Up Premium</t>
  </si>
  <si>
    <t>Top up Sum Assured</t>
  </si>
  <si>
    <t>Sum at Risk for Top Up Premium</t>
  </si>
  <si>
    <t xml:space="preserve">Sum Assured for ADB Rider </t>
  </si>
  <si>
    <t>Male</t>
  </si>
  <si>
    <t>Female</t>
  </si>
  <si>
    <t xml:space="preserve">5 and onwards </t>
  </si>
  <si>
    <t>PPT (flag)</t>
  </si>
  <si>
    <t>Premium Received</t>
  </si>
  <si>
    <t>Top Up Premium Received</t>
  </si>
  <si>
    <t>yearly</t>
  </si>
  <si>
    <t>monthly</t>
  </si>
  <si>
    <t>Top up fund at end of month after FMC</t>
  </si>
  <si>
    <t>Fund at end of month after FMC (including Guaranteed Additions)</t>
  </si>
  <si>
    <t>Death benefit to be paid to the customer</t>
  </si>
  <si>
    <t>Fund at the end of the month before FMC</t>
  </si>
  <si>
    <t>Fund at end of month after FMC</t>
  </si>
  <si>
    <t>ADB Rider Charge</t>
  </si>
  <si>
    <t>ST Flag</t>
  </si>
  <si>
    <t>Policy Term (flag)</t>
  </si>
  <si>
    <t>FMC on Top Up amount</t>
  </si>
  <si>
    <t>Top Up Premium Allocation Charge</t>
  </si>
  <si>
    <t>FMC on Top Up Fund</t>
  </si>
  <si>
    <t>Policy Year</t>
  </si>
  <si>
    <t>Fund before FMC</t>
  </si>
  <si>
    <t>Life 2</t>
  </si>
  <si>
    <t>Funds Available</t>
  </si>
  <si>
    <t>Frequency</t>
  </si>
  <si>
    <t>Issue Age</t>
  </si>
  <si>
    <t>Annual Premium</t>
  </si>
  <si>
    <t>Sum Assured</t>
  </si>
  <si>
    <t>Premium Payment Term</t>
  </si>
  <si>
    <t>IRR as per compliance to IRDA</t>
  </si>
  <si>
    <t>Validation Checks</t>
  </si>
  <si>
    <t>Input in Green Cells only</t>
  </si>
  <si>
    <t>Maximum charge</t>
  </si>
  <si>
    <t>Policy Fee (p.m.)</t>
  </si>
  <si>
    <t>Mortality Rates per 1000 SA</t>
  </si>
  <si>
    <t>Charge Summary (year wise)</t>
  </si>
  <si>
    <t>Maximum Premium</t>
  </si>
  <si>
    <t>Fund Allocation</t>
  </si>
  <si>
    <t>Date of birth of Life Insured</t>
  </si>
  <si>
    <t>Top up</t>
  </si>
  <si>
    <t>Policy Admin Charges</t>
  </si>
  <si>
    <t>Discontinuance Charges</t>
  </si>
  <si>
    <t>Year of policy discontinuance</t>
  </si>
  <si>
    <t>Partial Withdrawal</t>
  </si>
  <si>
    <t>Systematic Partial Withdrawal</t>
  </si>
  <si>
    <t>Maximum Partial Withdrawal allowed</t>
  </si>
  <si>
    <t>Partial Withdrawal made</t>
  </si>
  <si>
    <t>Either Partial Withdrawal or Systematic Partial Withdrawal option may be chosen, not both. In case both are chosen, Partial Withdrawal option will be ignored.</t>
  </si>
  <si>
    <t>For calculating the maximum amount of partial withdrawal that can be made, the model does not take into account any top ups that may be have been made prior to that date</t>
  </si>
  <si>
    <t>For calculating the maximum amount of partial withdrawal, the system uses fund projections at 8%</t>
  </si>
  <si>
    <t>Maturity Age Validation</t>
  </si>
  <si>
    <t>Error Messages (if any)</t>
  </si>
  <si>
    <t>Partial withdrawal validation</t>
  </si>
  <si>
    <t>Max Amount</t>
  </si>
  <si>
    <t>Maximum allowed top up amount</t>
  </si>
  <si>
    <t>Mortality &amp; Rider flag</t>
  </si>
  <si>
    <t>Sheet "Calculation_4%" is identical to the sheet "Calculation_8%", with the only difference being fund projection is done at 4% instead of 8%</t>
  </si>
  <si>
    <t>Sheet "Calculation_IRDA_Circular" is identical to the sheet "Calculation_8%", with the only difference being Mortality &amp; Rider Flag and Service Tax flag are set to 0</t>
  </si>
  <si>
    <t>Min = 10%, Max = 100%</t>
  </si>
  <si>
    <t>should be &gt; 5 years and &lt;= PT and in increasing order (i.e. B57&lt;B58&lt;B59)</t>
  </si>
  <si>
    <t>should be &gt;= 5000 and &lt;= next right hand cell (i.e. C57 &gt;= 5000 and C57 &lt;= D57)</t>
  </si>
  <si>
    <t>Maximum Sum Assured</t>
  </si>
  <si>
    <t>ADB Benefit</t>
  </si>
  <si>
    <t>Ignore cells in Grey</t>
  </si>
  <si>
    <t>Minimum Premium</t>
  </si>
  <si>
    <t>Max limit</t>
  </si>
  <si>
    <t>Premium Allocation</t>
  </si>
  <si>
    <t>Top Up Premium Allocation</t>
  </si>
  <si>
    <t>Counter</t>
  </si>
  <si>
    <t>SA Option</t>
  </si>
  <si>
    <t>Min Cover Level</t>
  </si>
  <si>
    <t>Max Cover Level</t>
  </si>
  <si>
    <t>Cover level/Premium Multiple</t>
  </si>
  <si>
    <t>Commision Base</t>
  </si>
  <si>
    <t>Commision TopUp</t>
  </si>
  <si>
    <t>Commission</t>
  </si>
  <si>
    <t>Total Commission</t>
  </si>
  <si>
    <t>Base Fund Value</t>
  </si>
  <si>
    <t>TOP Fund Value</t>
  </si>
  <si>
    <t>TOP UP ST on Mort Charge</t>
  </si>
  <si>
    <t>Difference</t>
  </si>
  <si>
    <t>Min Maturity age</t>
  </si>
  <si>
    <t>Max Maturity Age</t>
  </si>
  <si>
    <t>Model</t>
  </si>
  <si>
    <t>Pricing_Unit</t>
  </si>
  <si>
    <t>FLAG_UL_Type</t>
  </si>
  <si>
    <t>Type1</t>
  </si>
  <si>
    <t>Rounding</t>
  </si>
  <si>
    <t>Swacch Bharat Cess</t>
  </si>
  <si>
    <t>No Limit</t>
  </si>
  <si>
    <t>Minimum Top-Up Premium</t>
  </si>
  <si>
    <t>Maximum Top-Up Premium</t>
  </si>
  <si>
    <t>Minimum Sum Assured</t>
  </si>
  <si>
    <t>Minimum PT</t>
  </si>
  <si>
    <t>Maximum PT</t>
  </si>
  <si>
    <t>Policy term</t>
  </si>
  <si>
    <t>Premium paying Term</t>
  </si>
  <si>
    <t>Min Entry age</t>
  </si>
  <si>
    <t>Max Entry Age</t>
  </si>
  <si>
    <t>Payout Frequency</t>
  </si>
  <si>
    <t xml:space="preserve">Partial Withdrawal </t>
  </si>
  <si>
    <t xml:space="preserve">Top UP </t>
  </si>
  <si>
    <t>Allowed after Lock in period</t>
  </si>
  <si>
    <t>Not Allowed in last 5 years of policy</t>
  </si>
  <si>
    <t>After LI achieved 18 Year Age LBD</t>
  </si>
  <si>
    <t>Not more than total premium paid</t>
  </si>
  <si>
    <t>FV should not fall below 2* Pr</t>
  </si>
  <si>
    <t>SA Reinstatement after 2 years if age &lt;58</t>
  </si>
  <si>
    <t>Systematic TOP UP</t>
  </si>
  <si>
    <t>No such thing as systematic TOP UP</t>
  </si>
  <si>
    <t>Not Allowed to start option in last 3 years of policy</t>
  </si>
  <si>
    <t>Min FV to start option is 500000</t>
  </si>
  <si>
    <t>Payout Term is 3 Year to outstanding Term</t>
  </si>
  <si>
    <t>Start Year should be chosen by LI</t>
  </si>
  <si>
    <t>Payout Term should be chosen by LI</t>
  </si>
  <si>
    <t>Payments in Arrears</t>
  </si>
  <si>
    <t>Minimum Payout Amount for SPW per annum</t>
  </si>
  <si>
    <t>Amount = 0.25% to 1% of FV per month</t>
  </si>
  <si>
    <t>Cumulative Partial Withdrawal made</t>
  </si>
  <si>
    <t>Partial Withdrawal (works for  Age&gt;=60)</t>
  </si>
  <si>
    <t>Partial Withdrawal in Last 2 Years (Age&lt;60)</t>
  </si>
  <si>
    <t>Final PW</t>
  </si>
  <si>
    <t>Partial Withdrawal (Timing)</t>
  </si>
  <si>
    <t>Partial Withdrawal (Amount)</t>
  </si>
  <si>
    <t>Age at Entry Validation</t>
  </si>
  <si>
    <t>Sheet name</t>
  </si>
  <si>
    <t>Input</t>
  </si>
  <si>
    <t>Minimum / Maximum proportion in Enhancer Fund-II, Balanced Fund -II, Bond Fund-II, Growth Fund - II, Infrastructure Fund, Protector Fund - II, PSU Fund</t>
  </si>
  <si>
    <t>Top Up premiums (Lockin period)</t>
  </si>
  <si>
    <t>Lockin period for Top up premium is 5 years</t>
  </si>
  <si>
    <t>Minimum Maturity age</t>
  </si>
  <si>
    <t>Charges</t>
  </si>
  <si>
    <t>18 Years</t>
  </si>
  <si>
    <t>Partial Withdrawal (allowance)</t>
  </si>
  <si>
    <t>Input, Charges</t>
  </si>
  <si>
    <t>Minimum sum assured</t>
  </si>
  <si>
    <t>Maximum sum assured</t>
  </si>
  <si>
    <t>Mort Charge on TOP UP</t>
  </si>
  <si>
    <t xml:space="preserve">Top Up Fund at the begining of month After Deducting Charges </t>
  </si>
  <si>
    <t>Top Up Fund at the beginning of month before deducting charges</t>
  </si>
  <si>
    <t xml:space="preserve"> 3&gt;= and &lt;=PT</t>
  </si>
  <si>
    <t>Admin charge will Increase on each anniversary from 7th policy year onwards</t>
  </si>
  <si>
    <t>Sum Assured Validation</t>
  </si>
  <si>
    <t>Flag_Joint_Life</t>
  </si>
  <si>
    <t>Flag_Rating</t>
  </si>
  <si>
    <t>Customisation Flag</t>
  </si>
  <si>
    <t>FMC Check</t>
  </si>
  <si>
    <t>Krishi Kalyan Cess</t>
  </si>
  <si>
    <t>PQIS_Name</t>
  </si>
  <si>
    <t>PQIS Flag</t>
  </si>
  <si>
    <t>WEB_PQIS</t>
  </si>
  <si>
    <t>GST</t>
  </si>
  <si>
    <t>GST calculation for</t>
  </si>
  <si>
    <t>Total GST</t>
  </si>
  <si>
    <t>Part A</t>
  </si>
  <si>
    <t>Annualized Premium</t>
  </si>
  <si>
    <t>Mortality, Morbidity Charges</t>
  </si>
  <si>
    <t>Other Charges*</t>
  </si>
  <si>
    <t>Surrender Value</t>
  </si>
  <si>
    <t>(Amount in Rupees.)</t>
  </si>
  <si>
    <t>*See Part B for details</t>
  </si>
  <si>
    <t>Part B</t>
  </si>
  <si>
    <t>Annualized Premium (AP)</t>
  </si>
  <si>
    <t>Premium Allocation Charge (PAC)</t>
  </si>
  <si>
    <t>Policy Admin. Charge</t>
  </si>
  <si>
    <t>Guarantee Charge</t>
  </si>
  <si>
    <t>Additions to the fund*</t>
  </si>
  <si>
    <t>Fund at End of Year</t>
  </si>
  <si>
    <t>Gross Yield</t>
  </si>
  <si>
    <t>8% pa</t>
  </si>
  <si>
    <t>Net Yield</t>
  </si>
  <si>
    <t>4% pa</t>
  </si>
  <si>
    <t>Minimum PPT</t>
  </si>
  <si>
    <t>Maximum PPT</t>
  </si>
  <si>
    <t>NA</t>
  </si>
  <si>
    <t>M</t>
  </si>
  <si>
    <t>Top Up option Validation</t>
  </si>
  <si>
    <t>(B7=1)*(G7&gt;Lock_In_Period)*(E7&gt;=60)*(BW7-INDEX($BW$7:$BW$367,(MATCH(58,$E$7:$E$367,0)-1),1))</t>
  </si>
  <si>
    <t>ADB Max Age</t>
  </si>
  <si>
    <t>ADB Min Age</t>
  </si>
  <si>
    <t>GST**</t>
  </si>
  <si>
    <t>Fund at end of year</t>
  </si>
  <si>
    <t>Commission payable to intermediary (Rs.)</t>
  </si>
  <si>
    <t>At 8% p. a. Gross Investment Return</t>
  </si>
  <si>
    <t>At 4% p. a. Gross Investment Return</t>
  </si>
  <si>
    <t xml:space="preserve">Balance
(AP ) – (PAC)
</t>
  </si>
  <si>
    <t>Risk Level</t>
  </si>
  <si>
    <t>Medium</t>
  </si>
  <si>
    <t>Low</t>
  </si>
  <si>
    <t>High</t>
  </si>
  <si>
    <t>Modal Premium</t>
  </si>
  <si>
    <t>Premium Payment Option</t>
  </si>
  <si>
    <t>Limited PPT</t>
  </si>
  <si>
    <t>Return of PAC</t>
  </si>
  <si>
    <t>Return of Premium Allocation Charges</t>
  </si>
  <si>
    <t>Channel Type</t>
  </si>
  <si>
    <t>Secure</t>
  </si>
  <si>
    <t>Balanced</t>
  </si>
  <si>
    <t>Growth</t>
  </si>
  <si>
    <t>Protector</t>
  </si>
  <si>
    <t xml:space="preserve">Enhancer </t>
  </si>
  <si>
    <t>Index</t>
  </si>
  <si>
    <t>PSU</t>
  </si>
  <si>
    <t>Infrastructure</t>
  </si>
  <si>
    <t>Fund allocation(Weightage)</t>
  </si>
  <si>
    <t>Allocation Rate Table</t>
  </si>
  <si>
    <t>Oflline</t>
  </si>
  <si>
    <t>Single Premium</t>
  </si>
  <si>
    <t>Online</t>
  </si>
  <si>
    <t>Discountinuence Charge</t>
  </si>
  <si>
    <t>% of Annualized Premium or FV</t>
  </si>
  <si>
    <t>Year/AP</t>
  </si>
  <si>
    <t>Max Absolute Amount for RP/LP policies</t>
  </si>
  <si>
    <t>% of Single Premium or FV</t>
  </si>
  <si>
    <t>Max Absolute Amount for SP policies</t>
  </si>
  <si>
    <t>% of AP/SP or  FV</t>
  </si>
  <si>
    <t>On Maturity</t>
  </si>
  <si>
    <t>Comm Rates</t>
  </si>
  <si>
    <t>Regular/Limited Pay</t>
  </si>
  <si>
    <t xml:space="preserve">Premium </t>
  </si>
  <si>
    <t>PY</t>
  </si>
  <si>
    <t>Commission Rate:</t>
  </si>
  <si>
    <t>Commission Rate</t>
  </si>
  <si>
    <t>Age Band</t>
  </si>
  <si>
    <t>Mortality Factor as % of IALM 2012-14</t>
  </si>
  <si>
    <t>AGE</t>
  </si>
  <si>
    <t>Mortality Charge Per 1000 SA</t>
  </si>
  <si>
    <t>Genderwise Mortality Table</t>
  </si>
  <si>
    <t>qx</t>
  </si>
  <si>
    <t>TOP UP Commission</t>
  </si>
  <si>
    <t>Charge Assumptions for New ULIP</t>
  </si>
  <si>
    <t>Xl Checklist Validation</t>
  </si>
  <si>
    <t>Policy Term (15 to 20 Years)</t>
  </si>
  <si>
    <t>WoP Benefit</t>
  </si>
  <si>
    <t>Policy Term</t>
  </si>
  <si>
    <t>% of Charge</t>
  </si>
  <si>
    <t xml:space="preserve">Add-On ADB </t>
  </si>
  <si>
    <t>Add-On Charges</t>
  </si>
  <si>
    <t>Add-On ADB Benefit</t>
  </si>
  <si>
    <t>Add-On WoP Benefit</t>
  </si>
  <si>
    <t>Add-On Sum Assured</t>
  </si>
  <si>
    <t>WoP Max Age</t>
  </si>
  <si>
    <t>WoP Min Age</t>
  </si>
  <si>
    <t>WoP Charge</t>
  </si>
  <si>
    <t>Number of Yearly Outstanding Premiums</t>
  </si>
  <si>
    <t>Sum at Risk Factors- Annual Premium Frequency</t>
  </si>
  <si>
    <t>Number of Half-yearly Outstanding Premiums</t>
  </si>
  <si>
    <t>Sum at Risk Factors- Half-yearly Premium Frequecncy</t>
  </si>
  <si>
    <t>Number of Monthly Outstanding Premiums</t>
  </si>
  <si>
    <t>Sum at Risk Factors- Monthly Premium Frequency</t>
  </si>
  <si>
    <t>Minimum Partial Withdrawal amount</t>
  </si>
  <si>
    <t>Input Validations - Aviva Fortune Plus</t>
  </si>
  <si>
    <t>WoP Sum at Risk</t>
  </si>
  <si>
    <t xml:space="preserve">FMC </t>
  </si>
  <si>
    <t>No Systematic Top up premium option is allowed under this product.</t>
  </si>
  <si>
    <t>Max Partial Withdrawal(8%)</t>
  </si>
  <si>
    <t>Half Yearly</t>
  </si>
  <si>
    <t>Min = 2 years, Max = 60 years</t>
  </si>
  <si>
    <t>For RP: 1,00,000 (1,20,000 for Half-yearly and Monthly modes); For LP 5: 2,50,000 (Yearly, Half-yearly and Monthly modes); For LP 7: 1,80,000 (Yearly, Half-yearly and Monthly modes); For LP 10: 1,50,000 (Yearly, Half-yearly and Monthly modes) and For SP: 500,000</t>
  </si>
  <si>
    <t>should be &gt;= 10000</t>
  </si>
  <si>
    <t>75 Years</t>
  </si>
  <si>
    <t>Limited PPT - 5,7,10
Regular PPT - PT
Single PPT: 1</t>
  </si>
  <si>
    <t>When PPT is Equal to Policy Term: 700000 for Yearly Mode,840000 for Half-yearly and Monthly Modes
When PPT is 10 Years: 1050000
When PPT is 7 Years: 1260000
When PPT is 5 Years: 1750000
When PPT is 1 Year: 625000</t>
  </si>
  <si>
    <r>
      <rPr>
        <b/>
        <sz val="10"/>
        <rFont val="Arial"/>
        <family val="2"/>
      </rPr>
      <t>When PT is 15-20 Years</t>
    </r>
    <r>
      <rPr>
        <sz val="10"/>
        <rFont val="Arial"/>
        <family val="2"/>
      </rPr>
      <t xml:space="preserve">
     </t>
    </r>
    <r>
      <rPr>
        <b/>
        <sz val="10"/>
        <rFont val="Arial"/>
        <family val="2"/>
      </rPr>
      <t>PPT</t>
    </r>
    <r>
      <rPr>
        <sz val="10"/>
        <rFont val="Arial"/>
        <family val="2"/>
      </rPr>
      <t xml:space="preserve">                      </t>
    </r>
    <r>
      <rPr>
        <b/>
        <sz val="10"/>
        <rFont val="Arial"/>
        <family val="2"/>
      </rPr>
      <t>Maximum Sum Assured</t>
    </r>
    <r>
      <rPr>
        <sz val="10"/>
        <rFont val="Arial"/>
        <family val="2"/>
      </rPr>
      <t xml:space="preserve">
Equal to PT            10 times of Annualised Premium
5                            10 times of Annualised Premium  
7                            10 times of Annualised Premium
10                          10 times of Annualised Premium
</t>
    </r>
    <r>
      <rPr>
        <b/>
        <sz val="10"/>
        <rFont val="Arial"/>
        <family val="2"/>
      </rPr>
      <t>When PT is 10-20 Years</t>
    </r>
    <r>
      <rPr>
        <sz val="10"/>
        <rFont val="Arial"/>
        <family val="2"/>
      </rPr>
      <t xml:space="preserve">
Single Premium: Up to Entry Age 35 Years l.b.d - 10 times the Single Premium
                         Entry Age 36  Years to 60 Years l.b.d. - 1.25 times the Single Premium</t>
    </r>
  </si>
  <si>
    <t>WoP Start Age</t>
  </si>
  <si>
    <t>WoP End Age</t>
  </si>
  <si>
    <t>Charges(Z30)</t>
  </si>
  <si>
    <t>Charges(Z31)</t>
  </si>
  <si>
    <t>Charges(Z27)</t>
  </si>
  <si>
    <t>Charges(Z28)</t>
  </si>
  <si>
    <t>Charges(Z14)</t>
  </si>
  <si>
    <t>Charges(Z15)</t>
  </si>
  <si>
    <t>Input(C29),
Charges(Z17,Z18)</t>
  </si>
  <si>
    <t>Min PT: 15 years for Regular/Limited Pay policy and 10 years for Single Pay policy
Max PT: 20 Years for all modes</t>
  </si>
  <si>
    <t>Input(C26),Charges(Z11)</t>
  </si>
  <si>
    <t>Input(C26),Charges(Z12)</t>
  </si>
  <si>
    <t>C25</t>
  </si>
  <si>
    <t>B55 to B61</t>
  </si>
  <si>
    <t>C55 to C61</t>
  </si>
  <si>
    <t>B68:B74,C68:C74</t>
  </si>
  <si>
    <t>B68 to B74</t>
  </si>
  <si>
    <t>C68 to C74</t>
  </si>
  <si>
    <t>C32</t>
  </si>
  <si>
    <t>C38, C39, C40, C41, C42,C43,C44,C45</t>
  </si>
  <si>
    <t>PQIS MODEL FOR AVIVA FORTUNE PLUS</t>
  </si>
  <si>
    <t>UIN</t>
  </si>
  <si>
    <t>ADB Sum Assured</t>
  </si>
  <si>
    <t>ADB Age</t>
  </si>
  <si>
    <t>WoP Age</t>
  </si>
  <si>
    <t>ADB Prem Rate</t>
  </si>
  <si>
    <t>Only for LP Option</t>
  </si>
  <si>
    <t>Entry age (last B'day) (life insured)</t>
  </si>
  <si>
    <t>Entry age (last B'day) (proposer)</t>
  </si>
  <si>
    <t>C18</t>
  </si>
  <si>
    <t>D18</t>
  </si>
  <si>
    <t>Min = 21 years, Max = 50 years</t>
  </si>
  <si>
    <t>C19</t>
  </si>
  <si>
    <t>Should be &lt;= PT &amp; (PT - Top up duration ) &gt;= 5  such that top up premium should not allowed in last 5 years of policy and top up durations should be in increasing order (i.e. B46&lt;B47&lt;B48)</t>
  </si>
  <si>
    <t>After completing first 5 yeras, &lt;= PT, Not allowed during the last 3 years before maturity</t>
  </si>
  <si>
    <t>&gt;= 15000 per annum and Minimum FV &gt;=500,000</t>
  </si>
  <si>
    <t>WoP Add-on Benefit Chare</t>
  </si>
  <si>
    <t>ADB Add-on Benefit Charge</t>
  </si>
  <si>
    <t>SPW Start Year</t>
  </si>
  <si>
    <t>SPW Duration</t>
  </si>
  <si>
    <t>SPW Amount (Annual)</t>
  </si>
  <si>
    <t>SPW - FV at start</t>
  </si>
  <si>
    <t>User Defined</t>
  </si>
  <si>
    <t>LA_PQIS</t>
  </si>
  <si>
    <t>Limited Pay</t>
  </si>
  <si>
    <t>Type2</t>
  </si>
  <si>
    <t>Regular Pay</t>
  </si>
  <si>
    <t>Min</t>
  </si>
  <si>
    <t>User Defined 1</t>
  </si>
  <si>
    <t>User Defined 2</t>
  </si>
  <si>
    <t>ADB and WoP Age</t>
  </si>
  <si>
    <t>F69</t>
  </si>
  <si>
    <t>F67</t>
  </si>
  <si>
    <t>F68</t>
  </si>
  <si>
    <t>Should be allowed after completion of first 5 years, the Fund value in the unit fund account is not less than two years of annual premium in case of RP and LP mode and 1/5 times in case of SP mode, not more than 4 partial withdrawals are allowed in a year and age&gt;=18 Years</t>
  </si>
  <si>
    <t>Maximum Maturity age</t>
  </si>
  <si>
    <t>Yealry, Half Yearly &amp; Monthly is allowed</t>
  </si>
  <si>
    <t>Proportion</t>
  </si>
  <si>
    <t>Auto foreclosure Flag</t>
  </si>
  <si>
    <t>SPW option Validation</t>
  </si>
  <si>
    <t>Withdrawal Allowed</t>
  </si>
  <si>
    <t>Offline</t>
  </si>
  <si>
    <t>Proposer Life</t>
  </si>
  <si>
    <t>122L137V01</t>
  </si>
  <si>
    <t>ADB_Flag</t>
  </si>
  <si>
    <t xml:space="preserve">ADB </t>
  </si>
  <si>
    <t>Regular</t>
  </si>
  <si>
    <t>Max</t>
  </si>
  <si>
    <t>Return of Mortality, ADB and WoP Charges</t>
  </si>
  <si>
    <t>F</t>
  </si>
  <si>
    <t>Name of the Prospect / Policyholder:</t>
  </si>
  <si>
    <t>Name of the Product:</t>
  </si>
  <si>
    <t>Aviva Fortune Plus</t>
  </si>
  <si>
    <t>Age:</t>
  </si>
  <si>
    <t>Tag Line:</t>
  </si>
  <si>
    <t>Name of the Life Assured:</t>
  </si>
  <si>
    <t>Unique Identification No:</t>
  </si>
  <si>
    <t>Sum Assured:</t>
  </si>
  <si>
    <t>GST Rate:</t>
  </si>
  <si>
    <t>Policy Term: (in Years)</t>
  </si>
  <si>
    <t>Fund Name</t>
  </si>
  <si>
    <t>Proportion (%)</t>
  </si>
  <si>
    <t>Premium Payment Term: (in Years)</t>
  </si>
  <si>
    <t>Amount of Installment Premium:</t>
  </si>
  <si>
    <t>Mode of payment of premium:</t>
  </si>
  <si>
    <t>A Unit Linked Non-Participating Individual Life Insurance Plan</t>
  </si>
  <si>
    <t>Investment strategy opted for:
Funds opted for along with their risk level
[Please specify the customer specific fund option]</t>
  </si>
  <si>
    <r>
      <rPr>
        <b/>
        <sz val="10"/>
        <rFont val="Arial"/>
        <family val="2"/>
      </rPr>
      <t>How to read and understand this benefit illustration?</t>
    </r>
    <r>
      <rPr>
        <sz val="10"/>
        <rFont val="Arial"/>
        <family val="2"/>
      </rPr>
      <t xml:space="preserve">
This benefit illustration is intended to show what charges are deducted from your premiums and how the unit fund, net of charges and taxes, may grow over the years of the policy term if the fund earns a gross return of 8% p.a. or 4% p.a. These rates, i.e., 8% p.a. and 4% p.a. are assumed only for the purpose of illustrating the flow of benefits if the returns are at this level. It should not be interpreted that the returns under the plan are going to be either 8% p.a. or 4% p.a.
Net Yield mentioned corresponds to the gross investment return of 8% p.a., net of all charges and taxes, but does not consider mortality, morbidity charges, underwriting, extra, if any, guarantee charges and cost of riders/optional covers, if deducted by cancellation of units. It demonstrates the impact of charges and taxes on the net yield. Please note that the mortality charges per thousand sum assured increases with age.
The actual returns can vary depending on the performance of the chosen fund, charges towards mortality, morbidity, underwriting extra, cost of riders/optional covers, etc. The investment risk in this policy is borne by the policyholder, hence, for more details on terms and conditions please read sales literature carefully.
Part A of this statement presents a summary view of year-by-year charges deducted under the policy, fund value, surrender value and the death benefit, at two assumed rates of return. Part B of this statement presents a detailed break-up of the charges, and other values.
</t>
    </r>
  </si>
  <si>
    <t>IN THIS POLICY, THE INVESTMENT RISK IS BORNE BY THE POLICYHOLDER AND THE ABOVE INTEREST RATES ARE ONLY FOR ILLUSTRATIVE PURPOSE.</t>
  </si>
  <si>
    <t>I, ………………………………. (Name), have explained the premiums, charges and benefits under the policy fully to the prospect / policyholder.</t>
  </si>
  <si>
    <t>Date:                      Signature of Agent/ Intermediary/ Official</t>
  </si>
  <si>
    <t>I, …………………………………. (Name), having received the information with respect to the above, have understood the above statement before entering into the contract.</t>
  </si>
  <si>
    <t>Date:                         Signature of Prospect / Policyholder</t>
  </si>
  <si>
    <t xml:space="preserve"> Place</t>
  </si>
  <si>
    <t>*Specify details, if any.</t>
  </si>
  <si>
    <t>Notes:</t>
  </si>
  <si>
    <r>
      <t>1.</t>
    </r>
    <r>
      <rPr>
        <sz val="7"/>
        <rFont val="Times New Roman"/>
        <family val="1"/>
      </rPr>
      <t> </t>
    </r>
    <r>
      <rPr>
        <sz val="9"/>
        <rFont val="Trebuchet MS"/>
        <family val="2"/>
      </rPr>
      <t>The glossary for various terms of charges used shall be handed over through a separate sheet to the prospect / policyholder.</t>
    </r>
  </si>
  <si>
    <r>
      <t>2.</t>
    </r>
    <r>
      <rPr>
        <sz val="7"/>
        <rFont val="Times New Roman"/>
        <family val="1"/>
      </rPr>
      <t> </t>
    </r>
    <r>
      <rPr>
        <sz val="9"/>
        <rFont val="Trebuchet MS"/>
        <family val="2"/>
      </rPr>
      <t>Fund management charge is based on the specific fund option(s) chosen.</t>
    </r>
  </si>
  <si>
    <r>
      <t>4.</t>
    </r>
    <r>
      <rPr>
        <sz val="7"/>
        <rFont val="Times New Roman"/>
        <family val="1"/>
      </rPr>
      <t xml:space="preserve"> </t>
    </r>
    <r>
      <rPr>
        <sz val="9"/>
        <rFont val="Trebuchet MS"/>
        <family val="2"/>
      </rPr>
      <t>This illustration assumes that all due premiums are paid as and when due.</t>
    </r>
  </si>
  <si>
    <r>
      <t>5.</t>
    </r>
    <r>
      <rPr>
        <sz val="7"/>
        <rFont val="Times New Roman"/>
        <family val="1"/>
      </rPr>
      <t> </t>
    </r>
    <r>
      <rPr>
        <sz val="9"/>
        <rFont val="Trebuchet MS"/>
        <family val="2"/>
      </rPr>
      <t>The Fund at the start shall be the amount available for investment in the first year and previous year’s end fund for the rest of the years</t>
    </r>
  </si>
  <si>
    <r>
      <t>6.</t>
    </r>
    <r>
      <rPr>
        <sz val="7"/>
        <rFont val="Times New Roman"/>
        <family val="1"/>
      </rPr>
      <t> </t>
    </r>
    <r>
      <rPr>
        <sz val="9"/>
        <rFont val="Trebuchet MS"/>
        <family val="2"/>
      </rPr>
      <t>Fund Management Charge is based on the weighted fund management charges applicable to the chosen fund</t>
    </r>
  </si>
  <si>
    <r>
      <t>7.</t>
    </r>
    <r>
      <rPr>
        <sz val="7"/>
        <rFont val="Times New Roman"/>
        <family val="1"/>
      </rPr>
      <t xml:space="preserve"> </t>
    </r>
    <r>
      <rPr>
        <sz val="9"/>
        <rFont val="Trebuchet MS"/>
        <family val="2"/>
      </rPr>
      <t>The illustration is based on basic mortality charge but excluding any underwriting extra.</t>
    </r>
  </si>
  <si>
    <r>
      <t>8.</t>
    </r>
    <r>
      <rPr>
        <sz val="7"/>
        <rFont val="Times New Roman"/>
        <family val="1"/>
      </rPr>
      <t xml:space="preserve"> </t>
    </r>
    <r>
      <rPr>
        <sz val="9"/>
        <rFont val="Trebuchet MS"/>
        <family val="2"/>
      </rPr>
      <t>Past performance of the investment funds do not indicate the future performance of the same.</t>
    </r>
  </si>
  <si>
    <r>
      <t>9.</t>
    </r>
    <r>
      <rPr>
        <sz val="7"/>
        <rFont val="Times New Roman"/>
        <family val="1"/>
      </rPr>
      <t xml:space="preserve"> </t>
    </r>
    <r>
      <rPr>
        <sz val="9"/>
        <rFont val="Trebuchet MS"/>
        <family val="2"/>
      </rPr>
      <t>The quantum of benefits in respect of non-guaranteed products may vary.</t>
    </r>
  </si>
  <si>
    <r>
      <t>10.</t>
    </r>
    <r>
      <rPr>
        <sz val="7"/>
        <rFont val="Times New Roman"/>
        <family val="1"/>
      </rPr>
      <t xml:space="preserve"> </t>
    </r>
    <r>
      <rPr>
        <sz val="9"/>
        <rFont val="Trebuchet MS"/>
        <family val="2"/>
      </rPr>
      <t>The sum assured is guaranteed upon death provided the premiums are paid regularly and the same is included in the “Death Benefit” column in the above Table.</t>
    </r>
  </si>
  <si>
    <r>
      <t>11.</t>
    </r>
    <r>
      <rPr>
        <sz val="7"/>
        <rFont val="Times New Roman"/>
        <family val="1"/>
      </rPr>
      <t xml:space="preserve"> </t>
    </r>
    <r>
      <rPr>
        <sz val="9"/>
        <rFont val="Trebuchet MS"/>
        <family val="2"/>
      </rPr>
      <t>In case Accidental Death Benefit is opted for then in case of accidental death, in addition to the death benefit a benefit equal to the accidental death cover shall be payable subject to maximum limit of Rs.5,000,000/-</t>
    </r>
  </si>
  <si>
    <r>
      <t>13.</t>
    </r>
    <r>
      <rPr>
        <sz val="7"/>
        <rFont val="Times New Roman"/>
        <family val="1"/>
      </rPr>
      <t xml:space="preserve"> </t>
    </r>
    <r>
      <rPr>
        <b/>
        <sz val="9"/>
        <rFont val="Trebuchet MS"/>
        <family val="2"/>
      </rPr>
      <t xml:space="preserve">++: Surrender Value after the lock-in-period: </t>
    </r>
    <r>
      <rPr>
        <sz val="9"/>
        <rFont val="Trebuchet MS"/>
        <family val="2"/>
      </rPr>
      <t>It is the Fund Value as per Unit Account without any discontinuance charge, payable in case of Complete Withdrawal.</t>
    </r>
  </si>
  <si>
    <r>
      <t>14.</t>
    </r>
    <r>
      <rPr>
        <sz val="7"/>
        <rFont val="Times New Roman"/>
        <family val="1"/>
      </rPr>
      <t xml:space="preserve"> </t>
    </r>
    <r>
      <rPr>
        <sz val="9"/>
        <rFont val="Trebuchet MS"/>
        <family val="2"/>
      </rPr>
      <t>**Taxes including but not limited to Goods and Services Tax, Cesses as applicable shall also be levied as notified by the government from time to time. Tax laws are subject to change.</t>
    </r>
  </si>
  <si>
    <r>
      <t>15.</t>
    </r>
    <r>
      <rPr>
        <sz val="7"/>
        <rFont val="Times New Roman"/>
        <family val="1"/>
      </rPr>
      <t xml:space="preserve"> </t>
    </r>
    <r>
      <rPr>
        <sz val="9"/>
        <rFont val="Trebuchet MS"/>
        <family val="2"/>
      </rPr>
      <t>Refer the sales literature for explanation of terms used in this illustration.</t>
    </r>
  </si>
  <si>
    <r>
      <t>3.</t>
    </r>
    <r>
      <rPr>
        <sz val="7"/>
        <rFont val="Times New Roman"/>
        <family val="1"/>
      </rPr>
      <t> </t>
    </r>
    <r>
      <rPr>
        <sz val="9"/>
        <rFont val="Trebuchet MS"/>
        <family val="2"/>
      </rPr>
      <t xml:space="preserve">In case rider charges, if any are collected explicitly through collection of rider premium, and not by way of cancellation of units, then, such charges are considered in this illustration. 
</t>
    </r>
  </si>
  <si>
    <t xml:space="preserve">       In other cases, rider charges, if any are included in other charges.</t>
  </si>
  <si>
    <r>
      <t>12.</t>
    </r>
    <r>
      <rPr>
        <sz val="7"/>
        <rFont val="Times New Roman"/>
        <family val="1"/>
      </rPr>
      <t xml:space="preserve"> </t>
    </r>
    <r>
      <rPr>
        <b/>
        <sz val="9"/>
        <rFont val="Trebuchet MS"/>
        <family val="2"/>
      </rPr>
      <t xml:space="preserve">++: Surrender Value during the lock-in-period </t>
    </r>
    <r>
      <rPr>
        <sz val="9"/>
        <rFont val="Trebuchet MS"/>
        <family val="2"/>
      </rPr>
      <t xml:space="preserve">(i.e. first 5 years from the Commencement Date) is the Fund Value as per Unit Account after deducting the Discontinuance Charge. </t>
    </r>
  </si>
  <si>
    <t xml:space="preserve">         Discontinued Policy Fund shall be declared by the Authority from time to time. The current minimum guaranteed rate of interest applicable to the Discontinued Policy Fund shall be 4% per annum.</t>
  </si>
  <si>
    <t xml:space="preserve">         Surrender Value is not payable during the lock-in-period. However, surrender value of such Policy will be transferred to the Discontinued Policy Fund. The minimum guaranteed interest rate applicable to the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</si>
</sst>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_(* #,##0.00_);_(* \(#,##0.00\);_(* &quot;-&quot;??_);_(@_)"/>
    <numFmt numFmtId="165" formatCode="0.00000"/>
    <numFmt numFmtId="166" formatCode="0.0000"/>
    <numFmt numFmtId="167" formatCode="0.0000%"/>
    <numFmt numFmtId="168" formatCode="#,##0.0000"/>
    <numFmt numFmtId="169" formatCode="0.0%"/>
    <numFmt numFmtId="170" formatCode="_(* #,##0_);_(* \(#,##0\);_(* &quot;-&quot;??_);_(@_)"/>
    <numFmt numFmtId="171" formatCode="0.000000%"/>
    <numFmt numFmtId="172" formatCode="#,##0.0"/>
    <numFmt numFmtId="173" formatCode="0.00000%"/>
    <numFmt numFmtId="174" formatCode="_(* #,##0.0_);_(* \(#,##0.0\);_(* &quot;-&quot;??_);_(@_)"/>
    <numFmt numFmtId="175" formatCode="_(* #,##0.00000_);_(* \(#,##0.00000\);_(* &quot;-&quot;??_);_(@_)"/>
    <numFmt numFmtId="176" formatCode="_(* #,##0.0000000000000_);_(* \(#,##0.0000000000000\);_(* &quot;-&quot;??_);_(@_)"/>
    <numFmt numFmtId="177" formatCode="0.000%"/>
    <numFmt numFmtId="178" formatCode="0.000000"/>
    <numFmt numFmtId="179" formatCode="0.0000000%"/>
    <numFmt numFmtId="180" formatCode=";;;"/>
  </numFmts>
  <fonts count="36" x14ac:knownFonts="1">
    <font>
      <sz val="10"/>
      <name val="Arial"/>
    </font>
    <font>
      <sz val="11"/>
      <color theme="1"/>
      <name val="Calibri"/>
      <family val="2"/>
      <scheme val="minor"/>
    </font>
    <font>
      <sz val="10"/>
      <name val="Arial"/>
      <family val="2"/>
    </font>
    <font>
      <b/>
      <sz val="10"/>
      <name val="Arial"/>
      <family val="2"/>
    </font>
    <font>
      <sz val="9"/>
      <name val="Arial"/>
      <family val="2"/>
    </font>
    <font>
      <b/>
      <sz val="9"/>
      <name val="Arial"/>
      <family val="2"/>
    </font>
    <font>
      <sz val="10"/>
      <color indexed="12"/>
      <name val="Arial"/>
      <family val="2"/>
    </font>
    <font>
      <sz val="14"/>
      <name val="Arial"/>
      <family val="2"/>
    </font>
    <font>
      <b/>
      <sz val="16"/>
      <color indexed="18"/>
      <name val="Arial"/>
      <family val="2"/>
    </font>
    <font>
      <b/>
      <sz val="10"/>
      <color indexed="56"/>
      <name val="Arial"/>
      <family val="2"/>
    </font>
    <font>
      <sz val="9"/>
      <color theme="1"/>
      <name val="Arial"/>
      <family val="2"/>
    </font>
    <font>
      <sz val="10"/>
      <color theme="0" tint="-0.14999847407452621"/>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b/>
      <sz val="9"/>
      <name val="Calibri"/>
      <family val="2"/>
      <scheme val="minor"/>
    </font>
    <font>
      <sz val="9"/>
      <name val="Calibri"/>
      <family val="2"/>
      <scheme val="minor"/>
    </font>
    <font>
      <b/>
      <sz val="11"/>
      <name val="Calibri"/>
      <family val="2"/>
      <scheme val="minor"/>
    </font>
    <font>
      <sz val="11"/>
      <name val="Calibri"/>
      <family val="2"/>
      <scheme val="minor"/>
    </font>
    <font>
      <sz val="11"/>
      <name val="Arial"/>
      <family val="2"/>
    </font>
    <font>
      <b/>
      <sz val="12"/>
      <name val="Calibri"/>
      <family val="2"/>
      <scheme val="minor"/>
    </font>
    <font>
      <sz val="12"/>
      <name val="Calibri"/>
      <family val="2"/>
      <scheme val="minor"/>
    </font>
    <font>
      <b/>
      <sz val="12"/>
      <color theme="0"/>
      <name val="Calibri"/>
      <family val="2"/>
      <scheme val="minor"/>
    </font>
    <font>
      <sz val="12"/>
      <name val="Arial"/>
      <family val="2"/>
    </font>
    <font>
      <b/>
      <i/>
      <sz val="9"/>
      <name val="Calibri"/>
      <family val="2"/>
      <scheme val="minor"/>
    </font>
    <font>
      <b/>
      <i/>
      <sz val="11"/>
      <name val="Calibri"/>
      <family val="2"/>
      <scheme val="minor"/>
    </font>
    <font>
      <sz val="8"/>
      <name val="Arial"/>
      <family val="2"/>
    </font>
    <font>
      <b/>
      <sz val="9"/>
      <name val="Arial Black"/>
      <family val="2"/>
    </font>
    <font>
      <sz val="10"/>
      <color theme="1"/>
      <name val="Calibri"/>
      <family val="2"/>
      <scheme val="minor"/>
    </font>
    <font>
      <sz val="10"/>
      <color rgb="FFFF0000"/>
      <name val="Arial"/>
      <family val="2"/>
    </font>
    <font>
      <i/>
      <sz val="10"/>
      <color theme="0" tint="-0.249977111117893"/>
      <name val="Arial"/>
      <family val="2"/>
    </font>
    <font>
      <b/>
      <sz val="10"/>
      <color rgb="FFFF0000"/>
      <name val="Arial"/>
      <family val="2"/>
    </font>
    <font>
      <sz val="9"/>
      <name val="Trebuchet MS"/>
      <family val="2"/>
    </font>
    <font>
      <b/>
      <sz val="9"/>
      <name val="Trebuchet MS"/>
      <family val="2"/>
    </font>
    <font>
      <sz val="7"/>
      <name val="Times New Roman"/>
      <family val="1"/>
    </font>
  </fonts>
  <fills count="28">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rgb="FF92D050"/>
        <bgColor indexed="64"/>
      </patternFill>
    </fill>
    <fill>
      <patternFill patternType="solid">
        <fgColor theme="6" tint="-0.249977111117893"/>
        <bgColor indexed="64"/>
      </patternFill>
    </fill>
    <fill>
      <patternFill patternType="solid">
        <fgColor rgb="FF99CCFF"/>
        <bgColor indexed="64"/>
      </patternFill>
    </fill>
    <fill>
      <patternFill patternType="solid">
        <fgColor theme="0" tint="-0.249977111117893"/>
        <bgColor indexed="64"/>
      </patternFill>
    </fill>
    <fill>
      <patternFill patternType="solid">
        <fgColor rgb="FF00B0F0"/>
        <bgColor indexed="64"/>
      </patternFill>
    </fill>
    <fill>
      <patternFill patternType="solid">
        <fgColor theme="9" tint="-0.499984740745262"/>
        <bgColor indexed="64"/>
      </patternFill>
    </fill>
    <fill>
      <patternFill patternType="solid">
        <fgColor rgb="FFE6B9B8"/>
        <bgColor indexed="64"/>
      </patternFill>
    </fill>
    <fill>
      <patternFill patternType="solid">
        <fgColor rgb="FFC5D9F1"/>
        <bgColor indexed="64"/>
      </patternFill>
    </fill>
    <fill>
      <patternFill patternType="solid">
        <fgColor theme="5" tint="0.39997558519241921"/>
        <bgColor indexed="64"/>
      </patternFill>
    </fill>
    <fill>
      <patternFill patternType="solid">
        <fgColor rgb="FFD9D9D9"/>
        <bgColor indexed="64"/>
      </patternFill>
    </fill>
  </fills>
  <borders count="1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medium">
        <color indexed="64"/>
      </left>
      <right style="thin">
        <color indexed="64"/>
      </right>
      <top style="medium">
        <color indexed="64"/>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style="medium">
        <color indexed="64"/>
      </bottom>
      <diagonal/>
    </border>
    <border>
      <left/>
      <right/>
      <top style="medium">
        <color indexed="64"/>
      </top>
      <bottom style="medium">
        <color rgb="FF000000"/>
      </bottom>
      <diagonal/>
    </border>
    <border>
      <left style="medium">
        <color indexed="64"/>
      </left>
      <right style="medium">
        <color rgb="FF000000"/>
      </right>
      <top/>
      <bottom/>
      <diagonal/>
    </border>
    <border>
      <left style="medium">
        <color indexed="64"/>
      </left>
      <right/>
      <top/>
      <bottom style="medium">
        <color rgb="FF000000"/>
      </bottom>
      <diagonal/>
    </border>
    <border>
      <left/>
      <right style="medium">
        <color rgb="FF000000"/>
      </right>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s>
  <cellStyleXfs count="7">
    <xf numFmtId="0" fontId="0"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164" fontId="2" fillId="0" borderId="0" applyFont="0" applyFill="0" applyBorder="0" applyAlignment="0" applyProtection="0"/>
  </cellStyleXfs>
  <cellXfs count="640">
    <xf numFmtId="0" fontId="0" fillId="0" borderId="0" xfId="0"/>
    <xf numFmtId="0" fontId="0" fillId="0" borderId="0" xfId="0"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 fontId="4" fillId="0" borderId="0" xfId="0" applyNumberFormat="1" applyFont="1" applyAlignment="1">
      <alignment horizontal="center"/>
    </xf>
    <xf numFmtId="168" fontId="4" fillId="0" borderId="0" xfId="0" applyNumberFormat="1" applyFont="1" applyAlignment="1">
      <alignment horizontal="center"/>
    </xf>
    <xf numFmtId="168" fontId="4" fillId="0" borderId="0" xfId="0" applyNumberFormat="1" applyFont="1" applyFill="1" applyAlignment="1">
      <alignment horizontal="center"/>
    </xf>
    <xf numFmtId="0" fontId="4" fillId="0" borderId="0" xfId="0" applyFont="1" applyFill="1" applyAlignment="1">
      <alignment horizontal="center"/>
    </xf>
    <xf numFmtId="0" fontId="4" fillId="3" borderId="1" xfId="0" applyFont="1" applyFill="1" applyBorder="1" applyAlignment="1">
      <alignment horizontal="center"/>
    </xf>
    <xf numFmtId="167" fontId="4" fillId="2" borderId="4" xfId="0" applyNumberFormat="1" applyFont="1" applyFill="1" applyBorder="1" applyAlignment="1">
      <alignment horizontal="center"/>
    </xf>
    <xf numFmtId="0" fontId="4" fillId="3" borderId="5" xfId="0" applyFont="1" applyFill="1" applyBorder="1" applyAlignment="1">
      <alignment horizontal="center"/>
    </xf>
    <xf numFmtId="10" fontId="4" fillId="2" borderId="6" xfId="0" applyNumberFormat="1" applyFont="1" applyFill="1" applyBorder="1" applyAlignment="1">
      <alignment horizontal="center"/>
    </xf>
    <xf numFmtId="0" fontId="4" fillId="0" borderId="2" xfId="0" applyFont="1" applyFill="1" applyBorder="1" applyAlignment="1">
      <alignment horizontal="center"/>
    </xf>
    <xf numFmtId="2" fontId="4" fillId="0" borderId="0" xfId="0" applyNumberFormat="1" applyFont="1" applyFill="1" applyAlignment="1">
      <alignment horizontal="center"/>
    </xf>
    <xf numFmtId="3" fontId="4" fillId="0" borderId="2" xfId="0" applyNumberFormat="1" applyFont="1" applyFill="1" applyBorder="1" applyAlignment="1">
      <alignment horizontal="center"/>
    </xf>
    <xf numFmtId="168" fontId="4" fillId="0" borderId="0" xfId="0" applyNumberFormat="1" applyFont="1" applyAlignment="1">
      <alignment horizontal="center" vertical="center"/>
    </xf>
    <xf numFmtId="3" fontId="4" fillId="0" borderId="0" xfId="0" applyNumberFormat="1" applyFont="1" applyFill="1" applyAlignment="1">
      <alignment horizontal="center"/>
    </xf>
    <xf numFmtId="1" fontId="4" fillId="0" borderId="2" xfId="0" applyNumberFormat="1" applyFont="1" applyFill="1" applyBorder="1" applyAlignment="1">
      <alignment horizontal="center"/>
    </xf>
    <xf numFmtId="0" fontId="4" fillId="0" borderId="7" xfId="0" applyFont="1" applyFill="1" applyBorder="1" applyAlignment="1">
      <alignment horizontal="center"/>
    </xf>
    <xf numFmtId="0" fontId="4" fillId="0" borderId="0" xfId="0" applyFont="1"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Fill="1"/>
    <xf numFmtId="0" fontId="6" fillId="0" borderId="0" xfId="0" applyFont="1" applyFill="1"/>
    <xf numFmtId="4" fontId="4" fillId="0" borderId="0" xfId="0" applyNumberFormat="1" applyFont="1" applyFill="1" applyBorder="1" applyAlignment="1">
      <alignment horizontal="center"/>
    </xf>
    <xf numFmtId="0" fontId="0" fillId="0" borderId="0" xfId="0" applyFill="1" applyAlignment="1">
      <alignment horizontal="center"/>
    </xf>
    <xf numFmtId="0" fontId="5" fillId="0" borderId="0" xfId="0" applyFont="1" applyBorder="1" applyAlignment="1">
      <alignment horizontal="center"/>
    </xf>
    <xf numFmtId="0" fontId="0" fillId="0" borderId="0" xfId="0" applyFill="1" applyAlignment="1">
      <alignment wrapText="1"/>
    </xf>
    <xf numFmtId="0" fontId="0" fillId="0" borderId="0" xfId="0" applyFill="1" applyAlignment="1">
      <alignment horizontal="left" wrapText="1"/>
    </xf>
    <xf numFmtId="38" fontId="4" fillId="0" borderId="2" xfId="0" applyNumberFormat="1" applyFont="1" applyFill="1" applyBorder="1" applyAlignment="1">
      <alignment horizontal="center"/>
    </xf>
    <xf numFmtId="3" fontId="4" fillId="0" borderId="8" xfId="0" applyNumberFormat="1" applyFont="1" applyFill="1" applyBorder="1" applyAlignment="1">
      <alignment horizontal="center"/>
    </xf>
    <xf numFmtId="0" fontId="5" fillId="0" borderId="0" xfId="0" applyFont="1" applyFill="1" applyAlignment="1">
      <alignment horizontal="center" wrapText="1"/>
    </xf>
    <xf numFmtId="1" fontId="4" fillId="0" borderId="0" xfId="0" applyNumberFormat="1" applyFont="1" applyFill="1" applyAlignment="1">
      <alignment horizontal="center"/>
    </xf>
    <xf numFmtId="38" fontId="4" fillId="0" borderId="0" xfId="0" applyNumberFormat="1" applyFont="1" applyFill="1" applyAlignment="1">
      <alignment horizontal="center"/>
    </xf>
    <xf numFmtId="3" fontId="4" fillId="0" borderId="2" xfId="0" applyNumberFormat="1" applyFont="1" applyFill="1" applyBorder="1" applyAlignment="1">
      <alignment horizontal="center" vertical="center"/>
    </xf>
    <xf numFmtId="0" fontId="3" fillId="0" borderId="0" xfId="0" applyFont="1" applyFill="1" applyBorder="1" applyAlignment="1" applyProtection="1">
      <alignment horizontal="left" wrapText="1"/>
      <protection hidden="1"/>
    </xf>
    <xf numFmtId="0" fontId="2" fillId="0" borderId="2" xfId="0" applyFont="1" applyFill="1" applyBorder="1" applyAlignment="1">
      <alignment horizontal="left" wrapText="1"/>
    </xf>
    <xf numFmtId="0" fontId="5" fillId="0" borderId="28" xfId="0" applyFont="1" applyFill="1" applyBorder="1" applyAlignment="1">
      <alignment horizontal="center" wrapText="1"/>
    </xf>
    <xf numFmtId="168" fontId="4" fillId="0" borderId="0" xfId="0" applyNumberFormat="1" applyFont="1" applyFill="1" applyBorder="1" applyAlignment="1">
      <alignment horizontal="center"/>
    </xf>
    <xf numFmtId="168" fontId="4" fillId="0" borderId="0" xfId="0" applyNumberFormat="1" applyFont="1" applyFill="1" applyBorder="1" applyAlignment="1">
      <alignment horizontal="center" vertical="center"/>
    </xf>
    <xf numFmtId="168" fontId="4" fillId="0" borderId="0" xfId="0" applyNumberFormat="1" applyFont="1" applyBorder="1" applyAlignment="1">
      <alignment horizontal="center"/>
    </xf>
    <xf numFmtId="168" fontId="4" fillId="0" borderId="0" xfId="0" applyNumberFormat="1" applyFont="1" applyBorder="1" applyAlignment="1">
      <alignment horizontal="center" vertical="center"/>
    </xf>
    <xf numFmtId="9" fontId="4" fillId="4" borderId="4" xfId="2" applyFont="1" applyFill="1" applyBorder="1" applyAlignment="1">
      <alignment horizontal="center" vertical="center"/>
    </xf>
    <xf numFmtId="0" fontId="5" fillId="0" borderId="0" xfId="0" applyFont="1" applyFill="1" applyAlignment="1"/>
    <xf numFmtId="0" fontId="4" fillId="0" borderId="49" xfId="0" applyFont="1" applyBorder="1" applyAlignment="1">
      <alignment horizontal="center"/>
    </xf>
    <xf numFmtId="3" fontId="4" fillId="0" borderId="49" xfId="0" applyNumberFormat="1" applyFont="1" applyBorder="1" applyAlignment="1">
      <alignment horizontal="center"/>
    </xf>
    <xf numFmtId="0" fontId="4" fillId="0" borderId="49" xfId="0" applyFont="1" applyFill="1" applyBorder="1" applyAlignment="1">
      <alignment horizontal="center"/>
    </xf>
    <xf numFmtId="0" fontId="4" fillId="4" borderId="18" xfId="0" applyFont="1" applyFill="1" applyBorder="1" applyAlignment="1">
      <alignment horizontal="left" vertical="center" wrapText="1"/>
    </xf>
    <xf numFmtId="171" fontId="4" fillId="4" borderId="16" xfId="0" applyNumberFormat="1" applyFont="1" applyFill="1" applyBorder="1" applyAlignment="1">
      <alignment horizontal="center" vertical="center"/>
    </xf>
    <xf numFmtId="0" fontId="5" fillId="0" borderId="48" xfId="0" applyFont="1" applyBorder="1" applyAlignment="1">
      <alignment horizontal="left"/>
    </xf>
    <xf numFmtId="3" fontId="4" fillId="0" borderId="2" xfId="1" applyNumberFormat="1" applyFont="1" applyFill="1" applyBorder="1" applyAlignment="1">
      <alignment horizontal="center"/>
    </xf>
    <xf numFmtId="172" fontId="4" fillId="0" borderId="2" xfId="0" applyNumberFormat="1" applyFont="1" applyFill="1" applyBorder="1" applyAlignment="1">
      <alignment horizontal="center"/>
    </xf>
    <xf numFmtId="1" fontId="4" fillId="4" borderId="16" xfId="0" applyNumberFormat="1" applyFont="1" applyFill="1" applyBorder="1" applyAlignment="1">
      <alignment horizontal="center" vertical="center"/>
    </xf>
    <xf numFmtId="0" fontId="5" fillId="7" borderId="2" xfId="0" applyFont="1" applyFill="1" applyBorder="1" applyAlignment="1">
      <alignment horizontal="center" wrapText="1"/>
    </xf>
    <xf numFmtId="3" fontId="5" fillId="7" borderId="2" xfId="0" applyNumberFormat="1" applyFont="1" applyFill="1" applyBorder="1" applyAlignment="1">
      <alignment horizontal="center" wrapText="1"/>
    </xf>
    <xf numFmtId="0" fontId="5" fillId="8" borderId="2" xfId="0" applyFont="1" applyFill="1" applyBorder="1" applyAlignment="1">
      <alignment horizontal="center" wrapText="1"/>
    </xf>
    <xf numFmtId="0" fontId="5" fillId="8" borderId="1" xfId="0" applyFont="1" applyFill="1" applyBorder="1" applyAlignment="1">
      <alignment horizontal="center" wrapText="1"/>
    </xf>
    <xf numFmtId="0" fontId="5" fillId="8" borderId="4" xfId="0" applyFont="1" applyFill="1" applyBorder="1" applyAlignment="1">
      <alignment horizontal="center" wrapText="1"/>
    </xf>
    <xf numFmtId="170" fontId="4" fillId="0" borderId="0" xfId="1" applyNumberFormat="1" applyFont="1" applyFill="1" applyAlignment="1">
      <alignment horizontal="center"/>
    </xf>
    <xf numFmtId="0" fontId="2" fillId="0" borderId="0" xfId="0" applyFont="1" applyAlignment="1">
      <alignment horizontal="center" wrapText="1"/>
    </xf>
    <xf numFmtId="0" fontId="2" fillId="0" borderId="0" xfId="0" applyFont="1"/>
    <xf numFmtId="0" fontId="2" fillId="0" borderId="0" xfId="0" applyFont="1" applyAlignment="1">
      <alignment horizontal="center"/>
    </xf>
    <xf numFmtId="3" fontId="2" fillId="0" borderId="0" xfId="0" applyNumberFormat="1" applyFont="1" applyFill="1" applyBorder="1" applyAlignment="1" applyProtection="1">
      <alignment horizontal="center"/>
      <protection hidden="1"/>
    </xf>
    <xf numFmtId="0" fontId="2" fillId="0" borderId="0" xfId="0" applyFont="1" applyBorder="1" applyAlignment="1">
      <alignment horizontal="center"/>
    </xf>
    <xf numFmtId="0" fontId="2" fillId="0" borderId="0" xfId="0" applyFont="1" applyAlignment="1">
      <alignment horizontal="center" vertical="center"/>
    </xf>
    <xf numFmtId="0" fontId="2" fillId="10" borderId="3" xfId="0" applyFont="1" applyFill="1" applyBorder="1" applyAlignment="1">
      <alignment horizontal="center"/>
    </xf>
    <xf numFmtId="0" fontId="2" fillId="11" borderId="7"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9" fontId="2" fillId="0" borderId="0"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9" borderId="11" xfId="0" applyFont="1" applyFill="1" applyBorder="1" applyAlignment="1">
      <alignment horizontal="center" vertical="center"/>
    </xf>
    <xf numFmtId="10" fontId="2" fillId="9" borderId="13" xfId="0" applyNumberFormat="1" applyFont="1" applyFill="1" applyBorder="1" applyAlignment="1">
      <alignment horizontal="center" vertical="center"/>
    </xf>
    <xf numFmtId="9" fontId="2" fillId="9" borderId="3" xfId="0" applyNumberFormat="1" applyFont="1" applyFill="1" applyBorder="1" applyAlignment="1">
      <alignment horizontal="center" vertical="center"/>
    </xf>
    <xf numFmtId="0" fontId="2" fillId="0" borderId="0" xfId="0" applyFont="1" applyFill="1" applyBorder="1" applyAlignment="1">
      <alignment vertical="center"/>
    </xf>
    <xf numFmtId="10" fontId="2" fillId="0" borderId="0" xfId="0" applyNumberFormat="1" applyFont="1" applyFill="1" applyBorder="1" applyAlignment="1">
      <alignment horizontal="center" vertical="center"/>
    </xf>
    <xf numFmtId="9" fontId="2" fillId="0" borderId="0" xfId="0" applyNumberFormat="1"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Alignment="1"/>
    <xf numFmtId="165" fontId="2" fillId="0" borderId="0" xfId="0" applyNumberFormat="1" applyFont="1" applyAlignment="1">
      <alignment horizontal="center" vertical="center"/>
    </xf>
    <xf numFmtId="165" fontId="2" fillId="0" borderId="0" xfId="0" applyNumberFormat="1" applyFont="1" applyFill="1" applyAlignment="1">
      <alignment horizontal="center" vertical="center"/>
    </xf>
    <xf numFmtId="2" fontId="2" fillId="0" borderId="0" xfId="0" applyNumberFormat="1" applyFont="1" applyFill="1" applyBorder="1" applyAlignment="1">
      <alignment horizontal="center"/>
    </xf>
    <xf numFmtId="165" fontId="2" fillId="0" borderId="0" xfId="0" applyNumberFormat="1" applyFont="1" applyFill="1" applyBorder="1" applyAlignment="1">
      <alignment horizontal="center" vertical="center"/>
    </xf>
    <xf numFmtId="2" fontId="2" fillId="0" borderId="0" xfId="0" applyNumberFormat="1" applyFont="1" applyBorder="1"/>
    <xf numFmtId="166" fontId="2" fillId="0" borderId="0" xfId="0" applyNumberFormat="1" applyFont="1" applyFill="1" applyBorder="1" applyAlignment="1">
      <alignment horizontal="center"/>
    </xf>
    <xf numFmtId="166" fontId="2" fillId="0" borderId="0" xfId="0" applyNumberFormat="1" applyFont="1" applyFill="1" applyBorder="1" applyAlignment="1" applyProtection="1">
      <alignment horizontal="center" vertical="center"/>
      <protection locked="0"/>
    </xf>
    <xf numFmtId="166" fontId="2" fillId="0" borderId="0" xfId="0" applyNumberFormat="1" applyFont="1" applyFill="1" applyBorder="1" applyAlignment="1">
      <alignment horizontal="center" vertical="center"/>
    </xf>
    <xf numFmtId="165" fontId="2" fillId="0" borderId="0" xfId="0" applyNumberFormat="1" applyFont="1" applyBorder="1" applyAlignment="1">
      <alignment horizontal="center" vertical="center"/>
    </xf>
    <xf numFmtId="165" fontId="2" fillId="0" borderId="0" xfId="0" applyNumberFormat="1" applyFont="1" applyFill="1" applyBorder="1" applyAlignment="1" applyProtection="1">
      <alignment horizontal="center" vertical="center"/>
      <protection locked="0"/>
    </xf>
    <xf numFmtId="0" fontId="2" fillId="0" borderId="0" xfId="0" applyFont="1" applyBorder="1" applyAlignment="1">
      <alignment vertical="center"/>
    </xf>
    <xf numFmtId="2" fontId="2" fillId="0" borderId="0" xfId="0" applyNumberFormat="1" applyFont="1" applyBorder="1" applyAlignment="1">
      <alignment horizontal="center"/>
    </xf>
    <xf numFmtId="0" fontId="2" fillId="0" borderId="16" xfId="0" applyFont="1" applyFill="1" applyBorder="1" applyAlignment="1">
      <alignment horizontal="center" vertical="center"/>
    </xf>
    <xf numFmtId="10" fontId="2" fillId="0" borderId="10" xfId="0" applyNumberFormat="1" applyFont="1" applyFill="1" applyBorder="1" applyAlignment="1">
      <alignment horizontal="center" vertical="center"/>
    </xf>
    <xf numFmtId="10" fontId="2" fillId="0" borderId="2" xfId="0" applyNumberFormat="1" applyFont="1" applyFill="1" applyBorder="1" applyAlignment="1">
      <alignment horizontal="center" vertical="center"/>
    </xf>
    <xf numFmtId="0" fontId="2" fillId="11" borderId="15" xfId="0" applyFont="1" applyFill="1" applyBorder="1" applyAlignment="1">
      <alignment horizontal="center" vertical="center"/>
    </xf>
    <xf numFmtId="0" fontId="2" fillId="11" borderId="1" xfId="0" applyFont="1" applyFill="1" applyBorder="1" applyAlignment="1">
      <alignment horizontal="center" vertical="center"/>
    </xf>
    <xf numFmtId="0" fontId="2" fillId="11" borderId="5" xfId="0" applyFont="1" applyFill="1" applyBorder="1" applyAlignment="1">
      <alignment horizontal="center" vertical="center"/>
    </xf>
    <xf numFmtId="0" fontId="2" fillId="11" borderId="15" xfId="0" applyFont="1" applyFill="1" applyBorder="1" applyAlignment="1">
      <alignment horizontal="center" vertical="center" wrapText="1"/>
    </xf>
    <xf numFmtId="0" fontId="2" fillId="11" borderId="25" xfId="0" applyFont="1" applyFill="1" applyBorder="1" applyAlignment="1">
      <alignment horizontal="center" vertical="center"/>
    </xf>
    <xf numFmtId="0" fontId="2" fillId="0" borderId="0" xfId="0" quotePrefix="1" applyFont="1" applyBorder="1" applyAlignment="1">
      <alignment vertical="center"/>
    </xf>
    <xf numFmtId="0" fontId="2" fillId="11" borderId="11" xfId="0" applyFont="1" applyFill="1" applyBorder="1" applyAlignment="1">
      <alignment horizontal="center" vertical="center"/>
    </xf>
    <xf numFmtId="0" fontId="2" fillId="0" borderId="8"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wrapText="1"/>
    </xf>
    <xf numFmtId="0" fontId="0" fillId="0" borderId="0" xfId="0" applyFill="1" applyAlignment="1">
      <alignment vertical="center"/>
    </xf>
    <xf numFmtId="0" fontId="4" fillId="6" borderId="18" xfId="0" applyFont="1" applyFill="1" applyBorder="1" applyAlignment="1">
      <alignment horizontal="left" vertical="center"/>
    </xf>
    <xf numFmtId="1" fontId="4" fillId="6" borderId="16" xfId="0" applyNumberFormat="1" applyFont="1" applyFill="1" applyBorder="1" applyAlignment="1">
      <alignment horizontal="center" vertical="center"/>
    </xf>
    <xf numFmtId="168" fontId="4" fillId="6" borderId="37" xfId="0" applyNumberFormat="1" applyFont="1" applyFill="1" applyBorder="1" applyAlignment="1">
      <alignment horizontal="center"/>
    </xf>
    <xf numFmtId="0" fontId="2" fillId="0" borderId="0" xfId="0" applyFont="1" applyAlignment="1">
      <alignment horizontal="left"/>
    </xf>
    <xf numFmtId="0" fontId="2" fillId="0" borderId="2" xfId="0" applyFont="1" applyFill="1" applyBorder="1" applyAlignment="1">
      <alignment horizontal="center"/>
    </xf>
    <xf numFmtId="9" fontId="2" fillId="0" borderId="2" xfId="0" applyNumberFormat="1" applyFont="1" applyFill="1" applyBorder="1" applyAlignment="1">
      <alignment horizontal="left" wrapText="1"/>
    </xf>
    <xf numFmtId="0" fontId="3" fillId="13" borderId="2" xfId="0" applyFont="1" applyFill="1" applyBorder="1" applyAlignment="1">
      <alignment horizontal="center" vertical="center"/>
    </xf>
    <xf numFmtId="0" fontId="3" fillId="13" borderId="2" xfId="0" applyFont="1" applyFill="1" applyBorder="1" applyAlignment="1">
      <alignment horizontal="center" vertical="center" wrapText="1"/>
    </xf>
    <xf numFmtId="3" fontId="4" fillId="0" borderId="2" xfId="0" applyNumberFormat="1" applyFont="1" applyBorder="1" applyAlignment="1">
      <alignment horizontal="center"/>
    </xf>
    <xf numFmtId="3" fontId="2" fillId="0" borderId="2" xfId="0" applyNumberFormat="1" applyFont="1" applyFill="1" applyBorder="1" applyAlignment="1">
      <alignment horizontal="left" wrapText="1"/>
    </xf>
    <xf numFmtId="3" fontId="2" fillId="0" borderId="16" xfId="2" applyNumberFormat="1" applyFont="1" applyFill="1" applyBorder="1" applyAlignment="1">
      <alignment horizontal="center" vertical="center"/>
    </xf>
    <xf numFmtId="10" fontId="4" fillId="0" borderId="0" xfId="0" applyNumberFormat="1" applyFont="1" applyFill="1" applyAlignment="1">
      <alignment horizontal="center"/>
    </xf>
    <xf numFmtId="43" fontId="4" fillId="0" borderId="0" xfId="0" applyNumberFormat="1" applyFont="1" applyFill="1" applyAlignment="1">
      <alignment horizontal="center"/>
    </xf>
    <xf numFmtId="9" fontId="3" fillId="0" borderId="19" xfId="2" applyFont="1" applyBorder="1" applyAlignment="1">
      <alignment horizontal="center" vertical="center"/>
    </xf>
    <xf numFmtId="0" fontId="2" fillId="0" borderId="7" xfId="0" applyFont="1" applyFill="1" applyBorder="1" applyAlignment="1">
      <alignment horizontal="center" vertical="center"/>
    </xf>
    <xf numFmtId="0" fontId="2" fillId="0" borderId="11" xfId="0" applyFont="1" applyBorder="1" applyAlignment="1">
      <alignment horizontal="center" vertical="center"/>
    </xf>
    <xf numFmtId="0" fontId="2" fillId="11" borderId="2" xfId="0" applyFont="1" applyFill="1" applyBorder="1" applyAlignment="1">
      <alignment horizontal="center" vertical="center"/>
    </xf>
    <xf numFmtId="174" fontId="4" fillId="0" borderId="0" xfId="1" applyNumberFormat="1" applyFont="1" applyFill="1" applyAlignment="1">
      <alignment horizontal="center"/>
    </xf>
    <xf numFmtId="164" fontId="4" fillId="0" borderId="0" xfId="0" applyNumberFormat="1" applyFont="1" applyFill="1" applyAlignment="1">
      <alignment horizontal="center"/>
    </xf>
    <xf numFmtId="0" fontId="2" fillId="0" borderId="0" xfId="0" applyFont="1" applyAlignment="1">
      <alignment horizontal="left" vertical="center"/>
    </xf>
    <xf numFmtId="0" fontId="4" fillId="0" borderId="0" xfId="0" applyFont="1" applyAlignment="1">
      <alignment horizontal="center" wrapText="1"/>
    </xf>
    <xf numFmtId="38" fontId="4" fillId="0" borderId="0" xfId="0" applyNumberFormat="1" applyFont="1" applyAlignment="1">
      <alignment horizontal="center"/>
    </xf>
    <xf numFmtId="9" fontId="2" fillId="11" borderId="1" xfId="0" applyNumberFormat="1" applyFont="1" applyFill="1" applyBorder="1" applyAlignment="1">
      <alignment horizontal="left"/>
    </xf>
    <xf numFmtId="0" fontId="2" fillId="10" borderId="4" xfId="0" applyFont="1" applyFill="1" applyBorder="1" applyAlignment="1">
      <alignment horizontal="center"/>
    </xf>
    <xf numFmtId="9" fontId="2" fillId="11" borderId="11" xfId="0" applyNumberFormat="1" applyFont="1" applyFill="1" applyBorder="1" applyAlignment="1">
      <alignment horizontal="left"/>
    </xf>
    <xf numFmtId="0" fontId="2" fillId="0" borderId="1" xfId="0" applyFont="1" applyBorder="1" applyAlignment="1">
      <alignment horizontal="center" vertical="center"/>
    </xf>
    <xf numFmtId="0" fontId="3" fillId="11" borderId="15" xfId="0" applyFont="1" applyFill="1" applyBorder="1" applyAlignment="1">
      <alignment horizontal="center" vertical="center" wrapText="1"/>
    </xf>
    <xf numFmtId="169" fontId="2" fillId="0" borderId="16" xfId="2" applyNumberFormat="1" applyFont="1" applyFill="1" applyBorder="1" applyAlignment="1">
      <alignment horizontal="center" vertical="center"/>
    </xf>
    <xf numFmtId="175" fontId="4" fillId="0" borderId="0" xfId="1" applyNumberFormat="1" applyFont="1" applyFill="1" applyAlignment="1">
      <alignment horizontal="center"/>
    </xf>
    <xf numFmtId="164" fontId="4" fillId="0" borderId="0" xfId="1" applyFont="1" applyAlignment="1">
      <alignment horizontal="center"/>
    </xf>
    <xf numFmtId="176" fontId="4" fillId="0" borderId="0" xfId="1" applyNumberFormat="1" applyFont="1" applyFill="1" applyAlignment="1">
      <alignment horizontal="center"/>
    </xf>
    <xf numFmtId="0" fontId="2" fillId="11" borderId="54" xfId="0" applyFont="1" applyFill="1" applyBorder="1" applyAlignment="1">
      <alignment horizontal="center" vertical="center"/>
    </xf>
    <xf numFmtId="9" fontId="4" fillId="0" borderId="0" xfId="0" applyNumberFormat="1" applyFont="1" applyAlignment="1">
      <alignment horizontal="center"/>
    </xf>
    <xf numFmtId="0" fontId="3" fillId="11" borderId="18" xfId="0" applyFont="1" applyFill="1" applyBorder="1" applyAlignment="1">
      <alignment vertical="top"/>
    </xf>
    <xf numFmtId="0" fontId="3" fillId="11" borderId="37" xfId="0" applyFont="1" applyFill="1" applyBorder="1" applyAlignment="1">
      <alignment vertical="top"/>
    </xf>
    <xf numFmtId="0" fontId="3" fillId="11" borderId="19" xfId="0" applyFont="1" applyFill="1" applyBorder="1" applyAlignment="1">
      <alignment vertical="top"/>
    </xf>
    <xf numFmtId="0" fontId="3" fillId="0" borderId="0" xfId="0" applyFont="1" applyAlignment="1">
      <alignment horizontal="left" vertical="center"/>
    </xf>
    <xf numFmtId="0" fontId="2" fillId="0" borderId="0" xfId="0" applyFont="1" applyAlignment="1">
      <alignment horizontal="left" vertical="top"/>
    </xf>
    <xf numFmtId="0" fontId="2" fillId="16" borderId="0" xfId="0" applyFont="1" applyFill="1" applyAlignment="1">
      <alignment horizontal="left" vertical="center"/>
    </xf>
    <xf numFmtId="38" fontId="10" fillId="0" borderId="2" xfId="0" applyNumberFormat="1" applyFont="1" applyFill="1" applyBorder="1" applyAlignment="1">
      <alignment horizontal="center"/>
    </xf>
    <xf numFmtId="3" fontId="10" fillId="0" borderId="2" xfId="0" applyNumberFormat="1" applyFont="1" applyFill="1" applyBorder="1" applyAlignment="1">
      <alignment horizontal="center"/>
    </xf>
    <xf numFmtId="164" fontId="4" fillId="0" borderId="0" xfId="1" applyFont="1" applyFill="1" applyAlignment="1">
      <alignment horizontal="center"/>
    </xf>
    <xf numFmtId="164" fontId="4" fillId="0" borderId="0" xfId="0" applyNumberFormat="1" applyFont="1" applyAlignment="1">
      <alignment horizontal="center"/>
    </xf>
    <xf numFmtId="172" fontId="4" fillId="0" borderId="0" xfId="0" applyNumberFormat="1" applyFont="1" applyFill="1" applyBorder="1" applyAlignment="1">
      <alignment horizontal="center"/>
    </xf>
    <xf numFmtId="175" fontId="4" fillId="0" borderId="0" xfId="0" applyNumberFormat="1" applyFont="1" applyFill="1" applyAlignment="1">
      <alignment horizontal="center"/>
    </xf>
    <xf numFmtId="0" fontId="2" fillId="0" borderId="2" xfId="0" applyFont="1" applyFill="1" applyBorder="1"/>
    <xf numFmtId="0" fontId="2" fillId="11" borderId="12" xfId="0" applyFont="1" applyFill="1" applyBorder="1" applyAlignment="1">
      <alignment horizontal="center" vertical="center" wrapText="1"/>
    </xf>
    <xf numFmtId="3" fontId="4" fillId="6" borderId="2" xfId="1" applyNumberFormat="1" applyFont="1" applyFill="1" applyBorder="1" applyAlignment="1">
      <alignment horizontal="center"/>
    </xf>
    <xf numFmtId="0" fontId="2" fillId="10" borderId="2" xfId="0" applyFont="1" applyFill="1" applyBorder="1" applyAlignment="1">
      <alignment horizontal="center" vertical="center"/>
    </xf>
    <xf numFmtId="177" fontId="2" fillId="0" borderId="0" xfId="2" applyNumberFormat="1" applyFont="1" applyFill="1" applyBorder="1" applyAlignment="1">
      <alignment horizontal="center" vertical="center"/>
    </xf>
    <xf numFmtId="177" fontId="2" fillId="0" borderId="4" xfId="2" applyNumberFormat="1" applyFont="1" applyFill="1" applyBorder="1" applyAlignment="1">
      <alignment horizontal="center" vertical="center"/>
    </xf>
    <xf numFmtId="0" fontId="2" fillId="11" borderId="6" xfId="0" applyFont="1" applyFill="1" applyBorder="1" applyAlignment="1">
      <alignment horizontal="center" vertical="center" wrapText="1"/>
    </xf>
    <xf numFmtId="177" fontId="2" fillId="0" borderId="50" xfId="2" applyNumberFormat="1" applyFont="1" applyFill="1" applyBorder="1" applyAlignment="1">
      <alignment horizontal="center" vertical="center"/>
    </xf>
    <xf numFmtId="1" fontId="2" fillId="0" borderId="0" xfId="0" applyNumberFormat="1" applyFont="1" applyFill="1" applyAlignment="1">
      <alignment horizontal="center" vertical="center"/>
    </xf>
    <xf numFmtId="0" fontId="2" fillId="0" borderId="2" xfId="0" applyFont="1" applyBorder="1" applyAlignment="1">
      <alignment horizontal="center" vertical="center"/>
    </xf>
    <xf numFmtId="0" fontId="2" fillId="0" borderId="11" xfId="0" applyFont="1" applyFill="1" applyBorder="1" applyAlignment="1">
      <alignment horizontal="center" wrapText="1"/>
    </xf>
    <xf numFmtId="169" fontId="2" fillId="0" borderId="8" xfId="0" applyNumberFormat="1" applyFont="1" applyFill="1" applyBorder="1" applyAlignment="1">
      <alignment horizontal="center" vertical="center"/>
    </xf>
    <xf numFmtId="0" fontId="20" fillId="0" borderId="0" xfId="0" applyFont="1"/>
    <xf numFmtId="0" fontId="19" fillId="10" borderId="69" xfId="0" applyFont="1" applyFill="1" applyBorder="1" applyAlignment="1" applyProtection="1">
      <alignment horizontal="center" vertical="center"/>
      <protection locked="0"/>
    </xf>
    <xf numFmtId="3" fontId="19" fillId="10" borderId="70" xfId="0" applyNumberFormat="1" applyFont="1" applyFill="1" applyBorder="1" applyAlignment="1" applyProtection="1">
      <alignment horizontal="center" vertical="center"/>
    </xf>
    <xf numFmtId="0" fontId="19" fillId="10" borderId="69" xfId="0" applyFont="1" applyFill="1" applyBorder="1" applyAlignment="1" applyProtection="1">
      <alignment horizontal="center" vertical="center"/>
    </xf>
    <xf numFmtId="0" fontId="24" fillId="0" borderId="0" xfId="0" applyFont="1"/>
    <xf numFmtId="3" fontId="19" fillId="10" borderId="69" xfId="0" applyNumberFormat="1" applyFont="1" applyFill="1" applyBorder="1" applyAlignment="1" applyProtection="1">
      <alignment horizontal="center" vertical="center"/>
      <protection locked="0"/>
    </xf>
    <xf numFmtId="0" fontId="19" fillId="10" borderId="2" xfId="0" applyFont="1" applyFill="1" applyBorder="1" applyAlignment="1" applyProtection="1">
      <alignment horizontal="center" vertical="center"/>
      <protection locked="0"/>
    </xf>
    <xf numFmtId="3" fontId="19" fillId="10" borderId="2" xfId="0" applyNumberFormat="1" applyFont="1" applyFill="1" applyBorder="1" applyAlignment="1" applyProtection="1">
      <alignment horizontal="center" vertical="center"/>
      <protection locked="0"/>
    </xf>
    <xf numFmtId="10" fontId="19" fillId="15" borderId="2" xfId="5" applyNumberFormat="1" applyFont="1" applyFill="1" applyBorder="1" applyAlignment="1" applyProtection="1">
      <alignment horizontal="center" vertical="center"/>
      <protection locked="0"/>
    </xf>
    <xf numFmtId="3" fontId="19" fillId="15" borderId="2" xfId="5" applyNumberFormat="1" applyFont="1" applyFill="1" applyBorder="1" applyAlignment="1" applyProtection="1">
      <alignment horizontal="center" vertical="center"/>
      <protection locked="0"/>
    </xf>
    <xf numFmtId="169" fontId="19" fillId="15" borderId="2" xfId="5" applyNumberFormat="1" applyFont="1" applyFill="1" applyBorder="1" applyAlignment="1" applyProtection="1">
      <alignment horizontal="center" vertical="center"/>
      <protection locked="0"/>
    </xf>
    <xf numFmtId="3" fontId="22" fillId="10" borderId="2" xfId="0" applyNumberFormat="1" applyFont="1" applyFill="1" applyBorder="1" applyAlignment="1" applyProtection="1">
      <alignment horizontal="center" vertical="center"/>
    </xf>
    <xf numFmtId="169" fontId="22" fillId="15" borderId="2" xfId="2" applyNumberFormat="1" applyFont="1" applyFill="1" applyBorder="1" applyAlignment="1" applyProtection="1">
      <alignment horizontal="center" vertical="center"/>
      <protection locked="0"/>
    </xf>
    <xf numFmtId="3" fontId="22" fillId="10" borderId="62" xfId="0" applyNumberFormat="1" applyFont="1" applyFill="1" applyBorder="1" applyAlignment="1" applyProtection="1">
      <alignment horizontal="center" vertical="center"/>
    </xf>
    <xf numFmtId="169" fontId="22" fillId="15" borderId="62" xfId="2" applyNumberFormat="1" applyFont="1" applyFill="1" applyBorder="1" applyAlignment="1" applyProtection="1">
      <alignment horizontal="center" vertical="center"/>
      <protection locked="0"/>
    </xf>
    <xf numFmtId="0" fontId="22" fillId="10" borderId="2" xfId="0" applyFont="1" applyFill="1" applyBorder="1" applyAlignment="1" applyProtection="1">
      <alignment horizontal="center" vertical="center"/>
      <protection locked="0"/>
    </xf>
    <xf numFmtId="0" fontId="22" fillId="10" borderId="2" xfId="0" applyFont="1" applyFill="1" applyBorder="1" applyAlignment="1" applyProtection="1">
      <alignment horizontal="center" vertical="center"/>
    </xf>
    <xf numFmtId="3" fontId="22" fillId="10" borderId="2" xfId="0" applyNumberFormat="1" applyFont="1" applyFill="1" applyBorder="1" applyAlignment="1" applyProtection="1">
      <alignment horizontal="center" vertical="center"/>
      <protection locked="0"/>
    </xf>
    <xf numFmtId="3" fontId="22" fillId="10" borderId="62" xfId="0" applyNumberFormat="1" applyFont="1" applyFill="1" applyBorder="1" applyAlignment="1" applyProtection="1">
      <alignment horizontal="center" vertical="center"/>
      <protection locked="0"/>
    </xf>
    <xf numFmtId="0" fontId="22" fillId="10" borderId="71" xfId="0" applyFont="1" applyFill="1" applyBorder="1" applyAlignment="1" applyProtection="1">
      <alignment horizontal="center" vertical="center"/>
      <protection locked="0"/>
    </xf>
    <xf numFmtId="9" fontId="22" fillId="15" borderId="71" xfId="2" applyFont="1" applyFill="1" applyBorder="1" applyAlignment="1" applyProtection="1">
      <alignment horizontal="center" vertical="center"/>
      <protection locked="0"/>
    </xf>
    <xf numFmtId="169" fontId="2" fillId="0" borderId="61" xfId="0" applyNumberFormat="1" applyFont="1" applyFill="1" applyBorder="1" applyAlignment="1">
      <alignment horizontal="center" vertical="center"/>
    </xf>
    <xf numFmtId="169" fontId="2" fillId="0" borderId="2" xfId="0" applyNumberFormat="1" applyFont="1" applyFill="1" applyBorder="1" applyAlignment="1">
      <alignment horizontal="center" vertical="center"/>
    </xf>
    <xf numFmtId="0" fontId="2" fillId="11" borderId="44" xfId="0" applyFont="1" applyFill="1" applyBorder="1" applyAlignment="1">
      <alignment horizontal="left" wrapText="1"/>
    </xf>
    <xf numFmtId="0" fontId="2" fillId="0" borderId="41" xfId="0" applyFont="1" applyBorder="1" applyAlignment="1">
      <alignment horizontal="center" vertical="center"/>
    </xf>
    <xf numFmtId="10" fontId="19" fillId="15" borderId="69" xfId="2" applyNumberFormat="1" applyFont="1" applyFill="1" applyBorder="1" applyAlignment="1" applyProtection="1">
      <alignment horizontal="center" vertical="center"/>
      <protection locked="0"/>
    </xf>
    <xf numFmtId="0" fontId="19" fillId="10" borderId="69" xfId="0" applyFont="1" applyFill="1" applyBorder="1" applyAlignment="1" applyProtection="1">
      <alignment horizontal="left" vertical="center"/>
      <protection locked="0"/>
    </xf>
    <xf numFmtId="0" fontId="17" fillId="10" borderId="1" xfId="0" applyFont="1" applyFill="1" applyBorder="1" applyAlignment="1" applyProtection="1">
      <alignment horizontal="center" vertical="center"/>
      <protection locked="0"/>
    </xf>
    <xf numFmtId="0" fontId="17" fillId="10" borderId="4" xfId="0" applyFont="1" applyFill="1" applyBorder="1" applyAlignment="1" applyProtection="1">
      <alignment horizontal="center" vertical="center"/>
      <protection locked="0"/>
    </xf>
    <xf numFmtId="0" fontId="17" fillId="10" borderId="7" xfId="0" applyFont="1" applyFill="1" applyBorder="1" applyAlignment="1" applyProtection="1">
      <alignment horizontal="center" vertical="center"/>
    </xf>
    <xf numFmtId="0" fontId="17" fillId="10" borderId="11" xfId="0" applyFont="1" applyFill="1" applyBorder="1" applyAlignment="1" applyProtection="1">
      <alignment horizontal="center" vertical="center"/>
    </xf>
    <xf numFmtId="0" fontId="25" fillId="20" borderId="69" xfId="0" applyFont="1" applyFill="1" applyBorder="1" applyAlignment="1">
      <alignment horizontal="center" vertical="center" wrapText="1"/>
    </xf>
    <xf numFmtId="0" fontId="25" fillId="21" borderId="69" xfId="0" applyFont="1" applyFill="1" applyBorder="1" applyAlignment="1">
      <alignment horizontal="center" vertical="center" wrapText="1"/>
    </xf>
    <xf numFmtId="0" fontId="26" fillId="20" borderId="69" xfId="0" applyFont="1" applyFill="1" applyBorder="1" applyAlignment="1">
      <alignment horizontal="center" vertical="center" wrapText="1"/>
    </xf>
    <xf numFmtId="0" fontId="26" fillId="21" borderId="69" xfId="0" applyFont="1" applyFill="1" applyBorder="1" applyAlignment="1">
      <alignment horizontal="center" vertical="center" wrapText="1"/>
    </xf>
    <xf numFmtId="166" fontId="19" fillId="13" borderId="69" xfId="0" applyNumberFormat="1" applyFont="1" applyFill="1" applyBorder="1" applyAlignment="1">
      <alignment horizontal="center" vertical="center"/>
    </xf>
    <xf numFmtId="0" fontId="16" fillId="0" borderId="0" xfId="0" applyFont="1"/>
    <xf numFmtId="0" fontId="17" fillId="0" borderId="0" xfId="0" applyFont="1"/>
    <xf numFmtId="0" fontId="27" fillId="0" borderId="0" xfId="3" applyFont="1"/>
    <xf numFmtId="0" fontId="25" fillId="20" borderId="66" xfId="0" applyFont="1" applyFill="1" applyBorder="1" applyAlignment="1">
      <alignment horizontal="center" vertical="center" wrapText="1"/>
    </xf>
    <xf numFmtId="0" fontId="25" fillId="20" borderId="68" xfId="0" applyFont="1" applyFill="1" applyBorder="1" applyAlignment="1">
      <alignment horizontal="center" vertical="center" wrapText="1"/>
    </xf>
    <xf numFmtId="0" fontId="2" fillId="14" borderId="2" xfId="0" applyFont="1" applyFill="1" applyBorder="1" applyAlignment="1">
      <alignment horizontal="center" wrapText="1"/>
    </xf>
    <xf numFmtId="0" fontId="2" fillId="0" borderId="2" xfId="0" applyFont="1" applyBorder="1" applyAlignment="1">
      <alignment horizontal="center"/>
    </xf>
    <xf numFmtId="169" fontId="19" fillId="13" borderId="69" xfId="2" applyNumberFormat="1" applyFont="1" applyFill="1" applyBorder="1" applyAlignment="1">
      <alignment horizontal="center" vertical="center"/>
    </xf>
    <xf numFmtId="178" fontId="19" fillId="13" borderId="69" xfId="0" applyNumberFormat="1" applyFont="1" applyFill="1" applyBorder="1" applyAlignment="1">
      <alignment vertical="center"/>
    </xf>
    <xf numFmtId="9" fontId="2" fillId="0" borderId="17" xfId="0" applyNumberFormat="1" applyFont="1" applyBorder="1" applyAlignment="1">
      <alignment horizontal="center" vertical="center"/>
    </xf>
    <xf numFmtId="169" fontId="4" fillId="0" borderId="2" xfId="0" applyNumberFormat="1" applyFont="1" applyFill="1" applyBorder="1" applyAlignment="1">
      <alignment horizontal="center"/>
    </xf>
    <xf numFmtId="1" fontId="2" fillId="0" borderId="2" xfId="0" applyNumberFormat="1" applyFont="1" applyFill="1" applyBorder="1" applyAlignment="1" applyProtection="1">
      <alignment horizontal="center" vertical="center"/>
      <protection locked="0"/>
    </xf>
    <xf numFmtId="4" fontId="4" fillId="0" borderId="2" xfId="0" applyNumberFormat="1" applyFont="1" applyFill="1" applyBorder="1" applyAlignment="1">
      <alignment horizontal="center"/>
    </xf>
    <xf numFmtId="179" fontId="4" fillId="4" borderId="3" xfId="2" applyNumberFormat="1" applyFont="1" applyFill="1" applyBorder="1" applyAlignment="1">
      <alignment horizontal="center" vertical="center"/>
    </xf>
    <xf numFmtId="173" fontId="4" fillId="0" borderId="0" xfId="2" applyNumberFormat="1" applyFont="1" applyAlignment="1">
      <alignment horizontal="center"/>
    </xf>
    <xf numFmtId="0" fontId="3" fillId="11" borderId="18" xfId="0" applyFont="1" applyFill="1" applyBorder="1" applyAlignment="1">
      <alignment horizontal="center" vertical="center"/>
    </xf>
    <xf numFmtId="10" fontId="2" fillId="0" borderId="8" xfId="2" applyNumberFormat="1" applyFont="1" applyBorder="1" applyAlignment="1">
      <alignment horizontal="center" vertical="center"/>
    </xf>
    <xf numFmtId="10" fontId="2" fillId="22" borderId="4" xfId="2" applyNumberFormat="1" applyFont="1" applyFill="1" applyBorder="1" applyAlignment="1">
      <alignment horizontal="center" vertical="center"/>
    </xf>
    <xf numFmtId="10" fontId="2" fillId="22" borderId="8" xfId="2" applyNumberFormat="1" applyFont="1" applyFill="1" applyBorder="1" applyAlignment="1">
      <alignment horizontal="center" vertical="center"/>
    </xf>
    <xf numFmtId="166" fontId="2" fillId="14" borderId="2" xfId="0" applyNumberFormat="1" applyFont="1" applyFill="1" applyBorder="1" applyAlignment="1">
      <alignment horizontal="center"/>
    </xf>
    <xf numFmtId="0" fontId="26" fillId="20" borderId="66" xfId="0" applyFont="1" applyFill="1" applyBorder="1" applyAlignment="1">
      <alignment horizontal="center" vertical="center" wrapText="1"/>
    </xf>
    <xf numFmtId="0" fontId="26" fillId="20" borderId="67" xfId="0" applyFont="1" applyFill="1" applyBorder="1" applyAlignment="1">
      <alignment horizontal="center" vertical="center" wrapText="1"/>
    </xf>
    <xf numFmtId="0" fontId="26" fillId="20" borderId="68" xfId="0" applyFont="1" applyFill="1" applyBorder="1" applyAlignment="1">
      <alignment horizontal="center" vertical="center" wrapText="1"/>
    </xf>
    <xf numFmtId="0" fontId="18" fillId="23" borderId="0" xfId="0" applyFont="1" applyFill="1" applyBorder="1" applyAlignment="1" applyProtection="1">
      <alignment horizontal="center" vertical="center"/>
      <protection locked="0"/>
    </xf>
    <xf numFmtId="0" fontId="19" fillId="10" borderId="76" xfId="0" applyFont="1" applyFill="1" applyBorder="1" applyAlignment="1" applyProtection="1">
      <alignment horizontal="center" vertical="center"/>
      <protection locked="0"/>
    </xf>
    <xf numFmtId="0" fontId="19" fillId="10" borderId="77" xfId="0" applyFont="1" applyFill="1" applyBorder="1" applyAlignment="1" applyProtection="1">
      <alignment horizontal="center" vertical="center"/>
      <protection locked="0"/>
    </xf>
    <xf numFmtId="169" fontId="22" fillId="15" borderId="71" xfId="2" applyNumberFormat="1" applyFont="1" applyFill="1" applyBorder="1" applyAlignment="1" applyProtection="1">
      <alignment horizontal="center" vertical="center"/>
      <protection locked="0"/>
    </xf>
    <xf numFmtId="169" fontId="22" fillId="15" borderId="78" xfId="2" applyNumberFormat="1" applyFont="1" applyFill="1" applyBorder="1" applyAlignment="1" applyProtection="1">
      <alignment horizontal="center" vertical="center"/>
      <protection locked="0"/>
    </xf>
    <xf numFmtId="0" fontId="5" fillId="6" borderId="2" xfId="0" applyFont="1" applyFill="1" applyBorder="1" applyAlignment="1">
      <alignment horizontal="center" wrapText="1"/>
    </xf>
    <xf numFmtId="0" fontId="2" fillId="6" borderId="52" xfId="0" applyFont="1" applyFill="1" applyBorder="1" applyAlignment="1">
      <alignment horizontal="center" vertical="top" wrapText="1"/>
    </xf>
    <xf numFmtId="10" fontId="2" fillId="0" borderId="8" xfId="2" applyNumberFormat="1" applyFont="1" applyFill="1" applyBorder="1" applyAlignment="1">
      <alignment horizontal="center" vertical="center"/>
    </xf>
    <xf numFmtId="0" fontId="2" fillId="14" borderId="7" xfId="0" applyFont="1" applyFill="1" applyBorder="1" applyAlignment="1">
      <alignment horizontal="center" wrapText="1"/>
    </xf>
    <xf numFmtId="0" fontId="2" fillId="14" borderId="11" xfId="0" applyFont="1" applyFill="1" applyBorder="1" applyAlignment="1">
      <alignment horizontal="center" wrapText="1"/>
    </xf>
    <xf numFmtId="10" fontId="2" fillId="0" borderId="3" xfId="2" applyNumberFormat="1" applyFont="1" applyBorder="1" applyAlignment="1">
      <alignment horizontal="center" vertical="center"/>
    </xf>
    <xf numFmtId="0" fontId="3" fillId="14" borderId="1" xfId="0" applyFont="1" applyFill="1" applyBorder="1" applyAlignment="1">
      <alignment horizontal="center" wrapText="1"/>
    </xf>
    <xf numFmtId="0" fontId="3" fillId="14" borderId="4" xfId="0" applyFont="1" applyFill="1" applyBorder="1" applyAlignment="1">
      <alignment horizontal="center" wrapText="1"/>
    </xf>
    <xf numFmtId="0" fontId="3" fillId="0" borderId="2" xfId="0" applyFont="1" applyBorder="1" applyAlignment="1">
      <alignment horizontal="center" vertical="center"/>
    </xf>
    <xf numFmtId="0" fontId="29" fillId="24" borderId="2" xfId="0" applyFont="1" applyFill="1" applyBorder="1" applyAlignment="1">
      <alignment horizontal="center" textRotation="90" wrapText="1"/>
    </xf>
    <xf numFmtId="0" fontId="29" fillId="25" borderId="2" xfId="0" applyFont="1" applyFill="1" applyBorder="1" applyAlignment="1">
      <alignment horizontal="center" textRotation="90" wrapText="1"/>
    </xf>
    <xf numFmtId="0" fontId="4" fillId="0" borderId="0" xfId="0" applyFont="1" applyAlignment="1">
      <alignment horizontal="center" wrapText="1"/>
    </xf>
    <xf numFmtId="0" fontId="2" fillId="0" borderId="0" xfId="0" applyFont="1" applyFill="1" applyAlignment="1">
      <alignment horizontal="left" vertical="center"/>
    </xf>
    <xf numFmtId="0" fontId="2" fillId="0" borderId="0" xfId="0" applyFont="1" applyFill="1" applyAlignment="1">
      <alignment horizontal="center" vertical="center"/>
    </xf>
    <xf numFmtId="0" fontId="2" fillId="6" borderId="2" xfId="0" applyFont="1" applyFill="1" applyBorder="1" applyAlignment="1">
      <alignment wrapText="1"/>
    </xf>
    <xf numFmtId="175" fontId="2" fillId="0" borderId="0" xfId="1" applyNumberFormat="1" applyFont="1" applyAlignment="1">
      <alignment horizontal="center" vertical="center"/>
    </xf>
    <xf numFmtId="164" fontId="2" fillId="0" borderId="0" xfId="0" applyNumberFormat="1" applyFont="1" applyAlignment="1">
      <alignment horizontal="center" vertical="center"/>
    </xf>
    <xf numFmtId="170" fontId="2" fillId="0" borderId="0" xfId="0" applyNumberFormat="1" applyFont="1" applyAlignment="1">
      <alignment horizontal="center" vertical="center"/>
    </xf>
    <xf numFmtId="38" fontId="4" fillId="0" borderId="0" xfId="0" applyNumberFormat="1" applyFont="1" applyAlignment="1">
      <alignment horizontal="left"/>
    </xf>
    <xf numFmtId="3" fontId="4" fillId="26" borderId="2" xfId="0" applyNumberFormat="1" applyFont="1" applyFill="1" applyBorder="1" applyAlignment="1">
      <alignment horizontal="center"/>
    </xf>
    <xf numFmtId="0" fontId="0" fillId="0" borderId="0" xfId="0" applyFill="1" applyProtection="1">
      <protection hidden="1"/>
    </xf>
    <xf numFmtId="0" fontId="33" fillId="0" borderId="82" xfId="0" applyFont="1" applyBorder="1" applyAlignment="1" applyProtection="1">
      <alignment vertical="center" wrapText="1"/>
      <protection hidden="1"/>
    </xf>
    <xf numFmtId="0" fontId="33" fillId="0" borderId="84" xfId="0" applyFont="1" applyBorder="1" applyAlignment="1" applyProtection="1">
      <alignment vertical="center" wrapText="1"/>
      <protection hidden="1"/>
    </xf>
    <xf numFmtId="0" fontId="2" fillId="0" borderId="0" xfId="0" applyFont="1" applyFill="1" applyAlignment="1" applyProtection="1">
      <alignment wrapText="1"/>
      <protection hidden="1"/>
    </xf>
    <xf numFmtId="0" fontId="33" fillId="0" borderId="85" xfId="0" applyFont="1" applyBorder="1" applyAlignment="1" applyProtection="1">
      <alignment vertical="center" wrapText="1"/>
      <protection hidden="1"/>
    </xf>
    <xf numFmtId="0" fontId="33" fillId="0" borderId="35" xfId="0" applyFont="1" applyBorder="1" applyAlignment="1" applyProtection="1">
      <alignment horizontal="left" vertical="center" wrapText="1"/>
      <protection hidden="1"/>
    </xf>
    <xf numFmtId="0" fontId="33" fillId="0" borderId="86" xfId="0" applyFont="1" applyBorder="1" applyAlignment="1" applyProtection="1">
      <alignment vertical="center" wrapText="1"/>
      <protection hidden="1"/>
    </xf>
    <xf numFmtId="0" fontId="33" fillId="27" borderId="102" xfId="0" applyFont="1" applyFill="1" applyBorder="1" applyAlignment="1" applyProtection="1">
      <alignment vertical="center" wrapText="1"/>
      <protection hidden="1"/>
    </xf>
    <xf numFmtId="0" fontId="33" fillId="27" borderId="87" xfId="0" applyFont="1" applyFill="1" applyBorder="1" applyAlignment="1" applyProtection="1">
      <alignment vertical="center" wrapText="1"/>
      <protection hidden="1"/>
    </xf>
    <xf numFmtId="0" fontId="33" fillId="27" borderId="103" xfId="0" applyFont="1" applyFill="1" applyBorder="1" applyAlignment="1" applyProtection="1">
      <alignment vertical="center" wrapText="1"/>
      <protection hidden="1"/>
    </xf>
    <xf numFmtId="3" fontId="33" fillId="0" borderId="35" xfId="0" applyNumberFormat="1" applyFont="1" applyBorder="1" applyAlignment="1" applyProtection="1">
      <alignment horizontal="left" vertical="center" wrapText="1"/>
      <protection hidden="1"/>
    </xf>
    <xf numFmtId="0" fontId="33" fillId="0" borderId="88" xfId="0" applyFont="1" applyBorder="1" applyAlignment="1" applyProtection="1">
      <alignment vertical="center" wrapText="1"/>
      <protection hidden="1"/>
    </xf>
    <xf numFmtId="0" fontId="33" fillId="0" borderId="89" xfId="0" applyFont="1" applyBorder="1" applyAlignment="1" applyProtection="1">
      <alignment horizontal="left" vertical="center" wrapText="1"/>
      <protection hidden="1"/>
    </xf>
    <xf numFmtId="0" fontId="2" fillId="0" borderId="0" xfId="0" applyFont="1" applyFill="1" applyBorder="1" applyProtection="1">
      <protection hidden="1"/>
    </xf>
    <xf numFmtId="0" fontId="0" fillId="0" borderId="0" xfId="0" applyFill="1" applyBorder="1" applyProtection="1">
      <protection hidden="1"/>
    </xf>
    <xf numFmtId="1" fontId="0" fillId="0" borderId="0" xfId="0" applyNumberFormat="1" applyFill="1" applyBorder="1" applyProtection="1">
      <protection hidden="1"/>
    </xf>
    <xf numFmtId="0" fontId="3" fillId="0" borderId="0" xfId="0" applyFont="1" applyFill="1" applyProtection="1">
      <protection hidden="1"/>
    </xf>
    <xf numFmtId="0" fontId="2" fillId="0" borderId="0" xfId="0" applyFont="1" applyFill="1" applyAlignment="1" applyProtection="1">
      <alignment horizontal="right"/>
      <protection hidden="1"/>
    </xf>
    <xf numFmtId="3" fontId="0" fillId="0" borderId="0" xfId="0" applyNumberFormat="1" applyFill="1" applyProtection="1">
      <protection hidden="1"/>
    </xf>
    <xf numFmtId="0" fontId="3" fillId="0" borderId="15" xfId="0" applyFont="1" applyFill="1" applyBorder="1" applyProtection="1">
      <protection hidden="1"/>
    </xf>
    <xf numFmtId="0" fontId="3" fillId="0" borderId="23" xfId="0" applyFont="1" applyFill="1" applyBorder="1" applyProtection="1">
      <protection hidden="1"/>
    </xf>
    <xf numFmtId="10" fontId="3" fillId="0" borderId="16" xfId="0" applyNumberFormat="1" applyFont="1" applyFill="1" applyBorder="1" applyProtection="1">
      <protection hidden="1"/>
    </xf>
    <xf numFmtId="1" fontId="0" fillId="0" borderId="0" xfId="0" applyNumberFormat="1" applyFill="1" applyProtection="1">
      <protection hidden="1"/>
    </xf>
    <xf numFmtId="0" fontId="2" fillId="0" borderId="0" xfId="0" applyFont="1" applyFill="1" applyBorder="1" applyAlignment="1" applyProtection="1">
      <alignment horizontal="center" wrapText="1"/>
      <protection hidden="1"/>
    </xf>
    <xf numFmtId="0" fontId="2" fillId="0" borderId="15" xfId="0" applyFont="1" applyFill="1" applyBorder="1" applyAlignment="1" applyProtection="1">
      <alignment horizontal="center" vertical="center" wrapText="1"/>
      <protection hidden="1"/>
    </xf>
    <xf numFmtId="0" fontId="2" fillId="0" borderId="23" xfId="0" applyFont="1" applyFill="1" applyBorder="1" applyAlignment="1" applyProtection="1">
      <alignment horizontal="center" vertical="center" wrapText="1"/>
      <protection hidden="1"/>
    </xf>
    <xf numFmtId="0" fontId="2" fillId="0" borderId="16" xfId="0" applyFont="1" applyFill="1" applyBorder="1" applyAlignment="1" applyProtection="1">
      <alignment horizontal="center" vertical="center" wrapText="1"/>
      <protection hidden="1"/>
    </xf>
    <xf numFmtId="0" fontId="2" fillId="0" borderId="64" xfId="0" applyFont="1" applyFill="1" applyBorder="1" applyAlignment="1" applyProtection="1">
      <alignment horizontal="center" vertical="center" wrapText="1"/>
      <protection hidden="1"/>
    </xf>
    <xf numFmtId="0" fontId="2" fillId="0"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31" xfId="0" applyFill="1" applyBorder="1" applyAlignment="1" applyProtection="1">
      <alignment horizontal="center"/>
      <protection hidden="1"/>
    </xf>
    <xf numFmtId="0" fontId="0" fillId="0" borderId="52" xfId="0" applyFill="1" applyBorder="1" applyAlignment="1" applyProtection="1">
      <alignment horizontal="center"/>
      <protection hidden="1"/>
    </xf>
    <xf numFmtId="1" fontId="0" fillId="0" borderId="1" xfId="0" applyNumberFormat="1" applyFill="1" applyBorder="1" applyAlignment="1" applyProtection="1">
      <alignment horizontal="center"/>
      <protection hidden="1"/>
    </xf>
    <xf numFmtId="1" fontId="0" fillId="0" borderId="10" xfId="0" applyNumberFormat="1" applyFill="1" applyBorder="1" applyAlignment="1" applyProtection="1">
      <alignment horizontal="center"/>
      <protection hidden="1"/>
    </xf>
    <xf numFmtId="1" fontId="0" fillId="0" borderId="4" xfId="0" applyNumberFormat="1" applyFill="1" applyBorder="1" applyAlignment="1" applyProtection="1">
      <alignment horizontal="center"/>
      <protection hidden="1"/>
    </xf>
    <xf numFmtId="1" fontId="0" fillId="0" borderId="26" xfId="0" applyNumberFormat="1" applyFill="1" applyBorder="1" applyAlignment="1" applyProtection="1">
      <alignment horizontal="center"/>
      <protection hidden="1"/>
    </xf>
    <xf numFmtId="1" fontId="0" fillId="0" borderId="38" xfId="0" applyNumberFormat="1" applyFill="1" applyBorder="1" applyAlignment="1" applyProtection="1">
      <alignment horizontal="center"/>
      <protection hidden="1"/>
    </xf>
    <xf numFmtId="1" fontId="0" fillId="0" borderId="41" xfId="0" applyNumberFormat="1" applyFill="1" applyBorder="1" applyAlignment="1" applyProtection="1">
      <alignment horizontal="center"/>
      <protection hidden="1"/>
    </xf>
    <xf numFmtId="0" fontId="0" fillId="0" borderId="1" xfId="0" applyFill="1" applyBorder="1" applyAlignment="1" applyProtection="1">
      <alignment horizontal="center"/>
      <protection hidden="1"/>
    </xf>
    <xf numFmtId="0" fontId="0" fillId="0" borderId="10" xfId="0" applyFill="1" applyBorder="1" applyAlignment="1" applyProtection="1">
      <alignment horizontal="center"/>
      <protection hidden="1"/>
    </xf>
    <xf numFmtId="1" fontId="0" fillId="0" borderId="10" xfId="1" applyNumberFormat="1" applyFont="1" applyFill="1" applyBorder="1" applyAlignment="1" applyProtection="1">
      <alignment horizontal="center"/>
      <protection hidden="1"/>
    </xf>
    <xf numFmtId="0" fontId="0" fillId="0" borderId="0" xfId="0" applyProtection="1">
      <protection hidden="1"/>
    </xf>
    <xf numFmtId="0" fontId="0" fillId="0" borderId="32" xfId="0" applyFill="1" applyBorder="1" applyAlignment="1" applyProtection="1">
      <alignment horizontal="center"/>
      <protection hidden="1"/>
    </xf>
    <xf numFmtId="0" fontId="0" fillId="0" borderId="29" xfId="0" applyFill="1" applyBorder="1" applyAlignment="1" applyProtection="1">
      <alignment horizontal="center"/>
      <protection hidden="1"/>
    </xf>
    <xf numFmtId="1" fontId="0" fillId="0" borderId="7" xfId="0" applyNumberFormat="1" applyFill="1" applyBorder="1" applyAlignment="1" applyProtection="1">
      <alignment horizontal="center"/>
      <protection hidden="1"/>
    </xf>
    <xf numFmtId="1" fontId="0" fillId="0" borderId="61" xfId="0" applyNumberFormat="1" applyFill="1" applyBorder="1" applyAlignment="1" applyProtection="1">
      <alignment horizontal="center"/>
      <protection hidden="1"/>
    </xf>
    <xf numFmtId="1" fontId="0" fillId="0" borderId="2" xfId="0" applyNumberFormat="1" applyFill="1" applyBorder="1" applyAlignment="1" applyProtection="1">
      <alignment horizontal="center"/>
      <protection hidden="1"/>
    </xf>
    <xf numFmtId="1" fontId="0" fillId="0" borderId="8" xfId="0" applyNumberFormat="1" applyFill="1" applyBorder="1" applyAlignment="1" applyProtection="1">
      <alignment horizontal="center"/>
      <protection hidden="1"/>
    </xf>
    <xf numFmtId="1" fontId="0" fillId="0" borderId="62" xfId="0" applyNumberFormat="1" applyFill="1" applyBorder="1" applyAlignment="1" applyProtection="1">
      <alignment horizontal="center"/>
      <protection hidden="1"/>
    </xf>
    <xf numFmtId="1" fontId="0" fillId="0" borderId="9" xfId="0" applyNumberFormat="1" applyFill="1" applyBorder="1" applyAlignment="1" applyProtection="1">
      <alignment horizontal="center"/>
      <protection hidden="1"/>
    </xf>
    <xf numFmtId="0" fontId="0" fillId="0" borderId="7" xfId="0" applyFill="1" applyBorder="1" applyAlignment="1" applyProtection="1">
      <alignment horizontal="center"/>
      <protection hidden="1"/>
    </xf>
    <xf numFmtId="0" fontId="0" fillId="0" borderId="2" xfId="0" applyFill="1" applyBorder="1" applyAlignment="1" applyProtection="1">
      <alignment horizontal="center"/>
      <protection hidden="1"/>
    </xf>
    <xf numFmtId="1" fontId="0" fillId="0" borderId="2" xfId="1" applyNumberFormat="1" applyFont="1" applyFill="1" applyBorder="1" applyAlignment="1" applyProtection="1">
      <alignment horizontal="center"/>
      <protection hidden="1"/>
    </xf>
    <xf numFmtId="1" fontId="0" fillId="0" borderId="11" xfId="0" applyNumberFormat="1" applyFill="1" applyBorder="1" applyAlignment="1" applyProtection="1">
      <alignment horizontal="center"/>
      <protection hidden="1"/>
    </xf>
    <xf numFmtId="1" fontId="0" fillId="0" borderId="63" xfId="0" applyNumberFormat="1" applyFill="1" applyBorder="1" applyAlignment="1" applyProtection="1">
      <alignment horizontal="center"/>
      <protection hidden="1"/>
    </xf>
    <xf numFmtId="1" fontId="0" fillId="0" borderId="13" xfId="0" applyNumberFormat="1" applyFill="1" applyBorder="1" applyAlignment="1" applyProtection="1">
      <alignment horizontal="center"/>
      <protection hidden="1"/>
    </xf>
    <xf numFmtId="1" fontId="0" fillId="0" borderId="3" xfId="0" applyNumberFormat="1" applyFill="1" applyBorder="1" applyAlignment="1" applyProtection="1">
      <alignment horizontal="center"/>
      <protection hidden="1"/>
    </xf>
    <xf numFmtId="1" fontId="0" fillId="0" borderId="27" xfId="0" applyNumberFormat="1" applyFill="1" applyBorder="1" applyAlignment="1" applyProtection="1">
      <alignment horizontal="center"/>
      <protection hidden="1"/>
    </xf>
    <xf numFmtId="1" fontId="0" fillId="0" borderId="39" xfId="0" applyNumberForma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0" borderId="13" xfId="0" applyFill="1" applyBorder="1" applyAlignment="1" applyProtection="1">
      <alignment horizontal="center"/>
      <protection hidden="1"/>
    </xf>
    <xf numFmtId="1" fontId="0" fillId="0" borderId="13" xfId="1" applyNumberFormat="1" applyFont="1" applyFill="1" applyBorder="1" applyAlignment="1" applyProtection="1">
      <alignment horizontal="center"/>
      <protection hidden="1"/>
    </xf>
    <xf numFmtId="0" fontId="34" fillId="0" borderId="0" xfId="0" applyFont="1" applyAlignment="1" applyProtection="1">
      <alignment horizontal="left" indent="1"/>
      <protection hidden="1"/>
    </xf>
    <xf numFmtId="0" fontId="33" fillId="0" borderId="0" xfId="0" applyFont="1" applyAlignment="1" applyProtection="1">
      <alignment horizontal="center"/>
      <protection hidden="1"/>
    </xf>
    <xf numFmtId="0" fontId="33" fillId="0" borderId="0" xfId="0" applyFont="1" applyBorder="1" applyAlignment="1" applyProtection="1">
      <alignment vertical="top" wrapText="1"/>
      <protection hidden="1"/>
    </xf>
    <xf numFmtId="0" fontId="3" fillId="0" borderId="16" xfId="0" applyFont="1" applyFill="1" applyBorder="1" applyProtection="1">
      <protection hidden="1"/>
    </xf>
    <xf numFmtId="3" fontId="0" fillId="0" borderId="10" xfId="0" applyNumberFormat="1" applyFill="1" applyBorder="1" applyAlignment="1" applyProtection="1">
      <alignment horizontal="center"/>
      <protection hidden="1"/>
    </xf>
    <xf numFmtId="1" fontId="0" fillId="0" borderId="0" xfId="0" applyNumberFormat="1" applyProtection="1">
      <protection hidden="1"/>
    </xf>
    <xf numFmtId="0" fontId="0" fillId="0" borderId="61" xfId="0" applyFill="1" applyBorder="1" applyAlignment="1" applyProtection="1">
      <alignment horizontal="center"/>
      <protection hidden="1"/>
    </xf>
    <xf numFmtId="1" fontId="0" fillId="0" borderId="61" xfId="1" applyNumberFormat="1" applyFont="1" applyFill="1" applyBorder="1" applyAlignment="1" applyProtection="1">
      <alignment horizontal="center"/>
      <protection hidden="1"/>
    </xf>
    <xf numFmtId="0" fontId="0" fillId="0" borderId="63" xfId="0" applyFill="1" applyBorder="1" applyAlignment="1" applyProtection="1">
      <alignment horizontal="center"/>
      <protection hidden="1"/>
    </xf>
    <xf numFmtId="1" fontId="0" fillId="0" borderId="63" xfId="1" applyNumberFormat="1" applyFont="1" applyFill="1" applyBorder="1" applyAlignment="1" applyProtection="1">
      <alignment horizontal="center"/>
      <protection hidden="1"/>
    </xf>
    <xf numFmtId="1" fontId="0" fillId="0" borderId="43" xfId="0" applyNumberFormat="1" applyFill="1" applyBorder="1" applyAlignment="1" applyProtection="1">
      <alignment horizontal="center"/>
      <protection hidden="1"/>
    </xf>
    <xf numFmtId="0" fontId="33" fillId="0" borderId="0" xfId="0" applyFont="1" applyProtection="1">
      <protection hidden="1"/>
    </xf>
    <xf numFmtId="0" fontId="33" fillId="0" borderId="0" xfId="0" applyFont="1" applyAlignment="1" applyProtection="1">
      <protection hidden="1"/>
    </xf>
    <xf numFmtId="0" fontId="33" fillId="0" borderId="0" xfId="0" applyNumberFormat="1" applyFont="1" applyAlignment="1" applyProtection="1">
      <protection hidden="1"/>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wrapText="1"/>
      <protection hidden="1"/>
    </xf>
    <xf numFmtId="0" fontId="2" fillId="0" borderId="0" xfId="0" applyFont="1" applyAlignment="1" applyProtection="1">
      <alignment horizontal="center" vertical="center"/>
      <protection hidden="1"/>
    </xf>
    <xf numFmtId="3" fontId="3" fillId="12" borderId="12" xfId="0" applyNumberFormat="1" applyFont="1" applyFill="1" applyBorder="1" applyAlignment="1" applyProtection="1">
      <alignment horizontal="center" vertical="center"/>
      <protection hidden="1"/>
    </xf>
    <xf numFmtId="0" fontId="3" fillId="12" borderId="12"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2" fillId="0" borderId="0" xfId="0" applyFont="1" applyBorder="1" applyProtection="1">
      <protection hidden="1"/>
    </xf>
    <xf numFmtId="0" fontId="2" fillId="0" borderId="0" xfId="0" applyFont="1" applyFill="1" applyProtection="1">
      <protection hidden="1"/>
    </xf>
    <xf numFmtId="0" fontId="9" fillId="0" borderId="0" xfId="0" applyFont="1" applyFill="1" applyBorder="1" applyAlignment="1" applyProtection="1">
      <alignment horizontal="center"/>
      <protection hidden="1"/>
    </xf>
    <xf numFmtId="0" fontId="2" fillId="11" borderId="31" xfId="0" applyFont="1" applyFill="1" applyBorder="1" applyAlignment="1" applyProtection="1">
      <alignment horizontal="left" vertical="center" wrapText="1"/>
      <protection hidden="1"/>
    </xf>
    <xf numFmtId="0" fontId="2" fillId="0" borderId="52" xfId="0" applyFont="1" applyFill="1" applyBorder="1" applyAlignment="1" applyProtection="1">
      <alignment horizontal="center" vertical="center"/>
      <protection hidden="1"/>
    </xf>
    <xf numFmtId="0" fontId="2" fillId="0" borderId="30" xfId="0" applyFont="1" applyFill="1" applyBorder="1" applyAlignment="1" applyProtection="1">
      <alignment horizontal="left"/>
      <protection hidden="1"/>
    </xf>
    <xf numFmtId="0" fontId="2" fillId="0" borderId="30" xfId="0" applyFont="1" applyFill="1" applyBorder="1" applyAlignment="1" applyProtection="1">
      <alignment horizontal="center" vertical="center"/>
      <protection hidden="1"/>
    </xf>
    <xf numFmtId="0" fontId="2" fillId="0" borderId="33" xfId="0" applyFont="1" applyFill="1" applyBorder="1" applyAlignment="1" applyProtection="1">
      <alignment horizontal="center"/>
      <protection hidden="1"/>
    </xf>
    <xf numFmtId="0" fontId="2" fillId="11" borderId="32" xfId="0" applyFont="1" applyFill="1" applyBorder="1" applyAlignment="1" applyProtection="1">
      <alignment horizontal="left" vertical="center" wrapText="1"/>
      <protection hidden="1"/>
    </xf>
    <xf numFmtId="0" fontId="2" fillId="0" borderId="29" xfId="0" applyFont="1" applyBorder="1" applyAlignment="1" applyProtection="1">
      <alignment horizontal="center" vertical="center"/>
      <protection hidden="1"/>
    </xf>
    <xf numFmtId="0" fontId="2" fillId="0" borderId="0" xfId="0" applyFont="1" applyFill="1" applyBorder="1" applyAlignment="1" applyProtection="1">
      <alignment horizontal="left"/>
      <protection hidden="1"/>
    </xf>
    <xf numFmtId="0" fontId="2" fillId="0" borderId="0" xfId="0" applyFont="1" applyFill="1" applyBorder="1" applyAlignment="1" applyProtection="1">
      <alignment horizontal="center" vertical="center"/>
      <protection hidden="1"/>
    </xf>
    <xf numFmtId="0" fontId="2" fillId="0" borderId="28" xfId="0" applyFont="1" applyFill="1" applyBorder="1" applyAlignment="1" applyProtection="1">
      <alignment horizontal="center"/>
      <protection hidden="1"/>
    </xf>
    <xf numFmtId="9" fontId="2" fillId="0" borderId="0" xfId="0" applyNumberFormat="1" applyFont="1" applyProtection="1">
      <protection hidden="1"/>
    </xf>
    <xf numFmtId="0" fontId="2" fillId="0" borderId="0" xfId="0" applyFont="1" applyAlignment="1" applyProtection="1">
      <alignment vertical="center"/>
      <protection hidden="1"/>
    </xf>
    <xf numFmtId="0" fontId="2" fillId="11" borderId="7" xfId="0" applyFont="1" applyFill="1" applyBorder="1" applyAlignment="1" applyProtection="1">
      <alignment horizontal="left"/>
      <protection hidden="1"/>
    </xf>
    <xf numFmtId="0" fontId="3" fillId="10" borderId="8" xfId="0" applyFont="1" applyFill="1" applyBorder="1" applyAlignment="1" applyProtection="1">
      <alignment horizontal="center"/>
      <protection hidden="1"/>
    </xf>
    <xf numFmtId="0" fontId="2" fillId="11" borderId="47" xfId="0" applyFont="1" applyFill="1" applyBorder="1" applyProtection="1">
      <protection hidden="1"/>
    </xf>
    <xf numFmtId="15" fontId="2" fillId="12" borderId="41" xfId="0" applyNumberFormat="1" applyFont="1" applyFill="1" applyBorder="1" applyAlignment="1" applyProtection="1">
      <alignment horizontal="center"/>
      <protection hidden="1"/>
    </xf>
    <xf numFmtId="0" fontId="2" fillId="11" borderId="7" xfId="0" quotePrefix="1" applyFont="1" applyFill="1" applyBorder="1" applyProtection="1">
      <protection hidden="1"/>
    </xf>
    <xf numFmtId="3" fontId="2" fillId="12" borderId="8" xfId="0" applyNumberFormat="1" applyFont="1" applyFill="1" applyBorder="1" applyAlignment="1" applyProtection="1">
      <alignment horizontal="center"/>
      <protection hidden="1"/>
    </xf>
    <xf numFmtId="0" fontId="2" fillId="12" borderId="8" xfId="0" applyFont="1" applyFill="1" applyBorder="1" applyAlignment="1" applyProtection="1">
      <alignment horizontal="center"/>
      <protection hidden="1"/>
    </xf>
    <xf numFmtId="0" fontId="2" fillId="0" borderId="28" xfId="1" applyNumberFormat="1" applyFont="1" applyFill="1" applyBorder="1" applyAlignment="1" applyProtection="1">
      <alignment horizontal="center"/>
      <protection hidden="1"/>
    </xf>
    <xf numFmtId="0" fontId="2" fillId="0" borderId="19" xfId="0" applyFont="1" applyBorder="1" applyAlignment="1" applyProtection="1">
      <alignment horizontal="center"/>
      <protection hidden="1"/>
    </xf>
    <xf numFmtId="0" fontId="2" fillId="11" borderId="5" xfId="0" applyFont="1" applyFill="1" applyBorder="1" applyProtection="1">
      <protection hidden="1"/>
    </xf>
    <xf numFmtId="0" fontId="2" fillId="10" borderId="6" xfId="0" applyFont="1" applyFill="1" applyBorder="1" applyAlignment="1" applyProtection="1">
      <alignment horizontal="center"/>
      <protection hidden="1"/>
    </xf>
    <xf numFmtId="0" fontId="2" fillId="10" borderId="52" xfId="0" applyFont="1" applyFill="1" applyBorder="1" applyAlignment="1" applyProtection="1">
      <alignment horizontal="center"/>
      <protection hidden="1"/>
    </xf>
    <xf numFmtId="0" fontId="2" fillId="11" borderId="7" xfId="0" applyFont="1" applyFill="1" applyBorder="1" applyProtection="1">
      <protection hidden="1"/>
    </xf>
    <xf numFmtId="0" fontId="2" fillId="10" borderId="8" xfId="0" applyFont="1" applyFill="1" applyBorder="1" applyAlignment="1" applyProtection="1">
      <alignment horizontal="center"/>
      <protection hidden="1"/>
    </xf>
    <xf numFmtId="0" fontId="2" fillId="0" borderId="0" xfId="0" applyFont="1" applyFill="1" applyAlignment="1" applyProtection="1">
      <alignment horizontal="left"/>
      <protection hidden="1"/>
    </xf>
    <xf numFmtId="0" fontId="2" fillId="0" borderId="0" xfId="0" applyFont="1" applyFill="1" applyAlignment="1" applyProtection="1">
      <alignment horizontal="center" vertical="center"/>
      <protection hidden="1"/>
    </xf>
    <xf numFmtId="0" fontId="2" fillId="0" borderId="0" xfId="0" applyFont="1" applyFill="1" applyAlignment="1" applyProtection="1">
      <alignment horizontal="center"/>
      <protection hidden="1"/>
    </xf>
    <xf numFmtId="15" fontId="2" fillId="12" borderId="21" xfId="0" applyNumberFormat="1" applyFont="1" applyFill="1" applyBorder="1" applyAlignment="1" applyProtection="1">
      <alignment horizontal="center"/>
      <protection hidden="1"/>
    </xf>
    <xf numFmtId="0" fontId="2" fillId="10" borderId="40" xfId="0" applyFont="1" applyFill="1" applyBorder="1" applyAlignment="1" applyProtection="1">
      <alignment horizontal="center"/>
      <protection hidden="1"/>
    </xf>
    <xf numFmtId="0" fontId="2" fillId="0" borderId="29" xfId="0" applyFont="1" applyFill="1" applyBorder="1" applyAlignment="1" applyProtection="1">
      <alignment horizontal="center" vertical="center"/>
      <protection hidden="1"/>
    </xf>
    <xf numFmtId="170" fontId="2" fillId="0" borderId="0" xfId="1" applyNumberFormat="1" applyFont="1" applyFill="1" applyBorder="1" applyAlignment="1" applyProtection="1">
      <alignment horizontal="right" vertical="center"/>
      <protection hidden="1"/>
    </xf>
    <xf numFmtId="10" fontId="2" fillId="0" borderId="28" xfId="0" applyNumberFormat="1" applyFont="1" applyFill="1" applyBorder="1" applyAlignment="1" applyProtection="1">
      <alignment horizontal="center"/>
      <protection hidden="1"/>
    </xf>
    <xf numFmtId="0" fontId="2" fillId="12" borderId="40" xfId="0" applyFont="1" applyFill="1" applyBorder="1" applyAlignment="1" applyProtection="1">
      <alignment horizontal="center"/>
      <protection hidden="1"/>
    </xf>
    <xf numFmtId="0" fontId="2" fillId="0" borderId="44" xfId="0" applyFont="1" applyFill="1" applyBorder="1" applyAlignment="1" applyProtection="1">
      <protection hidden="1"/>
    </xf>
    <xf numFmtId="0" fontId="2" fillId="0" borderId="0" xfId="0" applyFont="1" applyFill="1" applyBorder="1" applyAlignment="1" applyProtection="1">
      <protection hidden="1"/>
    </xf>
    <xf numFmtId="0" fontId="2" fillId="0" borderId="28" xfId="0" applyFont="1" applyFill="1" applyBorder="1" applyAlignment="1" applyProtection="1">
      <protection hidden="1"/>
    </xf>
    <xf numFmtId="0" fontId="2" fillId="11" borderId="11" xfId="0" applyFont="1" applyFill="1" applyBorder="1" applyProtection="1">
      <protection hidden="1"/>
    </xf>
    <xf numFmtId="0" fontId="2" fillId="10" borderId="3" xfId="0" applyFont="1" applyFill="1" applyBorder="1" applyAlignment="1" applyProtection="1">
      <alignment horizontal="center"/>
      <protection hidden="1"/>
    </xf>
    <xf numFmtId="0" fontId="2" fillId="11" borderId="56" xfId="0" applyFont="1" applyFill="1" applyBorder="1" applyAlignment="1" applyProtection="1">
      <alignment horizontal="left" vertical="center" wrapText="1"/>
      <protection hidden="1"/>
    </xf>
    <xf numFmtId="0" fontId="2" fillId="0" borderId="17" xfId="0" applyFont="1" applyBorder="1" applyAlignment="1" applyProtection="1">
      <alignment horizontal="center" vertical="center"/>
      <protection hidden="1"/>
    </xf>
    <xf numFmtId="0" fontId="2" fillId="0" borderId="51" xfId="0" applyFont="1" applyFill="1" applyBorder="1" applyAlignment="1" applyProtection="1">
      <alignment horizontal="left"/>
      <protection hidden="1"/>
    </xf>
    <xf numFmtId="0" fontId="2" fillId="0" borderId="51" xfId="0" applyFont="1" applyFill="1" applyBorder="1" applyAlignment="1" applyProtection="1">
      <alignment horizontal="center" vertical="center"/>
      <protection hidden="1"/>
    </xf>
    <xf numFmtId="0" fontId="2" fillId="0" borderId="35"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2" fillId="0" borderId="51" xfId="0" applyFont="1" applyBorder="1" applyAlignment="1" applyProtection="1">
      <alignment horizontal="left"/>
      <protection hidden="1"/>
    </xf>
    <xf numFmtId="0" fontId="2" fillId="0" borderId="51" xfId="0" applyFont="1" applyBorder="1" applyAlignment="1" applyProtection="1">
      <alignment horizontal="center" vertical="center"/>
      <protection hidden="1"/>
    </xf>
    <xf numFmtId="0" fontId="2" fillId="0" borderId="35" xfId="0" applyFont="1" applyBorder="1" applyAlignment="1" applyProtection="1">
      <alignment horizontal="center"/>
      <protection hidden="1"/>
    </xf>
    <xf numFmtId="9" fontId="2" fillId="11" borderId="15" xfId="0" applyNumberFormat="1" applyFont="1" applyFill="1" applyBorder="1" applyAlignment="1" applyProtection="1">
      <alignment horizontal="left" vertical="center" wrapText="1"/>
      <protection hidden="1"/>
    </xf>
    <xf numFmtId="3" fontId="2" fillId="10" borderId="16" xfId="0" applyNumberFormat="1" applyFont="1" applyFill="1" applyBorder="1" applyAlignment="1" applyProtection="1">
      <alignment horizontal="center" vertical="center"/>
      <protection hidden="1"/>
    </xf>
    <xf numFmtId="0" fontId="2" fillId="0" borderId="58" xfId="0" applyFont="1" applyFill="1" applyBorder="1" applyAlignment="1" applyProtection="1">
      <alignment horizontal="center"/>
      <protection hidden="1"/>
    </xf>
    <xf numFmtId="0" fontId="2" fillId="11" borderId="12" xfId="0" applyFont="1" applyFill="1" applyBorder="1" applyAlignment="1" applyProtection="1">
      <alignment horizontal="left" wrapText="1"/>
      <protection hidden="1"/>
    </xf>
    <xf numFmtId="0" fontId="2" fillId="11" borderId="37" xfId="0" applyFont="1" applyFill="1" applyBorder="1" applyAlignment="1" applyProtection="1">
      <alignment horizontal="center"/>
      <protection hidden="1"/>
    </xf>
    <xf numFmtId="0" fontId="2" fillId="11" borderId="12" xfId="0" applyFont="1" applyFill="1" applyBorder="1" applyAlignment="1" applyProtection="1">
      <alignment horizontal="center"/>
      <protection hidden="1"/>
    </xf>
    <xf numFmtId="0" fontId="2" fillId="11" borderId="55" xfId="0" applyFont="1" applyFill="1" applyBorder="1" applyAlignment="1" applyProtection="1">
      <alignment horizontal="center"/>
      <protection hidden="1"/>
    </xf>
    <xf numFmtId="9" fontId="2" fillId="11" borderId="47" xfId="0" applyNumberFormat="1" applyFont="1" applyFill="1" applyBorder="1" applyAlignment="1" applyProtection="1">
      <alignment horizontal="left"/>
      <protection hidden="1"/>
    </xf>
    <xf numFmtId="0" fontId="11" fillId="0" borderId="0" xfId="0" applyFont="1" applyFill="1" applyBorder="1" applyAlignment="1" applyProtection="1">
      <alignment horizontal="center"/>
      <protection hidden="1"/>
    </xf>
    <xf numFmtId="10" fontId="2" fillId="11" borderId="53" xfId="0" applyNumberFormat="1" applyFont="1" applyFill="1" applyBorder="1" applyAlignment="1" applyProtection="1">
      <alignment horizontal="left"/>
      <protection hidden="1"/>
    </xf>
    <xf numFmtId="3" fontId="2" fillId="12" borderId="59" xfId="0" applyNumberFormat="1" applyFont="1" applyFill="1" applyBorder="1" applyAlignment="1" applyProtection="1">
      <alignment horizontal="center"/>
      <protection hidden="1"/>
    </xf>
    <xf numFmtId="10" fontId="2" fillId="12" borderId="58" xfId="0" applyNumberFormat="1" applyFont="1" applyFill="1" applyBorder="1" applyAlignment="1" applyProtection="1">
      <alignment horizontal="center"/>
      <protection hidden="1"/>
    </xf>
    <xf numFmtId="3" fontId="2" fillId="12" borderId="53" xfId="0" applyNumberFormat="1" applyFont="1" applyFill="1" applyBorder="1" applyAlignment="1" applyProtection="1">
      <alignment horizontal="center"/>
      <protection hidden="1"/>
    </xf>
    <xf numFmtId="9" fontId="2" fillId="11" borderId="7" xfId="0" applyNumberFormat="1" applyFont="1" applyFill="1" applyBorder="1" applyAlignment="1" applyProtection="1">
      <alignment horizontal="left"/>
      <protection hidden="1"/>
    </xf>
    <xf numFmtId="10" fontId="2" fillId="11" borderId="29" xfId="0" applyNumberFormat="1" applyFont="1" applyFill="1" applyBorder="1" applyAlignment="1" applyProtection="1">
      <alignment horizontal="left"/>
      <protection hidden="1"/>
    </xf>
    <xf numFmtId="10" fontId="2" fillId="12" borderId="59" xfId="0" applyNumberFormat="1" applyFont="1" applyFill="1" applyBorder="1" applyAlignment="1" applyProtection="1">
      <alignment horizontal="center"/>
      <protection hidden="1"/>
    </xf>
    <xf numFmtId="0" fontId="2" fillId="11" borderId="22" xfId="0" applyFont="1" applyFill="1" applyBorder="1" applyAlignment="1" applyProtection="1">
      <alignment horizontal="left" wrapText="1"/>
      <protection hidden="1"/>
    </xf>
    <xf numFmtId="10" fontId="2" fillId="12" borderId="57" xfId="0" applyNumberFormat="1" applyFont="1" applyFill="1" applyBorder="1" applyAlignment="1" applyProtection="1">
      <alignment horizontal="center"/>
      <protection hidden="1"/>
    </xf>
    <xf numFmtId="10" fontId="2" fillId="12" borderId="17" xfId="0" applyNumberFormat="1" applyFont="1" applyFill="1" applyBorder="1" applyAlignment="1" applyProtection="1">
      <alignment horizontal="center"/>
      <protection hidden="1"/>
    </xf>
    <xf numFmtId="3" fontId="2" fillId="12" borderId="17" xfId="0" applyNumberFormat="1" applyFont="1" applyFill="1" applyBorder="1" applyAlignment="1" applyProtection="1">
      <alignment horizontal="center"/>
      <protection hidden="1"/>
    </xf>
    <xf numFmtId="9" fontId="2" fillId="11" borderId="25" xfId="0" applyNumberFormat="1" applyFont="1" applyFill="1" applyBorder="1" applyAlignment="1" applyProtection="1">
      <alignment horizontal="left"/>
      <protection hidden="1"/>
    </xf>
    <xf numFmtId="3" fontId="2" fillId="12" borderId="43" xfId="0" applyNumberFormat="1"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170" fontId="2" fillId="0" borderId="0" xfId="1" applyNumberFormat="1" applyFont="1" applyFill="1" applyBorder="1" applyAlignment="1" applyProtection="1">
      <alignment horizontal="center"/>
      <protection hidden="1"/>
    </xf>
    <xf numFmtId="170" fontId="2" fillId="0" borderId="0" xfId="1" applyNumberFormat="1" applyFont="1" applyProtection="1">
      <protection hidden="1"/>
    </xf>
    <xf numFmtId="0" fontId="2" fillId="12" borderId="4" xfId="0" applyFont="1" applyFill="1" applyBorder="1" applyAlignment="1" applyProtection="1">
      <alignment horizontal="center"/>
      <protection hidden="1"/>
    </xf>
    <xf numFmtId="9" fontId="2" fillId="0" borderId="0" xfId="0" applyNumberFormat="1" applyFont="1" applyFill="1" applyBorder="1" applyAlignment="1" applyProtection="1">
      <alignment horizontal="center"/>
      <protection hidden="1"/>
    </xf>
    <xf numFmtId="9" fontId="2" fillId="11" borderId="1" xfId="0" applyNumberFormat="1" applyFont="1" applyFill="1" applyBorder="1" applyAlignment="1" applyProtection="1">
      <alignment horizontal="left"/>
      <protection hidden="1"/>
    </xf>
    <xf numFmtId="0" fontId="2" fillId="10" borderId="4" xfId="0" applyFont="1" applyFill="1" applyBorder="1" applyAlignment="1" applyProtection="1">
      <alignment horizontal="center"/>
      <protection hidden="1"/>
    </xf>
    <xf numFmtId="0" fontId="2" fillId="12" borderId="3" xfId="0" applyFont="1" applyFill="1" applyBorder="1" applyAlignment="1" applyProtection="1">
      <alignment horizontal="center"/>
      <protection hidden="1"/>
    </xf>
    <xf numFmtId="9" fontId="2" fillId="11" borderId="11" xfId="0" applyNumberFormat="1" applyFont="1" applyFill="1" applyBorder="1" applyAlignment="1" applyProtection="1">
      <alignment horizontal="left"/>
      <protection hidden="1"/>
    </xf>
    <xf numFmtId="9" fontId="30" fillId="0" borderId="0" xfId="0" applyNumberFormat="1" applyFont="1" applyFill="1" applyBorder="1" applyAlignment="1" applyProtection="1">
      <alignment horizontal="left"/>
      <protection hidden="1"/>
    </xf>
    <xf numFmtId="9" fontId="2" fillId="11" borderId="52" xfId="0" applyNumberFormat="1" applyFont="1" applyFill="1" applyBorder="1" applyAlignment="1" applyProtection="1">
      <alignment horizontal="left" wrapText="1"/>
      <protection hidden="1"/>
    </xf>
    <xf numFmtId="10" fontId="2" fillId="12" borderId="52" xfId="0" applyNumberFormat="1" applyFont="1" applyFill="1" applyBorder="1" applyAlignment="1" applyProtection="1">
      <alignment horizontal="center"/>
      <protection hidden="1"/>
    </xf>
    <xf numFmtId="9" fontId="2" fillId="11" borderId="29" xfId="0" applyNumberFormat="1" applyFont="1" applyFill="1" applyBorder="1" applyAlignment="1" applyProtection="1">
      <alignment horizontal="left" wrapText="1"/>
      <protection hidden="1"/>
    </xf>
    <xf numFmtId="10" fontId="2" fillId="12" borderId="29" xfId="0" applyNumberFormat="1" applyFont="1" applyFill="1" applyBorder="1" applyAlignment="1" applyProtection="1">
      <alignment horizontal="center"/>
      <protection hidden="1"/>
    </xf>
    <xf numFmtId="9" fontId="2" fillId="11" borderId="17" xfId="0" applyNumberFormat="1" applyFont="1" applyFill="1" applyBorder="1" applyAlignment="1" applyProtection="1">
      <alignment horizontal="left" wrapText="1"/>
      <protection hidden="1"/>
    </xf>
    <xf numFmtId="0" fontId="2" fillId="17" borderId="12" xfId="0" applyFont="1" applyFill="1" applyBorder="1" applyAlignment="1" applyProtection="1">
      <alignment horizontal="center"/>
      <protection hidden="1"/>
    </xf>
    <xf numFmtId="0" fontId="2" fillId="17" borderId="18" xfId="0" applyFont="1" applyFill="1" applyBorder="1" applyAlignment="1" applyProtection="1">
      <alignment horizontal="center"/>
      <protection hidden="1"/>
    </xf>
    <xf numFmtId="0" fontId="2" fillId="11" borderId="53" xfId="0" applyFont="1" applyFill="1" applyBorder="1" applyAlignment="1" applyProtection="1">
      <alignment horizontal="center" vertical="center" wrapText="1"/>
      <protection hidden="1"/>
    </xf>
    <xf numFmtId="169" fontId="2" fillId="10" borderId="65" xfId="0" applyNumberFormat="1" applyFont="1" applyFill="1" applyBorder="1" applyAlignment="1" applyProtection="1">
      <alignment horizontal="center"/>
      <protection hidden="1"/>
    </xf>
    <xf numFmtId="9" fontId="2" fillId="10" borderId="53" xfId="0" applyNumberFormat="1" applyFont="1" applyFill="1" applyBorder="1" applyAlignment="1" applyProtection="1">
      <alignment horizontal="center"/>
      <protection hidden="1"/>
    </xf>
    <xf numFmtId="0" fontId="2" fillId="11" borderId="29" xfId="0" applyFont="1" applyFill="1" applyBorder="1" applyAlignment="1" applyProtection="1">
      <alignment horizontal="center" vertical="center" wrapText="1"/>
      <protection hidden="1"/>
    </xf>
    <xf numFmtId="9" fontId="2" fillId="10" borderId="29" xfId="0" applyNumberFormat="1" applyFont="1" applyFill="1" applyBorder="1" applyAlignment="1" applyProtection="1">
      <alignment horizontal="center"/>
      <protection hidden="1"/>
    </xf>
    <xf numFmtId="0" fontId="2" fillId="11" borderId="59" xfId="0" applyFont="1" applyFill="1" applyBorder="1" applyAlignment="1" applyProtection="1">
      <alignment horizontal="center" vertical="center" wrapText="1"/>
      <protection hidden="1"/>
    </xf>
    <xf numFmtId="9" fontId="2" fillId="10" borderId="17" xfId="0" applyNumberFormat="1" applyFont="1" applyFill="1" applyBorder="1" applyAlignment="1" applyProtection="1">
      <alignment horizontal="center"/>
      <protection hidden="1"/>
    </xf>
    <xf numFmtId="0" fontId="2" fillId="0" borderId="0" xfId="0" applyFont="1" applyFill="1" applyAlignment="1" applyProtection="1">
      <alignment horizontal="center" wrapText="1"/>
      <protection hidden="1"/>
    </xf>
    <xf numFmtId="0" fontId="2" fillId="11" borderId="52" xfId="0" applyFont="1" applyFill="1" applyBorder="1" applyAlignment="1" applyProtection="1">
      <alignment horizontal="center" vertical="center" wrapText="1"/>
      <protection hidden="1"/>
    </xf>
    <xf numFmtId="10" fontId="2" fillId="12" borderId="52" xfId="0" applyNumberFormat="1" applyFont="1" applyFill="1" applyBorder="1" applyAlignment="1" applyProtection="1">
      <alignment horizontal="center" vertical="center"/>
      <protection hidden="1"/>
    </xf>
    <xf numFmtId="9" fontId="2" fillId="11" borderId="22" xfId="0" applyNumberFormat="1" applyFont="1" applyFill="1" applyBorder="1" applyAlignment="1" applyProtection="1">
      <alignment horizontal="center"/>
      <protection hidden="1"/>
    </xf>
    <xf numFmtId="10" fontId="2" fillId="12" borderId="35" xfId="0" applyNumberFormat="1" applyFont="1" applyFill="1" applyBorder="1" applyAlignment="1" applyProtection="1">
      <alignment horizontal="center"/>
      <protection hidden="1"/>
    </xf>
    <xf numFmtId="0" fontId="2" fillId="11" borderId="18" xfId="0" applyFont="1" applyFill="1" applyBorder="1" applyAlignment="1" applyProtection="1">
      <alignment horizontal="center" wrapText="1"/>
      <protection hidden="1"/>
    </xf>
    <xf numFmtId="9" fontId="2" fillId="10" borderId="12" xfId="0" applyNumberFormat="1" applyFont="1" applyFill="1" applyBorder="1" applyAlignment="1" applyProtection="1">
      <alignment horizontal="center"/>
      <protection hidden="1"/>
    </xf>
    <xf numFmtId="0" fontId="2" fillId="9" borderId="14" xfId="0" applyFont="1" applyFill="1" applyBorder="1" applyAlignment="1" applyProtection="1">
      <alignment horizontal="center" wrapText="1"/>
      <protection hidden="1"/>
    </xf>
    <xf numFmtId="3" fontId="2" fillId="9" borderId="52" xfId="0" applyNumberFormat="1" applyFont="1" applyFill="1" applyBorder="1" applyAlignment="1" applyProtection="1">
      <alignment horizontal="center"/>
      <protection hidden="1"/>
    </xf>
    <xf numFmtId="0" fontId="2" fillId="11" borderId="18" xfId="0" applyFont="1" applyFill="1" applyBorder="1" applyProtection="1">
      <protection hidden="1"/>
    </xf>
    <xf numFmtId="0" fontId="2" fillId="11" borderId="19" xfId="0" applyFont="1" applyFill="1" applyBorder="1" applyProtection="1">
      <protection hidden="1"/>
    </xf>
    <xf numFmtId="0" fontId="2" fillId="11" borderId="12" xfId="0" applyFont="1" applyFill="1" applyBorder="1" applyAlignment="1" applyProtection="1">
      <alignment horizontal="center" wrapText="1"/>
      <protection hidden="1"/>
    </xf>
    <xf numFmtId="0" fontId="2" fillId="11" borderId="19" xfId="0" applyFont="1" applyFill="1" applyBorder="1" applyAlignment="1" applyProtection="1">
      <alignment horizontal="center" wrapText="1"/>
      <protection hidden="1"/>
    </xf>
    <xf numFmtId="0" fontId="2" fillId="10" borderId="29" xfId="0" applyFont="1" applyFill="1" applyBorder="1" applyAlignment="1" applyProtection="1">
      <alignment horizontal="center"/>
      <protection hidden="1"/>
    </xf>
    <xf numFmtId="3" fontId="2" fillId="10" borderId="49" xfId="0" applyNumberFormat="1" applyFont="1" applyFill="1" applyBorder="1" applyAlignment="1" applyProtection="1">
      <alignment horizontal="center"/>
      <protection hidden="1"/>
    </xf>
    <xf numFmtId="3" fontId="2" fillId="12" borderId="52" xfId="0" applyNumberFormat="1" applyFont="1" applyFill="1" applyBorder="1" applyAlignment="1" applyProtection="1">
      <alignment horizontal="center"/>
      <protection hidden="1"/>
    </xf>
    <xf numFmtId="0" fontId="2" fillId="9" borderId="19" xfId="0" applyFont="1" applyFill="1" applyBorder="1" applyAlignment="1" applyProtection="1">
      <alignment horizontal="center" wrapText="1"/>
      <protection hidden="1"/>
    </xf>
    <xf numFmtId="0" fontId="2" fillId="9" borderId="12" xfId="0" applyFont="1" applyFill="1" applyBorder="1" applyAlignment="1" applyProtection="1">
      <alignment horizontal="center" wrapText="1"/>
      <protection hidden="1"/>
    </xf>
    <xf numFmtId="3" fontId="2" fillId="12" borderId="29" xfId="0" applyNumberFormat="1" applyFont="1" applyFill="1" applyBorder="1" applyAlignment="1" applyProtection="1">
      <alignment horizontal="center"/>
      <protection hidden="1"/>
    </xf>
    <xf numFmtId="0" fontId="2" fillId="9" borderId="8" xfId="0" applyFont="1" applyFill="1" applyBorder="1" applyAlignment="1" applyProtection="1">
      <alignment horizontal="center"/>
      <protection hidden="1"/>
    </xf>
    <xf numFmtId="0" fontId="2" fillId="9" borderId="52" xfId="0" applyFont="1" applyFill="1" applyBorder="1" applyAlignment="1" applyProtection="1">
      <alignment horizontal="center" wrapText="1"/>
      <protection hidden="1"/>
    </xf>
    <xf numFmtId="0" fontId="2" fillId="9" borderId="3" xfId="0" applyFont="1" applyFill="1" applyBorder="1" applyAlignment="1" applyProtection="1">
      <alignment horizontal="center"/>
      <protection hidden="1"/>
    </xf>
    <xf numFmtId="0" fontId="2" fillId="9" borderId="17" xfId="0" applyFont="1" applyFill="1" applyBorder="1" applyAlignment="1" applyProtection="1">
      <alignment horizontal="center"/>
      <protection hidden="1"/>
    </xf>
    <xf numFmtId="0" fontId="2" fillId="10" borderId="17" xfId="0" applyFont="1" applyFill="1" applyBorder="1" applyAlignment="1" applyProtection="1">
      <alignment horizontal="center"/>
      <protection hidden="1"/>
    </xf>
    <xf numFmtId="3" fontId="2" fillId="10" borderId="57" xfId="0" applyNumberFormat="1" applyFont="1" applyFill="1" applyBorder="1" applyAlignment="1" applyProtection="1">
      <alignment horizontal="center"/>
      <protection hidden="1"/>
    </xf>
    <xf numFmtId="3" fontId="2" fillId="10" borderId="12" xfId="0" applyNumberFormat="1" applyFont="1" applyFill="1" applyBorder="1" applyAlignment="1" applyProtection="1">
      <alignment horizontal="center"/>
      <protection hidden="1"/>
    </xf>
    <xf numFmtId="0" fontId="2" fillId="11" borderId="24" xfId="0" applyFont="1" applyFill="1" applyBorder="1" applyAlignment="1" applyProtection="1">
      <alignment horizontal="center" wrapText="1"/>
      <protection hidden="1"/>
    </xf>
    <xf numFmtId="3" fontId="2" fillId="10" borderId="24" xfId="0" applyNumberFormat="1" applyFont="1" applyFill="1" applyBorder="1" applyAlignment="1" applyProtection="1">
      <alignment horizontal="center"/>
      <protection hidden="1"/>
    </xf>
    <xf numFmtId="0" fontId="30" fillId="6" borderId="0" xfId="0" applyFont="1" applyFill="1" applyAlignment="1" applyProtection="1">
      <alignment horizontal="left" vertical="center"/>
      <protection hidden="1"/>
    </xf>
    <xf numFmtId="0" fontId="2" fillId="11" borderId="37" xfId="0" applyFont="1" applyFill="1" applyBorder="1" applyProtection="1">
      <protection hidden="1"/>
    </xf>
    <xf numFmtId="0" fontId="2" fillId="15" borderId="37" xfId="0" applyFont="1" applyFill="1" applyBorder="1" applyAlignment="1" applyProtection="1">
      <alignment horizontal="center" wrapText="1"/>
      <protection hidden="1"/>
    </xf>
    <xf numFmtId="0" fontId="2" fillId="15" borderId="19" xfId="0" applyFont="1" applyFill="1" applyBorder="1" applyAlignment="1" applyProtection="1">
      <alignment horizontal="center"/>
      <protection hidden="1"/>
    </xf>
    <xf numFmtId="0" fontId="2" fillId="10" borderId="12" xfId="0" applyFont="1" applyFill="1" applyBorder="1" applyAlignment="1" applyProtection="1">
      <alignment horizontal="center" wrapText="1"/>
      <protection hidden="1"/>
    </xf>
    <xf numFmtId="3" fontId="2" fillId="10" borderId="29" xfId="0" applyNumberFormat="1" applyFont="1" applyFill="1" applyBorder="1" applyAlignment="1" applyProtection="1">
      <alignment horizontal="center"/>
      <protection hidden="1"/>
    </xf>
    <xf numFmtId="10" fontId="2" fillId="10" borderId="6" xfId="0" applyNumberFormat="1" applyFont="1" applyFill="1" applyBorder="1" applyAlignment="1" applyProtection="1">
      <alignment horizontal="center"/>
      <protection hidden="1"/>
    </xf>
    <xf numFmtId="0" fontId="32" fillId="0" borderId="0" xfId="0" applyFont="1" applyAlignment="1" applyProtection="1">
      <alignment horizontal="center"/>
      <protection hidden="1"/>
    </xf>
    <xf numFmtId="3" fontId="2" fillId="10" borderId="3" xfId="0" applyNumberFormat="1" applyFont="1" applyFill="1" applyBorder="1" applyAlignment="1" applyProtection="1">
      <alignment horizontal="center"/>
      <protection hidden="1"/>
    </xf>
    <xf numFmtId="0" fontId="30" fillId="6" borderId="0" xfId="0" applyFont="1" applyFill="1" applyAlignment="1" applyProtection="1">
      <alignment horizontal="left"/>
      <protection hidden="1"/>
    </xf>
    <xf numFmtId="3" fontId="2" fillId="10" borderId="17" xfId="0" applyNumberFormat="1" applyFont="1" applyFill="1" applyBorder="1" applyAlignment="1" applyProtection="1">
      <alignment horizontal="center"/>
      <protection hidden="1"/>
    </xf>
    <xf numFmtId="0" fontId="3" fillId="11" borderId="52" xfId="0" applyFont="1" applyFill="1" applyBorder="1" applyAlignment="1" applyProtection="1">
      <alignment horizontal="center" vertical="center" wrapText="1"/>
      <protection hidden="1"/>
    </xf>
    <xf numFmtId="3" fontId="2" fillId="10" borderId="52" xfId="0" applyNumberFormat="1" applyFont="1" applyFill="1" applyBorder="1" applyAlignment="1" applyProtection="1">
      <alignment horizontal="center"/>
      <protection hidden="1"/>
    </xf>
    <xf numFmtId="0" fontId="2" fillId="12" borderId="52" xfId="0" applyFont="1" applyFill="1" applyBorder="1" applyAlignment="1" applyProtection="1">
      <alignment horizontal="center"/>
      <protection hidden="1"/>
    </xf>
    <xf numFmtId="0" fontId="3" fillId="11" borderId="59" xfId="0" applyFont="1" applyFill="1" applyBorder="1" applyAlignment="1" applyProtection="1">
      <alignment horizontal="center" vertical="center" wrapText="1"/>
      <protection hidden="1"/>
    </xf>
    <xf numFmtId="3" fontId="2" fillId="10" borderId="58" xfId="0" applyNumberFormat="1" applyFont="1" applyFill="1" applyBorder="1" applyAlignment="1" applyProtection="1">
      <alignment horizontal="center"/>
      <protection hidden="1"/>
    </xf>
    <xf numFmtId="0" fontId="2" fillId="12" borderId="59" xfId="0" applyFont="1" applyFill="1" applyBorder="1" applyAlignment="1" applyProtection="1">
      <alignment horizontal="center"/>
      <protection hidden="1"/>
    </xf>
    <xf numFmtId="0" fontId="3" fillId="11" borderId="56" xfId="0" applyFont="1" applyFill="1" applyBorder="1" applyAlignment="1" applyProtection="1">
      <alignment horizontal="center" vertical="center" wrapText="1"/>
      <protection hidden="1"/>
    </xf>
    <xf numFmtId="3" fontId="2" fillId="10" borderId="13" xfId="0" applyNumberFormat="1" applyFont="1" applyFill="1" applyBorder="1" applyAlignment="1" applyProtection="1">
      <alignment horizontal="center"/>
      <protection hidden="1"/>
    </xf>
    <xf numFmtId="0" fontId="2" fillId="12" borderId="20" xfId="0" applyFont="1" applyFill="1" applyBorder="1" applyAlignment="1" applyProtection="1">
      <alignment horizontal="center"/>
      <protection hidden="1"/>
    </xf>
    <xf numFmtId="0" fontId="3" fillId="11" borderId="12" xfId="0" applyFont="1" applyFill="1" applyBorder="1" applyAlignment="1" applyProtection="1">
      <alignment horizontal="center" vertical="center" wrapText="1"/>
      <protection hidden="1"/>
    </xf>
    <xf numFmtId="0" fontId="2" fillId="11" borderId="52" xfId="0" applyFont="1" applyFill="1" applyBorder="1" applyAlignment="1" applyProtection="1">
      <alignment horizontal="center" wrapText="1"/>
      <protection hidden="1"/>
    </xf>
    <xf numFmtId="9" fontId="2" fillId="10" borderId="52" xfId="0" applyNumberFormat="1" applyFont="1" applyFill="1" applyBorder="1" applyAlignment="1" applyProtection="1">
      <alignment horizontal="center"/>
      <protection hidden="1"/>
    </xf>
    <xf numFmtId="0" fontId="2" fillId="10" borderId="21" xfId="0" applyFont="1" applyFill="1" applyBorder="1" applyAlignment="1" applyProtection="1">
      <alignment horizontal="center"/>
      <protection hidden="1"/>
    </xf>
    <xf numFmtId="9" fontId="2" fillId="12" borderId="81" xfId="0" applyNumberFormat="1" applyFont="1" applyFill="1" applyBorder="1" applyAlignment="1" applyProtection="1">
      <alignment horizontal="center"/>
      <protection hidden="1"/>
    </xf>
    <xf numFmtId="0" fontId="2" fillId="11" borderId="59" xfId="0" applyFont="1" applyFill="1" applyBorder="1" applyAlignment="1" applyProtection="1">
      <alignment horizontal="center" wrapText="1"/>
      <protection hidden="1"/>
    </xf>
    <xf numFmtId="9" fontId="2" fillId="10" borderId="59" xfId="0" applyNumberFormat="1" applyFont="1" applyFill="1" applyBorder="1" applyAlignment="1" applyProtection="1">
      <alignment horizontal="center"/>
      <protection hidden="1"/>
    </xf>
    <xf numFmtId="0" fontId="2" fillId="10" borderId="80" xfId="0" applyFont="1" applyFill="1" applyBorder="1" applyAlignment="1" applyProtection="1">
      <alignment horizontal="center"/>
      <protection hidden="1"/>
    </xf>
    <xf numFmtId="9" fontId="2" fillId="12" borderId="73" xfId="0" applyNumberFormat="1" applyFont="1" applyFill="1" applyBorder="1" applyAlignment="1" applyProtection="1">
      <alignment horizontal="center"/>
      <protection hidden="1"/>
    </xf>
    <xf numFmtId="0" fontId="2" fillId="12" borderId="6" xfId="0" applyFont="1" applyFill="1" applyBorder="1" applyAlignment="1" applyProtection="1">
      <alignment horizontal="center"/>
      <protection hidden="1"/>
    </xf>
    <xf numFmtId="0" fontId="3" fillId="11" borderId="17" xfId="0" applyFont="1" applyFill="1" applyBorder="1" applyAlignment="1" applyProtection="1">
      <alignment horizontal="center" vertical="center" wrapText="1"/>
      <protection hidden="1"/>
    </xf>
    <xf numFmtId="9" fontId="2" fillId="10" borderId="17" xfId="2"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9" fontId="2" fillId="12" borderId="27" xfId="0" applyNumberFormat="1" applyFont="1" applyFill="1" applyBorder="1" applyAlignment="1" applyProtection="1">
      <alignment horizontal="center"/>
      <protection hidden="1"/>
    </xf>
    <xf numFmtId="0" fontId="2" fillId="0" borderId="0" xfId="0" applyFont="1" applyAlignment="1" applyProtection="1">
      <alignment wrapText="1"/>
      <protection hidden="1"/>
    </xf>
    <xf numFmtId="0" fontId="2" fillId="11" borderId="12" xfId="0" applyFont="1" applyFill="1" applyBorder="1" applyAlignment="1" applyProtection="1">
      <alignment vertical="center" wrapText="1"/>
      <protection hidden="1"/>
    </xf>
    <xf numFmtId="0" fontId="2" fillId="11" borderId="12" xfId="0" applyFont="1" applyFill="1" applyBorder="1" applyAlignment="1" applyProtection="1">
      <alignment horizontal="center" vertical="center" wrapText="1"/>
      <protection hidden="1"/>
    </xf>
    <xf numFmtId="0" fontId="2" fillId="11" borderId="12" xfId="0" applyFont="1" applyFill="1" applyBorder="1" applyAlignment="1" applyProtection="1">
      <alignment wrapText="1"/>
      <protection hidden="1"/>
    </xf>
    <xf numFmtId="3" fontId="2" fillId="10" borderId="12" xfId="0" applyNumberFormat="1" applyFont="1" applyFill="1" applyBorder="1" applyAlignment="1" applyProtection="1">
      <alignment horizontal="center" wrapText="1"/>
      <protection hidden="1"/>
    </xf>
    <xf numFmtId="0" fontId="2" fillId="12" borderId="17" xfId="0" applyFont="1" applyFill="1" applyBorder="1" applyAlignment="1" applyProtection="1">
      <alignment horizontal="center"/>
      <protection hidden="1"/>
    </xf>
    <xf numFmtId="3" fontId="2" fillId="0" borderId="0" xfId="0" applyNumberFormat="1" applyFont="1" applyAlignment="1" applyProtection="1">
      <alignment horizontal="center" wrapText="1"/>
      <protection hidden="1"/>
    </xf>
    <xf numFmtId="180" fontId="2" fillId="11" borderId="1" xfId="0" applyNumberFormat="1" applyFont="1" applyFill="1" applyBorder="1" applyProtection="1">
      <protection hidden="1"/>
    </xf>
    <xf numFmtId="180" fontId="2" fillId="12" borderId="4" xfId="0" applyNumberFormat="1" applyFont="1" applyFill="1" applyBorder="1" applyAlignment="1" applyProtection="1">
      <alignment horizontal="center"/>
      <protection hidden="1"/>
    </xf>
    <xf numFmtId="180" fontId="2" fillId="0" borderId="0" xfId="0" applyNumberFormat="1" applyFont="1" applyFill="1" applyBorder="1" applyAlignment="1" applyProtection="1">
      <alignment horizontal="center"/>
      <protection hidden="1"/>
    </xf>
    <xf numFmtId="180" fontId="2" fillId="0" borderId="0" xfId="0" applyNumberFormat="1" applyFont="1" applyFill="1" applyBorder="1" applyAlignment="1" applyProtection="1">
      <alignment horizontal="center" vertical="center"/>
      <protection hidden="1"/>
    </xf>
    <xf numFmtId="180" fontId="2" fillId="0" borderId="0" xfId="0" applyNumberFormat="1" applyFont="1" applyAlignment="1" applyProtection="1">
      <alignment horizontal="center"/>
      <protection hidden="1"/>
    </xf>
    <xf numFmtId="180" fontId="2" fillId="0" borderId="0" xfId="0" applyNumberFormat="1" applyFont="1" applyProtection="1">
      <protection hidden="1"/>
    </xf>
    <xf numFmtId="180" fontId="2" fillId="11" borderId="7" xfId="0" quotePrefix="1" applyNumberFormat="1" applyFont="1" applyFill="1" applyBorder="1" applyProtection="1">
      <protection hidden="1"/>
    </xf>
    <xf numFmtId="180" fontId="2" fillId="12" borderId="8" xfId="0" applyNumberFormat="1" applyFont="1" applyFill="1" applyBorder="1" applyAlignment="1" applyProtection="1">
      <alignment horizontal="center"/>
      <protection hidden="1"/>
    </xf>
    <xf numFmtId="180" fontId="2" fillId="12" borderId="12" xfId="0" applyNumberFormat="1" applyFont="1" applyFill="1" applyBorder="1" applyAlignment="1" applyProtection="1">
      <alignment horizontal="center"/>
      <protection hidden="1"/>
    </xf>
    <xf numFmtId="180" fontId="2" fillId="0" borderId="0" xfId="0" applyNumberFormat="1" applyFont="1" applyAlignment="1" applyProtection="1">
      <alignment horizontal="center" vertical="center"/>
      <protection hidden="1"/>
    </xf>
    <xf numFmtId="180" fontId="2" fillId="11" borderId="11" xfId="0" quotePrefix="1" applyNumberFormat="1" applyFont="1" applyFill="1" applyBorder="1" applyProtection="1">
      <protection hidden="1"/>
    </xf>
    <xf numFmtId="180" fontId="2" fillId="12" borderId="3" xfId="0" applyNumberFormat="1" applyFont="1" applyFill="1" applyBorder="1" applyAlignment="1" applyProtection="1">
      <alignment horizontal="center"/>
      <protection hidden="1"/>
    </xf>
    <xf numFmtId="180" fontId="2" fillId="0" borderId="0" xfId="0" applyNumberFormat="1" applyFont="1" applyAlignment="1" applyProtection="1">
      <alignment horizontal="left"/>
      <protection hidden="1"/>
    </xf>
    <xf numFmtId="180" fontId="2" fillId="0" borderId="0" xfId="0" applyNumberFormat="1" applyFont="1" applyFill="1" applyBorder="1" applyProtection="1">
      <protection hidden="1"/>
    </xf>
    <xf numFmtId="180" fontId="2" fillId="11" borderId="1" xfId="0" applyNumberFormat="1" applyFont="1" applyFill="1" applyBorder="1" applyAlignment="1" applyProtection="1">
      <alignment horizontal="left"/>
      <protection hidden="1"/>
    </xf>
    <xf numFmtId="180" fontId="2" fillId="11" borderId="11" xfId="0" applyNumberFormat="1" applyFont="1" applyFill="1" applyBorder="1" applyAlignment="1" applyProtection="1">
      <alignment horizontal="left"/>
      <protection hidden="1"/>
    </xf>
    <xf numFmtId="180" fontId="2" fillId="0" borderId="0" xfId="0" applyNumberFormat="1" applyFont="1" applyFill="1" applyBorder="1" applyAlignment="1" applyProtection="1">
      <alignment horizontal="left" wrapText="1"/>
      <protection hidden="1"/>
    </xf>
    <xf numFmtId="180" fontId="2" fillId="0" borderId="0" xfId="0" applyNumberFormat="1" applyFont="1" applyAlignment="1" applyProtection="1">
      <alignment horizontal="center" wrapText="1"/>
      <protection hidden="1"/>
    </xf>
    <xf numFmtId="180" fontId="2" fillId="11" borderId="15" xfId="0" applyNumberFormat="1" applyFont="1" applyFill="1" applyBorder="1" applyAlignment="1" applyProtection="1">
      <alignment horizontal="left"/>
      <protection hidden="1"/>
    </xf>
    <xf numFmtId="180" fontId="2" fillId="12" borderId="16" xfId="0" applyNumberFormat="1" applyFont="1" applyFill="1" applyBorder="1" applyAlignment="1" applyProtection="1">
      <alignment horizontal="center"/>
      <protection hidden="1"/>
    </xf>
    <xf numFmtId="180" fontId="31" fillId="0" borderId="0" xfId="0" applyNumberFormat="1" applyFont="1" applyAlignment="1" applyProtection="1">
      <alignment horizontal="center"/>
      <protection hidden="1"/>
    </xf>
    <xf numFmtId="180" fontId="31" fillId="0" borderId="0" xfId="0" applyNumberFormat="1" applyFont="1" applyAlignment="1" applyProtection="1">
      <alignment horizontal="right" vertical="center"/>
      <protection hidden="1"/>
    </xf>
    <xf numFmtId="180" fontId="2" fillId="0" borderId="0" xfId="1" applyNumberFormat="1" applyFont="1" applyAlignment="1" applyProtection="1">
      <alignment horizontal="center" vertical="center"/>
      <protection hidden="1"/>
    </xf>
    <xf numFmtId="180" fontId="0" fillId="0" borderId="0" xfId="0" applyNumberFormat="1" applyProtection="1">
      <protection hidden="1"/>
    </xf>
    <xf numFmtId="180" fontId="2" fillId="0" borderId="0" xfId="0" applyNumberFormat="1" applyFont="1" applyFill="1" applyAlignment="1" applyProtection="1">
      <alignment horizontal="center" wrapText="1"/>
      <protection hidden="1"/>
    </xf>
    <xf numFmtId="180" fontId="2" fillId="0" borderId="0" xfId="0" applyNumberFormat="1" applyFont="1" applyFill="1" applyAlignment="1" applyProtection="1">
      <alignment horizontal="center"/>
      <protection hidden="1"/>
    </xf>
    <xf numFmtId="0" fontId="33" fillId="0" borderId="83" xfId="0" applyFont="1" applyBorder="1" applyAlignment="1" applyProtection="1">
      <alignment vertical="center" wrapText="1"/>
      <protection hidden="1"/>
    </xf>
    <xf numFmtId="0" fontId="33" fillId="0" borderId="97" xfId="0" applyFont="1" applyBorder="1" applyAlignment="1" applyProtection="1">
      <alignment vertical="center" wrapText="1"/>
      <protection hidden="1"/>
    </xf>
    <xf numFmtId="0" fontId="33" fillId="0" borderId="99" xfId="0" applyFont="1" applyBorder="1" applyAlignment="1" applyProtection="1">
      <alignment vertical="center" wrapText="1"/>
      <protection hidden="1"/>
    </xf>
    <xf numFmtId="0" fontId="33" fillId="0" borderId="28" xfId="0" applyFont="1" applyBorder="1" applyAlignment="1" applyProtection="1">
      <alignment vertical="center" wrapText="1"/>
      <protection hidden="1"/>
    </xf>
    <xf numFmtId="0" fontId="34" fillId="0" borderId="12" xfId="0" applyFont="1" applyBorder="1" applyAlignment="1" applyProtection="1">
      <alignment vertical="center" wrapText="1"/>
      <protection hidden="1"/>
    </xf>
    <xf numFmtId="0" fontId="34" fillId="0" borderId="19" xfId="0" applyFont="1" applyBorder="1" applyAlignment="1" applyProtection="1">
      <alignment vertical="center" wrapText="1"/>
      <protection hidden="1"/>
    </xf>
    <xf numFmtId="0" fontId="2" fillId="18" borderId="17" xfId="0" applyFont="1" applyFill="1" applyBorder="1" applyAlignment="1" applyProtection="1">
      <alignment horizontal="center"/>
      <protection hidden="1"/>
    </xf>
    <xf numFmtId="0" fontId="8" fillId="5" borderId="18" xfId="0" applyFont="1" applyFill="1" applyBorder="1" applyAlignment="1">
      <alignment horizontal="center"/>
    </xf>
    <xf numFmtId="0" fontId="8" fillId="5" borderId="37" xfId="0" applyFont="1" applyFill="1" applyBorder="1" applyAlignment="1">
      <alignment horizontal="center"/>
    </xf>
    <xf numFmtId="0" fontId="8" fillId="5" borderId="19" xfId="0" applyFont="1" applyFill="1" applyBorder="1" applyAlignment="1">
      <alignment horizontal="center"/>
    </xf>
    <xf numFmtId="0" fontId="3" fillId="11" borderId="18" xfId="0" applyFont="1" applyFill="1" applyBorder="1" applyAlignment="1" applyProtection="1">
      <alignment horizontal="left" vertical="center" wrapText="1"/>
      <protection hidden="1"/>
    </xf>
    <xf numFmtId="0" fontId="3" fillId="11" borderId="19" xfId="0" applyFont="1" applyFill="1" applyBorder="1" applyAlignment="1" applyProtection="1">
      <alignment horizontal="left" vertical="center" wrapText="1"/>
      <protection hidden="1"/>
    </xf>
    <xf numFmtId="0" fontId="3" fillId="11" borderId="37" xfId="0" applyFont="1" applyFill="1" applyBorder="1" applyAlignment="1" applyProtection="1">
      <alignment horizontal="left" vertical="center" wrapText="1"/>
      <protection hidden="1"/>
    </xf>
    <xf numFmtId="0" fontId="7" fillId="12" borderId="18" xfId="0" applyFont="1" applyFill="1" applyBorder="1" applyAlignment="1" applyProtection="1">
      <alignment horizontal="center"/>
      <protection hidden="1"/>
    </xf>
    <xf numFmtId="0" fontId="7" fillId="12" borderId="37" xfId="0" applyFont="1" applyFill="1" applyBorder="1" applyAlignment="1" applyProtection="1">
      <alignment horizontal="center"/>
      <protection hidden="1"/>
    </xf>
    <xf numFmtId="0" fontId="2" fillId="10" borderId="31" xfId="0" applyFont="1" applyFill="1" applyBorder="1" applyAlignment="1" applyProtection="1">
      <alignment horizontal="center"/>
      <protection hidden="1"/>
    </xf>
    <xf numFmtId="0" fontId="2" fillId="10" borderId="21" xfId="0" applyFont="1" applyFill="1" applyBorder="1" applyAlignment="1" applyProtection="1">
      <alignment horizontal="center"/>
      <protection hidden="1"/>
    </xf>
    <xf numFmtId="0" fontId="2" fillId="9" borderId="32" xfId="0" applyFont="1" applyFill="1" applyBorder="1" applyAlignment="1" applyProtection="1">
      <alignment horizontal="center"/>
      <protection hidden="1"/>
    </xf>
    <xf numFmtId="0" fontId="2" fillId="9" borderId="40" xfId="0" applyFont="1" applyFill="1" applyBorder="1" applyAlignment="1" applyProtection="1">
      <alignment horizontal="center"/>
      <protection hidden="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15" fillId="19" borderId="9" xfId="0" applyFont="1" applyFill="1" applyBorder="1" applyAlignment="1" applyProtection="1">
      <alignment horizontal="center" vertical="center"/>
      <protection locked="0"/>
    </xf>
    <xf numFmtId="0" fontId="15" fillId="19" borderId="49" xfId="0" applyFont="1" applyFill="1" applyBorder="1" applyAlignment="1" applyProtection="1">
      <alignment horizontal="center" vertical="center"/>
      <protection locked="0"/>
    </xf>
    <xf numFmtId="0" fontId="15" fillId="19" borderId="62" xfId="0" applyFont="1" applyFill="1" applyBorder="1" applyAlignment="1" applyProtection="1">
      <alignment horizontal="center" vertical="center"/>
      <protection locked="0"/>
    </xf>
    <xf numFmtId="0" fontId="18" fillId="6" borderId="9" xfId="0" applyFont="1" applyFill="1" applyBorder="1" applyAlignment="1" applyProtection="1">
      <alignment horizontal="center" vertical="center"/>
      <protection locked="0"/>
    </xf>
    <xf numFmtId="0" fontId="18" fillId="6" borderId="49" xfId="0" applyFont="1" applyFill="1" applyBorder="1" applyAlignment="1" applyProtection="1">
      <alignment horizontal="center" vertical="center"/>
      <protection locked="0"/>
    </xf>
    <xf numFmtId="0" fontId="18" fillId="6" borderId="62" xfId="0" applyFont="1" applyFill="1" applyBorder="1" applyAlignment="1" applyProtection="1">
      <alignment horizontal="center" vertical="center"/>
      <protection locked="0"/>
    </xf>
    <xf numFmtId="0" fontId="28" fillId="0" borderId="18" xfId="0" applyFont="1" applyFill="1" applyBorder="1" applyAlignment="1" applyProtection="1">
      <alignment horizontal="center" vertical="center"/>
      <protection locked="0"/>
    </xf>
    <xf numFmtId="0" fontId="28" fillId="0" borderId="19" xfId="0" applyFont="1" applyFill="1" applyBorder="1" applyAlignment="1" applyProtection="1">
      <alignment horizontal="center" vertical="center"/>
      <protection locked="0"/>
    </xf>
    <xf numFmtId="0" fontId="26" fillId="20" borderId="66" xfId="0" applyFont="1" applyFill="1" applyBorder="1" applyAlignment="1">
      <alignment horizontal="center" vertical="center" wrapText="1"/>
    </xf>
    <xf numFmtId="0" fontId="26" fillId="20" borderId="67" xfId="0" applyFont="1" applyFill="1" applyBorder="1" applyAlignment="1">
      <alignment horizontal="center" vertical="center" wrapText="1"/>
    </xf>
    <xf numFmtId="0" fontId="26" fillId="20" borderId="68" xfId="0" applyFont="1" applyFill="1" applyBorder="1" applyAlignment="1">
      <alignment horizontal="center" vertical="center" wrapText="1"/>
    </xf>
    <xf numFmtId="0" fontId="22" fillId="10" borderId="79" xfId="0" applyFont="1" applyFill="1" applyBorder="1" applyAlignment="1" applyProtection="1">
      <alignment horizontal="center" vertical="center"/>
      <protection locked="0"/>
    </xf>
    <xf numFmtId="0" fontId="22" fillId="10" borderId="48" xfId="0" applyFont="1" applyFill="1" applyBorder="1" applyAlignment="1" applyProtection="1">
      <alignment horizontal="center" vertical="center"/>
      <protection locked="0"/>
    </xf>
    <xf numFmtId="0" fontId="23" fillId="19" borderId="72" xfId="0" applyFont="1" applyFill="1" applyBorder="1" applyAlignment="1" applyProtection="1">
      <alignment horizontal="center" vertical="center"/>
      <protection locked="0"/>
    </xf>
    <xf numFmtId="0" fontId="23" fillId="19" borderId="0" xfId="0" applyFont="1" applyFill="1" applyBorder="1" applyAlignment="1" applyProtection="1">
      <alignment horizontal="center" vertical="center"/>
      <protection locked="0"/>
    </xf>
    <xf numFmtId="0" fontId="21" fillId="6" borderId="72" xfId="0" applyFont="1" applyFill="1" applyBorder="1" applyAlignment="1" applyProtection="1">
      <alignment horizontal="center" vertical="center"/>
      <protection locked="0"/>
    </xf>
    <xf numFmtId="0" fontId="21" fillId="6" borderId="0" xfId="0" applyFont="1" applyFill="1" applyBorder="1" applyAlignment="1" applyProtection="1">
      <alignment horizontal="center" vertical="center"/>
      <protection locked="0"/>
    </xf>
    <xf numFmtId="0" fontId="23" fillId="19" borderId="60" xfId="0" applyFont="1" applyFill="1" applyBorder="1" applyAlignment="1" applyProtection="1">
      <alignment horizontal="center" vertical="center"/>
      <protection locked="0"/>
    </xf>
    <xf numFmtId="0" fontId="23" fillId="19" borderId="73" xfId="0" applyFont="1" applyFill="1" applyBorder="1" applyAlignment="1" applyProtection="1">
      <alignment horizontal="center" vertical="center"/>
      <protection locked="0"/>
    </xf>
    <xf numFmtId="10" fontId="2" fillId="0" borderId="46" xfId="0" applyNumberFormat="1" applyFont="1" applyFill="1" applyBorder="1" applyAlignment="1">
      <alignment horizontal="center" vertical="center"/>
    </xf>
    <xf numFmtId="10" fontId="2" fillId="0" borderId="35" xfId="0" applyNumberFormat="1" applyFont="1" applyFill="1" applyBorder="1" applyAlignment="1">
      <alignment horizontal="center" vertical="center"/>
    </xf>
    <xf numFmtId="0" fontId="3" fillId="11" borderId="31" xfId="0" applyFont="1" applyFill="1" applyBorder="1" applyAlignment="1">
      <alignment horizontal="center" vertical="center"/>
    </xf>
    <xf numFmtId="0" fontId="3" fillId="11" borderId="21" xfId="0" applyFont="1" applyFill="1" applyBorder="1" applyAlignment="1">
      <alignment horizontal="center" vertical="center"/>
    </xf>
    <xf numFmtId="0" fontId="3" fillId="11" borderId="2" xfId="0" applyFont="1" applyFill="1" applyBorder="1" applyAlignment="1">
      <alignment horizontal="center" vertical="center" wrapText="1"/>
    </xf>
    <xf numFmtId="9" fontId="2" fillId="0" borderId="39" xfId="0" applyNumberFormat="1" applyFont="1" applyFill="1" applyBorder="1" applyAlignment="1">
      <alignment horizontal="center" vertical="center"/>
    </xf>
    <xf numFmtId="0" fontId="2" fillId="0" borderId="20" xfId="0" applyFont="1" applyFill="1" applyBorder="1" applyAlignment="1">
      <alignment horizontal="center" vertical="center"/>
    </xf>
    <xf numFmtId="0" fontId="16" fillId="6" borderId="51" xfId="0" applyFont="1" applyFill="1" applyBorder="1" applyAlignment="1" applyProtection="1">
      <alignment horizontal="center" vertical="center"/>
      <protection locked="0"/>
    </xf>
    <xf numFmtId="0" fontId="14" fillId="19" borderId="75" xfId="0" applyFont="1" applyFill="1" applyBorder="1" applyAlignment="1" applyProtection="1">
      <alignment horizontal="center" vertical="center"/>
      <protection locked="0"/>
    </xf>
    <xf numFmtId="0" fontId="14" fillId="19" borderId="0" xfId="0" applyFont="1" applyFill="1" applyBorder="1" applyAlignment="1" applyProtection="1">
      <alignment horizontal="center" vertical="center"/>
      <protection locked="0"/>
    </xf>
    <xf numFmtId="0" fontId="19" fillId="10" borderId="76" xfId="0" applyFont="1" applyFill="1" applyBorder="1" applyAlignment="1" applyProtection="1">
      <alignment horizontal="center" vertical="center"/>
      <protection locked="0"/>
    </xf>
    <xf numFmtId="0" fontId="19" fillId="10" borderId="77" xfId="0" applyFont="1" applyFill="1" applyBorder="1" applyAlignment="1" applyProtection="1">
      <alignment horizontal="center" vertical="center"/>
      <protection locked="0"/>
    </xf>
    <xf numFmtId="0" fontId="18" fillId="6" borderId="0" xfId="0" applyFont="1" applyFill="1" applyBorder="1" applyAlignment="1" applyProtection="1">
      <alignment horizontal="center" vertical="center"/>
      <protection locked="0"/>
    </xf>
    <xf numFmtId="0" fontId="3" fillId="11" borderId="18" xfId="0" applyFont="1" applyFill="1" applyBorder="1" applyAlignment="1">
      <alignment horizontal="center" vertical="center"/>
    </xf>
    <xf numFmtId="0" fontId="3" fillId="11" borderId="37" xfId="0" applyFont="1" applyFill="1" applyBorder="1" applyAlignment="1">
      <alignment horizontal="center" vertical="center"/>
    </xf>
    <xf numFmtId="0" fontId="3" fillId="11" borderId="19" xfId="0" applyFont="1" applyFill="1" applyBorder="1" applyAlignment="1">
      <alignment horizontal="center" vertical="center"/>
    </xf>
    <xf numFmtId="0" fontId="2" fillId="11" borderId="74" xfId="0" applyFont="1" applyFill="1" applyBorder="1" applyAlignment="1">
      <alignment horizontal="center" vertical="center"/>
    </xf>
    <xf numFmtId="0" fontId="2" fillId="11" borderId="14" xfId="0" applyFont="1" applyFill="1" applyBorder="1" applyAlignment="1">
      <alignment horizontal="center" vertical="center"/>
    </xf>
    <xf numFmtId="0" fontId="3" fillId="11" borderId="36" xfId="0" applyFont="1" applyFill="1" applyBorder="1" applyAlignment="1">
      <alignment horizontal="center" vertical="center"/>
    </xf>
    <xf numFmtId="0" fontId="3" fillId="11" borderId="30" xfId="0" applyFont="1" applyFill="1" applyBorder="1" applyAlignment="1">
      <alignment horizontal="center" vertical="center"/>
    </xf>
    <xf numFmtId="0" fontId="3" fillId="11" borderId="33" xfId="0" applyFont="1" applyFill="1" applyBorder="1" applyAlignment="1">
      <alignment horizontal="center" vertical="center"/>
    </xf>
    <xf numFmtId="9" fontId="33" fillId="0" borderId="90" xfId="0" applyNumberFormat="1" applyFont="1" applyBorder="1" applyAlignment="1" applyProtection="1">
      <alignment horizontal="left" wrapText="1"/>
      <protection hidden="1"/>
    </xf>
    <xf numFmtId="9" fontId="33" fillId="0" borderId="37" xfId="0" applyNumberFormat="1" applyFont="1" applyBorder="1" applyAlignment="1" applyProtection="1">
      <alignment horizontal="left" wrapText="1"/>
      <protection hidden="1"/>
    </xf>
    <xf numFmtId="9" fontId="33" fillId="0" borderId="84" xfId="0" applyNumberFormat="1" applyFont="1" applyBorder="1" applyAlignment="1" applyProtection="1">
      <alignment horizontal="left" wrapText="1"/>
      <protection hidden="1"/>
    </xf>
    <xf numFmtId="0" fontId="33" fillId="0" borderId="100" xfId="0" applyFont="1" applyBorder="1" applyAlignment="1" applyProtection="1">
      <alignment vertical="center" wrapText="1"/>
      <protection hidden="1"/>
    </xf>
    <xf numFmtId="0" fontId="33" fillId="0" borderId="96" xfId="0" applyFont="1" applyBorder="1" applyAlignment="1" applyProtection="1">
      <alignment vertical="center" wrapText="1"/>
      <protection hidden="1"/>
    </xf>
    <xf numFmtId="0" fontId="33" fillId="0" borderId="101" xfId="0" applyFont="1" applyBorder="1" applyAlignment="1" applyProtection="1">
      <alignment vertical="center" wrapText="1"/>
      <protection hidden="1"/>
    </xf>
    <xf numFmtId="0" fontId="33" fillId="0" borderId="93"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94" xfId="0" applyFont="1" applyBorder="1" applyAlignment="1" applyProtection="1">
      <alignment horizontal="center" vertical="center" wrapText="1"/>
      <protection hidden="1"/>
    </xf>
    <xf numFmtId="0" fontId="33" fillId="0" borderId="95" xfId="0" applyFont="1" applyBorder="1" applyAlignment="1" applyProtection="1">
      <alignment horizontal="center" vertical="center" wrapText="1"/>
      <protection hidden="1"/>
    </xf>
    <xf numFmtId="0" fontId="33" fillId="0" borderId="51" xfId="0" applyFont="1" applyBorder="1" applyAlignment="1" applyProtection="1">
      <alignment horizontal="center" vertical="center" wrapText="1"/>
      <protection hidden="1"/>
    </xf>
    <xf numFmtId="0" fontId="33" fillId="0" borderId="86" xfId="0" applyFont="1" applyBorder="1" applyAlignment="1" applyProtection="1">
      <alignment horizontal="center" vertical="center" wrapText="1"/>
      <protection hidden="1"/>
    </xf>
    <xf numFmtId="0" fontId="33" fillId="0" borderId="36" xfId="0" applyFont="1" applyBorder="1" applyAlignment="1" applyProtection="1">
      <alignment horizontal="left" vertical="center" wrapText="1"/>
      <protection hidden="1"/>
    </xf>
    <xf numFmtId="0" fontId="33" fillId="0" borderId="44" xfId="0" applyFont="1" applyBorder="1" applyAlignment="1" applyProtection="1">
      <alignment horizontal="left" vertical="center" wrapText="1"/>
      <protection hidden="1"/>
    </xf>
    <xf numFmtId="0" fontId="33" fillId="0" borderId="98" xfId="0" applyFont="1" applyBorder="1" applyAlignment="1" applyProtection="1">
      <alignment horizontal="left" vertical="center" wrapText="1"/>
      <protection hidden="1"/>
    </xf>
    <xf numFmtId="0" fontId="34" fillId="0" borderId="90" xfId="0" applyFont="1" applyBorder="1" applyAlignment="1" applyProtection="1">
      <alignment vertical="center" wrapText="1"/>
      <protection hidden="1"/>
    </xf>
    <xf numFmtId="0" fontId="34" fillId="0" borderId="37" xfId="0" applyFont="1" applyBorder="1" applyAlignment="1" applyProtection="1">
      <alignment vertical="center" wrapText="1"/>
      <protection hidden="1"/>
    </xf>
    <xf numFmtId="0" fontId="34" fillId="0" borderId="84" xfId="0" applyFont="1" applyBorder="1" applyAlignment="1" applyProtection="1">
      <alignment vertical="center" wrapText="1"/>
      <protection hidden="1"/>
    </xf>
    <xf numFmtId="0" fontId="33" fillId="0" borderId="91" xfId="0" applyFont="1" applyBorder="1" applyAlignment="1" applyProtection="1">
      <alignment vertical="center" wrapText="1"/>
      <protection hidden="1"/>
    </xf>
    <xf numFmtId="0" fontId="33" fillId="0" borderId="92" xfId="0" applyFont="1" applyBorder="1" applyAlignment="1" applyProtection="1">
      <alignment vertical="center" wrapText="1"/>
      <protection hidden="1"/>
    </xf>
    <xf numFmtId="0" fontId="33" fillId="0" borderId="90" xfId="0" applyFont="1" applyBorder="1" applyAlignment="1" applyProtection="1">
      <alignment horizontal="left" wrapText="1"/>
      <protection hidden="1"/>
    </xf>
    <xf numFmtId="0" fontId="33" fillId="0" borderId="37" xfId="0" applyFont="1" applyBorder="1" applyAlignment="1" applyProtection="1">
      <alignment horizontal="left" wrapText="1"/>
      <protection hidden="1"/>
    </xf>
    <xf numFmtId="0" fontId="33" fillId="0" borderId="84" xfId="0" applyFont="1" applyBorder="1" applyAlignment="1" applyProtection="1">
      <alignment horizontal="left" wrapText="1"/>
      <protection hidden="1"/>
    </xf>
    <xf numFmtId="0" fontId="2" fillId="0" borderId="1" xfId="0" applyFont="1" applyFill="1" applyBorder="1" applyAlignment="1" applyProtection="1">
      <alignment horizontal="center" wrapText="1"/>
      <protection hidden="1"/>
    </xf>
    <xf numFmtId="0" fontId="2" fillId="0" borderId="11" xfId="0" applyFont="1" applyFill="1" applyBorder="1" applyAlignment="1" applyProtection="1">
      <alignment horizontal="center" wrapText="1"/>
      <protection hidden="1"/>
    </xf>
    <xf numFmtId="0" fontId="2" fillId="0" borderId="10" xfId="0" applyFont="1" applyFill="1" applyBorder="1" applyAlignment="1" applyProtection="1">
      <alignment horizontal="center" wrapText="1"/>
      <protection hidden="1"/>
    </xf>
    <xf numFmtId="0" fontId="2" fillId="0" borderId="13" xfId="0" applyFont="1" applyFill="1" applyBorder="1" applyAlignment="1" applyProtection="1">
      <alignment horizontal="center" wrapText="1"/>
      <protection hidden="1"/>
    </xf>
    <xf numFmtId="0" fontId="2" fillId="0" borderId="4" xfId="0" applyFont="1" applyFill="1" applyBorder="1" applyAlignment="1" applyProtection="1">
      <alignment horizontal="center" wrapText="1"/>
      <protection hidden="1"/>
    </xf>
    <xf numFmtId="0" fontId="2" fillId="0" borderId="3" xfId="0" applyFont="1" applyFill="1" applyBorder="1" applyAlignment="1" applyProtection="1">
      <alignment horizontal="center" wrapText="1"/>
      <protection hidden="1"/>
    </xf>
    <xf numFmtId="0" fontId="2" fillId="0" borderId="0" xfId="0" applyFont="1" applyFill="1" applyAlignment="1" applyProtection="1">
      <alignment horizontal="left" wrapText="1"/>
      <protection hidden="1"/>
    </xf>
    <xf numFmtId="0" fontId="33" fillId="0" borderId="36" xfId="0" applyFont="1" applyBorder="1" applyAlignment="1" applyProtection="1">
      <alignment horizontal="left" vertical="top" wrapText="1"/>
      <protection hidden="1"/>
    </xf>
    <xf numFmtId="0" fontId="33" fillId="0" borderId="30" xfId="0" applyFont="1" applyBorder="1" applyAlignment="1" applyProtection="1">
      <alignment horizontal="left" vertical="top" wrapText="1"/>
      <protection hidden="1"/>
    </xf>
    <xf numFmtId="0" fontId="33" fillId="0" borderId="33" xfId="0" applyFont="1" applyBorder="1" applyAlignment="1" applyProtection="1">
      <alignment horizontal="left" vertical="top" wrapText="1"/>
      <protection hidden="1"/>
    </xf>
    <xf numFmtId="0" fontId="33" fillId="0" borderId="44" xfId="0" applyFont="1" applyBorder="1" applyAlignment="1" applyProtection="1">
      <alignment horizontal="left" vertical="top" wrapText="1"/>
      <protection hidden="1"/>
    </xf>
    <xf numFmtId="0" fontId="33" fillId="0" borderId="0" xfId="0" applyFont="1" applyBorder="1" applyAlignment="1" applyProtection="1">
      <alignment horizontal="left" vertical="top" wrapText="1"/>
      <protection hidden="1"/>
    </xf>
    <xf numFmtId="0" fontId="33" fillId="0" borderId="28" xfId="0" applyFont="1" applyBorder="1" applyAlignment="1" applyProtection="1">
      <alignment horizontal="left" vertical="top" wrapText="1"/>
      <protection hidden="1"/>
    </xf>
    <xf numFmtId="0" fontId="33" fillId="0" borderId="34" xfId="0" applyFont="1" applyBorder="1" applyAlignment="1" applyProtection="1">
      <alignment horizontal="left" vertical="top" wrapText="1"/>
      <protection hidden="1"/>
    </xf>
    <xf numFmtId="0" fontId="33" fillId="0" borderId="51" xfId="0" applyFont="1" applyBorder="1" applyAlignment="1" applyProtection="1">
      <alignment horizontal="left" vertical="top" wrapText="1"/>
      <protection hidden="1"/>
    </xf>
    <xf numFmtId="0" fontId="33" fillId="0" borderId="35" xfId="0" applyFont="1" applyBorder="1" applyAlignment="1" applyProtection="1">
      <alignment horizontal="left" vertical="top" wrapText="1"/>
      <protection hidden="1"/>
    </xf>
    <xf numFmtId="0" fontId="2" fillId="0" borderId="31" xfId="0" applyFont="1" applyFill="1" applyBorder="1" applyAlignment="1" applyProtection="1">
      <alignment horizontal="center" wrapText="1"/>
      <protection hidden="1"/>
    </xf>
    <xf numFmtId="0" fontId="2" fillId="0" borderId="56" xfId="0" applyFont="1" applyFill="1" applyBorder="1" applyAlignment="1" applyProtection="1">
      <alignment horizontal="center" wrapText="1"/>
      <protection hidden="1"/>
    </xf>
    <xf numFmtId="0" fontId="2" fillId="0" borderId="52" xfId="0" applyFont="1" applyFill="1" applyBorder="1" applyAlignment="1" applyProtection="1">
      <alignment horizontal="center" wrapText="1"/>
      <protection hidden="1"/>
    </xf>
    <xf numFmtId="0" fontId="2" fillId="0" borderId="17" xfId="0" applyFont="1" applyFill="1" applyBorder="1" applyAlignment="1" applyProtection="1">
      <alignment horizontal="center" wrapText="1"/>
      <protection hidden="1"/>
    </xf>
    <xf numFmtId="0" fontId="2" fillId="0" borderId="15" xfId="0" applyFont="1" applyFill="1" applyBorder="1" applyAlignment="1" applyProtection="1">
      <alignment horizontal="center" wrapText="1"/>
      <protection hidden="1"/>
    </xf>
    <xf numFmtId="0" fontId="2" fillId="0" borderId="23" xfId="0" applyFont="1" applyFill="1" applyBorder="1" applyAlignment="1" applyProtection="1">
      <alignment horizontal="center" wrapText="1"/>
      <protection hidden="1"/>
    </xf>
    <xf numFmtId="0" fontId="2" fillId="0" borderId="16" xfId="0" applyFont="1" applyFill="1" applyBorder="1" applyAlignment="1" applyProtection="1">
      <alignment horizontal="center" wrapText="1"/>
      <protection hidden="1"/>
    </xf>
    <xf numFmtId="0" fontId="2" fillId="0" borderId="64" xfId="0" applyFont="1" applyFill="1" applyBorder="1" applyAlignment="1" applyProtection="1">
      <alignment horizontal="center" wrapText="1"/>
      <protection hidden="1"/>
    </xf>
    <xf numFmtId="0" fontId="4" fillId="4" borderId="36"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5" fillId="8" borderId="18" xfId="0" applyFont="1" applyFill="1" applyBorder="1" applyAlignment="1">
      <alignment horizontal="center"/>
    </xf>
    <xf numFmtId="0" fontId="5" fillId="8" borderId="19" xfId="0" applyFont="1" applyFill="1" applyBorder="1" applyAlignment="1">
      <alignment horizontal="center"/>
    </xf>
    <xf numFmtId="0" fontId="4" fillId="0" borderId="0" xfId="0" applyFont="1" applyAlignment="1">
      <alignment horizontal="center" wrapText="1"/>
    </xf>
  </cellXfs>
  <cellStyles count="7">
    <cellStyle name="Comma" xfId="1" builtinId="3"/>
    <cellStyle name="Comma 2" xfId="6"/>
    <cellStyle name="Normal" xfId="0" builtinId="0"/>
    <cellStyle name="Normal 2" xfId="3"/>
    <cellStyle name="Normal 3" xfId="4"/>
    <cellStyle name="Percent" xfId="2" builtinId="5"/>
    <cellStyle name="Percent 2" xfId="5"/>
  </cellStyles>
  <dxfs count="0"/>
  <tableStyles count="0" defaultTableStyle="TableStyleMedium9" defaultPivotStyle="PivotStyleLight16"/>
  <colors>
    <mruColors>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42"/>
  <sheetViews>
    <sheetView workbookViewId="0">
      <selection sqref="A1:D1"/>
    </sheetView>
  </sheetViews>
  <sheetFormatPr defaultRowHeight="12.75" x14ac:dyDescent="0.2"/>
  <cols>
    <col min="1" max="1" width="9.140625" style="1"/>
    <col min="2" max="2" width="40" style="20" customWidth="1"/>
    <col min="3" max="3" width="13.140625" bestFit="1" customWidth="1"/>
    <col min="4" max="4" width="31.5703125" style="21" bestFit="1" customWidth="1"/>
    <col min="5" max="5" width="91.42578125" style="27" customWidth="1"/>
    <col min="6" max="16384" width="9.140625" style="22"/>
  </cols>
  <sheetData>
    <row r="1" spans="1:5" ht="21" thickBot="1" x14ac:dyDescent="0.35">
      <c r="A1" s="532" t="s">
        <v>313</v>
      </c>
      <c r="B1" s="533"/>
      <c r="C1" s="533"/>
      <c r="D1" s="534"/>
    </row>
    <row r="3" spans="1:5" s="107" customFormat="1" x14ac:dyDescent="0.2">
      <c r="A3" s="114" t="s">
        <v>42</v>
      </c>
      <c r="B3" s="115" t="s">
        <v>43</v>
      </c>
      <c r="C3" s="115" t="s">
        <v>187</v>
      </c>
      <c r="D3" s="115" t="s">
        <v>44</v>
      </c>
      <c r="E3" s="115" t="s">
        <v>45</v>
      </c>
    </row>
    <row r="4" spans="1:5" x14ac:dyDescent="0.2">
      <c r="A4" s="112">
        <v>1</v>
      </c>
      <c r="B4" s="106" t="s">
        <v>353</v>
      </c>
      <c r="C4" s="112" t="s">
        <v>188</v>
      </c>
      <c r="D4" s="36" t="s">
        <v>355</v>
      </c>
      <c r="E4" s="106" t="s">
        <v>319</v>
      </c>
    </row>
    <row r="5" spans="1:5" x14ac:dyDescent="0.2">
      <c r="A5" s="112">
        <f>A4+1</f>
        <v>2</v>
      </c>
      <c r="B5" s="106" t="s">
        <v>354</v>
      </c>
      <c r="C5" s="112" t="s">
        <v>188</v>
      </c>
      <c r="D5" s="36" t="s">
        <v>356</v>
      </c>
      <c r="E5" s="106" t="s">
        <v>357</v>
      </c>
    </row>
    <row r="6" spans="1:5" ht="51" x14ac:dyDescent="0.2">
      <c r="A6" s="112">
        <f t="shared" ref="A6:A28" si="0">A5+1</f>
        <v>3</v>
      </c>
      <c r="B6" s="106" t="s">
        <v>189</v>
      </c>
      <c r="C6" s="112" t="s">
        <v>188</v>
      </c>
      <c r="D6" s="113" t="s">
        <v>345</v>
      </c>
      <c r="E6" s="243" t="s">
        <v>120</v>
      </c>
    </row>
    <row r="7" spans="1:5" ht="38.25" x14ac:dyDescent="0.2">
      <c r="A7" s="112">
        <f t="shared" si="0"/>
        <v>4</v>
      </c>
      <c r="B7" s="106" t="s">
        <v>126</v>
      </c>
      <c r="C7" s="112" t="s">
        <v>188</v>
      </c>
      <c r="D7" s="117" t="s">
        <v>338</v>
      </c>
      <c r="E7" s="36" t="s">
        <v>320</v>
      </c>
    </row>
    <row r="8" spans="1:5" x14ac:dyDescent="0.2">
      <c r="A8" s="112">
        <f t="shared" si="0"/>
        <v>5</v>
      </c>
      <c r="B8" s="153" t="s">
        <v>98</v>
      </c>
      <c r="C8" s="112" t="s">
        <v>188</v>
      </c>
      <c r="D8" s="36" t="s">
        <v>338</v>
      </c>
      <c r="E8" s="106" t="s">
        <v>151</v>
      </c>
    </row>
    <row r="9" spans="1:5" x14ac:dyDescent="0.2">
      <c r="A9" s="112">
        <f t="shared" si="0"/>
        <v>6</v>
      </c>
      <c r="B9" s="153" t="s">
        <v>86</v>
      </c>
      <c r="C9" s="112" t="s">
        <v>188</v>
      </c>
      <c r="D9" s="36" t="s">
        <v>358</v>
      </c>
      <c r="E9" s="106" t="s">
        <v>382</v>
      </c>
    </row>
    <row r="10" spans="1:5" ht="25.5" x14ac:dyDescent="0.2">
      <c r="A10" s="112">
        <f t="shared" si="0"/>
        <v>7</v>
      </c>
      <c r="B10" s="153" t="s">
        <v>47</v>
      </c>
      <c r="C10" s="112" t="s">
        <v>188</v>
      </c>
      <c r="D10" s="36" t="s">
        <v>339</v>
      </c>
      <c r="E10" s="106" t="s">
        <v>359</v>
      </c>
    </row>
    <row r="11" spans="1:5" x14ac:dyDescent="0.2">
      <c r="A11" s="112">
        <f t="shared" si="0"/>
        <v>8</v>
      </c>
      <c r="B11" s="153" t="s">
        <v>48</v>
      </c>
      <c r="C11" s="112" t="s">
        <v>188</v>
      </c>
      <c r="D11" s="36" t="s">
        <v>340</v>
      </c>
      <c r="E11" s="106" t="s">
        <v>321</v>
      </c>
    </row>
    <row r="12" spans="1:5" s="23" customFormat="1" x14ac:dyDescent="0.2">
      <c r="A12" s="112">
        <f t="shared" si="0"/>
        <v>9</v>
      </c>
      <c r="B12" s="153" t="s">
        <v>190</v>
      </c>
      <c r="C12" s="112" t="s">
        <v>188</v>
      </c>
      <c r="D12" s="36" t="s">
        <v>339</v>
      </c>
      <c r="E12" s="106" t="s">
        <v>191</v>
      </c>
    </row>
    <row r="13" spans="1:5" s="23" customFormat="1" x14ac:dyDescent="0.2">
      <c r="A13" s="112">
        <f t="shared" si="0"/>
        <v>10</v>
      </c>
      <c r="B13" s="153" t="s">
        <v>192</v>
      </c>
      <c r="C13" s="112" t="s">
        <v>193</v>
      </c>
      <c r="D13" s="36" t="s">
        <v>332</v>
      </c>
      <c r="E13" s="106" t="s">
        <v>194</v>
      </c>
    </row>
    <row r="14" spans="1:5" s="23" customFormat="1" x14ac:dyDescent="0.2">
      <c r="A14" s="112">
        <f t="shared" si="0"/>
        <v>11</v>
      </c>
      <c r="B14" s="153" t="s">
        <v>381</v>
      </c>
      <c r="C14" s="112" t="s">
        <v>193</v>
      </c>
      <c r="D14" s="36" t="s">
        <v>333</v>
      </c>
      <c r="E14" s="106" t="s">
        <v>322</v>
      </c>
    </row>
    <row r="15" spans="1:5" s="23" customFormat="1" ht="38.25" x14ac:dyDescent="0.2">
      <c r="A15" s="112">
        <f t="shared" si="0"/>
        <v>12</v>
      </c>
      <c r="B15" s="153" t="s">
        <v>195</v>
      </c>
      <c r="C15" s="112" t="s">
        <v>188</v>
      </c>
      <c r="D15" s="36" t="s">
        <v>341</v>
      </c>
      <c r="E15" s="106" t="s">
        <v>380</v>
      </c>
    </row>
    <row r="16" spans="1:5" s="23" customFormat="1" x14ac:dyDescent="0.2">
      <c r="A16" s="112">
        <f t="shared" si="0"/>
        <v>13</v>
      </c>
      <c r="B16" s="153" t="s">
        <v>49</v>
      </c>
      <c r="C16" s="112" t="s">
        <v>188</v>
      </c>
      <c r="D16" s="36" t="s">
        <v>342</v>
      </c>
      <c r="E16" s="106" t="s">
        <v>121</v>
      </c>
    </row>
    <row r="17" spans="1:5" x14ac:dyDescent="0.2">
      <c r="A17" s="112">
        <f t="shared" si="0"/>
        <v>14</v>
      </c>
      <c r="B17" s="153" t="s">
        <v>50</v>
      </c>
      <c r="C17" s="112" t="s">
        <v>188</v>
      </c>
      <c r="D17" s="36" t="s">
        <v>343</v>
      </c>
      <c r="E17" s="243" t="s">
        <v>122</v>
      </c>
    </row>
    <row r="18" spans="1:5" x14ac:dyDescent="0.2">
      <c r="A18" s="112">
        <f t="shared" si="0"/>
        <v>15</v>
      </c>
      <c r="B18" s="153" t="s">
        <v>51</v>
      </c>
      <c r="C18" s="112" t="s">
        <v>188</v>
      </c>
      <c r="D18" s="36" t="s">
        <v>378</v>
      </c>
      <c r="E18" s="106" t="s">
        <v>360</v>
      </c>
    </row>
    <row r="19" spans="1:5" x14ac:dyDescent="0.2">
      <c r="A19" s="112">
        <f t="shared" si="0"/>
        <v>16</v>
      </c>
      <c r="B19" s="153" t="s">
        <v>52</v>
      </c>
      <c r="C19" s="112" t="s">
        <v>188</v>
      </c>
      <c r="D19" s="36" t="s">
        <v>379</v>
      </c>
      <c r="E19" s="243" t="s">
        <v>202</v>
      </c>
    </row>
    <row r="20" spans="1:5" x14ac:dyDescent="0.2">
      <c r="A20" s="112">
        <f t="shared" si="0"/>
        <v>17</v>
      </c>
      <c r="B20" s="153" t="s">
        <v>53</v>
      </c>
      <c r="C20" s="112" t="s">
        <v>188</v>
      </c>
      <c r="D20" s="36" t="s">
        <v>377</v>
      </c>
      <c r="E20" s="106" t="s">
        <v>361</v>
      </c>
    </row>
    <row r="21" spans="1:5" ht="25.5" x14ac:dyDescent="0.2">
      <c r="A21" s="112">
        <f t="shared" si="0"/>
        <v>18</v>
      </c>
      <c r="B21" s="153" t="s">
        <v>157</v>
      </c>
      <c r="C21" s="112" t="s">
        <v>196</v>
      </c>
      <c r="D21" s="106" t="s">
        <v>334</v>
      </c>
      <c r="E21" s="106" t="s">
        <v>335</v>
      </c>
    </row>
    <row r="22" spans="1:5" ht="38.25" x14ac:dyDescent="0.2">
      <c r="A22" s="112">
        <f t="shared" si="0"/>
        <v>19</v>
      </c>
      <c r="B22" s="153" t="s">
        <v>158</v>
      </c>
      <c r="C22" s="112" t="s">
        <v>188</v>
      </c>
      <c r="D22" s="153" t="s">
        <v>344</v>
      </c>
      <c r="E22" s="106" t="s">
        <v>323</v>
      </c>
    </row>
    <row r="23" spans="1:5" ht="63.75" x14ac:dyDescent="0.2">
      <c r="A23" s="112">
        <f t="shared" si="0"/>
        <v>20</v>
      </c>
      <c r="B23" s="153" t="s">
        <v>197</v>
      </c>
      <c r="C23" s="112" t="s">
        <v>196</v>
      </c>
      <c r="D23" s="153" t="s">
        <v>336</v>
      </c>
      <c r="E23" s="106" t="s">
        <v>324</v>
      </c>
    </row>
    <row r="24" spans="1:5" ht="127.5" x14ac:dyDescent="0.2">
      <c r="A24" s="112">
        <f t="shared" si="0"/>
        <v>21</v>
      </c>
      <c r="B24" s="153" t="s">
        <v>198</v>
      </c>
      <c r="C24" s="112" t="s">
        <v>196</v>
      </c>
      <c r="D24" s="153" t="s">
        <v>337</v>
      </c>
      <c r="E24" s="106" t="s">
        <v>325</v>
      </c>
    </row>
    <row r="25" spans="1:5" x14ac:dyDescent="0.2">
      <c r="A25" s="112">
        <f t="shared" si="0"/>
        <v>22</v>
      </c>
      <c r="B25" s="153" t="s">
        <v>240</v>
      </c>
      <c r="C25" s="112" t="s">
        <v>193</v>
      </c>
      <c r="D25" s="153" t="s">
        <v>331</v>
      </c>
      <c r="E25" s="36">
        <v>60</v>
      </c>
    </row>
    <row r="26" spans="1:5" x14ac:dyDescent="0.2">
      <c r="A26" s="112">
        <f t="shared" si="0"/>
        <v>23</v>
      </c>
      <c r="B26" s="153" t="s">
        <v>241</v>
      </c>
      <c r="C26" s="112" t="s">
        <v>193</v>
      </c>
      <c r="D26" s="153" t="s">
        <v>330</v>
      </c>
      <c r="E26" s="36">
        <v>18</v>
      </c>
    </row>
    <row r="27" spans="1:5" x14ac:dyDescent="0.2">
      <c r="A27" s="112">
        <f>A26+1</f>
        <v>24</v>
      </c>
      <c r="B27" s="153" t="s">
        <v>326</v>
      </c>
      <c r="C27" s="112" t="s">
        <v>193</v>
      </c>
      <c r="D27" s="153" t="s">
        <v>329</v>
      </c>
      <c r="E27" s="36">
        <v>21</v>
      </c>
    </row>
    <row r="28" spans="1:5" x14ac:dyDescent="0.2">
      <c r="A28" s="112">
        <f t="shared" si="0"/>
        <v>25</v>
      </c>
      <c r="B28" s="153" t="s">
        <v>327</v>
      </c>
      <c r="C28" s="112" t="s">
        <v>193</v>
      </c>
      <c r="D28" s="153" t="s">
        <v>328</v>
      </c>
      <c r="E28" s="36">
        <v>50</v>
      </c>
    </row>
    <row r="29" spans="1:5" x14ac:dyDescent="0.2">
      <c r="A29" s="25"/>
      <c r="B29" s="27"/>
      <c r="C29" s="22"/>
      <c r="D29" s="28"/>
    </row>
    <row r="30" spans="1:5" x14ac:dyDescent="0.2">
      <c r="A30" s="25"/>
      <c r="B30" s="27"/>
      <c r="C30" s="22"/>
      <c r="D30" s="28"/>
    </row>
    <row r="31" spans="1:5" x14ac:dyDescent="0.2">
      <c r="A31" s="25"/>
      <c r="B31" s="27"/>
      <c r="C31" s="22"/>
      <c r="D31" s="28"/>
    </row>
    <row r="32" spans="1:5" x14ac:dyDescent="0.2">
      <c r="A32" s="25"/>
      <c r="B32" s="27"/>
      <c r="C32" s="22"/>
      <c r="D32" s="28"/>
    </row>
    <row r="33" spans="3:3" x14ac:dyDescent="0.2">
      <c r="C33" s="22"/>
    </row>
    <row r="34" spans="3:3" x14ac:dyDescent="0.2">
      <c r="C34" s="22"/>
    </row>
    <row r="35" spans="3:3" x14ac:dyDescent="0.2">
      <c r="C35" s="22"/>
    </row>
    <row r="36" spans="3:3" x14ac:dyDescent="0.2">
      <c r="C36" s="22"/>
    </row>
    <row r="37" spans="3:3" x14ac:dyDescent="0.2">
      <c r="C37" s="22"/>
    </row>
    <row r="38" spans="3:3" x14ac:dyDescent="0.2">
      <c r="C38" s="22"/>
    </row>
    <row r="39" spans="3:3" x14ac:dyDescent="0.2">
      <c r="C39" s="22"/>
    </row>
    <row r="40" spans="3:3" x14ac:dyDescent="0.2">
      <c r="C40" s="22"/>
    </row>
    <row r="41" spans="3:3" x14ac:dyDescent="0.2">
      <c r="C41" s="22"/>
    </row>
    <row r="42" spans="3:3" x14ac:dyDescent="0.2">
      <c r="C42" s="22"/>
    </row>
  </sheetData>
  <sheetProtection password="9B60" sheet="1" objects="1" scenarios="1"/>
  <mergeCells count="1">
    <mergeCell ref="A1:D1"/>
  </mergeCells>
  <phoneticPr fontId="0" type="noConversion"/>
  <pageMargins left="0.75" right="0.75" top="1" bottom="1" header="0.5" footer="0.5"/>
  <pageSetup scale="4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93"/>
  <sheetViews>
    <sheetView tabSelected="1" workbookViewId="0">
      <selection activeCell="B2" sqref="B2:D2"/>
    </sheetView>
  </sheetViews>
  <sheetFormatPr defaultRowHeight="12.75" x14ac:dyDescent="0.2"/>
  <cols>
    <col min="1" max="1" width="9.140625" style="325"/>
    <col min="2" max="2" width="25" style="325" customWidth="1"/>
    <col min="3" max="3" width="32.28515625" style="326" customWidth="1"/>
    <col min="4" max="4" width="26.5703125" style="326" customWidth="1"/>
    <col min="5" max="5" width="29.42578125" style="327" hidden="1" customWidth="1"/>
    <col min="6" max="6" width="23.5703125" style="326" hidden="1" customWidth="1"/>
    <col min="7" max="7" width="16.85546875" style="326" hidden="1" customWidth="1"/>
    <col min="8" max="8" width="17" style="328" hidden="1" customWidth="1"/>
    <col min="9" max="9" width="37.85546875" style="326" hidden="1" customWidth="1"/>
    <col min="10" max="10" width="33.28515625" style="325" hidden="1" customWidth="1"/>
    <col min="11" max="11" width="13.42578125" style="325" customWidth="1"/>
    <col min="12" max="12" width="19.85546875" style="325" bestFit="1" customWidth="1"/>
    <col min="13" max="13" width="18.140625" style="325" bestFit="1" customWidth="1"/>
    <col min="14" max="14" width="16" style="325" customWidth="1"/>
    <col min="15" max="15" width="16.85546875" style="325" customWidth="1"/>
    <col min="16" max="16" width="22.42578125" style="325" customWidth="1"/>
    <col min="17" max="17" width="10.85546875" style="325" bestFit="1" customWidth="1"/>
    <col min="18" max="18" width="9.140625" style="325"/>
    <col min="19" max="19" width="13.140625" style="325" bestFit="1" customWidth="1"/>
    <col min="20" max="16384" width="9.140625" style="325"/>
  </cols>
  <sheetData>
    <row r="1" spans="1:19" ht="13.5" thickBot="1" x14ac:dyDescent="0.25"/>
    <row r="2" spans="1:19" s="290" customFormat="1" ht="18.75" thickBot="1" x14ac:dyDescent="0.3">
      <c r="A2" s="325"/>
      <c r="B2" s="538" t="s">
        <v>346</v>
      </c>
      <c r="C2" s="539"/>
      <c r="D2" s="539"/>
      <c r="E2" s="329" t="s">
        <v>347</v>
      </c>
      <c r="F2" s="330" t="s">
        <v>389</v>
      </c>
    </row>
    <row r="3" spans="1:19" s="290" customFormat="1" ht="13.5" thickBot="1" x14ac:dyDescent="0.25">
      <c r="B3" s="329" t="s">
        <v>347</v>
      </c>
      <c r="C3" s="330" t="s">
        <v>389</v>
      </c>
      <c r="H3" s="331"/>
      <c r="L3" s="332"/>
      <c r="M3" s="332"/>
      <c r="N3" s="332"/>
      <c r="O3" s="332"/>
      <c r="P3" s="332"/>
      <c r="Q3" s="332"/>
      <c r="R3" s="332"/>
    </row>
    <row r="4" spans="1:19" ht="13.5" customHeight="1" thickBot="1" x14ac:dyDescent="0.25">
      <c r="B4" s="290"/>
      <c r="C4" s="290"/>
      <c r="E4" s="535" t="s">
        <v>92</v>
      </c>
      <c r="F4" s="536"/>
      <c r="G4" s="535" t="s">
        <v>113</v>
      </c>
      <c r="H4" s="537"/>
      <c r="I4" s="536"/>
      <c r="L4" s="332"/>
      <c r="M4" s="332"/>
      <c r="N4" s="332"/>
      <c r="O4" s="262"/>
      <c r="P4" s="332"/>
      <c r="Q4" s="332"/>
      <c r="R4" s="332"/>
      <c r="S4" s="333"/>
    </row>
    <row r="5" spans="1:19" x14ac:dyDescent="0.2">
      <c r="B5" s="540" t="s">
        <v>93</v>
      </c>
      <c r="C5" s="541"/>
      <c r="D5" s="334"/>
      <c r="E5" s="335" t="s">
        <v>112</v>
      </c>
      <c r="F5" s="336" t="b">
        <f ca="1">AND(age+pt&gt;=Min_Maturity_Age,age+pt&lt;=Max_Maturity_Age)</f>
        <v>1</v>
      </c>
      <c r="G5" s="337" t="str">
        <f ca="1">IF(F5,"",IF(age+pt&lt;=17,"Increase your policy term as Minimum Maturity age is "&amp; Min_Maturity_Age,"Decrease your policy term as Maximum Age at maturity is "&amp;Max_Maturity_Age))</f>
        <v/>
      </c>
      <c r="H5" s="338"/>
      <c r="I5" s="339"/>
      <c r="L5" s="332"/>
      <c r="M5" s="332"/>
      <c r="N5" s="332"/>
      <c r="O5" s="262"/>
      <c r="P5" s="332"/>
      <c r="Q5" s="332"/>
      <c r="R5" s="332"/>
      <c r="S5" s="333"/>
    </row>
    <row r="6" spans="1:19" x14ac:dyDescent="0.2">
      <c r="B6" s="542" t="s">
        <v>125</v>
      </c>
      <c r="C6" s="543"/>
      <c r="E6" s="340" t="s">
        <v>126</v>
      </c>
      <c r="F6" s="341" t="b">
        <f>+(pr&gt;=Minimum_Premium)</f>
        <v>1</v>
      </c>
      <c r="G6" s="342" t="str">
        <f>IF(F6,"",IF(AND(C25&lt;100000,pt=ppt,fq=1),"Premium amount must be greater than or equal to Rs.100000 for RP with Annual frequency",IF(AND(C25&lt;120000,pt=ppt,fq&lt;&gt;1),"Premium amount must be greater than or equal to Rs.120000 for RP with monthly and Half-Yearly frequency",IF(AND(C25&lt;150000,ppt=10),"Premium amount must be greater than or equal to Rs.150000 for LP 10",IF(AND(C25&lt;180000,ppt=7),"Premium amount must be greater than or equal to Rs.180000 for LP 7",IF(AND(C25&lt;250000,ppt=5),"Premium amount must be greater than or equal to Rs.250000 for LP 5",IF(AND(C25&lt;500000,ppt=1),"Premium amount must be greater than or equal to Rs.500000 for SP")))))))</f>
        <v/>
      </c>
      <c r="H6" s="343"/>
      <c r="I6" s="344"/>
      <c r="J6" s="345"/>
      <c r="K6" s="346"/>
      <c r="L6" s="332"/>
      <c r="M6" s="332"/>
      <c r="N6" s="332"/>
      <c r="O6" s="262"/>
      <c r="P6" s="332"/>
      <c r="Q6" s="332"/>
      <c r="R6" s="332"/>
      <c r="S6" s="333"/>
    </row>
    <row r="7" spans="1:19" x14ac:dyDescent="0.2">
      <c r="B7" s="347" t="s">
        <v>210</v>
      </c>
      <c r="C7" s="348" t="s">
        <v>212</v>
      </c>
      <c r="E7" s="340" t="s">
        <v>204</v>
      </c>
      <c r="F7" s="341" t="b">
        <f ca="1">IF(AND(sa&gt;=Min_Sum_Assured,sa&lt;=Max_Sum_Assured),TRUE,FALSE)</f>
        <v>1</v>
      </c>
      <c r="G7" s="342" t="str">
        <f ca="1">IF(F7,"",IF(sa&lt;=Min_Sum_Assured,"Please increase your premium or increase your cover level ","Please reduce your premium or reduce your cover level "))</f>
        <v/>
      </c>
      <c r="H7" s="343"/>
      <c r="I7" s="344"/>
      <c r="J7" s="345"/>
      <c r="K7" s="346"/>
      <c r="L7" s="332"/>
      <c r="M7" s="332"/>
      <c r="N7" s="332"/>
      <c r="O7" s="262"/>
      <c r="P7" s="262"/>
      <c r="Q7" s="332"/>
      <c r="R7" s="332"/>
      <c r="S7" s="333"/>
    </row>
    <row r="8" spans="1:19" ht="13.5" customHeight="1" x14ac:dyDescent="0.2">
      <c r="B8" s="349" t="s">
        <v>3</v>
      </c>
      <c r="C8" s="350">
        <f ca="1">TODAY()</f>
        <v>44378</v>
      </c>
      <c r="E8" s="340" t="s">
        <v>99</v>
      </c>
      <c r="F8" s="341" t="b">
        <f>(C46=100%)</f>
        <v>1</v>
      </c>
      <c r="G8" s="342" t="str">
        <f>IF(F8,"","Total fund allocation should be 100%")</f>
        <v/>
      </c>
      <c r="H8" s="343"/>
      <c r="I8" s="344"/>
      <c r="K8" s="346"/>
      <c r="L8" s="332"/>
      <c r="M8" s="332"/>
      <c r="N8" s="332"/>
      <c r="O8" s="262"/>
      <c r="P8" s="262"/>
      <c r="Q8" s="332"/>
      <c r="R8" s="332"/>
      <c r="S8" s="333"/>
    </row>
    <row r="9" spans="1:19" x14ac:dyDescent="0.2">
      <c r="B9" s="351" t="s">
        <v>4</v>
      </c>
      <c r="C9" s="352">
        <f ca="1">DAY(C8)</f>
        <v>1</v>
      </c>
      <c r="E9" s="340" t="s">
        <v>101</v>
      </c>
      <c r="F9" s="341" t="b">
        <f>IF(Option_Sys_TopUp="Y",AND(atp&lt;=G57,atp&gt;=Minimum_Top_Up_Premium),IF(Option_TopUP="Y",AND(A55,A56,A57,A58,A59,A60,A61),TRUE))</f>
        <v>1</v>
      </c>
      <c r="G9" s="342" t="str">
        <f>IF(F9,"","Reduce Top up amount")</f>
        <v/>
      </c>
      <c r="H9" s="343"/>
      <c r="I9" s="344"/>
      <c r="K9" s="326"/>
      <c r="L9" s="332"/>
      <c r="M9" s="332"/>
      <c r="N9" s="332"/>
      <c r="O9" s="262"/>
      <c r="P9" s="262"/>
      <c r="Q9" s="332"/>
      <c r="R9" s="332"/>
      <c r="S9" s="333"/>
    </row>
    <row r="10" spans="1:19" ht="13.5" thickBot="1" x14ac:dyDescent="0.25">
      <c r="B10" s="351" t="s">
        <v>5</v>
      </c>
      <c r="C10" s="353">
        <f ca="1">MONTH(C8)</f>
        <v>7</v>
      </c>
      <c r="E10" s="340" t="s">
        <v>185</v>
      </c>
      <c r="F10" s="341" t="b">
        <f>IF(Option_SPW="Y",AND((Validation1_PW=0),(SPW_Start_Date_FV&gt;=SPW_Start_Min_FV),(Validation3_SPW=0)),IF(Option_PW="Y",AND(AND(Validation1_PW=0,Validation2_PW=SUM(Input!$C$68:$C$74)),AND(A68,A69,A70,A71,A72,A73,A74),AND(C68&lt;=D68,C69&lt;=D69,C70&lt;=D70,C71&lt;=D71,C72&lt;=D72,C73&lt;=D73,C74&lt;=D74),AND(OR(B69=0,B69&gt;B68),OR(B70=0,B70&gt;B69),OR(B71=0,B71&gt;B70),OR(B72=0,B72&gt;B71),OR(B73=0,B73&gt;B72),OR(B74=0,B74&gt;B73))),TRUE))</f>
        <v>1</v>
      </c>
      <c r="G10" s="342" t="str">
        <f>IF(F10,"",IF(Option_PW="Y","Reduce amount or change duration for Partial Withdrawal",IF(Option_SPW="Y","Reduce amount or change duration for Systematic Partial Withdrawal")))</f>
        <v/>
      </c>
      <c r="H10" s="343"/>
      <c r="I10" s="354"/>
      <c r="L10" s="332"/>
      <c r="M10" s="332"/>
      <c r="N10" s="332"/>
      <c r="O10" s="262"/>
      <c r="P10" s="262"/>
      <c r="Q10" s="332"/>
      <c r="R10" s="332"/>
      <c r="S10" s="333"/>
    </row>
    <row r="11" spans="1:19" ht="13.5" thickBot="1" x14ac:dyDescent="0.25">
      <c r="B11" s="351" t="s">
        <v>6</v>
      </c>
      <c r="C11" s="353">
        <f ca="1">YEAR(C8)</f>
        <v>2021</v>
      </c>
      <c r="D11" s="355" t="s">
        <v>388</v>
      </c>
      <c r="E11" s="340" t="s">
        <v>350</v>
      </c>
      <c r="F11" s="341" t="b">
        <f>IF(WoP_Flag="Y",IF(AND(D18&gt;=21,D18&lt;=50,age&lt;18,age&gt;=2),TRUE,FALSE),TRUE)</f>
        <v>1</v>
      </c>
      <c r="G11" s="342" t="str">
        <f>IF(WoP_Flag="Y",IF(D18&lt;21,"Proposer age must be greater than 21 years in case of WoP Add on Benefit",IF(D18&gt;50,"Proposer age must be less than 50 years in case of WoP Add on Benefit",IF(age&gt;=18,"Insured age must be less than 18 years in case of WoP Add on Benefit",""))),"")</f>
        <v/>
      </c>
      <c r="H11" s="343"/>
      <c r="I11" s="344"/>
      <c r="L11" s="332"/>
      <c r="M11" s="332"/>
      <c r="N11" s="332"/>
      <c r="O11" s="262"/>
      <c r="P11" s="262"/>
      <c r="Q11" s="332"/>
      <c r="R11" s="332"/>
      <c r="S11" s="333"/>
    </row>
    <row r="12" spans="1:19" x14ac:dyDescent="0.2">
      <c r="B12" s="356" t="s">
        <v>46</v>
      </c>
      <c r="C12" s="357" t="s">
        <v>237</v>
      </c>
      <c r="D12" s="358" t="s">
        <v>395</v>
      </c>
      <c r="E12" s="340" t="s">
        <v>186</v>
      </c>
      <c r="F12" s="341" t="b">
        <f ca="1">+AND(age&gt;=Min_Entry_Age,age&lt;=Max_Entry_Age)</f>
        <v>1</v>
      </c>
      <c r="G12" s="342" t="str">
        <f ca="1">+IF(F12,"","Age of the Policyholder should be between 2 to 60 Years.")</f>
        <v/>
      </c>
      <c r="H12" s="343"/>
      <c r="I12" s="344"/>
      <c r="J12" s="35"/>
      <c r="K12" s="62"/>
      <c r="L12" s="332"/>
      <c r="M12" s="332"/>
      <c r="N12" s="332"/>
      <c r="O12" s="262"/>
      <c r="P12" s="262"/>
      <c r="Q12" s="332"/>
      <c r="R12" s="332"/>
      <c r="S12" s="333"/>
    </row>
    <row r="13" spans="1:19" ht="13.5" thickBot="1" x14ac:dyDescent="0.25">
      <c r="B13" s="359" t="s">
        <v>257</v>
      </c>
      <c r="C13" s="360" t="s">
        <v>387</v>
      </c>
      <c r="E13" s="340" t="s">
        <v>348</v>
      </c>
      <c r="F13" s="341" t="b">
        <f>IF(ADB_Flag="Y",IF(sa_adb&lt;=sa,TRUE,FALSE),TRUE)</f>
        <v>1</v>
      </c>
      <c r="G13" s="361" t="str">
        <f>IF(F13=FALSE,"ADB Sum Assured cannot be greater than base Sum Assured","")</f>
        <v/>
      </c>
      <c r="H13" s="362"/>
      <c r="I13" s="363"/>
      <c r="L13" s="332"/>
      <c r="M13" s="332"/>
      <c r="N13" s="332"/>
      <c r="O13" s="262"/>
      <c r="P13" s="262"/>
      <c r="Q13" s="332"/>
      <c r="R13" s="332"/>
      <c r="S13" s="333"/>
    </row>
    <row r="14" spans="1:19" ht="13.5" customHeight="1" x14ac:dyDescent="0.2">
      <c r="B14" s="349" t="s">
        <v>100</v>
      </c>
      <c r="C14" s="350">
        <f>DATE(C17,C16,C15)</f>
        <v>22205</v>
      </c>
      <c r="D14" s="364">
        <f>DATE(D17,D16,D15)</f>
        <v>29575</v>
      </c>
      <c r="E14" s="340" t="s">
        <v>349</v>
      </c>
      <c r="F14" s="341" t="b">
        <f>IF(ADB_Flag="Y",IF(AND(age&gt;=18,age&lt;=60),TRUE,FALSE),TRUE)</f>
        <v>1</v>
      </c>
      <c r="G14" s="361" t="str">
        <f>IF(F14=FALSE,"Minimum Age for ADB Option is 18 years","")</f>
        <v/>
      </c>
      <c r="H14" s="362"/>
      <c r="I14" s="363"/>
      <c r="L14" s="332"/>
      <c r="M14" s="332"/>
      <c r="N14" s="332"/>
      <c r="O14" s="262"/>
      <c r="P14" s="262"/>
      <c r="Q14" s="332"/>
      <c r="R14" s="332"/>
      <c r="S14" s="333"/>
    </row>
    <row r="15" spans="1:19" x14ac:dyDescent="0.2">
      <c r="B15" s="351" t="s">
        <v>4</v>
      </c>
      <c r="C15" s="360">
        <v>16</v>
      </c>
      <c r="D15" s="365">
        <v>20</v>
      </c>
      <c r="E15" s="340" t="s">
        <v>238</v>
      </c>
      <c r="F15" s="341" t="b">
        <f>IF(Option_TopUP="Y",IF(OR(B55&lt;pt-5,B56&lt;pt-5,B57&lt;pt-5,B58&lt;pt-5,B59&lt;pt-5,B60&lt;pt-5,B61&lt;pt-5),TRUE,FALSE),TRUE)</f>
        <v>1</v>
      </c>
      <c r="G15" s="342" t="str">
        <f>+IF(F15,"","Topup is not allowed in last 5 years of Policy Term")</f>
        <v/>
      </c>
      <c r="H15" s="343"/>
      <c r="I15" s="344"/>
      <c r="L15" s="332"/>
      <c r="M15" s="332"/>
      <c r="N15" s="332"/>
      <c r="O15" s="262"/>
      <c r="P15" s="262"/>
      <c r="Q15" s="332"/>
      <c r="R15" s="332"/>
      <c r="S15" s="333"/>
    </row>
    <row r="16" spans="1:19" x14ac:dyDescent="0.2">
      <c r="B16" s="351" t="s">
        <v>5</v>
      </c>
      <c r="C16" s="360">
        <v>10</v>
      </c>
      <c r="D16" s="365">
        <v>12</v>
      </c>
      <c r="E16" s="340" t="s">
        <v>385</v>
      </c>
      <c r="F16" s="366" t="b">
        <f>IF(Option_SPW="Y",AND(Validation3_SPW=0),TRUE)</f>
        <v>1</v>
      </c>
      <c r="G16" s="342" t="str">
        <f>+IF(F16,"","Please decrease your Withdrawal amount in order to meet auto foreclosure condition")</f>
        <v/>
      </c>
      <c r="H16" s="343"/>
      <c r="I16" s="344"/>
      <c r="L16" s="332"/>
      <c r="M16" s="332"/>
      <c r="N16" s="332"/>
      <c r="O16" s="262"/>
      <c r="P16" s="262"/>
      <c r="Q16" s="332"/>
      <c r="R16" s="332"/>
      <c r="S16" s="333"/>
    </row>
    <row r="17" spans="2:19" x14ac:dyDescent="0.2">
      <c r="B17" s="351" t="s">
        <v>6</v>
      </c>
      <c r="C17" s="360">
        <v>1960</v>
      </c>
      <c r="D17" s="365">
        <v>1980</v>
      </c>
      <c r="E17" s="340" t="s">
        <v>376</v>
      </c>
      <c r="F17" s="341" t="b">
        <f>IF(AND(WoP_Flag="Y",ADB_Flag="Y"),FALSE,TRUE)</f>
        <v>1</v>
      </c>
      <c r="G17" s="342" t="str">
        <f>IF(F17,"","WoP and ADB Add-on Benefit cannot be opted together")</f>
        <v/>
      </c>
      <c r="H17" s="367"/>
      <c r="I17" s="368"/>
      <c r="L17" s="332"/>
      <c r="M17" s="332"/>
      <c r="N17" s="332"/>
      <c r="O17" s="262"/>
      <c r="P17" s="262"/>
      <c r="Q17" s="332"/>
      <c r="R17" s="332"/>
      <c r="S17" s="333"/>
    </row>
    <row r="18" spans="2:19" x14ac:dyDescent="0.2">
      <c r="B18" s="359" t="s">
        <v>87</v>
      </c>
      <c r="C18" s="353">
        <f ca="1">+DATEDIF($C$14,$C$8,"y")</f>
        <v>60</v>
      </c>
      <c r="D18" s="369">
        <f ca="1">+DATEDIF($D$14,$C$8,"y")</f>
        <v>40</v>
      </c>
      <c r="E18" s="340" t="s">
        <v>269</v>
      </c>
      <c r="F18" s="341" t="b">
        <f>IF(C28="Single",IF(fq=1,TRUE,FALSE),TRUE)</f>
        <v>1</v>
      </c>
      <c r="G18" s="370" t="str">
        <f>IF(F18=FALSE,"Frequency must be 1 with Single Premium","")</f>
        <v/>
      </c>
      <c r="H18" s="371"/>
      <c r="I18" s="372"/>
      <c r="L18" s="332"/>
      <c r="M18" s="332"/>
      <c r="N18" s="332"/>
      <c r="O18" s="262"/>
      <c r="P18" s="262"/>
      <c r="Q18" s="332"/>
      <c r="R18" s="332"/>
      <c r="S18" s="333"/>
    </row>
    <row r="19" spans="2:19" ht="13.5" thickBot="1" x14ac:dyDescent="0.25">
      <c r="B19" s="373" t="s">
        <v>86</v>
      </c>
      <c r="C19" s="374">
        <v>1</v>
      </c>
      <c r="E19" s="375" t="s">
        <v>184</v>
      </c>
      <c r="F19" s="376" t="b">
        <f>IF(Option_SPW="Y",AND((Validation1_PW=0),(SPW_Start_Date_FV&gt;=SPW_Start_Min_FV),(age+SPW_Start_Year&gt;=Legal_Age),(SPW_Start_Year&gt;Lock_In_Period),(SPW_Start_Year&lt;=pt-Min_SWP_Period),(SPW_Duration&gt;=Min_SWP_Period),(SPW_Duration&lt;=pt-Min_SWP_Period),(SPW_Start_Year+SPW_Duration&lt;=pt)),IF(Option_PW="Y",AND((Partial_Withdrawal_Year&gt;Lock_In_Period),(age+Partial_Withdrawal_Year&gt;=Legal_Age)),TRUE))</f>
        <v>1</v>
      </c>
      <c r="G19" s="377" t="str">
        <f>IF(F19,"","Partial Withdrawal is not allowed at age &lt;18 and Minimum Fund Value at the start should be Rs. 500000")</f>
        <v/>
      </c>
      <c r="H19" s="378"/>
      <c r="I19" s="379"/>
      <c r="L19" s="332"/>
      <c r="M19" s="332"/>
      <c r="N19" s="332"/>
      <c r="O19" s="262"/>
      <c r="P19" s="262"/>
      <c r="Q19" s="332"/>
      <c r="R19" s="332"/>
      <c r="S19" s="333"/>
    </row>
    <row r="20" spans="2:19" ht="13.5" thickBot="1" x14ac:dyDescent="0.25">
      <c r="D20" s="380"/>
      <c r="E20" s="375" t="s">
        <v>130</v>
      </c>
      <c r="F20" s="376" t="b">
        <f ca="1">AND(F5:F19)</f>
        <v>1</v>
      </c>
      <c r="G20" s="381"/>
      <c r="H20" s="382"/>
      <c r="I20" s="383"/>
      <c r="S20" s="333"/>
    </row>
    <row r="21" spans="2:19" ht="13.5" thickBot="1" x14ac:dyDescent="0.25">
      <c r="B21" s="326"/>
      <c r="C21" s="290"/>
      <c r="S21" s="333"/>
    </row>
    <row r="22" spans="2:19" ht="13.5" thickBot="1" x14ac:dyDescent="0.25">
      <c r="B22" s="384" t="s">
        <v>131</v>
      </c>
      <c r="C22" s="385" t="s">
        <v>393</v>
      </c>
      <c r="D22" s="386"/>
      <c r="E22" s="387" t="s">
        <v>37</v>
      </c>
      <c r="F22" s="388" t="s">
        <v>30</v>
      </c>
      <c r="G22" s="389" t="s">
        <v>31</v>
      </c>
      <c r="H22" s="390" t="s">
        <v>139</v>
      </c>
      <c r="I22" s="389" t="s">
        <v>140</v>
      </c>
      <c r="J22" s="389" t="s">
        <v>142</v>
      </c>
    </row>
    <row r="23" spans="2:19" x14ac:dyDescent="0.2">
      <c r="B23" s="391" t="s">
        <v>88</v>
      </c>
      <c r="C23" s="360">
        <v>300000</v>
      </c>
      <c r="D23" s="392"/>
      <c r="E23" s="393">
        <v>0.04</v>
      </c>
      <c r="F23" s="394">
        <f ca="1">VLOOKUP(pt,'Table A'!$R$67:$AD$97,13)*icounter</f>
        <v>5290047.7591755539</v>
      </c>
      <c r="G23" s="395">
        <f ca="1">'Calculation_4%'!$AH$4*icounter</f>
        <v>1.9959968232107883E-2</v>
      </c>
      <c r="H23" s="394">
        <f ca="1">VLOOKUP(pt*12,'Calculation_4%'!$D$5:$AD$367,27,0)*icounter</f>
        <v>5290047.7591755539</v>
      </c>
      <c r="I23" s="394">
        <f ca="1">VLOOKUP(pt*12,'Calculation_4%'!$D$5:$AR$367,37,0)*icounter</f>
        <v>0</v>
      </c>
      <c r="J23" s="396">
        <f ca="1">I23+H23-F23</f>
        <v>0</v>
      </c>
    </row>
    <row r="24" spans="2:19" x14ac:dyDescent="0.2">
      <c r="B24" s="397" t="s">
        <v>252</v>
      </c>
      <c r="C24" s="352">
        <f ca="1">(pr/fq)*icounter</f>
        <v>300000</v>
      </c>
      <c r="D24" s="392"/>
      <c r="E24" s="398">
        <v>0.08</v>
      </c>
      <c r="F24" s="394">
        <f ca="1">VLOOKUP(pt,'Table A'!$R$32:$AD$61,13)*icounter</f>
        <v>7166130.4724514876</v>
      </c>
      <c r="G24" s="399">
        <f ca="1">'Calculation_8%'!$AH$4*icounter</f>
        <v>5.6214082552525912E-2</v>
      </c>
      <c r="H24" s="394">
        <f ca="1">VLOOKUP(pt*12,'Calculation_8%'!$D$5:$AD$367,27,0)*icounter</f>
        <v>7166130.4724514876</v>
      </c>
      <c r="I24" s="394">
        <f ca="1">VLOOKUP(pt*12,'Calculation_8%'!$D$5:$AR$367,37,0)*icounter</f>
        <v>0</v>
      </c>
      <c r="J24" s="394">
        <f ca="1">I24+H24-F24</f>
        <v>0</v>
      </c>
    </row>
    <row r="25" spans="2:19" ht="13.5" thickBot="1" x14ac:dyDescent="0.25">
      <c r="B25" s="397" t="s">
        <v>217</v>
      </c>
      <c r="C25" s="352">
        <f ca="1">C24*fq</f>
        <v>300000</v>
      </c>
      <c r="D25" s="392"/>
      <c r="E25" s="400" t="s">
        <v>91</v>
      </c>
      <c r="F25" s="401">
        <f ca="1">E24*icounter</f>
        <v>0.08</v>
      </c>
      <c r="G25" s="402">
        <f ca="1">'Calculation IRDA Circular'!AH4*icounter</f>
        <v>6.3360757495081854E-2</v>
      </c>
      <c r="H25" s="403">
        <f ca="1">VLOOKUP(pt*12,'Calculation IRDA Circular'!$D$5:$AD$367,27,0)*icounter</f>
        <v>7618133.8145010108</v>
      </c>
      <c r="I25" s="402"/>
      <c r="J25" s="402"/>
    </row>
    <row r="26" spans="2:19" ht="12.75" customHeight="1" thickBot="1" x14ac:dyDescent="0.25">
      <c r="B26" s="404" t="s">
        <v>89</v>
      </c>
      <c r="C26" s="405">
        <f ca="1">ROUND(pr*cl,0)</f>
        <v>3000000</v>
      </c>
      <c r="D26" s="406"/>
      <c r="E26" s="406"/>
      <c r="F26" s="406"/>
      <c r="H26" s="343"/>
      <c r="I26" s="407"/>
      <c r="J26" s="408"/>
    </row>
    <row r="27" spans="2:19" ht="13.5" thickBot="1" x14ac:dyDescent="0.25">
      <c r="E27" s="499" t="s">
        <v>145</v>
      </c>
      <c r="F27" s="500" t="s">
        <v>146</v>
      </c>
      <c r="G27" s="501"/>
      <c r="H27" s="502"/>
      <c r="I27" s="501"/>
      <c r="J27" s="503"/>
      <c r="K27" s="504"/>
    </row>
    <row r="28" spans="2:19" ht="13.5" thickBot="1" x14ac:dyDescent="0.25">
      <c r="B28" s="411" t="s">
        <v>253</v>
      </c>
      <c r="C28" s="412" t="s">
        <v>392</v>
      </c>
      <c r="E28" s="505" t="s">
        <v>147</v>
      </c>
      <c r="F28" s="506" t="s">
        <v>148</v>
      </c>
      <c r="G28" s="507">
        <f>IF(UL_Type=$H$39,1,0)</f>
        <v>1</v>
      </c>
      <c r="H28" s="508"/>
      <c r="I28" s="503"/>
      <c r="J28" s="504"/>
      <c r="K28" s="504"/>
    </row>
    <row r="29" spans="2:19" ht="13.5" thickBot="1" x14ac:dyDescent="0.25">
      <c r="B29" s="397" t="s">
        <v>294</v>
      </c>
      <c r="C29" s="360">
        <v>15</v>
      </c>
      <c r="E29" s="509" t="s">
        <v>149</v>
      </c>
      <c r="F29" s="510">
        <f>IF(Model_Type="LA_PQIS",0,50)</f>
        <v>50</v>
      </c>
      <c r="G29" s="501"/>
      <c r="H29" s="508"/>
      <c r="I29" s="503"/>
      <c r="J29" s="503"/>
      <c r="K29" s="504"/>
    </row>
    <row r="30" spans="2:19" ht="13.5" thickBot="1" x14ac:dyDescent="0.25">
      <c r="B30" s="414" t="s">
        <v>254</v>
      </c>
      <c r="C30" s="374">
        <v>5</v>
      </c>
      <c r="D30" s="415" t="s">
        <v>352</v>
      </c>
      <c r="E30" s="501"/>
      <c r="F30" s="501"/>
      <c r="G30" s="501"/>
      <c r="H30" s="508"/>
      <c r="I30" s="511"/>
      <c r="J30" s="503"/>
      <c r="K30" s="512"/>
      <c r="L30" s="262"/>
    </row>
    <row r="31" spans="2:19" ht="13.5" thickBot="1" x14ac:dyDescent="0.25">
      <c r="E31" s="513" t="s">
        <v>132</v>
      </c>
      <c r="F31" s="500">
        <f>Min_Cover_Level</f>
        <v>7</v>
      </c>
      <c r="G31" s="503"/>
      <c r="H31" s="502"/>
      <c r="I31" s="501"/>
      <c r="J31" s="512"/>
      <c r="K31" s="512"/>
      <c r="L31" s="262"/>
    </row>
    <row r="32" spans="2:19" ht="13.5" thickBot="1" x14ac:dyDescent="0.25">
      <c r="B32" s="411" t="s">
        <v>90</v>
      </c>
      <c r="C32" s="409">
        <f>IF(option="Limited",C30,IF(option="Regular",pt,1))</f>
        <v>15</v>
      </c>
      <c r="D32" s="410"/>
      <c r="E32" s="514" t="s">
        <v>133</v>
      </c>
      <c r="F32" s="510">
        <f ca="1">Max_Cover_Level</f>
        <v>10</v>
      </c>
      <c r="G32" s="503"/>
      <c r="H32" s="508"/>
      <c r="I32" s="515"/>
      <c r="J32" s="512"/>
      <c r="K32" s="512"/>
      <c r="L32" s="262"/>
    </row>
    <row r="33" spans="1:12" ht="13.5" thickBot="1" x14ac:dyDescent="0.25">
      <c r="B33" s="397" t="s">
        <v>134</v>
      </c>
      <c r="C33" s="353">
        <f ca="1">IF(cl_chosen="Min",F31,F32)</f>
        <v>10</v>
      </c>
      <c r="D33" s="406"/>
      <c r="E33" s="516"/>
      <c r="F33" s="503"/>
      <c r="G33" s="503"/>
      <c r="H33" s="508"/>
      <c r="I33" s="501"/>
      <c r="J33" s="512"/>
      <c r="K33" s="512"/>
      <c r="L33" s="262"/>
    </row>
    <row r="34" spans="1:12" ht="13.5" thickBot="1" x14ac:dyDescent="0.25">
      <c r="B34" s="416" t="s">
        <v>213</v>
      </c>
      <c r="C34" s="417">
        <f>IF(Model_Type="LA_PQIS",18%,18%)</f>
        <v>0.18</v>
      </c>
      <c r="D34" s="327"/>
      <c r="E34" s="517" t="s">
        <v>207</v>
      </c>
      <c r="F34" s="518">
        <f>IF(AND(OR(Option_TopUP="N",AND(Option_TopUP="Y",SUM($B$55:$B$61)=0,SUM($C$55:$C$61)=0)),OR(Option_PW="N",AND(Option_PW="Y",SUM($B$68:$B$74)=0,SUM($C$68:$C$74)=0)),OR(Option_SPW="N",AND(Option_SPW="Y",SPW_Start_Year=0,SPW_Duration=0,SPW_Amount_pa=0)),OR(Option_Sys_TopUp="N",AND(Option_Sys_TopUp="Y",sytp=0,dtp=0,atp=0)),_emr1=0,_rpm1=0,_emr2=0,_rpm2=0),0,1)</f>
        <v>0</v>
      </c>
      <c r="G34" s="518" t="str">
        <f>IF(F34=1,"BI not standard", "Standard BI")</f>
        <v>Standard BI</v>
      </c>
      <c r="H34" s="502"/>
      <c r="I34" s="501"/>
      <c r="J34" s="512"/>
      <c r="K34" s="512"/>
      <c r="L34" s="262"/>
    </row>
    <row r="35" spans="1:12" x14ac:dyDescent="0.2">
      <c r="B35" s="418" t="s">
        <v>150</v>
      </c>
      <c r="C35" s="419">
        <f>IF(Model_Type="LA_PQIS",0%,0)</f>
        <v>0</v>
      </c>
      <c r="E35" s="516"/>
      <c r="F35" s="503"/>
      <c r="G35" s="501"/>
      <c r="H35" s="502"/>
      <c r="I35" s="501"/>
      <c r="J35" s="512"/>
      <c r="K35" s="512"/>
      <c r="L35" s="262"/>
    </row>
    <row r="36" spans="1:12" ht="13.5" thickBot="1" x14ac:dyDescent="0.25">
      <c r="B36" s="420" t="s">
        <v>209</v>
      </c>
      <c r="C36" s="402">
        <f>IF(Model_Type="LA_PQIS",0%,0%)</f>
        <v>0</v>
      </c>
      <c r="E36" s="501"/>
      <c r="F36" s="501"/>
      <c r="G36" s="501"/>
      <c r="H36" s="502"/>
      <c r="I36" s="501"/>
      <c r="J36" s="512"/>
      <c r="K36" s="512"/>
      <c r="L36" s="262"/>
    </row>
    <row r="37" spans="1:12" ht="13.5" thickBot="1" x14ac:dyDescent="0.25">
      <c r="B37" s="421" t="s">
        <v>85</v>
      </c>
      <c r="C37" s="422" t="s">
        <v>266</v>
      </c>
      <c r="D37" s="421" t="s">
        <v>248</v>
      </c>
      <c r="E37" s="516"/>
      <c r="F37" s="503"/>
      <c r="G37" s="501"/>
      <c r="H37" s="502"/>
      <c r="I37" s="501"/>
      <c r="J37" s="512"/>
      <c r="K37" s="519" t="s">
        <v>368</v>
      </c>
      <c r="L37" s="290"/>
    </row>
    <row r="38" spans="1:12" x14ac:dyDescent="0.2">
      <c r="B38" s="423" t="s">
        <v>258</v>
      </c>
      <c r="C38" s="424">
        <v>0.125</v>
      </c>
      <c r="D38" s="425" t="s">
        <v>249</v>
      </c>
      <c r="E38" s="516"/>
      <c r="F38" s="503"/>
      <c r="G38" s="503"/>
      <c r="H38" s="520" t="s">
        <v>146</v>
      </c>
      <c r="I38" s="519" t="s">
        <v>369</v>
      </c>
      <c r="J38" s="519" t="s">
        <v>370</v>
      </c>
      <c r="K38" s="504"/>
      <c r="L38" s="290"/>
    </row>
    <row r="39" spans="1:12" x14ac:dyDescent="0.2">
      <c r="B39" s="426" t="s">
        <v>259</v>
      </c>
      <c r="C39" s="424">
        <v>0.125</v>
      </c>
      <c r="D39" s="427" t="s">
        <v>250</v>
      </c>
      <c r="E39" s="516"/>
      <c r="F39" s="503"/>
      <c r="G39" s="503"/>
      <c r="H39" s="520" t="s">
        <v>148</v>
      </c>
      <c r="I39" s="519" t="s">
        <v>371</v>
      </c>
      <c r="J39" s="519" t="s">
        <v>372</v>
      </c>
      <c r="K39" s="519" t="s">
        <v>373</v>
      </c>
      <c r="L39" s="290"/>
    </row>
    <row r="40" spans="1:12" x14ac:dyDescent="0.2">
      <c r="B40" s="426" t="s">
        <v>260</v>
      </c>
      <c r="C40" s="424">
        <v>0.125</v>
      </c>
      <c r="D40" s="427" t="s">
        <v>251</v>
      </c>
      <c r="E40" s="516"/>
      <c r="F40" s="503"/>
      <c r="G40" s="503"/>
      <c r="H40" s="521"/>
      <c r="I40" s="503"/>
      <c r="J40" s="512"/>
      <c r="K40" s="519" t="s">
        <v>374</v>
      </c>
      <c r="L40" s="290"/>
    </row>
    <row r="41" spans="1:12" x14ac:dyDescent="0.2">
      <c r="B41" s="426" t="s">
        <v>261</v>
      </c>
      <c r="C41" s="424">
        <v>0.125</v>
      </c>
      <c r="D41" s="427" t="s">
        <v>251</v>
      </c>
      <c r="E41" s="516"/>
      <c r="F41" s="503"/>
      <c r="G41" s="501"/>
      <c r="H41" s="502"/>
      <c r="I41" s="501"/>
      <c r="J41" s="512"/>
      <c r="K41" s="519" t="s">
        <v>375</v>
      </c>
      <c r="L41" s="290"/>
    </row>
    <row r="42" spans="1:12" s="290" customFormat="1" x14ac:dyDescent="0.2">
      <c r="A42" s="325"/>
      <c r="B42" s="426" t="s">
        <v>262</v>
      </c>
      <c r="C42" s="424">
        <v>0.125</v>
      </c>
      <c r="D42" s="427" t="s">
        <v>251</v>
      </c>
      <c r="E42" s="501"/>
      <c r="F42" s="503"/>
      <c r="G42" s="503"/>
      <c r="H42" s="508"/>
      <c r="I42" s="503"/>
      <c r="J42" s="504"/>
      <c r="K42" s="522"/>
    </row>
    <row r="43" spans="1:12" x14ac:dyDescent="0.2">
      <c r="A43" s="290"/>
      <c r="B43" s="426" t="s">
        <v>263</v>
      </c>
      <c r="C43" s="424">
        <v>0.125</v>
      </c>
      <c r="D43" s="427" t="s">
        <v>250</v>
      </c>
      <c r="E43" s="522"/>
      <c r="F43" s="522"/>
      <c r="G43" s="522"/>
      <c r="H43" s="522"/>
      <c r="I43" s="522"/>
      <c r="J43" s="522"/>
      <c r="K43" s="504"/>
    </row>
    <row r="44" spans="1:12" ht="13.5" thickBot="1" x14ac:dyDescent="0.25">
      <c r="A44" s="326"/>
      <c r="B44" s="428" t="s">
        <v>264</v>
      </c>
      <c r="C44" s="424">
        <v>0.125</v>
      </c>
      <c r="D44" s="429" t="s">
        <v>251</v>
      </c>
      <c r="E44" s="523"/>
      <c r="F44" s="524"/>
      <c r="G44" s="503"/>
      <c r="H44" s="508"/>
      <c r="I44" s="503"/>
      <c r="J44" s="504"/>
      <c r="K44" s="504"/>
    </row>
    <row r="45" spans="1:12" ht="13.5" thickBot="1" x14ac:dyDescent="0.25">
      <c r="A45" s="326"/>
      <c r="B45" s="428" t="s">
        <v>265</v>
      </c>
      <c r="C45" s="424">
        <v>0.125</v>
      </c>
      <c r="D45" s="429" t="s">
        <v>251</v>
      </c>
      <c r="E45" s="516"/>
      <c r="F45" s="503"/>
      <c r="G45" s="503"/>
      <c r="H45" s="508"/>
      <c r="I45" s="503"/>
      <c r="J45" s="504"/>
      <c r="K45" s="504"/>
    </row>
    <row r="46" spans="1:12" x14ac:dyDescent="0.2">
      <c r="A46" s="326"/>
      <c r="B46" s="431" t="s">
        <v>8</v>
      </c>
      <c r="C46" s="432">
        <f>SUM(C38:C45)</f>
        <v>1</v>
      </c>
    </row>
    <row r="47" spans="1:12" ht="13.5" thickBot="1" x14ac:dyDescent="0.25">
      <c r="B47" s="433" t="s">
        <v>208</v>
      </c>
      <c r="C47" s="434">
        <f>wfmc</f>
        <v>1.35E-2</v>
      </c>
      <c r="D47" s="430"/>
    </row>
    <row r="48" spans="1:12" s="346" customFormat="1" x14ac:dyDescent="0.2">
      <c r="A48" s="325"/>
      <c r="B48" s="325"/>
      <c r="C48" s="326"/>
      <c r="D48" s="430"/>
      <c r="E48" s="327"/>
      <c r="F48" s="326"/>
      <c r="G48" s="326"/>
      <c r="H48" s="328"/>
      <c r="I48" s="326"/>
      <c r="J48" s="325"/>
    </row>
    <row r="49" spans="1:10" x14ac:dyDescent="0.2">
      <c r="E49" s="430"/>
      <c r="F49" s="363"/>
      <c r="I49" s="328"/>
      <c r="J49" s="346"/>
    </row>
    <row r="50" spans="1:10" ht="13.5" hidden="1" thickBot="1" x14ac:dyDescent="0.25">
      <c r="B50" s="435" t="s">
        <v>9</v>
      </c>
      <c r="C50" s="436" t="s">
        <v>7</v>
      </c>
      <c r="E50" s="430"/>
      <c r="F50" s="363"/>
    </row>
    <row r="51" spans="1:10" ht="26.25" hidden="1" thickBot="1" x14ac:dyDescent="0.25">
      <c r="B51" s="437" t="s">
        <v>21</v>
      </c>
      <c r="C51" s="438" t="s">
        <v>7</v>
      </c>
      <c r="D51" s="363"/>
    </row>
    <row r="52" spans="1:10" s="290" customFormat="1" ht="13.5" hidden="1" thickBot="1" x14ac:dyDescent="0.25">
      <c r="A52" s="346"/>
      <c r="B52" s="439" t="s">
        <v>316</v>
      </c>
      <c r="C52" s="440"/>
      <c r="E52" s="346"/>
      <c r="F52" s="346"/>
      <c r="G52" s="346"/>
      <c r="H52" s="328"/>
      <c r="I52" s="326"/>
      <c r="J52" s="325"/>
    </row>
    <row r="53" spans="1:10" ht="13.5" hidden="1" thickBot="1" x14ac:dyDescent="0.25">
      <c r="B53" s="346"/>
      <c r="C53" s="346"/>
      <c r="E53" s="290"/>
      <c r="F53" s="290"/>
      <c r="G53" s="290"/>
      <c r="H53" s="290"/>
      <c r="I53" s="290"/>
      <c r="J53" s="290"/>
    </row>
    <row r="54" spans="1:10" ht="26.25" hidden="1" thickBot="1" x14ac:dyDescent="0.25">
      <c r="B54" s="441" t="s">
        <v>10</v>
      </c>
      <c r="C54" s="442" t="s">
        <v>11</v>
      </c>
      <c r="D54" s="441" t="s">
        <v>116</v>
      </c>
      <c r="G54" s="346"/>
    </row>
    <row r="55" spans="1:10" ht="13.5" hidden="1" thickBot="1" x14ac:dyDescent="0.25">
      <c r="A55" s="325" t="b">
        <f>IF(AND(Option_TopUP="Y",B55&lt;&gt;0),AND(OR(B55&gt;B54,B54="DURATION"),(B55&lt;=pt-5),OR(C55&gt;=Minimum_Top_Up_Premium,C55=0),OR(C55=0,SUM($C$55:C55)&lt;=Input!B55*pr),(D55&gt;=C55)),TRUE)</f>
        <v>1</v>
      </c>
      <c r="B55" s="443"/>
      <c r="C55" s="444"/>
      <c r="D55" s="445" t="str">
        <f>IF(B55=0,"",IF(B55&gt;=ppt,ppt,B55)*pr+C55-SUM($C$55:C55))</f>
        <v/>
      </c>
      <c r="E55" s="446" t="s">
        <v>22</v>
      </c>
      <c r="F55" s="447">
        <v>1</v>
      </c>
    </row>
    <row r="56" spans="1:10" ht="13.5" hidden="1" thickBot="1" x14ac:dyDescent="0.25">
      <c r="A56" s="325" t="b">
        <f>IF(AND(Option_TopUP="Y",B56&lt;&gt;0),AND(OR(B56&gt;B55,B55="DURATION"),(B56&lt;=pt-5),OR(C56&gt;=Minimum_Top_Up_Premium,C56=0),OR(C56=0,SUM($C$55:C56)&lt;=Input!B56*pr),(D56&gt;=C56)),TRUE)</f>
        <v>1</v>
      </c>
      <c r="B56" s="443"/>
      <c r="C56" s="444"/>
      <c r="D56" s="448" t="str">
        <f>IF(B56=0,"",IF(B56&gt;=ppt,ppt,B56)*pr+C56-SUM($C$55:C56))</f>
        <v/>
      </c>
      <c r="E56" s="446" t="s">
        <v>10</v>
      </c>
      <c r="F56" s="449">
        <f>pt-5</f>
        <v>10</v>
      </c>
      <c r="G56" s="450" t="s">
        <v>115</v>
      </c>
    </row>
    <row r="57" spans="1:10" ht="13.5" hidden="1" thickBot="1" x14ac:dyDescent="0.25">
      <c r="A57" s="325" t="b">
        <f>IF(AND(Option_TopUP="Y",B57&lt;&gt;0),AND(OR(B57&gt;B56,B56="DURATION"),(B57&lt;=pt-5),OR(C57&gt;=Minimum_Top_Up_Premium,C57=0),OR(C57=0,SUM($C$55:C57)&lt;=Input!B57*pr),(D57&gt;=C57)),TRUE)</f>
        <v>1</v>
      </c>
      <c r="B57" s="443"/>
      <c r="C57" s="444"/>
      <c r="D57" s="448" t="str">
        <f>IF(B57=0,"",IF(B57&gt;=ppt,ppt,B57)*pr+C57-SUM($C$55:C57))</f>
        <v/>
      </c>
      <c r="E57" s="446" t="s">
        <v>11</v>
      </c>
      <c r="F57" s="451">
        <f>MAX(pr/10,Minimum_Top_Up_Premium)</f>
        <v>30000</v>
      </c>
      <c r="G57" s="452">
        <f>IFERROR((sytp+dtp-1)*pr/dtp,0)</f>
        <v>300000</v>
      </c>
    </row>
    <row r="58" spans="1:10" hidden="1" x14ac:dyDescent="0.2">
      <c r="A58" s="325" t="b">
        <f>IF(AND(Option_TopUP="Y",B58&lt;&gt;0),AND(OR(B58&gt;B57,B57="DURATION"),(B58&lt;=pt-5),OR(C58&gt;=Minimum_Top_Up_Premium,C58=0),OR(C58=0,SUM($C$55:C58)&lt;=Input!B58*pr),(D58&gt;=C58)),TRUE)</f>
        <v>1</v>
      </c>
      <c r="B58" s="443"/>
      <c r="C58" s="444"/>
      <c r="D58" s="448" t="str">
        <f>IF(B58=0,"",IF(B58&gt;=ppt,ppt,B58)*pr+C58-SUM($C$55:C58))</f>
        <v/>
      </c>
    </row>
    <row r="59" spans="1:10" hidden="1" x14ac:dyDescent="0.2">
      <c r="A59" s="325" t="b">
        <f>IF(AND(Option_TopUP="Y",B59&lt;&gt;0),AND(OR(B59&gt;B58,B58="DURATION"),(B59&lt;=pt-5),OR(C59&gt;=Minimum_Top_Up_Premium,C59=0),OR(C59=0,SUM($C$55:C59)&lt;=Input!B59*pr),(D59&gt;=C59)),TRUE)</f>
        <v>1</v>
      </c>
      <c r="B59" s="443"/>
      <c r="C59" s="444"/>
      <c r="D59" s="448" t="str">
        <f>IF(B59=0,"",IF(B59&gt;=ppt,ppt,B59)*pr+C59-SUM($C$55:C59))</f>
        <v/>
      </c>
    </row>
    <row r="60" spans="1:10" hidden="1" x14ac:dyDescent="0.2">
      <c r="A60" s="325" t="b">
        <f>IF(AND(Option_TopUP="Y",B60&lt;&gt;0),AND(OR(B60&gt;B59,B59="DURATION"),(B60&lt;=pt-5),OR(C60&gt;=Minimum_Top_Up_Premium,C60=0),OR(C60=0,SUM($C$55:C60)&lt;=Input!B60*pr),(D60&gt;=C60)),TRUE)</f>
        <v>1</v>
      </c>
      <c r="B60" s="443"/>
      <c r="C60" s="444"/>
      <c r="D60" s="448" t="str">
        <f>IF(B60=0,"",IF(B60&gt;=ppt,ppt,B60)*pr+C60-SUM($C$55:C60))</f>
        <v/>
      </c>
    </row>
    <row r="61" spans="1:10" s="346" customFormat="1" ht="13.5" hidden="1" thickBot="1" x14ac:dyDescent="0.25">
      <c r="A61" s="325" t="b">
        <f>IF(AND(Option_TopUP="Y",B61&lt;&gt;0),AND(OR(B61&gt;B60,B60="DURATION"),(B61&lt;=pt-5),OR(C61&gt;=Minimum_Top_Up_Premium,C61=0),OR(C61=0,SUM($C$55:C61)&lt;=Input!B61*pr),(D61&gt;=C61)),TRUE)</f>
        <v>1</v>
      </c>
      <c r="B61" s="453"/>
      <c r="C61" s="454"/>
      <c r="D61" s="403" t="str">
        <f>IF(B61=0,"",IF(B61&gt;=ppt,ppt,B61)*pr+C61-SUM($C$55:C61))</f>
        <v/>
      </c>
      <c r="E61" s="327"/>
      <c r="F61" s="326"/>
      <c r="G61" s="326"/>
      <c r="H61" s="328"/>
      <c r="I61" s="326"/>
      <c r="J61" s="325"/>
    </row>
    <row r="62" spans="1:10" ht="13.5" hidden="1" thickBot="1" x14ac:dyDescent="0.25">
      <c r="B62" s="327"/>
      <c r="C62" s="327"/>
      <c r="I62" s="328"/>
      <c r="J62" s="346"/>
    </row>
    <row r="63" spans="1:10" ht="13.5" hidden="1" thickBot="1" x14ac:dyDescent="0.25">
      <c r="A63" s="327"/>
      <c r="B63" s="441" t="s">
        <v>105</v>
      </c>
      <c r="C63" s="455" t="s">
        <v>7</v>
      </c>
      <c r="D63" s="327"/>
    </row>
    <row r="64" spans="1:10" ht="26.25" hidden="1" thickBot="1" x14ac:dyDescent="0.25">
      <c r="A64" s="327"/>
      <c r="B64" s="456" t="s">
        <v>106</v>
      </c>
      <c r="C64" s="457" t="s">
        <v>7</v>
      </c>
      <c r="D64" s="458" t="str">
        <f>IF(Option_SPW="Y",IF(age+SPW_Start_Year&lt;18,"Increase your SPW start year as SPW is not allowed for age less than 18 years","-"),"-")</f>
        <v>-</v>
      </c>
    </row>
    <row r="65" spans="1:10" ht="13.5" hidden="1" thickBot="1" x14ac:dyDescent="0.25">
      <c r="A65" s="327"/>
      <c r="B65" s="439" t="s">
        <v>109</v>
      </c>
      <c r="C65" s="459"/>
      <c r="D65" s="388"/>
      <c r="E65" s="460"/>
      <c r="F65" s="461"/>
    </row>
    <row r="66" spans="1:10" ht="13.5" hidden="1" thickBot="1" x14ac:dyDescent="0.25">
      <c r="B66" s="346"/>
      <c r="C66" s="346"/>
      <c r="E66" s="290"/>
      <c r="F66" s="290"/>
    </row>
    <row r="67" spans="1:10" ht="13.5" hidden="1" thickBot="1" x14ac:dyDescent="0.25">
      <c r="A67" s="346"/>
      <c r="B67" s="441" t="s">
        <v>10</v>
      </c>
      <c r="C67" s="441" t="s">
        <v>11</v>
      </c>
      <c r="D67" s="441" t="s">
        <v>317</v>
      </c>
      <c r="E67" s="442" t="s">
        <v>364</v>
      </c>
      <c r="F67" s="462"/>
    </row>
    <row r="68" spans="1:10" ht="13.5" hidden="1" thickBot="1" x14ac:dyDescent="0.25">
      <c r="A68" s="325" t="b">
        <f t="shared" ref="A68:A74" si="0">IF(AND(Option_PW="Y",B68&lt;&gt;0),AND(OR(B68&gt;B67,B67="DURATION"),(B68&gt;Lock_In_Period),(B68&lt;=pt),OR(C68&gt;=Min_PW_Amount,C68=0),OR(C68=0,C68&lt;=D68)),TRUE)</f>
        <v>1</v>
      </c>
      <c r="B68" s="443"/>
      <c r="C68" s="463"/>
      <c r="D68" s="445">
        <f>IF(B68=0,0,ROUNDDOWN(VLOOKUP(B68,'Calculation_8%'!$H$5:$M$367,6,0),0))</f>
        <v>0</v>
      </c>
      <c r="E68" s="442" t="s">
        <v>365</v>
      </c>
      <c r="F68" s="360"/>
    </row>
    <row r="69" spans="1:10" ht="13.5" hidden="1" thickBot="1" x14ac:dyDescent="0.25">
      <c r="A69" s="325" t="b">
        <f t="shared" si="0"/>
        <v>1</v>
      </c>
      <c r="B69" s="443"/>
      <c r="C69" s="463"/>
      <c r="D69" s="448">
        <f>IF(B69=0,0,ROUNDDOWN(VLOOKUP(B69,'Calculation_8%'!$H$5:$M$367,6,0),0))</f>
        <v>0</v>
      </c>
      <c r="E69" s="442" t="s">
        <v>383</v>
      </c>
      <c r="F69" s="464"/>
    </row>
    <row r="70" spans="1:10" s="290" customFormat="1" ht="13.5" hidden="1" thickBot="1" x14ac:dyDescent="0.25">
      <c r="A70" s="325" t="b">
        <f t="shared" si="0"/>
        <v>1</v>
      </c>
      <c r="B70" s="443"/>
      <c r="C70" s="463"/>
      <c r="D70" s="448">
        <f>IF(B70=0,0,ROUNDDOWN(VLOOKUP(B70,'Calculation_8%'!$H$5:$M$367,6,0),0))</f>
        <v>0</v>
      </c>
      <c r="E70" s="442" t="s">
        <v>386</v>
      </c>
      <c r="F70" s="448">
        <f>ROUND(IF(Option_SPW="Y",MAX(F69*SPW_Payout_Freq*SPW_Start_Date_FV,15000),0),0)</f>
        <v>0</v>
      </c>
      <c r="G70" s="465"/>
      <c r="H70" s="328"/>
      <c r="I70" s="326"/>
      <c r="J70" s="325"/>
    </row>
    <row r="71" spans="1:10" ht="13.5" hidden="1" thickBot="1" x14ac:dyDescent="0.25">
      <c r="A71" s="325" t="b">
        <f t="shared" si="0"/>
        <v>1</v>
      </c>
      <c r="B71" s="443"/>
      <c r="C71" s="463"/>
      <c r="D71" s="448">
        <f>IF(B71=0,0,ROUNDDOWN(VLOOKUP(B71,'Calculation_8%'!$H$5:$M$367,6,0),0))</f>
        <v>0</v>
      </c>
      <c r="E71" s="442" t="s">
        <v>366</v>
      </c>
      <c r="F71" s="466"/>
      <c r="G71" s="467" t="str">
        <f>IF(Option_SPW="Y",IF(F70&lt;&gt;SPW_Amount_pa,"Please enter amount of Cell F70 here",TRUE),"-")</f>
        <v>-</v>
      </c>
      <c r="I71" s="290"/>
      <c r="J71" s="290"/>
    </row>
    <row r="72" spans="1:10" ht="13.5" hidden="1" thickBot="1" x14ac:dyDescent="0.25">
      <c r="A72" s="325" t="b">
        <f t="shared" si="0"/>
        <v>1</v>
      </c>
      <c r="B72" s="443"/>
      <c r="C72" s="463"/>
      <c r="D72" s="448">
        <f>IF(B72=0,0,ROUNDDOWN(VLOOKUP(B72,'Calculation_8%'!$H$5:$M$367,6,0),0))</f>
        <v>0</v>
      </c>
      <c r="E72" s="442" t="s">
        <v>161</v>
      </c>
      <c r="F72" s="466"/>
    </row>
    <row r="73" spans="1:10" ht="13.5" hidden="1" thickBot="1" x14ac:dyDescent="0.25">
      <c r="A73" s="325" t="b">
        <f t="shared" si="0"/>
        <v>1</v>
      </c>
      <c r="B73" s="443"/>
      <c r="C73" s="463"/>
      <c r="D73" s="448">
        <f>IF(B73=0,0,ROUNDDOWN(VLOOKUP(B73,'Calculation_8%'!$H$5:$M$367,6,0),0))</f>
        <v>0</v>
      </c>
      <c r="E73" s="442" t="s">
        <v>367</v>
      </c>
      <c r="F73" s="445" t="str">
        <f>IFERROR(IF(Option_SPW="Y",VLOOKUP((SPW_Start_Year-1)*12,'Calculation_8%'!$D$7:$AD$367,27,0)+VLOOKUP((SPW_Start_Year-1)*12+1,'Calculation_8%'!$D$7:$L$367,9,0),"-")*F16,"-")</f>
        <v>-</v>
      </c>
    </row>
    <row r="74" spans="1:10" ht="13.5" hidden="1" thickBot="1" x14ac:dyDescent="0.25">
      <c r="A74" s="325" t="b">
        <f t="shared" si="0"/>
        <v>1</v>
      </c>
      <c r="B74" s="443"/>
      <c r="C74" s="468"/>
      <c r="D74" s="403">
        <f>IF(B74=0,0,ROUNDDOWN(VLOOKUP(B74,'Calculation_8%'!$H$5:$M$367,6,0),0))</f>
        <v>0</v>
      </c>
      <c r="E74" s="290"/>
      <c r="H74" s="290"/>
    </row>
    <row r="75" spans="1:10" ht="13.5" hidden="1" thickBot="1" x14ac:dyDescent="0.25">
      <c r="E75" s="290"/>
    </row>
    <row r="76" spans="1:10" hidden="1" x14ac:dyDescent="0.2">
      <c r="B76" s="469" t="s">
        <v>206</v>
      </c>
      <c r="C76" s="470" t="s">
        <v>7</v>
      </c>
      <c r="D76" s="471">
        <f>IF(C76="N",0,1)</f>
        <v>0</v>
      </c>
      <c r="E76" s="290"/>
    </row>
    <row r="77" spans="1:10" hidden="1" x14ac:dyDescent="0.2">
      <c r="B77" s="472" t="s">
        <v>205</v>
      </c>
      <c r="C77" s="473" t="s">
        <v>7</v>
      </c>
      <c r="D77" s="474">
        <f>IF(C77="N",0,1)</f>
        <v>0</v>
      </c>
    </row>
    <row r="78" spans="1:10" ht="13.5" hidden="1" thickBot="1" x14ac:dyDescent="0.25">
      <c r="B78" s="475" t="s">
        <v>390</v>
      </c>
      <c r="C78" s="476" t="s">
        <v>7</v>
      </c>
      <c r="D78" s="477">
        <f>IF(C78="N",0,1)</f>
        <v>0</v>
      </c>
    </row>
    <row r="79" spans="1:10" ht="13.5" hidden="1" thickBot="1" x14ac:dyDescent="0.25"/>
    <row r="80" spans="1:10" ht="13.5" hidden="1" thickBot="1" x14ac:dyDescent="0.25">
      <c r="B80" s="478" t="s">
        <v>32</v>
      </c>
      <c r="C80" s="478" t="s">
        <v>34</v>
      </c>
      <c r="D80" s="478" t="s">
        <v>35</v>
      </c>
      <c r="E80" s="478" t="s">
        <v>34</v>
      </c>
      <c r="F80" s="478" t="s">
        <v>35</v>
      </c>
    </row>
    <row r="81" spans="1:10" hidden="1" x14ac:dyDescent="0.2">
      <c r="B81" s="479" t="s">
        <v>33</v>
      </c>
      <c r="C81" s="480"/>
      <c r="D81" s="481"/>
      <c r="E81" s="482">
        <f>C81*Flag_Rating</f>
        <v>0</v>
      </c>
      <c r="F81" s="409">
        <f>D81*Flag_Rating</f>
        <v>0</v>
      </c>
    </row>
    <row r="82" spans="1:10" hidden="1" x14ac:dyDescent="0.2">
      <c r="B82" s="483" t="s">
        <v>84</v>
      </c>
      <c r="C82" s="484"/>
      <c r="D82" s="485"/>
      <c r="E82" s="486">
        <f>C82*Flag_Joint_Life</f>
        <v>0</v>
      </c>
      <c r="F82" s="487">
        <f>D82*Flag_Joint_Life</f>
        <v>0</v>
      </c>
    </row>
    <row r="83" spans="1:10" s="492" customFormat="1" ht="13.5" hidden="1" thickBot="1" x14ac:dyDescent="0.25">
      <c r="A83" s="325"/>
      <c r="B83" s="488" t="s">
        <v>391</v>
      </c>
      <c r="C83" s="489"/>
      <c r="D83" s="490"/>
      <c r="E83" s="491">
        <f>C83*Flag_ADB</f>
        <v>0</v>
      </c>
      <c r="F83" s="413">
        <f>D83*Flag_ADB</f>
        <v>0</v>
      </c>
      <c r="G83" s="326"/>
      <c r="H83" s="328"/>
      <c r="I83" s="326"/>
      <c r="J83" s="325"/>
    </row>
    <row r="84" spans="1:10" ht="13.5" hidden="1" thickBot="1" x14ac:dyDescent="0.25">
      <c r="E84" s="326"/>
      <c r="G84" s="328"/>
      <c r="H84" s="327"/>
      <c r="I84" s="492"/>
    </row>
    <row r="85" spans="1:10" ht="13.5" hidden="1" thickBot="1" x14ac:dyDescent="0.25">
      <c r="B85" s="493" t="s">
        <v>16</v>
      </c>
      <c r="C85" s="494" t="s">
        <v>300</v>
      </c>
      <c r="D85" s="494" t="s">
        <v>302</v>
      </c>
      <c r="E85" s="494" t="s">
        <v>211</v>
      </c>
      <c r="G85" s="328"/>
      <c r="H85" s="326"/>
      <c r="I85" s="325"/>
    </row>
    <row r="86" spans="1:10" ht="13.5" hidden="1" thickBot="1" x14ac:dyDescent="0.25">
      <c r="A86" s="492"/>
      <c r="B86" s="495" t="s">
        <v>124</v>
      </c>
      <c r="C86" s="496" t="s">
        <v>7</v>
      </c>
      <c r="D86" s="531"/>
      <c r="E86" s="497" t="str">
        <f>PQIS_NAME</f>
        <v>WEB_PQIS</v>
      </c>
      <c r="F86" s="327"/>
      <c r="G86" s="327"/>
      <c r="H86" s="326"/>
      <c r="I86" s="325"/>
    </row>
    <row r="87" spans="1:10" ht="13.5" hidden="1" thickBot="1" x14ac:dyDescent="0.25">
      <c r="E87" s="326"/>
      <c r="F87" s="327"/>
      <c r="G87" s="327"/>
      <c r="H87" s="326"/>
      <c r="I87" s="325"/>
    </row>
    <row r="88" spans="1:10" ht="13.5" hidden="1" thickBot="1" x14ac:dyDescent="0.25">
      <c r="B88" s="493" t="s">
        <v>16</v>
      </c>
      <c r="C88" s="494" t="s">
        <v>301</v>
      </c>
      <c r="D88" s="494" t="s">
        <v>211</v>
      </c>
    </row>
    <row r="89" spans="1:10" ht="13.5" hidden="1" thickBot="1" x14ac:dyDescent="0.25">
      <c r="B89" s="495" t="s">
        <v>295</v>
      </c>
      <c r="C89" s="496" t="s">
        <v>7</v>
      </c>
      <c r="D89" s="497" t="str">
        <f>PQIS_NAME</f>
        <v>WEB_PQIS</v>
      </c>
      <c r="H89" s="326"/>
      <c r="I89" s="328"/>
      <c r="J89" s="326"/>
    </row>
    <row r="90" spans="1:10" x14ac:dyDescent="0.2">
      <c r="H90" s="326"/>
      <c r="I90" s="328"/>
      <c r="J90" s="326"/>
    </row>
    <row r="93" spans="1:10" x14ac:dyDescent="0.2">
      <c r="E93" s="498"/>
    </row>
  </sheetData>
  <sheetProtection password="9B60" sheet="1" objects="1" scenarios="1"/>
  <mergeCells count="5">
    <mergeCell ref="E4:F4"/>
    <mergeCell ref="G4:I4"/>
    <mergeCell ref="B2:D2"/>
    <mergeCell ref="B5:C5"/>
    <mergeCell ref="B6:C6"/>
  </mergeCells>
  <phoneticPr fontId="0" type="noConversion"/>
  <dataValidations count="52">
    <dataValidation type="custom" allowBlank="1" showInputMessage="1" showErrorMessage="1" error="Top up premium are not allowed during the last 5 years of policy " sqref="F56">
      <formula1>AND((F55+F56)&lt;=pt+1,(pt+1-(F55+F56)&gt;=5))</formula1>
    </dataValidation>
    <dataValidation type="custom" allowBlank="1" showInputMessage="1" showErrorMessage="1" error="Top up premiums are not allowed during the last 5 years of policy and top up durations should be in increasing order" sqref="B62">
      <formula1>AND((B62&lt;=pt-5),B62&gt;B61)</formula1>
    </dataValidation>
    <dataValidation type="custom" allowBlank="1" showInputMessage="1" showErrorMessage="1" error="Min Top up Premium amount is Rs. 5000 p.a and sum of top up premiums cannot be more than sum of regular premiums paid" sqref="F57">
      <formula1>AND(F57&gt;=5000,(F55+F56-1)*$C$23&gt;=F56*F57)</formula1>
    </dataValidation>
    <dataValidation type="custom" allowBlank="1" showInputMessage="1" showErrorMessage="1" error="Min Premium is for 15 to 17 year term is  Rs 200000_x000a_For Policy term 18-30 and ppt 7 years, 150000, else 100000" sqref="C25">
      <formula1>IF(C30&lt;=17,C25&gt;=200000,IF(AND(C30&gt;=18,ppt=7),C25&gt;=150000,C25&gt;=100000))</formula1>
    </dataValidation>
    <dataValidation type="custom" allowBlank="1" showInputMessage="1" showErrorMessage="1" error=" Min Policy Term :_x000a_SP : 10 years_x000a_RP &amp; LP : 15 years_x000a_Max PT : 20 Years for all options_x000a_Maximum Maturity age is 75 years" sqref="C29">
      <formula1>AND(IF(C28="Single",pt&gt;=10,pt&gt;=15),pt&lt;=20,age+pt&lt;=75)</formula1>
    </dataValidation>
    <dataValidation type="custom" showInputMessage="1" showErrorMessage="1" error="Top up premiums are not allowed during the last 5 years of policy and top up durations should be in increasing order" sqref="B60">
      <formula1>AND((B60&lt;=pt-5),B60&gt;B55,B60&gt;B56,B60&gt;B57,B60&gt;B58,B60&gt;B59)</formula1>
    </dataValidation>
    <dataValidation type="custom" allowBlank="1" showInputMessage="1" showErrorMessage="1" error="Min Premium:_x000a_Annual RP: 100000_x000a_Half-Yearly/Monthly RP: 120000_x000a_LP 5: 250000_x000a_LP 7: 180000_x000a_LP 10: 150000_x000a_SP: 500000" sqref="C23">
      <formula1>IF(AND(C25&lt;500000,ppt=1),FALSE,IF(AND(C25&lt;150000,ppt=10),FALSE,IF(AND(C25&lt;180000,ppt=7),FALSE,IF(IF(C25&lt;250000,ppt=5),FALSE,IF(AND(C25&lt;100000,fq=1,ppt=pt),FALSE,IF(AND(C25&lt;120000,OR(fq=2,fq=12),ppt=pt),FALSE,TRUE))))))</formula1>
    </dataValidation>
    <dataValidation type="custom" allowBlank="1" showInputMessage="1" showErrorMessage="1" error="Min Partial Withdrawal premium amount is Rs. 5000 and maximum is less than or equal to the allowable limits." sqref="C68 C70:C74">
      <formula1>AND(C68&gt;=5000,C68&lt;=D68)</formula1>
    </dataValidation>
    <dataValidation type="custom" allowBlank="1" showInputMessage="1" showErrorMessage="1" error="Min Partial Withdrawal premium amount is Rs. 5000 and maximum is less than or equal to allowable limits." sqref="C69">
      <formula1>AND(C69&gt;=5000,C69&lt;=D69)</formula1>
    </dataValidation>
    <dataValidation type="custom" allowBlank="1" showInputMessage="1" showErrorMessage="1" error="Min top up premium amount is Rs. 10000 and maximum is less than or equal to sum of premiums paid till date" sqref="C55">
      <formula1>AND(C55&gt;=10000,C55&lt;=D55)</formula1>
    </dataValidation>
    <dataValidation type="custom" allowBlank="1" showInputMessage="1" showErrorMessage="1" error="Min top up premium amount is Rs. 10000 and maximum is less than or equal to the sum of premiums paid till date." sqref="C59:C61 C56:C57">
      <formula1>AND(C56&gt;=10000,C56&lt;=D56)</formula1>
    </dataValidation>
    <dataValidation type="custom" allowBlank="1" showInputMessage="1" showErrorMessage="1" error="Min top up premium amount is Rs. 10000 and maximum is less than or equal to the sum of premiums paid till date._x000a_" sqref="C58">
      <formula1>AND(C58&gt;=10000,C58&lt;=D58)</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72">
      <formula1>AND(B72&gt;5,B72&lt;=C29,(C18+B72)&gt;=18)</formula1>
    </dataValidation>
    <dataValidation type="custom" allowBlank="1" showInputMessage="1" showErrorMessage="1" error="When WoP is On, Proposer age must be between 21 and 50 years. _x000a_When WoP is Off, Proposer age must be greater than or equal to 18 years" sqref="D17">
      <formula1>IF(WoP_Flag="Y",IF(AND(age_2&gt;=21,age_2&lt;=50),TRUE,FALSE),IF(age_2&gt;=18,TRUE,FALSE))</formula1>
    </dataValidation>
    <dataValidation type="custom" showInputMessage="1" showErrorMessage="1" error="Fund Allocation should be 100%" sqref="C46">
      <formula1>SUM(C38:C45)=100%</formula1>
    </dataValidation>
    <dataValidation type="custom" showInputMessage="1" showErrorMessage="1" error="Top up premiums are not allowed during the last 5 years of policy and top up durations should be in increasing order" sqref="B57">
      <formula1>AND((B57&lt;=pt-5),B57&gt;B55,B57&gt;B56)</formula1>
    </dataValidation>
    <dataValidation type="custom" showInputMessage="1" showErrorMessage="1" error="Top up premiums are not allowed during the last 5 years of policy and top up durations should be in increasing order" sqref="B58">
      <formula1>AND((B58&lt;=pt-5),B58&gt;B55,B58&gt;B56,B58&gt;B57)</formula1>
    </dataValidation>
    <dataValidation type="custom" showInputMessage="1" showErrorMessage="1" error="Top up premiums are not allowed during the last 5 years of policy and top up durations should be in increasing order" sqref="B59">
      <formula1>AND((B59&lt;=pt-5),B59&gt;B55,B59&gt;B56,B59&gt;B57,B59&gt;B58)</formula1>
    </dataValidation>
    <dataValidation type="custom" showInputMessage="1" showErrorMessage="1" error="Top up premiums are not allowed during the last 5 years of policy and top up durations should be in increasing order" sqref="B61">
      <formula1>AND((B61&lt;=pt-5),B61&gt;B55,B61&gt;B56,B61&gt;B57,B61&gt;B58,B61&gt;B59,B61&gt;B60)</formula1>
    </dataValidation>
    <dataValidation type="custom" showInputMessage="1" showErrorMessage="1" error="Top up premiums are not allowed during the last 5 years of policy and top up durations should be in increasing order" sqref="B56">
      <formula1>AND((B56&lt;=pt-5),B56&gt;B55)</formula1>
    </dataValidation>
    <dataValidation type="custom" allowBlank="1" showInputMessage="1" showErrorMessage="1" error="Duration can be between 3 years and outstanding policy term and SPW Start Year+ SPW Duration should be less than policy Term._x000a_" sqref="F68">
      <formula1>AND(F67+F68&lt;=pt,F19)</formula1>
    </dataValidation>
    <dataValidation type="custom" allowBlank="1" showInputMessage="1" showErrorMessage="1" error="Withdrawal Amount must be equal to amount in Cell F70._x000a_" sqref="F71">
      <formula1>AND(SPW_Amount_pa=F70)</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68">
      <formula1>AND(B68&gt;5,B68&lt;=C29,(C18+B68)&gt;=18)</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69">
      <formula1>AND(B69&gt;5,B69&lt;=C29,(C18+B69)&gt;=18)</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70">
      <formula1>AND(B70&gt;5,B70&lt;=C29,(C18+B70)&gt;=18)</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71">
      <formula1>AND(B71&gt;5,B71&lt;=C29,(C18+B71)&gt;=18)</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73">
      <formula1>AND(B73&gt;5,B73&lt;=C29,(C18+B73)&gt;=18)</formula1>
    </dataValidation>
    <dataValidation type="custom" allowBlank="1" showInputMessage="1" showErrorMessage="1" error="Partial withdrawals are not allowed in the first 5 years of policy and withdrawal durations should be in increasing order and cannot be greater than Policy Term.          Also PW is not allowed before age 18 Years." sqref="B74">
      <formula1>AND(B74&gt;5,B74&lt;=C29,(C18+B74)&gt;=18)</formula1>
    </dataValidation>
    <dataValidation type="custom" allowBlank="1" showInputMessage="1" showErrorMessage="1" error="Systematic Partial withdrawal is not allowed in first 5 policy years and in the last 3 policy years." sqref="F67">
      <formula1>AND(F67&gt;5,F67&lt;=pt-3,age+F67&gt;=18)</formula1>
    </dataValidation>
    <dataValidation type="custom" allowBlank="1" showInputMessage="1" showErrorMessage="1" error="Entry age should be between 2 and 60 years." sqref="C17">
      <formula1>AND(age&gt;=2,age&lt;=60)</formula1>
    </dataValidation>
    <dataValidation type="list" allowBlank="1" showInputMessage="1" showErrorMessage="1" sqref="C19">
      <formula1>"1,2,12"</formula1>
    </dataValidation>
    <dataValidation type="list" allowBlank="1" showInputMessage="1" showErrorMessage="1" sqref="C12:D12">
      <formula1>"M, F"</formula1>
    </dataValidation>
    <dataValidation allowBlank="1" showInputMessage="1" showErrorMessage="1" error="Min Premium is for 15 to 17 year term is  Rs 200000_x000a_For Policy term 18-30 and ppt 7 years, 150000, else 100000" sqref="C24"/>
    <dataValidation type="custom" allowBlank="1" showInputMessage="1" showErrorMessage="1" sqref="F55">
      <formula1>AND(F55&gt;=1,F55&lt;=pt,(pt-F55)&gt;=5)</formula1>
    </dataValidation>
    <dataValidation type="list" allowBlank="1" showInputMessage="1" showErrorMessage="1" sqref="C50 C89 C86 C76 C63:C64 C78">
      <formula1>"Y,N"</formula1>
    </dataValidation>
    <dataValidation type="custom" showInputMessage="1" showErrorMessage="1" error="Top up premiums are not allowed during the last 5 years of policy" sqref="B55">
      <formula1>(B55&lt;=pt-5)</formula1>
    </dataValidation>
    <dataValidation type="custom" allowBlank="1" showInputMessage="1" showErrorMessage="1" error="Min top up premium amount is Rs. 5000" sqref="C62">
      <formula1>AND(C62&gt;=5000)</formula1>
    </dataValidation>
    <dataValidation type="list" allowBlank="1" showInputMessage="1" showErrorMessage="1" sqref="C7">
      <formula1>"WEB_PQIS,OPS_PQIS"</formula1>
    </dataValidation>
    <dataValidation type="list" allowBlank="1" showInputMessage="1" showErrorMessage="1" sqref="C22">
      <formula1>"Min,Max"</formula1>
    </dataValidation>
    <dataValidation type="list" allowBlank="1" showInputMessage="1" showErrorMessage="1" sqref="F27">
      <formula1>$H$38:$I$38</formula1>
    </dataValidation>
    <dataValidation type="list" allowBlank="1" showInputMessage="1" showErrorMessage="1" sqref="F28">
      <formula1>$H$39:$I$39</formula1>
    </dataValidation>
    <dataValidation type="list" allowBlank="1" showInputMessage="1" showErrorMessage="1" sqref="C13">
      <formula1>"Online,Offline"</formula1>
    </dataValidation>
    <dataValidation type="list" allowBlank="1" showInputMessage="1" showErrorMessage="1" sqref="C30">
      <formula1>"5,7,10"</formula1>
    </dataValidation>
    <dataValidation type="list" allowBlank="1" showInputMessage="1" showErrorMessage="1" sqref="M3">
      <formula1>$M$4</formula1>
    </dataValidation>
    <dataValidation type="list" allowBlank="1" showInputMessage="1" showErrorMessage="1" sqref="M4">
      <formula1>$U$4:$U$7</formula1>
    </dataValidation>
    <dataValidation type="list" allowBlank="1" showInputMessage="1" showErrorMessage="1" sqref="L4">
      <formula1>$V$4:$V$19</formula1>
    </dataValidation>
    <dataValidation type="list" allowBlank="1" showInputMessage="1" showErrorMessage="1" sqref="C28">
      <formula1>"Single, Limited, Regular"</formula1>
    </dataValidation>
    <dataValidation type="custom" allowBlank="1" showInputMessage="1" showErrorMessage="1" errorTitle="ADB Sum Assured " error="Min ADB Sum Assured :- 5 lacs_x000a_Max ADB Sum Assured :- 50 Lacs_x000a_ADB Sum Assured cannot be greater than Base Sum Assured" sqref="D86">
      <formula1>AND(sa_adb&gt;=500000,sa_adb&lt;=5000000,sa_adb&lt;=sa)</formula1>
    </dataValidation>
    <dataValidation type="custom" allowBlank="1" showInputMessage="1" showErrorMessage="1" error="Fund Allocation cannot be less than 10% and greater than 100%." sqref="C38:C45">
      <formula1>AND(C38&gt;=10%,C38&lt;=100%)</formula1>
    </dataValidation>
    <dataValidation type="list" allowBlank="1" showInputMessage="1" showErrorMessage="1" sqref="C77">
      <formula1>"Y,N"</formula1>
    </dataValidation>
    <dataValidation type="custom" allowBlank="1" showInputMessage="1" showErrorMessage="1" error="Proportion must be in between 0.25% to 1% of FV_x000a_" sqref="F69">
      <formula1>AND(F69&gt;=0.25%,F69&lt;=1%)</formula1>
    </dataValidation>
    <dataValidation type="list" allowBlank="1" showInputMessage="1" showErrorMessage="1" sqref="F72">
      <formula1>"1,2,4,12"</formula1>
    </dataValidation>
  </dataValidations>
  <pageMargins left="0.75" right="0.75" top="1" bottom="1" header="0.5" footer="0.5"/>
  <pageSetup scale="34" orientation="portrait" r:id="rId1"/>
  <headerFooter alignWithMargins="0"/>
  <colBreaks count="1" manualBreakCount="1">
    <brk id="28" max="276"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J279"/>
  <sheetViews>
    <sheetView zoomScale="90" zoomScaleNormal="90" workbookViewId="0">
      <selection activeCell="D9" sqref="D9"/>
    </sheetView>
  </sheetViews>
  <sheetFormatPr defaultRowHeight="12.75" x14ac:dyDescent="0.2"/>
  <cols>
    <col min="1" max="1" width="14.5703125" style="64" customWidth="1"/>
    <col min="2" max="2" width="29" style="64" customWidth="1"/>
    <col min="3" max="4" width="14.7109375" style="64" bestFit="1" customWidth="1"/>
    <col min="5" max="5" width="11.140625" style="64" customWidth="1"/>
    <col min="6" max="6" width="10.5703125" style="64" customWidth="1"/>
    <col min="7" max="7" width="15" style="64" customWidth="1"/>
    <col min="8" max="8" width="10.5703125" style="67" customWidth="1"/>
    <col min="9" max="9" width="4.85546875" style="64" customWidth="1"/>
    <col min="10" max="10" width="18.85546875" style="64" customWidth="1"/>
    <col min="11" max="11" width="10.140625" style="82" customWidth="1"/>
    <col min="12" max="12" width="15.28515625" style="81" customWidth="1"/>
    <col min="13" max="13" width="12.42578125" style="64" customWidth="1"/>
    <col min="14" max="14" width="4.7109375" style="81" customWidth="1"/>
    <col min="15" max="15" width="25.28515625" style="161" bestFit="1" customWidth="1"/>
    <col min="16" max="16" width="24.140625" style="64" bestFit="1" customWidth="1"/>
    <col min="17" max="18" width="9.140625" style="64"/>
    <col min="19" max="19" width="9.85546875" style="64" bestFit="1" customWidth="1"/>
    <col min="20" max="20" width="26.5703125" style="64" bestFit="1" customWidth="1"/>
    <col min="21" max="21" width="10" style="64" bestFit="1" customWidth="1"/>
    <col min="22" max="22" width="26.5703125" style="64" bestFit="1" customWidth="1"/>
    <col min="23" max="23" width="9.28515625" style="64" bestFit="1" customWidth="1"/>
    <col min="24" max="24" width="10.140625" style="64" bestFit="1" customWidth="1"/>
    <col min="25" max="25" width="25.28515625" style="64" customWidth="1"/>
    <col min="26" max="26" width="14.7109375" style="64" bestFit="1" customWidth="1"/>
    <col min="27" max="28" width="9.140625" style="64"/>
    <col min="29" max="29" width="11.42578125" style="64" customWidth="1"/>
    <col min="30" max="33" width="9.140625" style="64"/>
    <col min="34" max="34" width="9.140625" style="64" customWidth="1"/>
    <col min="35" max="35" width="24.140625" style="64" bestFit="1" customWidth="1"/>
    <col min="36" max="36" width="10" style="64" bestFit="1" customWidth="1"/>
    <col min="37" max="39" width="9.140625" style="64"/>
    <col min="40" max="40" width="17.140625" style="64" customWidth="1"/>
    <col min="41" max="41" width="12" style="64" customWidth="1"/>
    <col min="42" max="42" width="12.7109375" style="64" customWidth="1"/>
    <col min="43" max="43" width="14" style="64" customWidth="1"/>
    <col min="44" max="44" width="16.140625" style="64" customWidth="1"/>
    <col min="45" max="45" width="13.5703125" style="64" customWidth="1"/>
    <col min="46" max="47" width="14.7109375" style="64" bestFit="1" customWidth="1"/>
    <col min="48" max="48" width="13.7109375" style="64" customWidth="1"/>
    <col min="49" max="49" width="12.5703125" style="64" bestFit="1" customWidth="1"/>
    <col min="50" max="50" width="9.140625" style="64"/>
    <col min="51" max="51" width="24.140625" style="64" customWidth="1"/>
    <col min="52" max="16384" width="9.140625" style="64"/>
  </cols>
  <sheetData>
    <row r="1" spans="2:62" ht="13.5" thickBot="1" x14ac:dyDescent="0.25">
      <c r="J1" s="80"/>
      <c r="K1" s="80"/>
      <c r="L1" s="80"/>
      <c r="M1" s="80"/>
      <c r="N1" s="80"/>
      <c r="O1" s="80"/>
      <c r="P1" s="61"/>
      <c r="Y1"/>
      <c r="Z1"/>
      <c r="AA1"/>
      <c r="AC1"/>
      <c r="AD1"/>
      <c r="AE1"/>
      <c r="AF1"/>
      <c r="AR1"/>
    </row>
    <row r="2" spans="2:62" ht="26.25" thickBot="1" x14ac:dyDescent="0.25">
      <c r="B2" s="578" t="s">
        <v>292</v>
      </c>
      <c r="C2" s="579"/>
      <c r="D2" s="579"/>
      <c r="E2" s="580"/>
      <c r="F2" s="68"/>
      <c r="G2" s="68"/>
      <c r="H2" s="69"/>
      <c r="K2" s="60"/>
      <c r="L2" s="60"/>
      <c r="M2" s="60"/>
      <c r="N2" s="60"/>
      <c r="O2" s="60"/>
      <c r="Y2" s="124" t="s">
        <v>126</v>
      </c>
      <c r="Z2" s="156">
        <f>IF(ppt=1,500000,IF(ppt=5,250000,IF(ppt=7,180000,IF(ppt=10,150000,IF(AND(Input!C28="Regular",OR(fq=12,fq=2)),120000,100000)))))</f>
        <v>100000</v>
      </c>
      <c r="AA2"/>
      <c r="AC2"/>
      <c r="AD2"/>
      <c r="AE2"/>
      <c r="AF2"/>
      <c r="AN2" s="577" t="s">
        <v>279</v>
      </c>
      <c r="AO2" s="577"/>
      <c r="AP2" s="577"/>
      <c r="AQ2" s="577"/>
      <c r="AR2"/>
      <c r="AT2" s="572" t="s">
        <v>283</v>
      </c>
      <c r="AU2" s="572"/>
      <c r="AV2"/>
      <c r="AW2" s="230" t="s">
        <v>291</v>
      </c>
      <c r="AY2" s="144" t="s">
        <v>162</v>
      </c>
      <c r="BE2" s="144" t="s">
        <v>163</v>
      </c>
    </row>
    <row r="3" spans="2:62" ht="17.25" customHeight="1" thickBot="1" x14ac:dyDescent="0.25">
      <c r="F3" s="76"/>
      <c r="G3" s="76"/>
      <c r="H3" s="76"/>
      <c r="K3" s="64"/>
      <c r="L3" s="64"/>
      <c r="O3" s="82"/>
      <c r="T3" s="216" t="s">
        <v>129</v>
      </c>
      <c r="U3" s="121">
        <v>0</v>
      </c>
      <c r="Y3" s="124" t="s">
        <v>98</v>
      </c>
      <c r="Z3" s="156" t="s">
        <v>151</v>
      </c>
      <c r="AA3"/>
      <c r="AC3"/>
      <c r="AD3"/>
      <c r="AE3"/>
      <c r="AF3"/>
      <c r="AN3" s="191" t="s">
        <v>269</v>
      </c>
      <c r="AO3" s="190">
        <v>0.02</v>
      </c>
      <c r="AP3" s="165"/>
      <c r="AQ3" s="165"/>
      <c r="AR3"/>
      <c r="AT3" s="192" t="s">
        <v>282</v>
      </c>
      <c r="AU3" s="193" t="s">
        <v>284</v>
      </c>
      <c r="AV3"/>
      <c r="AW3" s="210">
        <v>0</v>
      </c>
    </row>
    <row r="4" spans="2:62" ht="17.25" customHeight="1" thickBot="1" x14ac:dyDescent="0.25">
      <c r="D4" s="68"/>
      <c r="E4" s="68"/>
      <c r="F4" s="68"/>
      <c r="G4" s="68"/>
      <c r="H4" s="68"/>
      <c r="K4" s="64"/>
      <c r="L4" s="64"/>
      <c r="O4" s="82"/>
      <c r="AA4"/>
      <c r="AC4"/>
      <c r="AD4"/>
      <c r="AE4"/>
      <c r="AF4"/>
      <c r="AN4" s="573" t="s">
        <v>280</v>
      </c>
      <c r="AO4" s="574"/>
      <c r="AP4" s="574"/>
      <c r="AQ4" s="574"/>
      <c r="AR4"/>
      <c r="AT4" s="194">
        <v>1</v>
      </c>
      <c r="AU4" s="219">
        <f>IF(AND(Input!$C$28="Single"),$AO$3,INDEX($AO$7:$AQ$36,MATCH(AT4,$AN$7:$AN$36,1),MATCH(pr,$AO$6:$AQ$6,1)))</f>
        <v>0.03</v>
      </c>
      <c r="AV4"/>
      <c r="AY4" s="145" t="s">
        <v>164</v>
      </c>
      <c r="BB4" s="64">
        <v>5</v>
      </c>
      <c r="BE4" s="127" t="s">
        <v>165</v>
      </c>
      <c r="BJ4" s="64">
        <f>pt-5</f>
        <v>10</v>
      </c>
    </row>
    <row r="5" spans="2:62" ht="17.25" customHeight="1" thickBot="1" x14ac:dyDescent="0.25">
      <c r="B5" s="567" t="s">
        <v>102</v>
      </c>
      <c r="C5" s="568"/>
      <c r="D5" s="68"/>
      <c r="E5" s="68"/>
      <c r="F5" s="569" t="s">
        <v>96</v>
      </c>
      <c r="G5" s="569"/>
      <c r="H5" s="569"/>
      <c r="J5"/>
      <c r="K5"/>
      <c r="L5"/>
      <c r="M5"/>
      <c r="N5" s="61"/>
      <c r="O5" s="141" t="s">
        <v>103</v>
      </c>
      <c r="P5" s="142"/>
      <c r="Q5" s="143"/>
      <c r="T5" s="581" t="s">
        <v>128</v>
      </c>
      <c r="U5" s="582"/>
      <c r="Y5" s="124" t="s">
        <v>152</v>
      </c>
      <c r="Z5" s="156">
        <v>10000</v>
      </c>
      <c r="AA5"/>
      <c r="AC5"/>
      <c r="AD5"/>
      <c r="AE5"/>
      <c r="AF5"/>
      <c r="AN5" s="165"/>
      <c r="AO5" s="575" t="s">
        <v>281</v>
      </c>
      <c r="AP5" s="576"/>
      <c r="AQ5" s="576"/>
      <c r="AR5"/>
      <c r="AT5" s="194">
        <v>2</v>
      </c>
      <c r="AU5" s="231">
        <f>IF(AND(Input!$C$28="Single"),$AO$3,INDEX($AO$7:$AQ$36,MATCH(AT5,$AN$7:$AN$36,1),MATCH(pr,$AO$6:$AQ$6,1)))</f>
        <v>0.01</v>
      </c>
      <c r="AV5"/>
      <c r="AY5" s="127" t="s">
        <v>166</v>
      </c>
      <c r="BB5" s="64">
        <v>18</v>
      </c>
      <c r="BE5" s="127" t="s">
        <v>167</v>
      </c>
    </row>
    <row r="6" spans="2:62" ht="26.25" thickBot="1" x14ac:dyDescent="0.25">
      <c r="B6" s="98" t="s">
        <v>13</v>
      </c>
      <c r="C6" s="159" t="s">
        <v>95</v>
      </c>
      <c r="E6" s="70"/>
      <c r="F6" s="124" t="s">
        <v>17</v>
      </c>
      <c r="G6" s="124" t="s">
        <v>63</v>
      </c>
      <c r="H6" s="124" t="s">
        <v>64</v>
      </c>
      <c r="J6"/>
      <c r="K6"/>
      <c r="L6"/>
      <c r="M6"/>
      <c r="N6" s="61"/>
      <c r="O6" s="188" t="s">
        <v>104</v>
      </c>
      <c r="P6" s="154" t="s">
        <v>277</v>
      </c>
      <c r="Q6" s="154" t="s">
        <v>94</v>
      </c>
      <c r="T6" s="133">
        <v>1</v>
      </c>
      <c r="U6" s="218">
        <f>IF(AND(Input!$C$28="Single",pr&lt;1000000),IF(Input!$C$13="Online",$W$68,$W$53),IF(AND(Input!$C$28="Single",pr&gt;=1000000),IF(Input!$C$13="Online",$X$68,$X$53),INDEX(IF(Input!$C$13="Online",Alloc_Table_RP_LP_On,Alloc_Table_RP_LP_Off),MATCH(T6,$T$57:$T$67,1),MATCH(pr,$U$56:$Y$56,1))))</f>
        <v>0.94499999999999995</v>
      </c>
      <c r="Y6" s="124" t="s">
        <v>153</v>
      </c>
      <c r="Z6" s="156" t="s">
        <v>151</v>
      </c>
      <c r="AA6"/>
      <c r="AC6"/>
      <c r="AD6"/>
      <c r="AE6"/>
      <c r="AF6"/>
      <c r="AN6" s="166" t="s">
        <v>282</v>
      </c>
      <c r="AO6" s="170">
        <v>0</v>
      </c>
      <c r="AP6" s="170">
        <v>200000</v>
      </c>
      <c r="AQ6" s="170">
        <v>1000000</v>
      </c>
      <c r="AR6"/>
      <c r="AT6" s="194">
        <v>3</v>
      </c>
      <c r="AU6" s="231">
        <f>IF(AND(Input!$C$28="Single"),$AO$3,INDEX($AO$7:$AQ$36,MATCH(AT6,$AN$7:$AN$36,1),MATCH(pr,$AO$6:$AQ$6,1)))</f>
        <v>0.01</v>
      </c>
      <c r="AV6"/>
      <c r="AY6" s="127" t="s">
        <v>168</v>
      </c>
      <c r="BB6" s="64">
        <f>IF(Input!C28="Single",1/5*pr,2*pr)</f>
        <v>600000</v>
      </c>
    </row>
    <row r="7" spans="2:62" ht="13.5" customHeight="1" thickBot="1" x14ac:dyDescent="0.25">
      <c r="B7" s="97">
        <v>1</v>
      </c>
      <c r="C7" s="158">
        <v>1.5E-3</v>
      </c>
      <c r="D7" s="157"/>
      <c r="F7" s="206">
        <v>2</v>
      </c>
      <c r="G7" s="220">
        <f t="shared" ref="G7:G38" si="0">V80</f>
        <v>0.8921</v>
      </c>
      <c r="H7" s="220">
        <f t="shared" ref="H7:H38" si="1">W80</f>
        <v>0.8921</v>
      </c>
      <c r="J7"/>
      <c r="K7"/>
      <c r="L7"/>
      <c r="M7"/>
      <c r="N7" s="61"/>
      <c r="O7" s="104">
        <v>1</v>
      </c>
      <c r="P7" s="186">
        <f>IF(Input!$C$28="Single",INDEX($P$54:$Q$58,MATCH(O7,$O$54:$O$58,1),MATCH(pr,$P$53:$Q$53,1)),INDEX($P$40:$Q$44,MATCH(O7,$O$40:$O$44,1),MATCH(pr,$P$39:$Q$39,1)))</f>
        <v>0.06</v>
      </c>
      <c r="Q7" s="189">
        <f>IF(Input!$C$28="Single",INDEX($P$61:$Q$65,MATCH(O7,$O$61:$O$65,1),MATCH(pr,$P$60:$Q$60,1)),INDEX($P$47:$Q$51,MATCH(O7,$O$47:$O$51,1),MATCH(pr,$P$46:$Q$46,1)))</f>
        <v>6000</v>
      </c>
      <c r="T7" s="72">
        <v>2</v>
      </c>
      <c r="U7" s="217">
        <f>IF(Input!$C$28="Single",100%,INDEX(IF(Input!$C$13="Online",Alloc_Table_RP_LP_On,Alloc_Table_RP_LP_Off),MATCH(T7,$T$57:$T$67,1),MATCH(pr,$U$56:$Y$56,1)))</f>
        <v>0.95</v>
      </c>
      <c r="AA7"/>
      <c r="AC7"/>
      <c r="AD7"/>
      <c r="AE7"/>
      <c r="AF7"/>
      <c r="AN7" s="166">
        <v>1</v>
      </c>
      <c r="AO7" s="190">
        <v>0.04</v>
      </c>
      <c r="AP7" s="190">
        <v>0.03</v>
      </c>
      <c r="AQ7" s="190">
        <v>0.02</v>
      </c>
      <c r="AR7"/>
      <c r="AT7" s="194">
        <v>4</v>
      </c>
      <c r="AU7" s="231">
        <f>IF(AND(Input!$C$28="Single"),$AO$3,INDEX($AO$7:$AQ$36,MATCH(AT7,$AN$7:$AN$36,1),MATCH(pr,$AO$6:$AQ$6,1)))</f>
        <v>0.01</v>
      </c>
      <c r="AV7"/>
      <c r="AY7" s="241" t="s">
        <v>169</v>
      </c>
      <c r="AZ7" s="242"/>
      <c r="BA7" s="242"/>
      <c r="BB7" s="242">
        <v>58</v>
      </c>
      <c r="BE7" s="144" t="s">
        <v>170</v>
      </c>
    </row>
    <row r="8" spans="2:62" ht="15.75" thickBot="1" x14ac:dyDescent="0.25">
      <c r="B8" s="66">
        <v>2</v>
      </c>
      <c r="C8" s="158">
        <v>1.5E-3</v>
      </c>
      <c r="D8" s="68"/>
      <c r="F8" s="206">
        <v>3</v>
      </c>
      <c r="G8" s="220">
        <f t="shared" si="0"/>
        <v>0.45829999999999999</v>
      </c>
      <c r="H8" s="220">
        <f t="shared" si="1"/>
        <v>0.8921</v>
      </c>
      <c r="J8"/>
      <c r="K8"/>
      <c r="L8"/>
      <c r="M8"/>
      <c r="N8" s="61"/>
      <c r="O8" s="105">
        <v>2</v>
      </c>
      <c r="P8" s="187">
        <f>IF(Input!$C$28="Single",INDEX($P$54:$Q$58,MATCH(O8,$O$54:$O$58,1),MATCH(pr,$P$53:$Q$53,1)),INDEX($P$40:$Q$44,MATCH(O8,$O$40:$O$44,1),MATCH(pr,$P$39:$Q$39,1)))</f>
        <v>0.04</v>
      </c>
      <c r="Q8" s="103">
        <f>IF(Input!$C$28="Single",INDEX($P$61:$Q$65,MATCH(O8,$O$61:$O$65,1),MATCH(pr,$P$60:$Q$60,1)),INDEX($P$47:$Q$51,MATCH(O8,$O$47:$O$51,1),MATCH(pr,$P$46:$Q$46,1)))</f>
        <v>5000</v>
      </c>
      <c r="T8" s="72">
        <v>3</v>
      </c>
      <c r="U8" s="217">
        <f>IF(Input!$C$28="Single",100%,INDEX(IF(Input!$C$13="Online",Alloc_Table_RP_LP_On,Alloc_Table_RP_LP_Off),MATCH(T8,$T$57:$T$67,1),MATCH(pr,$U$56:$Y$56,1)))</f>
        <v>0.96499999999999997</v>
      </c>
      <c r="Y8" s="130" t="s">
        <v>132</v>
      </c>
      <c r="Z8" s="131">
        <f>IF(option="Single",1.25,7)</f>
        <v>7</v>
      </c>
      <c r="AA8"/>
      <c r="AC8"/>
      <c r="AD8"/>
      <c r="AE8"/>
      <c r="AF8"/>
      <c r="AN8" s="168">
        <v>2</v>
      </c>
      <c r="AO8" s="190">
        <v>0.01</v>
      </c>
      <c r="AP8" s="190">
        <v>0.01</v>
      </c>
      <c r="AQ8" s="190">
        <v>0.01</v>
      </c>
      <c r="AR8"/>
      <c r="AT8" s="194">
        <v>5</v>
      </c>
      <c r="AU8" s="231">
        <f>IF(AND(Input!$C$28="Single"),$AO$3,INDEX($AO$7:$AQ$36,MATCH(AT8,$AN$7:$AN$36,1),MATCH(pr,$AO$6:$AQ$6,1)))</f>
        <v>0.01</v>
      </c>
      <c r="AV8"/>
      <c r="AY8" s="127" t="s">
        <v>312</v>
      </c>
      <c r="BB8" s="64">
        <v>5000</v>
      </c>
    </row>
    <row r="9" spans="2:62" ht="15.75" thickBot="1" x14ac:dyDescent="0.25">
      <c r="B9" s="66">
        <v>3</v>
      </c>
      <c r="C9" s="158">
        <v>1.5E-3</v>
      </c>
      <c r="D9" s="68"/>
      <c r="E9" s="70"/>
      <c r="F9" s="206">
        <v>4</v>
      </c>
      <c r="G9" s="220">
        <f t="shared" si="0"/>
        <v>0.26419999999999999</v>
      </c>
      <c r="H9" s="220">
        <f t="shared" si="1"/>
        <v>0.8921</v>
      </c>
      <c r="J9"/>
      <c r="K9"/>
      <c r="L9"/>
      <c r="M9"/>
      <c r="N9" s="61"/>
      <c r="O9" s="105">
        <v>3</v>
      </c>
      <c r="P9" s="187">
        <f>IF(Input!$C$28="Single",INDEX($P$54:$Q$58,MATCH(O9,$O$54:$O$58,1),MATCH(pr,$P$53:$Q$53,1)),INDEX($P$40:$Q$44,MATCH(O9,$O$40:$O$44,1),MATCH(pr,$P$39:$Q$39,1)))</f>
        <v>0.03</v>
      </c>
      <c r="Q9" s="103">
        <f>IF(Input!$C$28="Single",INDEX($P$61:$Q$65,MATCH(O9,$O$61:$O$65,1),MATCH(pr,$P$60:$Q$60,1)),INDEX($P$47:$Q$51,MATCH(O9,$O$47:$O$51,1),MATCH(pr,$P$46:$Q$46,1)))</f>
        <v>4000</v>
      </c>
      <c r="T9" s="72">
        <v>4</v>
      </c>
      <c r="U9" s="217">
        <f>IF(Input!$C$28="Single",100%,INDEX(IF(Input!$C$13="Online",Alloc_Table_RP_LP_On,Alloc_Table_RP_LP_Off),MATCH(T9,$T$57:$T$67,1),MATCH(pr,$U$56:$Y$56,1)))</f>
        <v>0.96499999999999997</v>
      </c>
      <c r="Y9" s="132" t="s">
        <v>133</v>
      </c>
      <c r="Z9" s="131">
        <f ca="1">IF(AND(age&gt;35,option="Single"),1.25,10)</f>
        <v>10</v>
      </c>
      <c r="AA9"/>
      <c r="AC9"/>
      <c r="AD9"/>
      <c r="AE9"/>
      <c r="AF9"/>
      <c r="AN9" s="168">
        <v>3</v>
      </c>
      <c r="AO9" s="190">
        <v>0.01</v>
      </c>
      <c r="AP9" s="190">
        <v>0.01</v>
      </c>
      <c r="AQ9" s="190">
        <v>0.01</v>
      </c>
      <c r="AR9"/>
      <c r="AT9" s="194">
        <v>6</v>
      </c>
      <c r="AU9" s="231">
        <f>IF(AND(Input!$C$28="Single"),$AO$3,INDEX($AO$7:$AQ$36,MATCH(AT9,$AN$7:$AN$36,1),MATCH(pr,$AO$6:$AQ$6,1)))</f>
        <v>0.01</v>
      </c>
      <c r="AV9"/>
      <c r="BE9" s="127" t="s">
        <v>171</v>
      </c>
    </row>
    <row r="10" spans="2:62" ht="15.75" thickBot="1" x14ac:dyDescent="0.25">
      <c r="B10" s="66">
        <v>4</v>
      </c>
      <c r="C10" s="158">
        <v>1.5E-3</v>
      </c>
      <c r="D10" s="68"/>
      <c r="F10" s="206">
        <v>5</v>
      </c>
      <c r="G10" s="220">
        <f t="shared" si="0"/>
        <v>0.1804</v>
      </c>
      <c r="H10" s="220">
        <f t="shared" si="1"/>
        <v>0.45829999999999999</v>
      </c>
      <c r="J10"/>
      <c r="K10"/>
      <c r="L10"/>
      <c r="M10"/>
      <c r="N10" s="61"/>
      <c r="O10" s="105">
        <v>4</v>
      </c>
      <c r="P10" s="187">
        <f>IF(Input!$C$28="Single",INDEX($P$54:$Q$58,MATCH(O10,$O$54:$O$58,1),MATCH(pr,$P$53:$Q$53,1)),INDEX($P$40:$Q$44,MATCH(O10,$O$40:$O$44,1),MATCH(pr,$P$39:$Q$39,1)))</f>
        <v>0.02</v>
      </c>
      <c r="Q10" s="103">
        <f>IF(Input!$C$28="Single",INDEX($P$61:$Q$65,MATCH(O10,$O$61:$O$65,1),MATCH(pr,$P$60:$Q$60,1)),INDEX($P$47:$Q$51,MATCH(O10,$O$47:$O$51,1),MATCH(pr,$P$46:$Q$46,1)))</f>
        <v>2000</v>
      </c>
      <c r="T10" s="72">
        <v>5</v>
      </c>
      <c r="U10" s="217">
        <f>IF(Input!$C$28="Single",100%,INDEX(IF(Input!$C$13="Online",Alloc_Table_RP_LP_On,Alloc_Table_RP_LP_Off),MATCH(T10,$T$57:$T$67,1),MATCH(pr,$U$56:$Y$56,1)))</f>
        <v>0.97</v>
      </c>
      <c r="AA10"/>
      <c r="AC10"/>
      <c r="AD10"/>
      <c r="AE10"/>
      <c r="AF10"/>
      <c r="AN10" s="168">
        <v>4</v>
      </c>
      <c r="AO10" s="190">
        <v>0.01</v>
      </c>
      <c r="AP10" s="190">
        <v>0.01</v>
      </c>
      <c r="AQ10" s="190">
        <v>0.01</v>
      </c>
      <c r="AR10"/>
      <c r="AT10" s="194">
        <v>7</v>
      </c>
      <c r="AU10" s="231">
        <f>IF(AND(Input!$C$28="Single"),$AO$3,INDEX($AO$7:$AQ$36,MATCH(AT10,$AN$7:$AN$36,1),MATCH(pr,$AO$6:$AQ$6,1)))</f>
        <v>5.0000000000000001E-3</v>
      </c>
      <c r="AV10"/>
      <c r="AY10" s="144" t="s">
        <v>106</v>
      </c>
    </row>
    <row r="11" spans="2:62" ht="15.75" thickBot="1" x14ac:dyDescent="0.25">
      <c r="B11" s="102">
        <v>5</v>
      </c>
      <c r="C11" s="158">
        <v>1.5E-3</v>
      </c>
      <c r="D11" s="68"/>
      <c r="F11" s="206">
        <v>6</v>
      </c>
      <c r="G11" s="220">
        <f t="shared" si="0"/>
        <v>0.1482</v>
      </c>
      <c r="H11" s="220">
        <f t="shared" si="1"/>
        <v>0.26419999999999999</v>
      </c>
      <c r="J11"/>
      <c r="K11"/>
      <c r="L11"/>
      <c r="M11"/>
      <c r="N11" s="60"/>
      <c r="O11" s="163" t="s">
        <v>65</v>
      </c>
      <c r="P11" s="570">
        <v>0</v>
      </c>
      <c r="Q11" s="571"/>
      <c r="T11" s="72">
        <v>6</v>
      </c>
      <c r="U11" s="217">
        <f>IF(Input!$C$28="Single",100%,INDEX(IF(Input!$C$13="Online",Alloc_Table_RP_LP_On,Alloc_Table_RP_LP_Off),MATCH(T11,$T$57:$T$67,1),MATCH(pr,$U$56:$Y$56,1)))</f>
        <v>0.98</v>
      </c>
      <c r="Y11" s="130" t="s">
        <v>154</v>
      </c>
      <c r="Z11" s="131">
        <f>+Z8*pr</f>
        <v>2100000</v>
      </c>
      <c r="AA11"/>
      <c r="AC11"/>
      <c r="AD11"/>
      <c r="AE11"/>
      <c r="AF11"/>
      <c r="AN11" s="168">
        <v>5</v>
      </c>
      <c r="AO11" s="190">
        <v>0.01</v>
      </c>
      <c r="AP11" s="190">
        <v>0.01</v>
      </c>
      <c r="AQ11" s="190">
        <v>0.01</v>
      </c>
      <c r="AR11"/>
      <c r="AT11" s="194">
        <v>8</v>
      </c>
      <c r="AU11" s="231">
        <f>IF(AND(Input!$C$28="Single"),$AO$3,INDEX($AO$7:$AQ$36,MATCH(AT11,$AN$7:$AN$36,1),MATCH(pr,$AO$6:$AQ$6,1)))</f>
        <v>5.0000000000000001E-3</v>
      </c>
      <c r="AV11"/>
    </row>
    <row r="12" spans="2:62" ht="15.75" thickBot="1" x14ac:dyDescent="0.25">
      <c r="B12" s="139">
        <v>6</v>
      </c>
      <c r="C12" s="160">
        <v>3.5000000000000001E-3</v>
      </c>
      <c r="D12" s="68"/>
      <c r="F12" s="206">
        <v>7</v>
      </c>
      <c r="G12" s="220">
        <f t="shared" si="0"/>
        <v>0.14530000000000001</v>
      </c>
      <c r="H12" s="220">
        <f t="shared" si="1"/>
        <v>0.1804</v>
      </c>
      <c r="J12"/>
      <c r="K12"/>
      <c r="L12"/>
      <c r="M12"/>
      <c r="N12" s="91"/>
      <c r="O12" s="91"/>
      <c r="T12" s="72">
        <v>7</v>
      </c>
      <c r="U12" s="217">
        <f>IF(Input!$C$28="Single",100%,INDEX(IF(Input!$C$13="Online",Alloc_Table_RP_LP_On,Alloc_Table_RP_LP_Off),MATCH(T12,$T$57:$T$67,1),MATCH(pr,$U$56:$Y$56,1)))</f>
        <v>0.98</v>
      </c>
      <c r="Y12" s="132" t="s">
        <v>123</v>
      </c>
      <c r="Z12" s="65">
        <f ca="1">+Z9*pr</f>
        <v>3000000</v>
      </c>
      <c r="AA12"/>
      <c r="AC12"/>
      <c r="AD12"/>
      <c r="AE12"/>
      <c r="AF12"/>
      <c r="AN12" s="168">
        <v>6</v>
      </c>
      <c r="AO12" s="190">
        <v>0.01</v>
      </c>
      <c r="AP12" s="190">
        <v>0.01</v>
      </c>
      <c r="AQ12" s="190">
        <v>5.0000000000000001E-3</v>
      </c>
      <c r="AR12"/>
      <c r="AT12" s="194">
        <v>9</v>
      </c>
      <c r="AU12" s="231">
        <f>IF(AND(Input!$C$28="Single"),$AO$3,INDEX($AO$7:$AQ$36,MATCH(AT12,$AN$7:$AN$36,1),MATCH(pr,$AO$6:$AQ$6,1)))</f>
        <v>5.0000000000000001E-3</v>
      </c>
      <c r="AV12"/>
      <c r="AY12" s="145" t="s">
        <v>164</v>
      </c>
      <c r="BB12" s="64">
        <v>5</v>
      </c>
    </row>
    <row r="13" spans="2:62" ht="15.75" thickBot="1" x14ac:dyDescent="0.25">
      <c r="B13" s="96" t="s">
        <v>127</v>
      </c>
      <c r="C13" s="118">
        <f>IF(Input!$C$28="Single",200,500)</f>
        <v>500</v>
      </c>
      <c r="D13" s="68"/>
      <c r="F13" s="206">
        <v>8</v>
      </c>
      <c r="G13" s="220">
        <f t="shared" si="0"/>
        <v>0.1628</v>
      </c>
      <c r="H13" s="220">
        <f t="shared" si="1"/>
        <v>0.1482</v>
      </c>
      <c r="J13"/>
      <c r="K13"/>
      <c r="L13"/>
      <c r="M13"/>
      <c r="N13" s="101"/>
      <c r="O13" s="101"/>
      <c r="T13" s="72">
        <v>8</v>
      </c>
      <c r="U13" s="217">
        <f>IF(Input!$C$28="Single",100%,INDEX(IF(Input!$C$13="Online",Alloc_Table_RP_LP_On,Alloc_Table_RP_LP_Off),MATCH(T13,$T$57:$T$67,1),MATCH(pr,$U$56:$Y$56,1)))</f>
        <v>0.98</v>
      </c>
      <c r="AA13"/>
      <c r="AC13"/>
      <c r="AD13"/>
      <c r="AE13"/>
      <c r="AF13"/>
      <c r="AN13" s="168">
        <v>7</v>
      </c>
      <c r="AO13" s="190">
        <v>5.0000000000000001E-3</v>
      </c>
      <c r="AP13" s="190">
        <v>5.0000000000000001E-3</v>
      </c>
      <c r="AQ13" s="190">
        <v>5.0000000000000001E-3</v>
      </c>
      <c r="AR13"/>
      <c r="AT13" s="194">
        <v>10</v>
      </c>
      <c r="AU13" s="231">
        <f>IF(AND(Input!$C$28="Single"),$AO$3,INDEX($AO$7:$AQ$36,MATCH(AT13,$AN$7:$AN$36,1),MATCH(pr,$AO$6:$AQ$6,1)))</f>
        <v>5.0000000000000001E-3</v>
      </c>
      <c r="AV13"/>
      <c r="AY13" s="127" t="s">
        <v>172</v>
      </c>
      <c r="BB13" s="64">
        <v>3</v>
      </c>
    </row>
    <row r="14" spans="2:62" ht="39" thickBot="1" x14ac:dyDescent="0.25">
      <c r="B14" s="134" t="s">
        <v>203</v>
      </c>
      <c r="C14" s="135">
        <v>0</v>
      </c>
      <c r="F14" s="206">
        <v>9</v>
      </c>
      <c r="G14" s="220">
        <f t="shared" si="0"/>
        <v>0.2009</v>
      </c>
      <c r="H14" s="220">
        <f t="shared" si="1"/>
        <v>0.14530000000000001</v>
      </c>
      <c r="J14"/>
      <c r="K14"/>
      <c r="L14"/>
      <c r="M14"/>
      <c r="O14" s="81"/>
      <c r="T14" s="72">
        <v>9</v>
      </c>
      <c r="U14" s="217">
        <f>IF(Input!$C$28="Single",100%,INDEX(IF(Input!$C$13="Online",Alloc_Table_RP_LP_On,Alloc_Table_RP_LP_Off),MATCH(T14,$T$57:$T$67,1),MATCH(pr,$U$56:$Y$56,1)))</f>
        <v>0.98</v>
      </c>
      <c r="Y14" s="130" t="s">
        <v>143</v>
      </c>
      <c r="Z14" s="131">
        <v>18</v>
      </c>
      <c r="AA14"/>
      <c r="AC14"/>
      <c r="AD14"/>
      <c r="AE14"/>
      <c r="AF14"/>
      <c r="AN14" s="168">
        <v>8</v>
      </c>
      <c r="AO14" s="190">
        <v>5.0000000000000001E-3</v>
      </c>
      <c r="AP14" s="190">
        <v>5.0000000000000001E-3</v>
      </c>
      <c r="AQ14" s="190">
        <v>5.0000000000000001E-3</v>
      </c>
      <c r="AR14"/>
      <c r="AT14" s="194">
        <v>11</v>
      </c>
      <c r="AU14" s="231">
        <f>IF(AND(Input!$C$28="Single"),$AO$3,INDEX($AO$7:$AQ$36,MATCH(AT14,$AN$7:$AN$36,1),MATCH(pr,$AO$6:$AQ$6,1)))</f>
        <v>0</v>
      </c>
      <c r="AV14"/>
      <c r="AY14" s="127" t="s">
        <v>173</v>
      </c>
      <c r="BB14" s="64">
        <v>500000</v>
      </c>
    </row>
    <row r="15" spans="2:62" ht="15.75" thickBot="1" x14ac:dyDescent="0.25">
      <c r="F15" s="206">
        <v>10</v>
      </c>
      <c r="G15" s="220">
        <f t="shared" si="0"/>
        <v>0.25840000000000002</v>
      </c>
      <c r="H15" s="220">
        <f t="shared" si="1"/>
        <v>0.1628</v>
      </c>
      <c r="J15"/>
      <c r="K15"/>
      <c r="L15"/>
      <c r="M15"/>
      <c r="O15"/>
      <c r="P15"/>
      <c r="Q15"/>
      <c r="R15"/>
      <c r="T15" s="72">
        <v>10</v>
      </c>
      <c r="U15" s="217">
        <f>IF(Input!$C$28="Single",100%,INDEX(IF(Input!$C$13="Online",Alloc_Table_RP_LP_On,Alloc_Table_RP_LP_Off),MATCH(T15,$T$57:$T$67,1),MATCH(pr,$U$56:$Y$56,1)))</f>
        <v>0.98</v>
      </c>
      <c r="Y15" s="132" t="s">
        <v>144</v>
      </c>
      <c r="Z15" s="131">
        <v>75</v>
      </c>
      <c r="AA15"/>
      <c r="AC15"/>
      <c r="AD15"/>
      <c r="AE15"/>
      <c r="AF15"/>
      <c r="AN15" s="168">
        <v>9</v>
      </c>
      <c r="AO15" s="190">
        <v>5.0000000000000001E-3</v>
      </c>
      <c r="AP15" s="190">
        <v>5.0000000000000001E-3</v>
      </c>
      <c r="AQ15" s="190">
        <v>5.0000000000000001E-3</v>
      </c>
      <c r="AR15"/>
      <c r="AT15" s="194">
        <v>12</v>
      </c>
      <c r="AU15" s="231">
        <f>IF(AND(Input!$C$28="Single"),$AO$3,INDEX($AO$7:$AQ$36,MATCH(AT15,$AN$7:$AN$36,1),MATCH(pr,$AO$6:$AQ$6,1)))</f>
        <v>0</v>
      </c>
      <c r="AV15"/>
      <c r="AY15" s="127" t="s">
        <v>174</v>
      </c>
      <c r="BB15" s="64">
        <v>3</v>
      </c>
    </row>
    <row r="16" spans="2:62" ht="13.5" customHeight="1" thickBot="1" x14ac:dyDescent="0.25">
      <c r="B16" s="583" t="s">
        <v>1</v>
      </c>
      <c r="C16" s="584"/>
      <c r="D16" s="585"/>
      <c r="F16" s="206">
        <v>11</v>
      </c>
      <c r="G16" s="220">
        <f t="shared" si="0"/>
        <v>0.33250000000000002</v>
      </c>
      <c r="H16" s="220">
        <f t="shared" si="1"/>
        <v>0.2009</v>
      </c>
      <c r="I16" s="60"/>
      <c r="J16"/>
      <c r="K16"/>
      <c r="L16"/>
      <c r="M16"/>
      <c r="O16"/>
      <c r="P16"/>
      <c r="Q16"/>
      <c r="R16"/>
      <c r="S16" s="68"/>
      <c r="T16" s="72">
        <v>11</v>
      </c>
      <c r="U16" s="217">
        <f>IF(Input!$C$28="Single",100%,INDEX(IF(Input!$C$13="Online",Alloc_Table_RP_LP_On,Alloc_Table_RP_LP_Off),MATCH(T16,$T$57:$T$67,1),MATCH(pr,$U$56:$Y$56,1)))</f>
        <v>1</v>
      </c>
      <c r="V16" s="68"/>
      <c r="W16" s="68"/>
      <c r="AA16"/>
      <c r="AC16"/>
      <c r="AD16"/>
      <c r="AE16"/>
      <c r="AF16"/>
      <c r="AN16" s="168">
        <v>10</v>
      </c>
      <c r="AO16" s="190">
        <v>5.0000000000000001E-3</v>
      </c>
      <c r="AP16" s="190">
        <v>5.0000000000000001E-3</v>
      </c>
      <c r="AQ16" s="190">
        <v>5.0000000000000001E-3</v>
      </c>
      <c r="AR16"/>
      <c r="AT16" s="194">
        <v>13</v>
      </c>
      <c r="AU16" s="231">
        <f>IF(AND(Input!$C$28="Single"),$AO$3,INDEX($AO$7:$AQ$36,MATCH(AT16,$AN$7:$AN$36,1),MATCH(pr,$AO$6:$AQ$6,1)))</f>
        <v>0</v>
      </c>
      <c r="AV16"/>
      <c r="AY16" s="127" t="s">
        <v>175</v>
      </c>
    </row>
    <row r="17" spans="2:54" ht="13.5" customHeight="1" x14ac:dyDescent="0.2">
      <c r="B17" s="97" t="s">
        <v>258</v>
      </c>
      <c r="C17" s="94">
        <v>1.35E-2</v>
      </c>
      <c r="D17" s="164">
        <v>0.125</v>
      </c>
      <c r="F17" s="206">
        <v>12</v>
      </c>
      <c r="G17" s="220">
        <f t="shared" si="0"/>
        <v>0.41830000000000001</v>
      </c>
      <c r="H17" s="220">
        <f t="shared" si="1"/>
        <v>0.25840000000000002</v>
      </c>
      <c r="I17" s="63"/>
      <c r="J17"/>
      <c r="K17"/>
      <c r="L17"/>
      <c r="M17"/>
      <c r="O17"/>
      <c r="P17"/>
      <c r="Q17"/>
      <c r="R17"/>
      <c r="S17" s="68"/>
      <c r="T17" s="72">
        <v>12</v>
      </c>
      <c r="U17" s="217">
        <f>IF(Input!$C$28="Single",100%,INDEX(IF(Input!$C$13="Online",Alloc_Table_RP_LP_On,Alloc_Table_RP_LP_Off),MATCH(T17,$T$57:$T$67,1),MATCH(pr,$U$56:$Y$56,1)))</f>
        <v>1</v>
      </c>
      <c r="V17" s="68"/>
      <c r="W17" s="68"/>
      <c r="Y17" s="130" t="s">
        <v>155</v>
      </c>
      <c r="Z17" s="131">
        <f>IF(option="Single",10,15)</f>
        <v>15</v>
      </c>
      <c r="AA17"/>
      <c r="AC17"/>
      <c r="AD17"/>
      <c r="AE17"/>
      <c r="AF17"/>
      <c r="AN17" s="168">
        <v>11</v>
      </c>
      <c r="AO17" s="190">
        <v>0</v>
      </c>
      <c r="AP17" s="190">
        <v>0</v>
      </c>
      <c r="AQ17" s="190">
        <v>0</v>
      </c>
      <c r="AR17"/>
      <c r="AT17" s="194">
        <v>14</v>
      </c>
      <c r="AU17" s="231">
        <f>IF(AND(Input!$C$28="Single"),$AO$3,INDEX($AO$7:$AQ$36,MATCH(AT17,$AN$7:$AN$36,1),MATCH(pr,$AO$6:$AQ$6,1)))</f>
        <v>0</v>
      </c>
      <c r="AV17"/>
      <c r="AY17" s="127" t="s">
        <v>176</v>
      </c>
    </row>
    <row r="18" spans="2:54" ht="17.25" customHeight="1" thickBot="1" x14ac:dyDescent="0.25">
      <c r="B18" s="66" t="s">
        <v>259</v>
      </c>
      <c r="C18" s="95">
        <v>1.35E-2</v>
      </c>
      <c r="D18" s="164">
        <v>0.125</v>
      </c>
      <c r="F18" s="206">
        <v>13</v>
      </c>
      <c r="G18" s="220">
        <f t="shared" si="0"/>
        <v>0.50900000000000001</v>
      </c>
      <c r="H18" s="220">
        <f t="shared" si="1"/>
        <v>0.33250000000000002</v>
      </c>
      <c r="I18" s="91"/>
      <c r="J18"/>
      <c r="K18"/>
      <c r="L18"/>
      <c r="M18"/>
      <c r="O18"/>
      <c r="P18"/>
      <c r="Q18"/>
      <c r="R18"/>
      <c r="S18" s="68"/>
      <c r="T18" s="72">
        <v>13</v>
      </c>
      <c r="U18" s="217">
        <f>IF(Input!$C$28="Single",100%,INDEX(IF(Input!$C$13="Online",Alloc_Table_RP_LP_On,Alloc_Table_RP_LP_Off),MATCH(T18,$T$57:$T$67,1),MATCH(pr,$U$56:$Y$56,1)))</f>
        <v>1</v>
      </c>
      <c r="V18" s="68"/>
      <c r="W18" s="68"/>
      <c r="Y18" s="132" t="s">
        <v>156</v>
      </c>
      <c r="Z18" s="65">
        <v>20</v>
      </c>
      <c r="AA18"/>
      <c r="AC18"/>
      <c r="AD18"/>
      <c r="AE18"/>
      <c r="AF18"/>
      <c r="AN18" s="168">
        <v>12</v>
      </c>
      <c r="AO18" s="190">
        <v>0</v>
      </c>
      <c r="AP18" s="190">
        <v>0</v>
      </c>
      <c r="AQ18" s="190">
        <v>0</v>
      </c>
      <c r="AR18"/>
      <c r="AT18" s="194">
        <v>15</v>
      </c>
      <c r="AU18" s="231">
        <f>IF(AND(Input!$C$28="Single"),$AO$3,INDEX($AO$7:$AQ$36,MATCH(AT18,$AN$7:$AN$36,1),MATCH(pr,$AO$6:$AQ$6,1)))</f>
        <v>0</v>
      </c>
      <c r="AV18"/>
      <c r="AY18" s="127" t="s">
        <v>177</v>
      </c>
    </row>
    <row r="19" spans="2:54" ht="15" x14ac:dyDescent="0.2">
      <c r="B19" s="66" t="s">
        <v>260</v>
      </c>
      <c r="C19" s="95">
        <v>1.35E-2</v>
      </c>
      <c r="D19" s="164">
        <v>0.125</v>
      </c>
      <c r="F19" s="206">
        <v>14</v>
      </c>
      <c r="G19" s="220">
        <f t="shared" si="0"/>
        <v>0.59870000000000001</v>
      </c>
      <c r="H19" s="220">
        <f t="shared" si="1"/>
        <v>0.41830000000000001</v>
      </c>
      <c r="I19" s="92"/>
      <c r="J19"/>
      <c r="K19"/>
      <c r="L19"/>
      <c r="M19"/>
      <c r="O19"/>
      <c r="P19"/>
      <c r="Q19"/>
      <c r="R19"/>
      <c r="T19" s="122">
        <v>14</v>
      </c>
      <c r="U19" s="217">
        <f>IF(Input!$C$28="Single",100%,INDEX(IF(Input!$C$13="Online",Alloc_Table_RP_LP_On,Alloc_Table_RP_LP_Off),MATCH(T19,$T$57:$T$67,1),MATCH(pr,$U$56:$Y$56,1)))</f>
        <v>1</v>
      </c>
      <c r="Y19"/>
      <c r="Z19"/>
      <c r="AA19"/>
      <c r="AN19" s="168">
        <v>13</v>
      </c>
      <c r="AO19" s="190">
        <v>0</v>
      </c>
      <c r="AP19" s="190">
        <v>0</v>
      </c>
      <c r="AQ19" s="190">
        <v>0</v>
      </c>
      <c r="AR19"/>
      <c r="AT19" s="194">
        <v>16</v>
      </c>
      <c r="AU19" s="231">
        <f>IF(AND(Input!$C$28="Single"),$AO$3,INDEX($AO$7:$AQ$36,MATCH(AT19,$AN$7:$AN$36,1),MATCH(pr,$AO$6:$AQ$6,1)))</f>
        <v>0</v>
      </c>
      <c r="AV19"/>
      <c r="AY19" s="146" t="s">
        <v>178</v>
      </c>
      <c r="BB19" s="64">
        <v>15000</v>
      </c>
    </row>
    <row r="20" spans="2:54" ht="15.75" thickBot="1" x14ac:dyDescent="0.25">
      <c r="B20" s="66" t="s">
        <v>261</v>
      </c>
      <c r="C20" s="95">
        <v>1.35E-2</v>
      </c>
      <c r="D20" s="164">
        <v>0.125</v>
      </c>
      <c r="F20" s="206">
        <v>15</v>
      </c>
      <c r="G20" s="220">
        <f t="shared" si="0"/>
        <v>0.68059999999999998</v>
      </c>
      <c r="H20" s="220">
        <f t="shared" si="1"/>
        <v>0.50900000000000001</v>
      </c>
      <c r="I20" s="92"/>
      <c r="J20"/>
      <c r="K20"/>
      <c r="L20"/>
      <c r="M20"/>
      <c r="O20"/>
      <c r="P20"/>
      <c r="Q20"/>
      <c r="R20"/>
      <c r="T20" s="122">
        <v>15</v>
      </c>
      <c r="U20" s="217">
        <f>IF(Input!$C$28="Single",100%,INDEX(IF(Input!$C$13="Online",Alloc_Table_RP_LP_On,Alloc_Table_RP_LP_Off),MATCH(T20,$T$57:$T$67,1),MATCH(pr,$U$56:$Y$56,1)))</f>
        <v>1</v>
      </c>
      <c r="Y20"/>
      <c r="Z20"/>
      <c r="AA20"/>
      <c r="AI20" s="59"/>
      <c r="AN20" s="168">
        <v>14</v>
      </c>
      <c r="AO20" s="190">
        <v>0</v>
      </c>
      <c r="AP20" s="190">
        <v>0</v>
      </c>
      <c r="AQ20" s="190">
        <v>0</v>
      </c>
      <c r="AR20"/>
      <c r="AT20" s="194">
        <v>17</v>
      </c>
      <c r="AU20" s="231">
        <f>IF(AND(Input!$C$28="Single"),$AO$3,INDEX($AO$7:$AQ$36,MATCH(AT20,$AN$7:$AN$36,1),MATCH(pr,$AO$6:$AQ$6,1)))</f>
        <v>0</v>
      </c>
      <c r="AV20"/>
      <c r="AY20" s="146" t="s">
        <v>179</v>
      </c>
    </row>
    <row r="21" spans="2:54" ht="15" x14ac:dyDescent="0.2">
      <c r="B21" s="66" t="s">
        <v>262</v>
      </c>
      <c r="C21" s="95">
        <v>1.35E-2</v>
      </c>
      <c r="D21" s="164">
        <v>0.125</v>
      </c>
      <c r="F21" s="206">
        <v>16</v>
      </c>
      <c r="G21" s="220">
        <f t="shared" si="0"/>
        <v>0.75080000000000002</v>
      </c>
      <c r="H21" s="220">
        <f t="shared" si="1"/>
        <v>0.59870000000000001</v>
      </c>
      <c r="I21" s="92"/>
      <c r="J21"/>
      <c r="K21"/>
      <c r="L21"/>
      <c r="M21"/>
      <c r="O21"/>
      <c r="P21"/>
      <c r="Q21"/>
      <c r="R21"/>
      <c r="T21" s="122">
        <v>16</v>
      </c>
      <c r="U21" s="217">
        <f>IF(Input!$C$28="Single",100%,INDEX(IF(Input!$C$13="Online",Alloc_Table_RP_LP_On,Alloc_Table_RP_LP_Off),MATCH(T21,$T$57:$T$67,1),MATCH(pr,$U$56:$Y$56,1)))</f>
        <v>1</v>
      </c>
      <c r="Y21" s="130" t="s">
        <v>159</v>
      </c>
      <c r="Z21" s="131">
        <v>2</v>
      </c>
      <c r="AA21"/>
      <c r="AN21" s="168">
        <v>15</v>
      </c>
      <c r="AO21" s="190">
        <v>0</v>
      </c>
      <c r="AP21" s="190">
        <v>0</v>
      </c>
      <c r="AQ21" s="190">
        <v>0</v>
      </c>
      <c r="AR21"/>
      <c r="AT21" s="194">
        <v>18</v>
      </c>
      <c r="AU21" s="231">
        <f>IF(AND(Input!$C$28="Single"),$AO$3,INDEX($AO$7:$AQ$36,MATCH(AT21,$AN$7:$AN$36,1),MATCH(pr,$AO$6:$AQ$6,1)))</f>
        <v>0</v>
      </c>
      <c r="AV21"/>
    </row>
    <row r="22" spans="2:54" ht="17.25" customHeight="1" thickBot="1" x14ac:dyDescent="0.25">
      <c r="B22" s="66" t="s">
        <v>263</v>
      </c>
      <c r="C22" s="95">
        <v>1.35E-2</v>
      </c>
      <c r="D22" s="164">
        <v>0.125</v>
      </c>
      <c r="F22" s="206">
        <v>17</v>
      </c>
      <c r="G22" s="220">
        <f t="shared" si="0"/>
        <v>0.80830000000000002</v>
      </c>
      <c r="H22" s="220">
        <f t="shared" si="1"/>
        <v>0.68059999999999998</v>
      </c>
      <c r="I22" s="92"/>
      <c r="J22"/>
      <c r="K22"/>
      <c r="L22"/>
      <c r="M22"/>
      <c r="O22"/>
      <c r="P22"/>
      <c r="Q22"/>
      <c r="R22"/>
      <c r="T22" s="72">
        <v>17</v>
      </c>
      <c r="U22" s="217">
        <f>IF(Input!$C$28="Single",100%,INDEX(IF(Input!$C$13="Online",Alloc_Table_RP_LP_On,Alloc_Table_RP_LP_Off),MATCH(T22,$T$57:$T$67,1),MATCH(pr,$U$56:$Y$56,1)))</f>
        <v>1</v>
      </c>
      <c r="Y22" s="132" t="s">
        <v>160</v>
      </c>
      <c r="Z22" s="65">
        <v>60</v>
      </c>
      <c r="AN22" s="168">
        <v>16</v>
      </c>
      <c r="AO22" s="190">
        <v>0</v>
      </c>
      <c r="AP22" s="190">
        <v>0</v>
      </c>
      <c r="AQ22" s="190">
        <v>0</v>
      </c>
      <c r="AR22"/>
      <c r="AT22" s="194">
        <v>19</v>
      </c>
      <c r="AU22" s="231">
        <f>IF(AND(Input!$C$28="Single"),$AO$3,INDEX($AO$7:$AQ$36,MATCH(AT22,$AN$7:$AN$36,1),MATCH(pr,$AO$6:$AQ$6,1)))</f>
        <v>0</v>
      </c>
      <c r="AV22"/>
    </row>
    <row r="23" spans="2:54" ht="17.25" customHeight="1" thickBot="1" x14ac:dyDescent="0.25">
      <c r="B23" s="66" t="s">
        <v>264</v>
      </c>
      <c r="C23" s="95">
        <v>1.35E-2</v>
      </c>
      <c r="D23" s="164">
        <v>0.125</v>
      </c>
      <c r="F23" s="206">
        <v>18</v>
      </c>
      <c r="G23" s="220">
        <f t="shared" si="0"/>
        <v>0.85219999999999996</v>
      </c>
      <c r="H23" s="220">
        <f t="shared" si="1"/>
        <v>0.75080000000000002</v>
      </c>
      <c r="I23" s="92"/>
      <c r="J23"/>
      <c r="K23"/>
      <c r="L23"/>
      <c r="M23"/>
      <c r="O23"/>
      <c r="P23"/>
      <c r="Q23"/>
      <c r="R23"/>
      <c r="T23" s="72">
        <v>18</v>
      </c>
      <c r="U23" s="217">
        <f>IF(Input!$C$28="Single",100%,INDEX(IF(Input!$C$13="Online",Alloc_Table_RP_LP_On,Alloc_Table_RP_LP_Off),MATCH(T23,$T$57:$T$67,1),MATCH(pr,$U$56:$Y$56,1)))</f>
        <v>1</v>
      </c>
      <c r="AN23" s="168">
        <v>17</v>
      </c>
      <c r="AO23" s="190">
        <v>0</v>
      </c>
      <c r="AP23" s="190">
        <v>0</v>
      </c>
      <c r="AQ23" s="190">
        <v>0</v>
      </c>
      <c r="AR23"/>
      <c r="AT23" s="194">
        <v>20</v>
      </c>
      <c r="AU23" s="231">
        <f>IF(AND(Input!$C$28="Single"),$AO$3,INDEX($AO$7:$AQ$36,MATCH(AT23,$AN$7:$AN$36,1),MATCH(pr,$AO$6:$AQ$6,1)))</f>
        <v>0</v>
      </c>
      <c r="AV23"/>
    </row>
    <row r="24" spans="2:54" ht="17.25" customHeight="1" x14ac:dyDescent="0.2">
      <c r="B24" s="66" t="s">
        <v>265</v>
      </c>
      <c r="C24" s="95">
        <v>1.35E-2</v>
      </c>
      <c r="D24" s="164">
        <v>0.125</v>
      </c>
      <c r="F24" s="206">
        <v>19</v>
      </c>
      <c r="G24" s="220">
        <f t="shared" si="0"/>
        <v>0.88239999999999996</v>
      </c>
      <c r="H24" s="220">
        <f t="shared" si="1"/>
        <v>0.80830000000000002</v>
      </c>
      <c r="I24" s="92"/>
      <c r="J24"/>
      <c r="K24"/>
      <c r="L24"/>
      <c r="M24"/>
      <c r="O24"/>
      <c r="P24"/>
      <c r="Q24"/>
      <c r="R24"/>
      <c r="T24" s="72">
        <v>19</v>
      </c>
      <c r="U24" s="217">
        <f>IF(Input!$C$28="Single",100%,INDEX(IF(Input!$C$13="Online",Alloc_Table_RP_LP_On,Alloc_Table_RP_LP_Off),MATCH(T24,$T$57:$T$67,1),MATCH(pr,$U$56:$Y$56,1)))</f>
        <v>1</v>
      </c>
      <c r="Y24" s="130" t="s">
        <v>234</v>
      </c>
      <c r="Z24" s="131">
        <f>IF(option="Single",1,IF(option="Limited",5,ppt))</f>
        <v>15</v>
      </c>
      <c r="AN24" s="168">
        <v>18</v>
      </c>
      <c r="AO24" s="190">
        <v>0</v>
      </c>
      <c r="AP24" s="190">
        <v>0</v>
      </c>
      <c r="AQ24" s="190">
        <v>0</v>
      </c>
      <c r="AR24"/>
      <c r="AT24" s="194">
        <v>21</v>
      </c>
      <c r="AU24" s="231">
        <f>IF(AND(Input!$C$28="Single"),$AO$3,INDEX($AO$7:$AQ$36,MATCH(AT24,$AN$7:$AN$36,1),MATCH(pr,$AO$6:$AQ$6,1)))</f>
        <v>0</v>
      </c>
      <c r="AV24"/>
    </row>
    <row r="25" spans="2:54" ht="15.75" thickBot="1" x14ac:dyDescent="0.25">
      <c r="B25" s="73"/>
      <c r="C25" s="74"/>
      <c r="D25" s="75"/>
      <c r="F25" s="206">
        <v>20</v>
      </c>
      <c r="G25" s="220">
        <f t="shared" si="0"/>
        <v>0.90090000000000003</v>
      </c>
      <c r="H25" s="220">
        <f t="shared" si="1"/>
        <v>0.85219999999999996</v>
      </c>
      <c r="I25" s="92"/>
      <c r="J25"/>
      <c r="K25"/>
      <c r="L25"/>
      <c r="M25"/>
      <c r="O25"/>
      <c r="P25"/>
      <c r="Q25"/>
      <c r="R25"/>
      <c r="T25" s="72">
        <v>20</v>
      </c>
      <c r="U25" s="217">
        <f>IF(Input!$C$28="Single",100%,INDEX(IF(Input!$C$13="Online",Alloc_Table_RP_LP_On,Alloc_Table_RP_LP_Off),MATCH(T25,$T$57:$T$67,1),MATCH(pr,$U$56:$Y$56,1)))</f>
        <v>1</v>
      </c>
      <c r="Y25" s="132" t="s">
        <v>235</v>
      </c>
      <c r="Z25" s="65">
        <v>20</v>
      </c>
      <c r="AN25" s="168">
        <v>19</v>
      </c>
      <c r="AO25" s="190">
        <v>0</v>
      </c>
      <c r="AP25" s="190">
        <v>0</v>
      </c>
      <c r="AQ25" s="190">
        <v>0</v>
      </c>
      <c r="AR25"/>
      <c r="AT25" s="194">
        <v>22</v>
      </c>
      <c r="AU25" s="231">
        <f>IF(AND(Input!$C$28="Single"),$AO$3,INDEX($AO$7:$AQ$36,MATCH(AT25,$AN$7:$AN$36,1),MATCH(pr,$AO$6:$AQ$6,1)))</f>
        <v>0</v>
      </c>
      <c r="AV25"/>
    </row>
    <row r="26" spans="2:54" ht="15.75" thickBot="1" x14ac:dyDescent="0.25">
      <c r="B26" s="100" t="s">
        <v>0</v>
      </c>
      <c r="C26" s="565">
        <f>SUMPRODUCT(C17:C24,D17:D24)</f>
        <v>1.35E-2</v>
      </c>
      <c r="D26" s="566"/>
      <c r="F26" s="206">
        <v>21</v>
      </c>
      <c r="G26" s="220">
        <f t="shared" si="0"/>
        <v>0.91069999999999995</v>
      </c>
      <c r="H26" s="220">
        <f t="shared" si="1"/>
        <v>0.88239999999999996</v>
      </c>
      <c r="I26" s="92"/>
      <c r="J26"/>
      <c r="K26"/>
      <c r="L26"/>
      <c r="M26"/>
      <c r="O26"/>
      <c r="P26"/>
      <c r="Q26"/>
      <c r="R26"/>
      <c r="T26" s="72">
        <v>21</v>
      </c>
      <c r="U26" s="217">
        <f>IF(Input!$C$28="Single",100%,INDEX(IF(Input!$C$13="Online",Alloc_Table_RP_LP_On,Alloc_Table_RP_LP_Off),MATCH(T26,$T$57:$T$67,1),MATCH(pr,$U$56:$Y$56,1)))</f>
        <v>1</v>
      </c>
      <c r="AN26" s="168">
        <v>20</v>
      </c>
      <c r="AO26" s="190">
        <v>0</v>
      </c>
      <c r="AP26" s="190">
        <v>0</v>
      </c>
      <c r="AQ26" s="190">
        <v>0</v>
      </c>
      <c r="AR26"/>
      <c r="AT26" s="194">
        <v>23</v>
      </c>
      <c r="AU26" s="231">
        <f>IF(AND(Input!$C$28="Single"),$AO$3,INDEX($AO$7:$AQ$36,MATCH(AT26,$AN$7:$AN$36,1),MATCH(pr,$AO$6:$AQ$6,1)))</f>
        <v>0</v>
      </c>
    </row>
    <row r="27" spans="2:54" ht="15.75" thickBot="1" x14ac:dyDescent="0.25">
      <c r="B27" s="68"/>
      <c r="C27" s="68"/>
      <c r="D27" s="68"/>
      <c r="F27" s="206">
        <v>22</v>
      </c>
      <c r="G27" s="220">
        <f t="shared" si="0"/>
        <v>0.91359999999999997</v>
      </c>
      <c r="H27" s="220">
        <f t="shared" si="1"/>
        <v>0.90090000000000003</v>
      </c>
      <c r="I27" s="92"/>
      <c r="J27"/>
      <c r="K27"/>
      <c r="L27"/>
      <c r="M27"/>
      <c r="O27"/>
      <c r="P27"/>
      <c r="Q27"/>
      <c r="R27"/>
      <c r="T27" s="72">
        <v>22</v>
      </c>
      <c r="U27" s="217">
        <f>IF(Input!$C$28="Single",100%,INDEX(IF(Input!$C$13="Online",Alloc_Table_RP_LP_On,Alloc_Table_RP_LP_Off),MATCH(T27,$T$57:$T$67,1),MATCH(pr,$U$56:$Y$56,1)))</f>
        <v>1</v>
      </c>
      <c r="Y27" s="130" t="s">
        <v>240</v>
      </c>
      <c r="Z27" s="65">
        <v>60</v>
      </c>
      <c r="AN27" s="168">
        <v>21</v>
      </c>
      <c r="AO27" s="190"/>
      <c r="AP27" s="190"/>
      <c r="AQ27" s="190"/>
      <c r="AR27"/>
      <c r="AT27" s="194">
        <v>24</v>
      </c>
      <c r="AU27" s="231">
        <f>IF(AND(Input!$C$28="Single"),$AO$3,INDEX($AO$7:$AQ$36,MATCH(AT27,$AN$7:$AN$36,1),MATCH(pr,$AO$6:$AQ$6,1)))</f>
        <v>0</v>
      </c>
    </row>
    <row r="28" spans="2:54" ht="15.75" thickBot="1" x14ac:dyDescent="0.25">
      <c r="B28" s="544" t="s">
        <v>299</v>
      </c>
      <c r="C28" s="545"/>
      <c r="F28" s="206">
        <v>23</v>
      </c>
      <c r="G28" s="220">
        <f t="shared" si="0"/>
        <v>0.91259999999999997</v>
      </c>
      <c r="H28" s="220">
        <f t="shared" si="1"/>
        <v>0.91069999999999995</v>
      </c>
      <c r="I28" s="92"/>
      <c r="J28"/>
      <c r="K28"/>
      <c r="L28"/>
      <c r="M28"/>
      <c r="O28"/>
      <c r="P28"/>
      <c r="Q28"/>
      <c r="R28"/>
      <c r="T28" s="72">
        <v>23</v>
      </c>
      <c r="U28" s="217">
        <f>IF(Input!$C$28="Single",100%,INDEX(IF(Input!$C$13="Online",Alloc_Table_RP_LP_On,Alloc_Table_RP_LP_Off),MATCH(T28,$T$57:$T$67,1),MATCH(pr,$U$56:$Y$56,1)))</f>
        <v>1</v>
      </c>
      <c r="Y28" s="132" t="s">
        <v>241</v>
      </c>
      <c r="Z28" s="65">
        <v>18</v>
      </c>
      <c r="AN28" s="168">
        <v>22</v>
      </c>
      <c r="AO28" s="190"/>
      <c r="AP28" s="190"/>
      <c r="AQ28" s="190"/>
      <c r="AR28"/>
      <c r="AT28" s="194">
        <v>25</v>
      </c>
      <c r="AU28" s="231">
        <f>IF(AND(Input!$C$28="Single"),$AO$3,INDEX($AO$7:$AQ$36,MATCH(AT28,$AN$7:$AN$36,1),MATCH(pr,$AO$6:$AQ$6,1)))</f>
        <v>0</v>
      </c>
    </row>
    <row r="29" spans="2:54" ht="15.75" thickBot="1" x14ac:dyDescent="0.25">
      <c r="B29" s="99" t="s">
        <v>298</v>
      </c>
      <c r="C29" s="93">
        <v>0.45</v>
      </c>
      <c r="D29" s="64" t="s">
        <v>20</v>
      </c>
      <c r="F29" s="206">
        <v>24</v>
      </c>
      <c r="G29" s="220">
        <f t="shared" si="0"/>
        <v>0.90969999999999995</v>
      </c>
      <c r="H29" s="220">
        <f t="shared" si="1"/>
        <v>0.91359999999999997</v>
      </c>
      <c r="I29" s="92"/>
      <c r="J29"/>
      <c r="K29"/>
      <c r="L29"/>
      <c r="M29"/>
      <c r="O29"/>
      <c r="P29"/>
      <c r="Q29"/>
      <c r="R29"/>
      <c r="T29" s="72">
        <v>24</v>
      </c>
      <c r="U29" s="217">
        <f>IF(Input!$C$28="Single",100%,INDEX(IF(Input!$C$13="Online",Alloc_Table_RP_LP_On,Alloc_Table_RP_LP_Off),MATCH(T29,$T$57:$T$67,1),MATCH(pr,$U$56:$Y$56,1)))</f>
        <v>1</v>
      </c>
      <c r="AN29" s="168">
        <v>23</v>
      </c>
      <c r="AO29" s="190"/>
      <c r="AP29" s="190"/>
      <c r="AQ29" s="190"/>
      <c r="AR29"/>
      <c r="AT29" s="194">
        <v>26</v>
      </c>
      <c r="AU29" s="231">
        <f>IF(AND(Input!$C$28="Single"),$AO$3,INDEX($AO$7:$AQ$36,MATCH(AT29,$AN$7:$AN$36,1),MATCH(pr,$AO$6:$AQ$6,1)))</f>
        <v>0</v>
      </c>
    </row>
    <row r="30" spans="2:54" ht="15.75" thickBot="1" x14ac:dyDescent="0.25">
      <c r="B30" s="99" t="s">
        <v>351</v>
      </c>
      <c r="C30" s="93">
        <v>0.7</v>
      </c>
      <c r="D30" s="70"/>
      <c r="F30" s="206">
        <v>25</v>
      </c>
      <c r="G30" s="220">
        <f t="shared" si="0"/>
        <v>0.90769999999999995</v>
      </c>
      <c r="H30" s="220">
        <f t="shared" si="1"/>
        <v>0.91259999999999997</v>
      </c>
      <c r="I30" s="92"/>
      <c r="J30"/>
      <c r="K30"/>
      <c r="L30"/>
      <c r="M30"/>
      <c r="O30"/>
      <c r="P30"/>
      <c r="Q30"/>
      <c r="R30"/>
      <c r="T30" s="72">
        <v>25</v>
      </c>
      <c r="U30" s="217">
        <f>IF(Input!$C$28="Single",100%,INDEX(IF(Input!$C$13="Online",Alloc_Table_RP_LP_On,Alloc_Table_RP_LP_Off),MATCH(T30,$T$57:$T$67,1),MATCH(pr,$U$56:$Y$56,1)))</f>
        <v>1</v>
      </c>
      <c r="Y30" s="130" t="s">
        <v>303</v>
      </c>
      <c r="Z30" s="131">
        <v>50</v>
      </c>
      <c r="AN30" s="168">
        <v>24</v>
      </c>
      <c r="AO30" s="190"/>
      <c r="AP30" s="190"/>
      <c r="AQ30" s="190"/>
      <c r="AR30"/>
      <c r="AT30" s="194">
        <v>27</v>
      </c>
      <c r="AU30" s="231">
        <f>IF(AND(Input!$C$28="Single"),$AO$3,INDEX($AO$7:$AQ$36,MATCH(AT30,$AN$7:$AN$36,1),MATCH(pr,$AO$6:$AQ$6,1)))</f>
        <v>0</v>
      </c>
    </row>
    <row r="31" spans="2:54" ht="15.75" thickBot="1" x14ac:dyDescent="0.25">
      <c r="B31" s="99" t="s">
        <v>60</v>
      </c>
      <c r="C31" s="93">
        <f>1.25</f>
        <v>1.25</v>
      </c>
      <c r="D31" s="70"/>
      <c r="F31" s="206">
        <v>26</v>
      </c>
      <c r="G31" s="220">
        <f t="shared" si="0"/>
        <v>0.90769999999999995</v>
      </c>
      <c r="H31" s="220">
        <f t="shared" si="1"/>
        <v>0.90969999999999995</v>
      </c>
      <c r="I31" s="92"/>
      <c r="J31"/>
      <c r="K31"/>
      <c r="L31"/>
      <c r="M31"/>
      <c r="O31"/>
      <c r="P31"/>
      <c r="Q31"/>
      <c r="R31"/>
      <c r="T31" s="72">
        <v>26</v>
      </c>
      <c r="U31" s="217">
        <f>IF(Input!$C$28="Single",100%,INDEX(IF(Input!$C$13="Online",Alloc_Table_RP_LP_On,Alloc_Table_RP_LP_Off),MATCH(T31,$T$57:$T$67,1),MATCH(pr,$U$56:$Y$56,1)))</f>
        <v>1</v>
      </c>
      <c r="Y31" s="130" t="s">
        <v>304</v>
      </c>
      <c r="Z31" s="65">
        <v>21</v>
      </c>
      <c r="AN31" s="168">
        <v>25</v>
      </c>
      <c r="AO31" s="190"/>
      <c r="AP31" s="190"/>
      <c r="AQ31" s="190"/>
      <c r="AR31"/>
      <c r="AT31" s="194">
        <v>28</v>
      </c>
      <c r="AU31" s="231">
        <f>IF(AND(Input!$C$28="Single"),$AO$3,INDEX($AO$7:$AQ$36,MATCH(AT31,$AN$7:$AN$36,1),MATCH(pr,$AO$6:$AQ$6,1)))</f>
        <v>0</v>
      </c>
    </row>
    <row r="32" spans="2:54" ht="15" x14ac:dyDescent="0.2">
      <c r="B32" s="70"/>
      <c r="C32" s="70"/>
      <c r="D32" s="70"/>
      <c r="F32" s="206">
        <v>27</v>
      </c>
      <c r="G32" s="220">
        <f t="shared" si="0"/>
        <v>0.91069999999999995</v>
      </c>
      <c r="H32" s="220">
        <f t="shared" si="1"/>
        <v>0.90769999999999995</v>
      </c>
      <c r="I32" s="92"/>
      <c r="J32"/>
      <c r="K32"/>
      <c r="L32"/>
      <c r="M32"/>
      <c r="O32"/>
      <c r="P32"/>
      <c r="Q32"/>
      <c r="R32"/>
      <c r="T32" s="72">
        <v>27</v>
      </c>
      <c r="U32" s="217">
        <f>IF(Input!$C$28="Single",100%,INDEX(IF(Input!$C$13="Online",Alloc_Table_RP_LP_On,Alloc_Table_RP_LP_Off),MATCH(T32,$T$57:$T$67,1),MATCH(pr,$U$56:$Y$56,1)))</f>
        <v>1</v>
      </c>
      <c r="AN32" s="168">
        <v>26</v>
      </c>
      <c r="AO32" s="190"/>
      <c r="AP32" s="190"/>
      <c r="AQ32" s="190"/>
      <c r="AR32"/>
      <c r="AT32" s="194">
        <v>29</v>
      </c>
      <c r="AU32" s="231">
        <f>IF(AND(Input!$C$28="Single"),$AO$3,INDEX($AO$7:$AQ$36,MATCH(AT32,$AN$7:$AN$36,1),MATCH(pr,$AO$6:$AQ$6,1)))</f>
        <v>0</v>
      </c>
    </row>
    <row r="33" spans="1:55" ht="15.75" thickBot="1" x14ac:dyDescent="0.25">
      <c r="B33" s="68"/>
      <c r="C33" s="70"/>
      <c r="D33" s="70"/>
      <c r="F33" s="206">
        <v>28</v>
      </c>
      <c r="G33" s="220">
        <f t="shared" si="0"/>
        <v>0.91849999999999998</v>
      </c>
      <c r="H33" s="220">
        <f t="shared" si="1"/>
        <v>0.90769999999999995</v>
      </c>
      <c r="I33" s="92"/>
      <c r="J33"/>
      <c r="K33"/>
      <c r="L33"/>
      <c r="M33"/>
      <c r="O33"/>
      <c r="P33"/>
      <c r="Q33"/>
      <c r="R33"/>
      <c r="T33" s="72">
        <v>28</v>
      </c>
      <c r="U33" s="217">
        <f>IF(Input!$C$28="Single",100%,INDEX(IF(Input!$C$13="Online",Alloc_Table_RP_LP_On,Alloc_Table_RP_LP_Off),MATCH(T33,$T$57:$T$67,1),MATCH(pr,$U$56:$Y$56,1)))</f>
        <v>1</v>
      </c>
      <c r="AN33" s="168">
        <v>27</v>
      </c>
      <c r="AO33" s="190"/>
      <c r="AP33" s="190"/>
      <c r="AQ33" s="190"/>
      <c r="AR33"/>
      <c r="AT33" s="195">
        <v>30</v>
      </c>
      <c r="AU33" s="231">
        <f>IF(AND(Input!$C$28="Single"),$AO$3,INDEX($AO$7:$AQ$36,MATCH(AT33,$AN$7:$AN$36,1),MATCH(pr,$AO$6:$AQ$6,1)))</f>
        <v>0</v>
      </c>
    </row>
    <row r="34" spans="1:55" ht="15" x14ac:dyDescent="0.2">
      <c r="B34"/>
      <c r="C34"/>
      <c r="D34" s="70"/>
      <c r="F34" s="206">
        <v>29</v>
      </c>
      <c r="G34" s="220">
        <f t="shared" si="0"/>
        <v>0.93210000000000004</v>
      </c>
      <c r="H34" s="220">
        <f t="shared" si="1"/>
        <v>0.91069999999999995</v>
      </c>
      <c r="I34" s="92"/>
      <c r="J34"/>
      <c r="K34"/>
      <c r="L34"/>
      <c r="M34"/>
      <c r="O34"/>
      <c r="P34"/>
      <c r="Q34"/>
      <c r="R34"/>
      <c r="T34" s="72">
        <v>29</v>
      </c>
      <c r="U34" s="217">
        <f>IF(Input!$C$28="Single",100%,INDEX(IF(Input!$C$13="Online",Alloc_Table_RP_LP_On,Alloc_Table_RP_LP_Off),MATCH(T34,$T$57:$T$67,1),MATCH(pr,$U$56:$Y$56,1)))</f>
        <v>1</v>
      </c>
      <c r="AN34" s="168">
        <v>28</v>
      </c>
      <c r="AO34" s="190"/>
      <c r="AP34" s="190"/>
      <c r="AQ34" s="190"/>
      <c r="AR34"/>
    </row>
    <row r="35" spans="1:55" ht="15.75" thickBot="1" x14ac:dyDescent="0.25">
      <c r="F35" s="206">
        <v>30</v>
      </c>
      <c r="G35" s="220">
        <f t="shared" si="0"/>
        <v>0.9526</v>
      </c>
      <c r="H35" s="220">
        <f t="shared" si="1"/>
        <v>0.91849999999999998</v>
      </c>
      <c r="I35" s="83"/>
      <c r="J35"/>
      <c r="K35"/>
      <c r="L35"/>
      <c r="M35"/>
      <c r="O35"/>
      <c r="P35"/>
      <c r="Q35"/>
      <c r="R35"/>
      <c r="T35" s="123">
        <v>30</v>
      </c>
      <c r="U35" s="217">
        <f>IF(Input!$C$28="Single",100%,INDEX(IF(Input!$C$13="Online",Alloc_Table_RP_LP_On,Alloc_Table_RP_LP_Off),MATCH(T35,$T$57:$T$67,1),MATCH(pr,$U$56:$Y$56,1)))</f>
        <v>1</v>
      </c>
      <c r="AN35" s="168">
        <v>29</v>
      </c>
      <c r="AO35" s="190"/>
      <c r="AP35" s="190"/>
      <c r="AQ35" s="190"/>
      <c r="AR35"/>
    </row>
    <row r="36" spans="1:55" ht="13.5" customHeight="1" thickBot="1" x14ac:dyDescent="0.25">
      <c r="F36" s="206">
        <v>31</v>
      </c>
      <c r="G36" s="220">
        <f t="shared" si="0"/>
        <v>0.97989999999999999</v>
      </c>
      <c r="H36" s="220">
        <f t="shared" si="1"/>
        <v>0.93210000000000004</v>
      </c>
      <c r="I36" s="83"/>
      <c r="J36"/>
      <c r="K36"/>
      <c r="L36"/>
      <c r="M36"/>
      <c r="AN36" s="168">
        <v>30</v>
      </c>
      <c r="AO36" s="190"/>
      <c r="AP36" s="190"/>
      <c r="AQ36" s="190"/>
      <c r="AR36"/>
    </row>
    <row r="37" spans="1:55" ht="15.75" thickBot="1" x14ac:dyDescent="0.25">
      <c r="B37" s="552" t="s">
        <v>278</v>
      </c>
      <c r="C37" s="553"/>
      <c r="F37" s="206">
        <v>32</v>
      </c>
      <c r="G37" s="220">
        <f t="shared" si="0"/>
        <v>1.016</v>
      </c>
      <c r="H37" s="220">
        <f t="shared" si="1"/>
        <v>0.9526</v>
      </c>
      <c r="I37" s="83"/>
      <c r="M37" s="81"/>
      <c r="O37" s="549" t="s">
        <v>271</v>
      </c>
      <c r="P37" s="550"/>
      <c r="Q37" s="551"/>
      <c r="AR37"/>
    </row>
    <row r="38" spans="1:55" ht="15.75" x14ac:dyDescent="0.2">
      <c r="A38"/>
      <c r="B38" s="235" t="s">
        <v>296</v>
      </c>
      <c r="C38" s="236" t="s">
        <v>297</v>
      </c>
      <c r="D38"/>
      <c r="F38" s="206">
        <v>33</v>
      </c>
      <c r="G38" s="220">
        <f t="shared" si="0"/>
        <v>1.0589</v>
      </c>
      <c r="H38" s="220">
        <f t="shared" si="1"/>
        <v>0.97989999999999999</v>
      </c>
      <c r="I38" s="83"/>
      <c r="M38" s="81"/>
      <c r="O38" s="546" t="s">
        <v>272</v>
      </c>
      <c r="P38" s="547"/>
      <c r="Q38" s="548"/>
      <c r="T38" s="561" t="s">
        <v>267</v>
      </c>
      <c r="U38" s="562"/>
      <c r="V38" s="562"/>
      <c r="W38" s="562"/>
      <c r="X38" s="562"/>
      <c r="Y38"/>
      <c r="AN38"/>
      <c r="AO38"/>
      <c r="AP38"/>
    </row>
    <row r="39" spans="1:55" ht="15.75" x14ac:dyDescent="0.2">
      <c r="A39"/>
      <c r="B39" s="232">
        <v>10</v>
      </c>
      <c r="C39" s="217">
        <v>1</v>
      </c>
      <c r="D39"/>
      <c r="F39" s="206">
        <v>34</v>
      </c>
      <c r="G39" s="220">
        <f t="shared" ref="G39:G70" si="2">V112</f>
        <v>1.1114999999999999</v>
      </c>
      <c r="H39" s="220">
        <f t="shared" ref="H39:H70" si="3">W112</f>
        <v>1.016</v>
      </c>
      <c r="I39" s="83"/>
      <c r="M39" s="81"/>
      <c r="O39" s="171" t="s">
        <v>273</v>
      </c>
      <c r="P39" s="172">
        <v>0</v>
      </c>
      <c r="Q39" s="172">
        <v>50001</v>
      </c>
      <c r="T39" s="559" t="s">
        <v>268</v>
      </c>
      <c r="U39" s="560"/>
      <c r="V39" s="560"/>
      <c r="W39" s="560"/>
      <c r="X39" s="560"/>
      <c r="Y39"/>
    </row>
    <row r="40" spans="1:55" ht="67.5" customHeight="1" x14ac:dyDescent="0.2">
      <c r="A40"/>
      <c r="B40" s="232">
        <v>11</v>
      </c>
      <c r="C40" s="217">
        <v>1</v>
      </c>
      <c r="D40"/>
      <c r="F40" s="206">
        <v>35</v>
      </c>
      <c r="G40" s="220">
        <f t="shared" si="2"/>
        <v>1.1719999999999999</v>
      </c>
      <c r="H40" s="220">
        <f t="shared" si="3"/>
        <v>1.0589</v>
      </c>
      <c r="I40" s="83"/>
      <c r="M40" s="81"/>
      <c r="O40" s="171">
        <v>1</v>
      </c>
      <c r="P40" s="173">
        <v>0.2</v>
      </c>
      <c r="Q40" s="173">
        <v>0.06</v>
      </c>
      <c r="T40" s="169"/>
      <c r="U40" s="557" t="s">
        <v>88</v>
      </c>
      <c r="V40" s="558"/>
      <c r="W40" s="558"/>
      <c r="X40" s="558"/>
      <c r="Y40"/>
      <c r="AN40" s="238" t="s">
        <v>306</v>
      </c>
      <c r="AO40" s="239" t="s">
        <v>307</v>
      </c>
      <c r="AP40" s="238" t="s">
        <v>308</v>
      </c>
      <c r="AQ40" s="239" t="s">
        <v>309</v>
      </c>
      <c r="AR40" s="238" t="s">
        <v>310</v>
      </c>
      <c r="AS40" s="239" t="s">
        <v>311</v>
      </c>
      <c r="AT40"/>
      <c r="AV40" s="67"/>
      <c r="AW40"/>
      <c r="AX40"/>
      <c r="AY40"/>
      <c r="AZ40"/>
      <c r="BA40"/>
      <c r="BB40"/>
      <c r="BC40"/>
    </row>
    <row r="41" spans="1:55" ht="15.75" x14ac:dyDescent="0.2">
      <c r="B41" s="232">
        <v>12</v>
      </c>
      <c r="C41" s="217">
        <v>1.05</v>
      </c>
      <c r="F41" s="206">
        <v>36</v>
      </c>
      <c r="G41" s="220">
        <f t="shared" si="2"/>
        <v>1.2431000000000001</v>
      </c>
      <c r="H41" s="220">
        <f t="shared" si="3"/>
        <v>1.1114999999999999</v>
      </c>
      <c r="I41" s="83"/>
      <c r="M41" s="81"/>
      <c r="O41" s="171">
        <v>2</v>
      </c>
      <c r="P41" s="173">
        <v>0.15</v>
      </c>
      <c r="Q41" s="173">
        <v>0.04</v>
      </c>
      <c r="T41" s="180" t="s">
        <v>82</v>
      </c>
      <c r="U41" s="182">
        <v>0</v>
      </c>
      <c r="V41" s="183">
        <v>200000</v>
      </c>
      <c r="W41" s="182">
        <v>500000</v>
      </c>
      <c r="X41" s="182">
        <v>1000000</v>
      </c>
      <c r="Y41"/>
      <c r="AN41" s="237">
        <v>19</v>
      </c>
      <c r="AO41" s="162">
        <v>11.43</v>
      </c>
      <c r="AP41" s="237">
        <v>39</v>
      </c>
      <c r="AQ41" s="162">
        <v>22.81</v>
      </c>
      <c r="AR41" s="237">
        <v>239</v>
      </c>
      <c r="AS41" s="162">
        <v>136.55000000000001</v>
      </c>
      <c r="AU41" s="64">
        <f>AO41*pr</f>
        <v>3429000</v>
      </c>
    </row>
    <row r="42" spans="1:55" ht="15.75" x14ac:dyDescent="0.2">
      <c r="A42"/>
      <c r="B42" s="232">
        <v>13</v>
      </c>
      <c r="C42" s="217">
        <v>1.05</v>
      </c>
      <c r="F42" s="206">
        <v>37</v>
      </c>
      <c r="G42" s="220">
        <f t="shared" si="2"/>
        <v>1.3241000000000001</v>
      </c>
      <c r="H42" s="220">
        <f t="shared" si="3"/>
        <v>1.1719999999999999</v>
      </c>
      <c r="I42" s="92"/>
      <c r="M42" s="81"/>
      <c r="O42" s="171">
        <v>3</v>
      </c>
      <c r="P42" s="173">
        <v>0.1</v>
      </c>
      <c r="Q42" s="173">
        <v>0.03</v>
      </c>
      <c r="T42" s="180">
        <v>1</v>
      </c>
      <c r="U42" s="177">
        <v>0.94</v>
      </c>
      <c r="V42" s="179">
        <v>0.94499999999999995</v>
      </c>
      <c r="W42" s="177">
        <v>0.95</v>
      </c>
      <c r="X42" s="177">
        <v>0.96</v>
      </c>
      <c r="Y42"/>
      <c r="AN42" s="237">
        <v>18</v>
      </c>
      <c r="AO42" s="162">
        <v>11.11</v>
      </c>
      <c r="AP42" s="237">
        <v>38</v>
      </c>
      <c r="AQ42" s="162">
        <v>22.51</v>
      </c>
      <c r="AR42" s="237">
        <v>238</v>
      </c>
      <c r="AS42" s="162">
        <v>136.26</v>
      </c>
      <c r="AU42" s="64">
        <f>AU41</f>
        <v>3429000</v>
      </c>
    </row>
    <row r="43" spans="1:55" ht="15.75" x14ac:dyDescent="0.2">
      <c r="A43"/>
      <c r="B43" s="232">
        <v>14</v>
      </c>
      <c r="C43" s="217">
        <v>1.1000000000000001</v>
      </c>
      <c r="F43" s="206">
        <v>38</v>
      </c>
      <c r="G43" s="220">
        <f t="shared" si="2"/>
        <v>1.4167000000000001</v>
      </c>
      <c r="H43" s="220">
        <f t="shared" si="3"/>
        <v>1.2431000000000001</v>
      </c>
      <c r="I43" s="92"/>
      <c r="M43" s="81"/>
      <c r="O43" s="171">
        <v>4</v>
      </c>
      <c r="P43" s="173">
        <v>0.05</v>
      </c>
      <c r="Q43" s="173">
        <v>0.02</v>
      </c>
      <c r="T43" s="180">
        <v>2</v>
      </c>
      <c r="U43" s="177">
        <v>0.95</v>
      </c>
      <c r="V43" s="179">
        <v>0.95</v>
      </c>
      <c r="W43" s="177">
        <v>0.96</v>
      </c>
      <c r="X43" s="177">
        <v>0.97</v>
      </c>
      <c r="Y43"/>
      <c r="AN43" s="237">
        <v>17</v>
      </c>
      <c r="AO43" s="162">
        <v>10.77</v>
      </c>
      <c r="AP43" s="237">
        <v>37</v>
      </c>
      <c r="AQ43" s="162">
        <v>22.2</v>
      </c>
      <c r="AR43" s="237">
        <v>237</v>
      </c>
      <c r="AS43" s="162">
        <v>135.97</v>
      </c>
      <c r="AU43" s="244">
        <f>G35</f>
        <v>0.9526</v>
      </c>
    </row>
    <row r="44" spans="1:55" ht="15.75" x14ac:dyDescent="0.2">
      <c r="A44"/>
      <c r="B44" s="232">
        <v>15</v>
      </c>
      <c r="C44" s="217">
        <v>1.1000000000000001</v>
      </c>
      <c r="F44" s="206">
        <v>39</v>
      </c>
      <c r="G44" s="220">
        <f t="shared" si="2"/>
        <v>1.5209999999999999</v>
      </c>
      <c r="H44" s="220">
        <f t="shared" si="3"/>
        <v>1.3241000000000001</v>
      </c>
      <c r="I44" s="92"/>
      <c r="M44" s="81"/>
      <c r="O44" s="171">
        <v>5</v>
      </c>
      <c r="P44" s="173">
        <v>0</v>
      </c>
      <c r="Q44" s="173">
        <v>0</v>
      </c>
      <c r="T44" s="180">
        <v>3</v>
      </c>
      <c r="U44" s="177">
        <v>0.96499999999999997</v>
      </c>
      <c r="V44" s="179">
        <v>0.96499999999999997</v>
      </c>
      <c r="W44" s="177">
        <v>0.96499999999999997</v>
      </c>
      <c r="X44" s="177">
        <v>0.98</v>
      </c>
      <c r="Y44"/>
      <c r="AN44" s="237">
        <v>16</v>
      </c>
      <c r="AO44" s="162">
        <v>10.4</v>
      </c>
      <c r="AP44" s="237">
        <v>36</v>
      </c>
      <c r="AQ44" s="162">
        <v>21.88</v>
      </c>
      <c r="AR44" s="237">
        <v>236</v>
      </c>
      <c r="AS44" s="162">
        <v>135.68</v>
      </c>
      <c r="AU44" s="245">
        <f>AU43*125%+5</f>
        <v>6.1907499999999995</v>
      </c>
    </row>
    <row r="45" spans="1:55" ht="15.75" x14ac:dyDescent="0.2">
      <c r="B45" s="232">
        <v>16</v>
      </c>
      <c r="C45" s="217">
        <v>1.1499999999999999</v>
      </c>
      <c r="F45" s="206">
        <v>40</v>
      </c>
      <c r="G45" s="220">
        <f t="shared" si="2"/>
        <v>1.6379999999999999</v>
      </c>
      <c r="H45" s="220">
        <f t="shared" si="3"/>
        <v>1.4167000000000001</v>
      </c>
      <c r="I45" s="92"/>
      <c r="M45" s="81"/>
      <c r="O45" s="546" t="s">
        <v>274</v>
      </c>
      <c r="P45" s="547"/>
      <c r="Q45" s="548"/>
      <c r="T45" s="180">
        <v>4</v>
      </c>
      <c r="U45" s="177">
        <v>0.96499999999999997</v>
      </c>
      <c r="V45" s="179">
        <v>0.96499999999999997</v>
      </c>
      <c r="W45" s="177">
        <v>0.97</v>
      </c>
      <c r="X45" s="177">
        <v>0.98</v>
      </c>
      <c r="Y45"/>
      <c r="AN45" s="237">
        <v>15</v>
      </c>
      <c r="AO45" s="162">
        <v>10.01</v>
      </c>
      <c r="AP45" s="237">
        <v>35</v>
      </c>
      <c r="AQ45" s="162">
        <v>21.54</v>
      </c>
      <c r="AR45" s="237">
        <v>235</v>
      </c>
      <c r="AS45" s="162">
        <v>135.38999999999999</v>
      </c>
      <c r="AU45" s="246">
        <f>AU44*AU42/12000</f>
        <v>1769.0068125</v>
      </c>
    </row>
    <row r="46" spans="1:55" ht="15.75" x14ac:dyDescent="0.2">
      <c r="B46" s="232">
        <v>17</v>
      </c>
      <c r="C46" s="217">
        <v>1.1499999999999999</v>
      </c>
      <c r="E46" s="68"/>
      <c r="F46" s="206">
        <v>41</v>
      </c>
      <c r="G46" s="220">
        <f t="shared" si="2"/>
        <v>1.7696000000000001</v>
      </c>
      <c r="H46" s="220">
        <f t="shared" si="3"/>
        <v>1.5209999999999999</v>
      </c>
      <c r="I46" s="92"/>
      <c r="M46" s="81"/>
      <c r="O46" s="171" t="s">
        <v>273</v>
      </c>
      <c r="P46" s="172">
        <v>0</v>
      </c>
      <c r="Q46" s="172">
        <v>50001</v>
      </c>
      <c r="T46" s="180">
        <v>5</v>
      </c>
      <c r="U46" s="177">
        <v>0.97</v>
      </c>
      <c r="V46" s="179">
        <v>0.97</v>
      </c>
      <c r="W46" s="177">
        <v>0.97</v>
      </c>
      <c r="X46" s="177">
        <v>0.98</v>
      </c>
      <c r="Y46"/>
      <c r="AN46" s="237">
        <v>14</v>
      </c>
      <c r="AO46" s="162">
        <v>9.6</v>
      </c>
      <c r="AP46" s="237">
        <v>34</v>
      </c>
      <c r="AQ46" s="162">
        <v>21.2</v>
      </c>
      <c r="AR46" s="237">
        <v>234</v>
      </c>
      <c r="AS46" s="162">
        <v>135.1</v>
      </c>
    </row>
    <row r="47" spans="1:55" ht="12.75" customHeight="1" x14ac:dyDescent="0.2">
      <c r="B47" s="232">
        <v>18</v>
      </c>
      <c r="C47" s="217">
        <v>1.25</v>
      </c>
      <c r="E47" s="68"/>
      <c r="F47" s="206">
        <v>42</v>
      </c>
      <c r="G47" s="220">
        <f t="shared" si="2"/>
        <v>1.9198</v>
      </c>
      <c r="H47" s="220">
        <f t="shared" si="3"/>
        <v>1.6379999999999999</v>
      </c>
      <c r="I47" s="92"/>
      <c r="M47" s="81"/>
      <c r="O47" s="171">
        <v>1</v>
      </c>
      <c r="P47" s="174">
        <v>3000</v>
      </c>
      <c r="Q47" s="174">
        <v>6000</v>
      </c>
      <c r="T47" s="180">
        <v>6</v>
      </c>
      <c r="U47" s="177">
        <v>0.98</v>
      </c>
      <c r="V47" s="179">
        <v>0.98</v>
      </c>
      <c r="W47" s="177">
        <v>0.99</v>
      </c>
      <c r="X47" s="177">
        <v>0.99</v>
      </c>
      <c r="Y47"/>
      <c r="AN47" s="237">
        <v>13</v>
      </c>
      <c r="AO47" s="162">
        <v>9.16</v>
      </c>
      <c r="AP47" s="237">
        <v>33</v>
      </c>
      <c r="AQ47" s="162">
        <v>20.85</v>
      </c>
      <c r="AR47" s="237">
        <v>233</v>
      </c>
      <c r="AS47" s="162">
        <v>134.80000000000001</v>
      </c>
    </row>
    <row r="48" spans="1:55" ht="15.75" x14ac:dyDescent="0.2">
      <c r="B48" s="232">
        <v>19</v>
      </c>
      <c r="C48" s="217">
        <v>1.25</v>
      </c>
      <c r="E48" s="77"/>
      <c r="F48" s="206">
        <v>43</v>
      </c>
      <c r="G48" s="220">
        <f t="shared" si="2"/>
        <v>2.0903999999999998</v>
      </c>
      <c r="H48" s="220">
        <f t="shared" si="3"/>
        <v>1.7696000000000001</v>
      </c>
      <c r="I48" s="92"/>
      <c r="J48" s="63"/>
      <c r="K48" s="92"/>
      <c r="M48" s="81"/>
      <c r="O48" s="171">
        <v>2</v>
      </c>
      <c r="P48" s="174">
        <v>2000</v>
      </c>
      <c r="Q48" s="174">
        <v>5000</v>
      </c>
      <c r="T48" s="180">
        <v>7</v>
      </c>
      <c r="U48" s="177">
        <v>0.98</v>
      </c>
      <c r="V48" s="179">
        <v>0.98</v>
      </c>
      <c r="W48" s="177">
        <v>0.99</v>
      </c>
      <c r="X48" s="177">
        <v>0.99</v>
      </c>
      <c r="Y48"/>
      <c r="AN48" s="237">
        <v>12</v>
      </c>
      <c r="AO48" s="162">
        <v>8.69</v>
      </c>
      <c r="AP48" s="237">
        <v>32</v>
      </c>
      <c r="AQ48" s="162">
        <v>20.48</v>
      </c>
      <c r="AR48" s="237">
        <v>232</v>
      </c>
      <c r="AS48" s="162">
        <v>134.51</v>
      </c>
    </row>
    <row r="49" spans="2:45" ht="16.5" thickBot="1" x14ac:dyDescent="0.25">
      <c r="B49" s="233">
        <v>20</v>
      </c>
      <c r="C49" s="234">
        <v>1.25</v>
      </c>
      <c r="F49" s="206">
        <v>44</v>
      </c>
      <c r="G49" s="220">
        <f t="shared" si="2"/>
        <v>2.2864</v>
      </c>
      <c r="H49" s="220">
        <f t="shared" si="3"/>
        <v>1.9198</v>
      </c>
      <c r="I49" s="92"/>
      <c r="J49" s="63"/>
      <c r="K49" s="92"/>
      <c r="M49" s="81"/>
      <c r="O49" s="171">
        <v>3</v>
      </c>
      <c r="P49" s="174">
        <v>1500</v>
      </c>
      <c r="Q49" s="174">
        <v>4000</v>
      </c>
      <c r="T49" s="184">
        <v>8</v>
      </c>
      <c r="U49" s="227">
        <v>0.98</v>
      </c>
      <c r="V49" s="228">
        <v>0.98</v>
      </c>
      <c r="W49" s="227">
        <v>0.99</v>
      </c>
      <c r="X49" s="227">
        <v>0.99</v>
      </c>
      <c r="Y49"/>
      <c r="AN49" s="237">
        <v>11</v>
      </c>
      <c r="AO49" s="162">
        <v>8.19</v>
      </c>
      <c r="AP49" s="237">
        <v>31</v>
      </c>
      <c r="AQ49" s="162">
        <v>20.11</v>
      </c>
      <c r="AR49" s="237">
        <v>231</v>
      </c>
      <c r="AS49" s="162">
        <v>134.21</v>
      </c>
    </row>
    <row r="50" spans="2:45" ht="13.5" customHeight="1" x14ac:dyDescent="0.2">
      <c r="F50" s="206">
        <v>45</v>
      </c>
      <c r="G50" s="220">
        <f t="shared" si="2"/>
        <v>2.5145</v>
      </c>
      <c r="H50" s="220">
        <f t="shared" si="3"/>
        <v>2.0903999999999998</v>
      </c>
      <c r="I50" s="92"/>
      <c r="J50" s="63"/>
      <c r="K50" s="92"/>
      <c r="M50" s="81"/>
      <c r="O50" s="171">
        <v>4</v>
      </c>
      <c r="P50" s="174">
        <v>1000</v>
      </c>
      <c r="Q50" s="174">
        <v>2000</v>
      </c>
      <c r="T50" s="184">
        <v>9</v>
      </c>
      <c r="U50" s="227">
        <v>0.98</v>
      </c>
      <c r="V50" s="228">
        <v>0.98</v>
      </c>
      <c r="W50" s="227">
        <v>0.99</v>
      </c>
      <c r="X50" s="227">
        <v>0.99</v>
      </c>
      <c r="Y50"/>
      <c r="AN50" s="237">
        <v>10</v>
      </c>
      <c r="AO50" s="162">
        <v>7.66</v>
      </c>
      <c r="AP50" s="237">
        <v>30</v>
      </c>
      <c r="AQ50" s="162">
        <v>19.72</v>
      </c>
      <c r="AR50" s="237">
        <v>230</v>
      </c>
      <c r="AS50" s="162">
        <v>133.91</v>
      </c>
    </row>
    <row r="51" spans="2:45" ht="15.75" x14ac:dyDescent="0.2">
      <c r="B51" s="71"/>
      <c r="C51" s="71"/>
      <c r="D51" s="71"/>
      <c r="F51" s="206">
        <v>46</v>
      </c>
      <c r="G51" s="220">
        <f t="shared" si="2"/>
        <v>2.7797000000000001</v>
      </c>
      <c r="H51" s="220">
        <f t="shared" si="3"/>
        <v>2.2864</v>
      </c>
      <c r="I51" s="92"/>
      <c r="J51" s="63"/>
      <c r="K51" s="92"/>
      <c r="M51" s="81"/>
      <c r="O51" s="171">
        <v>5</v>
      </c>
      <c r="P51" s="174">
        <v>0</v>
      </c>
      <c r="Q51" s="174">
        <v>0</v>
      </c>
      <c r="T51" s="184">
        <v>10</v>
      </c>
      <c r="U51" s="227">
        <v>0.98</v>
      </c>
      <c r="V51" s="228">
        <v>0.98</v>
      </c>
      <c r="W51" s="227">
        <v>0.99</v>
      </c>
      <c r="X51" s="227">
        <v>0.99</v>
      </c>
      <c r="Y51"/>
      <c r="AN51" s="237">
        <v>9</v>
      </c>
      <c r="AO51" s="162">
        <v>7.09</v>
      </c>
      <c r="AP51" s="237">
        <v>29</v>
      </c>
      <c r="AQ51" s="162">
        <v>19.32</v>
      </c>
      <c r="AR51" s="237">
        <v>229</v>
      </c>
      <c r="AS51" s="162">
        <v>133.61000000000001</v>
      </c>
    </row>
    <row r="52" spans="2:45" ht="15.75" x14ac:dyDescent="0.2">
      <c r="B52" s="71"/>
      <c r="C52" s="78"/>
      <c r="D52" s="78"/>
      <c r="F52" s="206">
        <v>47</v>
      </c>
      <c r="G52" s="220">
        <f t="shared" si="2"/>
        <v>3.0888</v>
      </c>
      <c r="H52" s="220">
        <f t="shared" si="3"/>
        <v>2.5145</v>
      </c>
      <c r="I52" s="92"/>
      <c r="J52" s="63"/>
      <c r="K52" s="92"/>
      <c r="M52" s="81"/>
      <c r="O52" s="546" t="s">
        <v>275</v>
      </c>
      <c r="P52" s="547"/>
      <c r="Q52" s="548"/>
      <c r="T52" s="184">
        <v>11</v>
      </c>
      <c r="U52" s="227">
        <v>1</v>
      </c>
      <c r="V52" s="228">
        <v>1</v>
      </c>
      <c r="W52" s="227">
        <v>1</v>
      </c>
      <c r="X52" s="227">
        <v>1</v>
      </c>
      <c r="Y52"/>
      <c r="AN52" s="237">
        <v>8</v>
      </c>
      <c r="AO52" s="162">
        <v>6.48</v>
      </c>
      <c r="AP52" s="237">
        <v>28</v>
      </c>
      <c r="AQ52" s="162">
        <v>18.899999999999999</v>
      </c>
      <c r="AR52" s="237">
        <v>228</v>
      </c>
      <c r="AS52" s="162">
        <v>133.31</v>
      </c>
    </row>
    <row r="53" spans="2:45" ht="15.75" x14ac:dyDescent="0.2">
      <c r="B53" s="71"/>
      <c r="C53" s="78"/>
      <c r="D53" s="78"/>
      <c r="F53" s="206">
        <v>48</v>
      </c>
      <c r="G53" s="220">
        <f t="shared" si="2"/>
        <v>3.4476</v>
      </c>
      <c r="H53" s="220">
        <f t="shared" si="3"/>
        <v>2.7797000000000001</v>
      </c>
      <c r="I53" s="92"/>
      <c r="J53" s="63"/>
      <c r="K53" s="92"/>
      <c r="M53" s="81"/>
      <c r="O53" s="171" t="s">
        <v>273</v>
      </c>
      <c r="P53" s="172">
        <v>0</v>
      </c>
      <c r="Q53" s="172">
        <v>300001</v>
      </c>
      <c r="T53" s="184" t="s">
        <v>269</v>
      </c>
      <c r="U53" s="185" t="s">
        <v>236</v>
      </c>
      <c r="V53" s="185" t="s">
        <v>236</v>
      </c>
      <c r="W53" s="185">
        <v>0.95</v>
      </c>
      <c r="X53" s="185">
        <v>0.97</v>
      </c>
      <c r="Y53"/>
      <c r="AN53" s="237">
        <v>7</v>
      </c>
      <c r="AO53" s="162">
        <v>5.84</v>
      </c>
      <c r="AP53" s="237">
        <v>27</v>
      </c>
      <c r="AQ53" s="162">
        <v>18.47</v>
      </c>
      <c r="AR53" s="237">
        <v>227</v>
      </c>
      <c r="AS53" s="162">
        <v>133</v>
      </c>
    </row>
    <row r="54" spans="2:45" ht="15.75" x14ac:dyDescent="0.2">
      <c r="B54" s="71"/>
      <c r="C54" s="78"/>
      <c r="D54" s="78"/>
      <c r="F54" s="206">
        <v>49</v>
      </c>
      <c r="G54" s="220">
        <f t="shared" si="2"/>
        <v>3.8591000000000002</v>
      </c>
      <c r="H54" s="220">
        <f t="shared" si="3"/>
        <v>3.0888</v>
      </c>
      <c r="I54" s="92"/>
      <c r="J54" s="63"/>
      <c r="K54" s="92"/>
      <c r="M54" s="81"/>
      <c r="O54" s="171">
        <v>1</v>
      </c>
      <c r="P54" s="173">
        <v>0.02</v>
      </c>
      <c r="Q54" s="173">
        <v>0.01</v>
      </c>
      <c r="T54" s="563" t="s">
        <v>270</v>
      </c>
      <c r="U54" s="564"/>
      <c r="V54" s="564"/>
      <c r="W54" s="564"/>
      <c r="X54" s="564"/>
      <c r="Y54"/>
      <c r="AN54" s="237">
        <v>6</v>
      </c>
      <c r="AO54" s="162">
        <v>5.16</v>
      </c>
      <c r="AP54" s="237">
        <v>26</v>
      </c>
      <c r="AQ54" s="162">
        <v>18.03</v>
      </c>
      <c r="AR54" s="237">
        <v>226</v>
      </c>
      <c r="AS54" s="162">
        <v>132.69999999999999</v>
      </c>
    </row>
    <row r="55" spans="2:45" ht="15.75" x14ac:dyDescent="0.2">
      <c r="B55" s="71"/>
      <c r="C55" s="78"/>
      <c r="D55" s="78"/>
      <c r="F55" s="206">
        <v>50</v>
      </c>
      <c r="G55" s="220">
        <f t="shared" si="2"/>
        <v>4.3250999999999999</v>
      </c>
      <c r="H55" s="220">
        <f t="shared" si="3"/>
        <v>3.4476</v>
      </c>
      <c r="I55" s="92"/>
      <c r="J55" s="63"/>
      <c r="K55" s="92"/>
      <c r="M55" s="81"/>
      <c r="O55" s="171">
        <v>2</v>
      </c>
      <c r="P55" s="173">
        <v>1.4999999999999999E-2</v>
      </c>
      <c r="Q55" s="173">
        <v>7.0000000000000001E-3</v>
      </c>
      <c r="T55" s="169"/>
      <c r="U55" s="557" t="s">
        <v>88</v>
      </c>
      <c r="V55" s="558"/>
      <c r="W55" s="558"/>
      <c r="X55" s="558"/>
      <c r="Y55"/>
      <c r="AN55" s="237">
        <v>5</v>
      </c>
      <c r="AO55" s="162">
        <v>4.43</v>
      </c>
      <c r="AP55" s="237">
        <v>25</v>
      </c>
      <c r="AQ55" s="162">
        <v>17.579999999999998</v>
      </c>
      <c r="AR55" s="237">
        <v>225</v>
      </c>
      <c r="AS55" s="162">
        <v>132.38999999999999</v>
      </c>
    </row>
    <row r="56" spans="2:45" ht="14.25" customHeight="1" x14ac:dyDescent="0.2">
      <c r="B56" s="71"/>
      <c r="C56" s="78"/>
      <c r="D56" s="78"/>
      <c r="F56" s="206">
        <v>51</v>
      </c>
      <c r="G56" s="220">
        <f t="shared" si="2"/>
        <v>4.8448000000000002</v>
      </c>
      <c r="H56" s="220">
        <f t="shared" si="3"/>
        <v>3.8591000000000002</v>
      </c>
      <c r="I56" s="92"/>
      <c r="J56" s="63"/>
      <c r="K56" s="92"/>
      <c r="M56" s="81"/>
      <c r="O56" s="171">
        <v>3</v>
      </c>
      <c r="P56" s="173">
        <v>0.01</v>
      </c>
      <c r="Q56" s="173">
        <v>5.0000000000000001E-3</v>
      </c>
      <c r="T56" s="180" t="s">
        <v>82</v>
      </c>
      <c r="U56" s="176">
        <v>0</v>
      </c>
      <c r="V56" s="178">
        <v>200000</v>
      </c>
      <c r="W56" s="176">
        <v>500000</v>
      </c>
      <c r="X56" s="176">
        <v>1000000</v>
      </c>
      <c r="Y56"/>
      <c r="AN56" s="237">
        <v>4</v>
      </c>
      <c r="AO56" s="162">
        <v>3.65</v>
      </c>
      <c r="AP56" s="237">
        <v>24</v>
      </c>
      <c r="AQ56" s="162">
        <v>17.11</v>
      </c>
      <c r="AR56" s="237">
        <v>224</v>
      </c>
      <c r="AS56" s="162">
        <v>132.08000000000001</v>
      </c>
    </row>
    <row r="57" spans="2:45" ht="12" customHeight="1" x14ac:dyDescent="0.2">
      <c r="B57" s="71"/>
      <c r="C57" s="78"/>
      <c r="D57" s="78"/>
      <c r="F57" s="206">
        <v>52</v>
      </c>
      <c r="G57" s="220">
        <f t="shared" si="2"/>
        <v>5.4112999999999998</v>
      </c>
      <c r="H57" s="220">
        <f t="shared" si="3"/>
        <v>4.3250999999999999</v>
      </c>
      <c r="I57" s="92"/>
      <c r="J57" s="63"/>
      <c r="K57" s="92"/>
      <c r="L57" s="92"/>
      <c r="M57" s="92"/>
      <c r="N57" s="92"/>
      <c r="O57" s="171">
        <v>4</v>
      </c>
      <c r="P57" s="173">
        <v>5.0000000000000001E-3</v>
      </c>
      <c r="Q57" s="173">
        <v>3.5000000000000001E-3</v>
      </c>
      <c r="T57" s="181">
        <v>1</v>
      </c>
      <c r="U57" s="177">
        <v>0.94</v>
      </c>
      <c r="V57" s="179">
        <v>0.94499999999999995</v>
      </c>
      <c r="W57" s="177">
        <v>0.95</v>
      </c>
      <c r="X57" s="177">
        <v>0.96</v>
      </c>
      <c r="Y57"/>
      <c r="AN57" s="237">
        <v>3</v>
      </c>
      <c r="AO57" s="162">
        <v>2.82</v>
      </c>
      <c r="AP57" s="237">
        <v>23</v>
      </c>
      <c r="AQ57" s="162">
        <v>16.62</v>
      </c>
      <c r="AR57" s="237">
        <v>223</v>
      </c>
      <c r="AS57" s="162">
        <v>131.77000000000001</v>
      </c>
    </row>
    <row r="58" spans="2:45" ht="15.75" x14ac:dyDescent="0.2">
      <c r="B58" s="71"/>
      <c r="C58" s="78"/>
      <c r="D58" s="78"/>
      <c r="F58" s="206">
        <v>53</v>
      </c>
      <c r="G58" s="220">
        <f t="shared" si="2"/>
        <v>6.0197000000000003</v>
      </c>
      <c r="H58" s="220">
        <f t="shared" si="3"/>
        <v>4.8448000000000002</v>
      </c>
      <c r="I58" s="92"/>
      <c r="J58" s="63"/>
      <c r="K58" s="92"/>
      <c r="L58" s="92"/>
      <c r="M58" s="92"/>
      <c r="N58" s="92"/>
      <c r="O58" s="171">
        <v>5</v>
      </c>
      <c r="P58" s="173">
        <v>0</v>
      </c>
      <c r="Q58" s="175">
        <v>0</v>
      </c>
      <c r="T58" s="181">
        <v>2</v>
      </c>
      <c r="U58" s="177">
        <v>0.95</v>
      </c>
      <c r="V58" s="179">
        <v>0.95</v>
      </c>
      <c r="W58" s="177">
        <v>0.96</v>
      </c>
      <c r="X58" s="177">
        <v>0.97</v>
      </c>
      <c r="Y58"/>
      <c r="AN58" s="237">
        <v>2</v>
      </c>
      <c r="AO58" s="162">
        <v>1.94</v>
      </c>
      <c r="AP58" s="237">
        <v>22</v>
      </c>
      <c r="AQ58" s="162">
        <v>16.12</v>
      </c>
      <c r="AR58" s="237">
        <v>222</v>
      </c>
      <c r="AS58" s="162">
        <v>131.46</v>
      </c>
    </row>
    <row r="59" spans="2:45" ht="15.75" x14ac:dyDescent="0.2">
      <c r="B59" s="71"/>
      <c r="C59" s="78"/>
      <c r="D59" s="78"/>
      <c r="F59" s="206">
        <v>54</v>
      </c>
      <c r="G59" s="220">
        <f t="shared" si="2"/>
        <v>6.6601999999999997</v>
      </c>
      <c r="H59" s="220">
        <f t="shared" si="3"/>
        <v>5.4112999999999998</v>
      </c>
      <c r="I59" s="92"/>
      <c r="J59" s="63"/>
      <c r="K59" s="92"/>
      <c r="L59" s="92"/>
      <c r="M59" s="92"/>
      <c r="N59" s="92"/>
      <c r="O59" s="546" t="s">
        <v>276</v>
      </c>
      <c r="P59" s="547"/>
      <c r="Q59" s="548"/>
      <c r="T59" s="181">
        <v>3</v>
      </c>
      <c r="U59" s="177">
        <v>0.96499999999999997</v>
      </c>
      <c r="V59" s="179">
        <v>0.96499999999999997</v>
      </c>
      <c r="W59" s="177">
        <v>0.96499999999999997</v>
      </c>
      <c r="X59" s="177">
        <v>0.98</v>
      </c>
      <c r="Y59"/>
      <c r="AN59" s="237">
        <v>1</v>
      </c>
      <c r="AO59" s="162">
        <v>1</v>
      </c>
      <c r="AP59" s="237">
        <v>21</v>
      </c>
      <c r="AQ59" s="162">
        <v>15.61</v>
      </c>
      <c r="AR59" s="237">
        <v>221</v>
      </c>
      <c r="AS59" s="162">
        <v>131.15</v>
      </c>
    </row>
    <row r="60" spans="2:45" ht="15.75" x14ac:dyDescent="0.2">
      <c r="B60" s="71"/>
      <c r="C60" s="78"/>
      <c r="D60" s="78"/>
      <c r="F60" s="206">
        <v>55</v>
      </c>
      <c r="G60" s="220">
        <f t="shared" si="2"/>
        <v>7.3251999999999997</v>
      </c>
      <c r="H60" s="220">
        <f t="shared" si="3"/>
        <v>6.0197000000000003</v>
      </c>
      <c r="I60" s="92"/>
      <c r="J60" s="63"/>
      <c r="K60" s="92"/>
      <c r="L60" s="92"/>
      <c r="M60" s="92"/>
      <c r="N60" s="92"/>
      <c r="O60" s="171" t="s">
        <v>273</v>
      </c>
      <c r="P60" s="172">
        <v>0</v>
      </c>
      <c r="Q60" s="172">
        <v>300001</v>
      </c>
      <c r="T60" s="181">
        <v>4</v>
      </c>
      <c r="U60" s="177">
        <v>0.96499999999999997</v>
      </c>
      <c r="V60" s="179">
        <v>0.96499999999999997</v>
      </c>
      <c r="W60" s="177">
        <v>0.97</v>
      </c>
      <c r="X60" s="177">
        <v>0.98</v>
      </c>
      <c r="Y60"/>
      <c r="AN60" s="162"/>
      <c r="AO60" s="162"/>
      <c r="AP60" s="237">
        <v>20</v>
      </c>
      <c r="AQ60" s="162">
        <v>15.07</v>
      </c>
      <c r="AR60" s="237">
        <v>220</v>
      </c>
      <c r="AS60" s="162">
        <v>130.83000000000001</v>
      </c>
    </row>
    <row r="61" spans="2:45" ht="15.75" x14ac:dyDescent="0.2">
      <c r="B61" s="71"/>
      <c r="C61" s="78"/>
      <c r="D61" s="78"/>
      <c r="F61" s="206">
        <v>56</v>
      </c>
      <c r="G61" s="220">
        <f t="shared" si="2"/>
        <v>8.0067000000000004</v>
      </c>
      <c r="H61" s="220">
        <f t="shared" si="3"/>
        <v>6.6601999999999997</v>
      </c>
      <c r="I61" s="92"/>
      <c r="J61" s="63"/>
      <c r="K61" s="92"/>
      <c r="L61" s="92"/>
      <c r="M61" s="92"/>
      <c r="N61" s="92"/>
      <c r="O61" s="171">
        <v>1</v>
      </c>
      <c r="P61" s="174">
        <v>3000</v>
      </c>
      <c r="Q61" s="174">
        <v>6000</v>
      </c>
      <c r="T61" s="181">
        <v>5</v>
      </c>
      <c r="U61" s="177">
        <v>0.97</v>
      </c>
      <c r="V61" s="179">
        <v>0.97</v>
      </c>
      <c r="W61" s="177">
        <v>0.97</v>
      </c>
      <c r="X61" s="177">
        <v>0.98</v>
      </c>
      <c r="Y61"/>
      <c r="AN61" s="162"/>
      <c r="AO61" s="162"/>
      <c r="AP61" s="237">
        <v>19</v>
      </c>
      <c r="AQ61" s="162">
        <v>14.53</v>
      </c>
      <c r="AR61" s="237">
        <v>219</v>
      </c>
      <c r="AS61" s="162">
        <v>130.52000000000001</v>
      </c>
    </row>
    <row r="62" spans="2:45" ht="15.75" x14ac:dyDescent="0.2">
      <c r="B62" s="71"/>
      <c r="C62" s="78"/>
      <c r="D62" s="78"/>
      <c r="F62" s="206">
        <v>57</v>
      </c>
      <c r="G62" s="220">
        <f t="shared" si="2"/>
        <v>8.7019000000000002</v>
      </c>
      <c r="H62" s="220">
        <f t="shared" si="3"/>
        <v>7.3251999999999997</v>
      </c>
      <c r="I62" s="92"/>
      <c r="J62" s="63"/>
      <c r="K62" s="92"/>
      <c r="L62" s="92"/>
      <c r="M62" s="92"/>
      <c r="N62" s="92"/>
      <c r="O62" s="171">
        <v>2</v>
      </c>
      <c r="P62" s="174">
        <v>2000</v>
      </c>
      <c r="Q62" s="174">
        <v>5000</v>
      </c>
      <c r="T62" s="181">
        <v>6</v>
      </c>
      <c r="U62" s="177">
        <v>0.98</v>
      </c>
      <c r="V62" s="179">
        <v>0.98</v>
      </c>
      <c r="W62" s="177">
        <v>0.99</v>
      </c>
      <c r="X62" s="177">
        <v>0.99</v>
      </c>
      <c r="Y62"/>
      <c r="AN62" s="162"/>
      <c r="AO62" s="162"/>
      <c r="AP62" s="237">
        <v>18</v>
      </c>
      <c r="AQ62" s="162">
        <v>13.96</v>
      </c>
      <c r="AR62" s="237">
        <v>218</v>
      </c>
      <c r="AS62" s="162">
        <v>130.19999999999999</v>
      </c>
    </row>
    <row r="63" spans="2:45" ht="15.75" x14ac:dyDescent="0.2">
      <c r="B63" s="71"/>
      <c r="C63" s="78"/>
      <c r="D63" s="78"/>
      <c r="F63" s="206">
        <v>58</v>
      </c>
      <c r="G63" s="220">
        <f t="shared" si="2"/>
        <v>9.4097000000000008</v>
      </c>
      <c r="H63" s="220">
        <f t="shared" si="3"/>
        <v>8.0067000000000004</v>
      </c>
      <c r="I63" s="92"/>
      <c r="J63" s="63"/>
      <c r="K63" s="92"/>
      <c r="L63" s="92"/>
      <c r="M63" s="92"/>
      <c r="N63" s="92"/>
      <c r="O63" s="171">
        <v>3</v>
      </c>
      <c r="P63" s="174">
        <v>1500</v>
      </c>
      <c r="Q63" s="174">
        <v>4000</v>
      </c>
      <c r="T63" s="181">
        <v>7</v>
      </c>
      <c r="U63" s="177">
        <v>0.98</v>
      </c>
      <c r="V63" s="179">
        <v>0.98</v>
      </c>
      <c r="W63" s="177">
        <v>0.99</v>
      </c>
      <c r="X63" s="177">
        <v>0.99</v>
      </c>
      <c r="Y63"/>
      <c r="AN63" s="162"/>
      <c r="AO63" s="162"/>
      <c r="AP63" s="237">
        <v>17</v>
      </c>
      <c r="AQ63" s="162">
        <v>13.37</v>
      </c>
      <c r="AR63" s="237">
        <v>217</v>
      </c>
      <c r="AS63" s="162">
        <v>129.88</v>
      </c>
    </row>
    <row r="64" spans="2:45" ht="15.75" x14ac:dyDescent="0.2">
      <c r="B64" s="71"/>
      <c r="C64" s="78"/>
      <c r="D64" s="78"/>
      <c r="F64" s="206">
        <v>59</v>
      </c>
      <c r="G64" s="220">
        <f t="shared" si="2"/>
        <v>10.1332</v>
      </c>
      <c r="H64" s="220">
        <f t="shared" si="3"/>
        <v>8.7019000000000002</v>
      </c>
      <c r="I64" s="92"/>
      <c r="J64" s="63"/>
      <c r="K64" s="92"/>
      <c r="L64" s="92"/>
      <c r="M64" s="92"/>
      <c r="N64" s="92"/>
      <c r="O64" s="171">
        <v>4</v>
      </c>
      <c r="P64" s="174">
        <v>1000</v>
      </c>
      <c r="Q64" s="174">
        <v>2000</v>
      </c>
      <c r="T64" s="181">
        <v>8</v>
      </c>
      <c r="U64" s="227">
        <v>0.98</v>
      </c>
      <c r="V64" s="228">
        <v>0.98</v>
      </c>
      <c r="W64" s="227">
        <v>0.99</v>
      </c>
      <c r="X64" s="227">
        <v>0.99</v>
      </c>
      <c r="Y64"/>
      <c r="AN64" s="162"/>
      <c r="AO64" s="162"/>
      <c r="AP64" s="237">
        <v>16</v>
      </c>
      <c r="AQ64" s="162">
        <v>12.77</v>
      </c>
      <c r="AR64" s="237">
        <v>216</v>
      </c>
      <c r="AS64" s="162">
        <v>129.55000000000001</v>
      </c>
    </row>
    <row r="65" spans="2:45" ht="15.75" x14ac:dyDescent="0.2">
      <c r="B65" s="71"/>
      <c r="C65" s="78"/>
      <c r="D65" s="78"/>
      <c r="F65" s="206">
        <v>60</v>
      </c>
      <c r="G65" s="220">
        <f t="shared" si="2"/>
        <v>10.882999999999999</v>
      </c>
      <c r="H65" s="220">
        <f t="shared" si="3"/>
        <v>9.4097000000000008</v>
      </c>
      <c r="I65" s="92"/>
      <c r="J65" s="63"/>
      <c r="K65" s="92"/>
      <c r="L65" s="92"/>
      <c r="M65" s="92"/>
      <c r="N65" s="85"/>
      <c r="O65" s="171">
        <v>5</v>
      </c>
      <c r="P65" s="174">
        <v>0</v>
      </c>
      <c r="Q65" s="174">
        <v>0</v>
      </c>
      <c r="T65" s="181">
        <v>9</v>
      </c>
      <c r="U65" s="227">
        <v>0.98</v>
      </c>
      <c r="V65" s="228">
        <v>0.98</v>
      </c>
      <c r="W65" s="227">
        <v>0.99</v>
      </c>
      <c r="X65" s="227">
        <v>0.99</v>
      </c>
      <c r="Y65"/>
      <c r="AN65" s="162"/>
      <c r="AO65" s="162"/>
      <c r="AP65" s="237">
        <v>15</v>
      </c>
      <c r="AQ65" s="162">
        <v>12.14</v>
      </c>
      <c r="AR65" s="237">
        <v>215</v>
      </c>
      <c r="AS65" s="162">
        <v>129.22999999999999</v>
      </c>
    </row>
    <row r="66" spans="2:45" ht="15.75" x14ac:dyDescent="0.2">
      <c r="B66" s="71"/>
      <c r="C66" s="78"/>
      <c r="D66" s="78"/>
      <c r="F66" s="206">
        <v>61</v>
      </c>
      <c r="G66" s="220">
        <f t="shared" si="2"/>
        <v>11.6698</v>
      </c>
      <c r="H66" s="220">
        <f t="shared" si="3"/>
        <v>10.1332</v>
      </c>
      <c r="I66" s="92"/>
      <c r="J66" s="63"/>
      <c r="K66" s="92"/>
      <c r="L66" s="92"/>
      <c r="M66" s="92"/>
      <c r="N66" s="85"/>
      <c r="T66" s="181">
        <v>10</v>
      </c>
      <c r="U66" s="227">
        <v>0.98</v>
      </c>
      <c r="V66" s="228">
        <v>0.98</v>
      </c>
      <c r="W66" s="227">
        <v>0.99</v>
      </c>
      <c r="X66" s="227">
        <v>0.99</v>
      </c>
      <c r="Y66"/>
      <c r="AN66" s="162"/>
      <c r="AO66" s="162"/>
      <c r="AP66" s="237">
        <v>14</v>
      </c>
      <c r="AQ66" s="162">
        <v>11.5</v>
      </c>
      <c r="AR66" s="237">
        <v>214</v>
      </c>
      <c r="AS66" s="162">
        <v>128.91</v>
      </c>
    </row>
    <row r="67" spans="2:45" ht="15.75" x14ac:dyDescent="0.2">
      <c r="B67" s="71"/>
      <c r="C67" s="78"/>
      <c r="D67" s="78"/>
      <c r="F67" s="206">
        <v>62</v>
      </c>
      <c r="G67" s="220">
        <f t="shared" si="2"/>
        <v>12.510199999999999</v>
      </c>
      <c r="H67" s="220">
        <f t="shared" si="3"/>
        <v>10.882999999999999</v>
      </c>
      <c r="I67" s="92"/>
      <c r="J67" s="63"/>
      <c r="K67" s="92"/>
      <c r="L67" s="92"/>
      <c r="M67" s="92"/>
      <c r="N67" s="85"/>
      <c r="T67" s="181">
        <v>11</v>
      </c>
      <c r="U67" s="227">
        <v>1</v>
      </c>
      <c r="V67" s="228">
        <v>1</v>
      </c>
      <c r="W67" s="227">
        <v>1</v>
      </c>
      <c r="X67" s="227">
        <v>1</v>
      </c>
      <c r="Y67"/>
      <c r="AN67" s="162"/>
      <c r="AO67" s="162"/>
      <c r="AP67" s="237">
        <v>13</v>
      </c>
      <c r="AQ67" s="162">
        <v>10.84</v>
      </c>
      <c r="AR67" s="237">
        <v>213</v>
      </c>
      <c r="AS67" s="162">
        <v>128.58000000000001</v>
      </c>
    </row>
    <row r="68" spans="2:45" ht="15" customHeight="1" x14ac:dyDescent="0.2">
      <c r="B68" s="71"/>
      <c r="C68" s="78"/>
      <c r="D68" s="78"/>
      <c r="F68" s="206">
        <v>63</v>
      </c>
      <c r="G68" s="220">
        <f t="shared" si="2"/>
        <v>13.4209</v>
      </c>
      <c r="H68" s="220">
        <f t="shared" si="3"/>
        <v>11.6698</v>
      </c>
      <c r="I68" s="92"/>
      <c r="J68" s="63"/>
      <c r="K68" s="92"/>
      <c r="L68" s="92"/>
      <c r="M68" s="92"/>
      <c r="N68" s="85"/>
      <c r="O68" s="224" t="s">
        <v>2</v>
      </c>
      <c r="P68" s="224"/>
      <c r="Q68" s="224"/>
      <c r="R68" s="224"/>
      <c r="S68" s="224"/>
      <c r="T68" s="180" t="s">
        <v>269</v>
      </c>
      <c r="U68" s="185" t="s">
        <v>236</v>
      </c>
      <c r="V68" s="185" t="s">
        <v>236</v>
      </c>
      <c r="W68" s="185">
        <v>0.95</v>
      </c>
      <c r="X68" s="185">
        <v>0.97</v>
      </c>
      <c r="Y68"/>
      <c r="AN68" s="162"/>
      <c r="AO68" s="162"/>
      <c r="AP68" s="237">
        <v>12</v>
      </c>
      <c r="AQ68" s="162">
        <v>10.15</v>
      </c>
      <c r="AR68" s="237">
        <v>212</v>
      </c>
      <c r="AS68" s="162">
        <v>128.25</v>
      </c>
    </row>
    <row r="69" spans="2:45" ht="15" x14ac:dyDescent="0.2">
      <c r="B69" s="71"/>
      <c r="C69" s="78"/>
      <c r="D69" s="78"/>
      <c r="F69" s="206">
        <v>64</v>
      </c>
      <c r="G69" s="220">
        <f t="shared" si="2"/>
        <v>14.4222</v>
      </c>
      <c r="H69" s="220">
        <f t="shared" si="3"/>
        <v>12.510199999999999</v>
      </c>
      <c r="I69" s="92"/>
      <c r="J69" s="63"/>
      <c r="K69" s="92"/>
      <c r="L69" s="92"/>
      <c r="M69" s="92"/>
      <c r="N69" s="85"/>
      <c r="O69" s="165"/>
      <c r="P69" s="225" t="s">
        <v>88</v>
      </c>
      <c r="Q69" s="226"/>
      <c r="R69" s="226"/>
      <c r="S69" s="226"/>
      <c r="AN69" s="162"/>
      <c r="AO69" s="162"/>
      <c r="AP69" s="237">
        <v>11</v>
      </c>
      <c r="AQ69" s="162">
        <v>9.44</v>
      </c>
      <c r="AR69" s="237">
        <v>211</v>
      </c>
      <c r="AS69" s="162">
        <v>127.92</v>
      </c>
    </row>
    <row r="70" spans="2:45" ht="15" x14ac:dyDescent="0.2">
      <c r="B70" s="71"/>
      <c r="C70" s="78"/>
      <c r="D70" s="78"/>
      <c r="F70" s="206">
        <v>65</v>
      </c>
      <c r="G70" s="220">
        <f t="shared" si="2"/>
        <v>15.5337</v>
      </c>
      <c r="H70" s="220">
        <f t="shared" si="3"/>
        <v>13.4209</v>
      </c>
      <c r="I70" s="85"/>
      <c r="J70" s="63"/>
      <c r="K70" s="92"/>
      <c r="L70" s="92"/>
      <c r="M70" s="85"/>
      <c r="N70" s="85"/>
      <c r="O70" s="166" t="s">
        <v>285</v>
      </c>
      <c r="P70" s="167">
        <v>0</v>
      </c>
      <c r="Q70" s="167">
        <v>200000</v>
      </c>
      <c r="R70" s="167">
        <v>500000</v>
      </c>
      <c r="S70" s="167">
        <v>1000000</v>
      </c>
      <c r="AN70" s="162"/>
      <c r="AO70" s="162"/>
      <c r="AP70" s="237">
        <v>10</v>
      </c>
      <c r="AQ70" s="162">
        <v>8.7100000000000009</v>
      </c>
      <c r="AR70" s="237">
        <v>210</v>
      </c>
      <c r="AS70" s="162">
        <v>127.59</v>
      </c>
    </row>
    <row r="71" spans="2:45" ht="15" x14ac:dyDescent="0.2">
      <c r="F71" s="206">
        <v>66</v>
      </c>
      <c r="G71" s="220">
        <f t="shared" ref="G71:G102" si="4">V144</f>
        <v>16.7759</v>
      </c>
      <c r="H71" s="220">
        <f t="shared" ref="H71:H102" si="5">W144</f>
        <v>14.4222</v>
      </c>
      <c r="I71" s="85"/>
      <c r="J71" s="63"/>
      <c r="K71" s="92"/>
      <c r="L71" s="92"/>
      <c r="M71" s="85"/>
      <c r="N71" s="85"/>
      <c r="O71" s="166">
        <v>0</v>
      </c>
      <c r="P71" s="190">
        <v>0.97499999999999998</v>
      </c>
      <c r="Q71" s="190">
        <v>0.97499999999999998</v>
      </c>
      <c r="R71" s="190">
        <v>0.97499999999999998</v>
      </c>
      <c r="S71" s="190">
        <v>0.97499999999999998</v>
      </c>
      <c r="AN71" s="162"/>
      <c r="AO71" s="162"/>
      <c r="AP71" s="237">
        <v>9</v>
      </c>
      <c r="AQ71" s="162">
        <v>7.96</v>
      </c>
      <c r="AR71" s="237">
        <v>209</v>
      </c>
      <c r="AS71" s="162">
        <v>127.25</v>
      </c>
    </row>
    <row r="72" spans="2:45" ht="15" x14ac:dyDescent="0.2">
      <c r="F72" s="206">
        <v>67</v>
      </c>
      <c r="G72" s="220">
        <f t="shared" si="4"/>
        <v>18.1691</v>
      </c>
      <c r="H72" s="220">
        <f t="shared" si="5"/>
        <v>15.5337</v>
      </c>
      <c r="I72" s="85"/>
      <c r="J72" s="63"/>
      <c r="K72" s="92"/>
      <c r="L72" s="92"/>
      <c r="M72" s="85"/>
      <c r="N72" s="85"/>
      <c r="O72" s="166">
        <v>25</v>
      </c>
      <c r="P72" s="190">
        <v>0.97499999999999998</v>
      </c>
      <c r="Q72" s="190">
        <v>0.97499999999999998</v>
      </c>
      <c r="R72" s="190">
        <v>0.97499999999999998</v>
      </c>
      <c r="S72" s="190">
        <v>0.97499999999999998</v>
      </c>
      <c r="AN72" s="162"/>
      <c r="AO72" s="162"/>
      <c r="AP72" s="237">
        <v>8</v>
      </c>
      <c r="AQ72" s="162">
        <v>7.18</v>
      </c>
      <c r="AR72" s="237">
        <v>208</v>
      </c>
      <c r="AS72" s="162">
        <v>126.92</v>
      </c>
    </row>
    <row r="73" spans="2:45" ht="15" x14ac:dyDescent="0.2">
      <c r="F73" s="206">
        <v>68</v>
      </c>
      <c r="G73" s="220">
        <f t="shared" si="4"/>
        <v>19.734000000000002</v>
      </c>
      <c r="H73" s="220">
        <f t="shared" si="5"/>
        <v>16.7759</v>
      </c>
      <c r="I73" s="85"/>
      <c r="J73" s="63"/>
      <c r="K73" s="92"/>
      <c r="L73" s="92"/>
      <c r="M73" s="85"/>
      <c r="N73" s="85"/>
      <c r="O73" s="166">
        <v>50</v>
      </c>
      <c r="P73" s="190">
        <v>0.97499999999999998</v>
      </c>
      <c r="Q73" s="190">
        <v>0.97499999999999998</v>
      </c>
      <c r="R73" s="190">
        <v>0.97499999999999998</v>
      </c>
      <c r="S73" s="190">
        <v>0.97499999999999998</v>
      </c>
      <c r="AN73" s="162"/>
      <c r="AO73" s="162"/>
      <c r="AP73" s="237">
        <v>7</v>
      </c>
      <c r="AQ73" s="162">
        <v>6.38</v>
      </c>
      <c r="AR73" s="237">
        <v>207</v>
      </c>
      <c r="AS73" s="162">
        <v>126.58</v>
      </c>
    </row>
    <row r="74" spans="2:45" ht="15" x14ac:dyDescent="0.2">
      <c r="F74" s="206">
        <v>69</v>
      </c>
      <c r="G74" s="220">
        <f t="shared" si="4"/>
        <v>21.489000000000001</v>
      </c>
      <c r="H74" s="220">
        <f t="shared" si="5"/>
        <v>18.1691</v>
      </c>
      <c r="I74" s="85"/>
      <c r="J74" s="63"/>
      <c r="K74" s="92"/>
      <c r="L74" s="92"/>
      <c r="M74" s="85"/>
      <c r="N74" s="85"/>
      <c r="O74" s="166">
        <v>60</v>
      </c>
      <c r="P74" s="190">
        <v>0.97499999999999998</v>
      </c>
      <c r="Q74" s="190">
        <v>0.97499999999999998</v>
      </c>
      <c r="R74" s="190">
        <v>0.97499999999999998</v>
      </c>
      <c r="S74" s="190">
        <v>0.97499999999999998</v>
      </c>
      <c r="AC74" s="201" t="s">
        <v>289</v>
      </c>
      <c r="AD74" s="202"/>
      <c r="AE74" s="203"/>
      <c r="AN74" s="162"/>
      <c r="AO74" s="162"/>
      <c r="AP74" s="237">
        <v>6</v>
      </c>
      <c r="AQ74" s="162">
        <v>5.55</v>
      </c>
      <c r="AR74" s="237">
        <v>206</v>
      </c>
      <c r="AS74" s="162">
        <v>126.24</v>
      </c>
    </row>
    <row r="75" spans="2:45" ht="15" x14ac:dyDescent="0.2">
      <c r="F75" s="206">
        <v>70</v>
      </c>
      <c r="G75" s="220">
        <f t="shared" si="4"/>
        <v>23.456600000000002</v>
      </c>
      <c r="H75" s="220">
        <f t="shared" si="5"/>
        <v>19.734000000000002</v>
      </c>
      <c r="I75" s="85"/>
      <c r="J75" s="63"/>
      <c r="K75" s="92"/>
      <c r="L75" s="85"/>
      <c r="M75" s="85"/>
      <c r="N75" s="85"/>
      <c r="O75" s="166">
        <v>80</v>
      </c>
      <c r="P75" s="190">
        <v>0.97499999999999998</v>
      </c>
      <c r="Q75" s="190">
        <v>0.97499999999999998</v>
      </c>
      <c r="R75" s="190">
        <v>0.97499999999999998</v>
      </c>
      <c r="S75" s="190">
        <v>0.97499999999999998</v>
      </c>
      <c r="Z75" s="222"/>
      <c r="AA75" s="223"/>
      <c r="AC75" s="203"/>
      <c r="AD75" s="204" t="s">
        <v>290</v>
      </c>
      <c r="AE75" s="205"/>
      <c r="AN75" s="162"/>
      <c r="AO75" s="162"/>
      <c r="AP75" s="237">
        <v>5</v>
      </c>
      <c r="AQ75" s="162">
        <v>4.7</v>
      </c>
      <c r="AR75" s="237">
        <v>205</v>
      </c>
      <c r="AS75" s="162">
        <v>125.9</v>
      </c>
    </row>
    <row r="76" spans="2:45" ht="30" x14ac:dyDescent="0.2">
      <c r="F76" s="207">
        <v>71</v>
      </c>
      <c r="G76" s="220">
        <f t="shared" si="4"/>
        <v>25.656199999999998</v>
      </c>
      <c r="H76" s="220">
        <f t="shared" si="5"/>
        <v>21.489000000000001</v>
      </c>
      <c r="I76" s="85"/>
      <c r="J76" s="63"/>
      <c r="K76" s="92"/>
      <c r="L76" s="85"/>
      <c r="M76" s="85"/>
      <c r="N76" s="85"/>
      <c r="T76"/>
      <c r="U76" s="554" t="s">
        <v>288</v>
      </c>
      <c r="V76" s="555"/>
      <c r="W76" s="556"/>
      <c r="Y76" s="221" t="s">
        <v>286</v>
      </c>
      <c r="Z76" s="199" t="s">
        <v>63</v>
      </c>
      <c r="AA76" s="199" t="s">
        <v>64</v>
      </c>
      <c r="AC76" s="196" t="s">
        <v>287</v>
      </c>
      <c r="AD76" s="197" t="s">
        <v>63</v>
      </c>
      <c r="AE76" s="197" t="s">
        <v>64</v>
      </c>
      <c r="AN76" s="162"/>
      <c r="AO76" s="162"/>
      <c r="AP76" s="237">
        <v>4</v>
      </c>
      <c r="AQ76" s="162">
        <v>3.82</v>
      </c>
      <c r="AR76" s="237">
        <v>204</v>
      </c>
      <c r="AS76" s="162">
        <v>125.56</v>
      </c>
    </row>
    <row r="77" spans="2:45" ht="15" x14ac:dyDescent="0.2">
      <c r="F77" s="207">
        <v>72</v>
      </c>
      <c r="G77" s="220">
        <f t="shared" si="4"/>
        <v>28.1112</v>
      </c>
      <c r="H77" s="220">
        <f t="shared" si="5"/>
        <v>23.456600000000002</v>
      </c>
      <c r="I77" s="85"/>
      <c r="J77" s="63"/>
      <c r="K77" s="92"/>
      <c r="L77" s="85"/>
      <c r="M77" s="85"/>
      <c r="N77" s="85"/>
      <c r="T77"/>
      <c r="U77" s="198" t="s">
        <v>287</v>
      </c>
      <c r="V77" s="199" t="s">
        <v>63</v>
      </c>
      <c r="W77" s="199" t="s">
        <v>64</v>
      </c>
      <c r="Y77" s="198" t="s">
        <v>287</v>
      </c>
      <c r="Z77" s="208">
        <f t="shared" ref="Z77:Z108" si="6">INDEX(Mort_Charge_Table,MATCH(Y78,$O$71:$O$75,1),MATCH(pr,$P$70:$T$70,1))</f>
        <v>0.97499999999999998</v>
      </c>
      <c r="AA77" s="208">
        <f t="shared" ref="AA77:AA96" si="7">INDEX(Mort_Charge_Table,MATCH(Z77,$O$71:$O$75,1),MATCH(pr,$P$70:$T$70,1))</f>
        <v>0.97499999999999998</v>
      </c>
      <c r="AC77" s="199">
        <v>0</v>
      </c>
      <c r="AD77" s="209">
        <v>9.1500000000000001E-4</v>
      </c>
      <c r="AE77" s="209">
        <v>9.1500000000000001E-4</v>
      </c>
      <c r="AN77" s="162"/>
      <c r="AO77" s="162"/>
      <c r="AP77" s="237">
        <v>3</v>
      </c>
      <c r="AQ77" s="162">
        <v>2.91</v>
      </c>
      <c r="AR77" s="237">
        <v>203</v>
      </c>
      <c r="AS77" s="162">
        <v>125.21</v>
      </c>
    </row>
    <row r="78" spans="2:45" ht="15" x14ac:dyDescent="0.2">
      <c r="F78" s="207">
        <v>73</v>
      </c>
      <c r="G78" s="220">
        <f t="shared" si="4"/>
        <v>30.847100000000001</v>
      </c>
      <c r="H78" s="220">
        <f t="shared" si="5"/>
        <v>25.656199999999998</v>
      </c>
      <c r="I78" s="85"/>
      <c r="J78" s="63"/>
      <c r="K78" s="92"/>
      <c r="L78" s="85"/>
      <c r="M78" s="85"/>
      <c r="N78" s="85"/>
      <c r="T78"/>
      <c r="U78" s="199">
        <v>0</v>
      </c>
      <c r="V78" s="200">
        <f t="shared" ref="V78:V109" si="8">ROUND(VLOOKUP(U78,$AC$77:$AE$177,2,0)*Z77*1000,4)</f>
        <v>0.8921</v>
      </c>
      <c r="W78" s="200">
        <f t="shared" ref="W78:W109" si="9">ROUND(VLOOKUP(U78,$AC$77:$AE$177,3,0)*AA77*1000,4)</f>
        <v>0.8921</v>
      </c>
      <c r="Y78" s="199">
        <v>0</v>
      </c>
      <c r="Z78" s="208">
        <f t="shared" si="6"/>
        <v>0.97499999999999998</v>
      </c>
      <c r="AA78" s="208">
        <f t="shared" si="7"/>
        <v>0.97499999999999998</v>
      </c>
      <c r="AC78" s="199">
        <v>1</v>
      </c>
      <c r="AD78" s="209">
        <v>9.1500000000000001E-4</v>
      </c>
      <c r="AE78" s="209">
        <v>9.1500000000000001E-4</v>
      </c>
      <c r="AN78" s="162"/>
      <c r="AO78" s="162"/>
      <c r="AP78" s="237">
        <v>2</v>
      </c>
      <c r="AQ78" s="162">
        <v>1.97</v>
      </c>
      <c r="AR78" s="237">
        <v>202</v>
      </c>
      <c r="AS78" s="162">
        <v>124.87</v>
      </c>
    </row>
    <row r="79" spans="2:45" ht="15" x14ac:dyDescent="0.2">
      <c r="F79" s="207">
        <v>74</v>
      </c>
      <c r="G79" s="220">
        <f t="shared" si="4"/>
        <v>33.888100000000001</v>
      </c>
      <c r="H79" s="220">
        <f t="shared" si="5"/>
        <v>28.1112</v>
      </c>
      <c r="I79" s="85"/>
      <c r="J79" s="63"/>
      <c r="K79" s="92"/>
      <c r="L79" s="85"/>
      <c r="M79" s="85"/>
      <c r="N79" s="85"/>
      <c r="T79"/>
      <c r="U79" s="199">
        <v>1</v>
      </c>
      <c r="V79" s="200">
        <f t="shared" si="8"/>
        <v>0.8921</v>
      </c>
      <c r="W79" s="200">
        <f t="shared" si="9"/>
        <v>0.8921</v>
      </c>
      <c r="Y79" s="199">
        <v>1</v>
      </c>
      <c r="Z79" s="208">
        <f t="shared" si="6"/>
        <v>0.97499999999999998</v>
      </c>
      <c r="AA79" s="208">
        <f t="shared" si="7"/>
        <v>0.97499999999999998</v>
      </c>
      <c r="AC79" s="199">
        <v>2</v>
      </c>
      <c r="AD79" s="209">
        <v>9.1500000000000001E-4</v>
      </c>
      <c r="AE79" s="209">
        <v>9.1500000000000001E-4</v>
      </c>
      <c r="AN79" s="162"/>
      <c r="AO79" s="162"/>
      <c r="AP79" s="237">
        <v>1</v>
      </c>
      <c r="AQ79" s="162">
        <v>1</v>
      </c>
      <c r="AR79" s="237">
        <v>201</v>
      </c>
      <c r="AS79" s="162">
        <v>124.52</v>
      </c>
    </row>
    <row r="80" spans="2:45" ht="15" x14ac:dyDescent="0.2">
      <c r="F80" s="207">
        <v>75</v>
      </c>
      <c r="G80" s="220">
        <f t="shared" si="4"/>
        <v>37.265500000000003</v>
      </c>
      <c r="H80" s="220">
        <f t="shared" si="5"/>
        <v>30.847100000000001</v>
      </c>
      <c r="I80" s="86"/>
      <c r="J80" s="87"/>
      <c r="K80" s="88"/>
      <c r="L80" s="84"/>
      <c r="M80" s="68"/>
      <c r="N80" s="84"/>
      <c r="T80"/>
      <c r="U80" s="199">
        <v>2</v>
      </c>
      <c r="V80" s="200">
        <f t="shared" si="8"/>
        <v>0.8921</v>
      </c>
      <c r="W80" s="200">
        <f t="shared" si="9"/>
        <v>0.8921</v>
      </c>
      <c r="Y80" s="199">
        <v>2</v>
      </c>
      <c r="Z80" s="208">
        <f t="shared" si="6"/>
        <v>0.97499999999999998</v>
      </c>
      <c r="AA80" s="208">
        <f t="shared" si="7"/>
        <v>0.97499999999999998</v>
      </c>
      <c r="AC80" s="199">
        <v>3</v>
      </c>
      <c r="AD80" s="209">
        <v>4.6999999999999999E-4</v>
      </c>
      <c r="AE80" s="209">
        <v>9.1500000000000001E-4</v>
      </c>
      <c r="AN80" s="162"/>
      <c r="AO80" s="162"/>
      <c r="AP80" s="162"/>
      <c r="AQ80" s="162"/>
      <c r="AR80" s="237">
        <v>200</v>
      </c>
      <c r="AS80" s="162">
        <v>124.17</v>
      </c>
    </row>
    <row r="81" spans="5:45" ht="15" x14ac:dyDescent="0.2">
      <c r="F81" s="162">
        <v>76</v>
      </c>
      <c r="G81" s="220">
        <f t="shared" si="4"/>
        <v>41.009500000000003</v>
      </c>
      <c r="H81" s="220">
        <f t="shared" si="5"/>
        <v>33.888100000000001</v>
      </c>
      <c r="I81" s="86"/>
      <c r="J81" s="87"/>
      <c r="K81" s="88"/>
      <c r="L81" s="84"/>
      <c r="M81" s="68"/>
      <c r="N81" s="84"/>
      <c r="T81"/>
      <c r="U81" s="199">
        <v>3</v>
      </c>
      <c r="V81" s="200">
        <f t="shared" si="8"/>
        <v>0.45829999999999999</v>
      </c>
      <c r="W81" s="200">
        <f t="shared" si="9"/>
        <v>0.8921</v>
      </c>
      <c r="Y81" s="199">
        <v>3</v>
      </c>
      <c r="Z81" s="208">
        <f t="shared" si="6"/>
        <v>0.97499999999999998</v>
      </c>
      <c r="AA81" s="208">
        <f t="shared" si="7"/>
        <v>0.97499999999999998</v>
      </c>
      <c r="AC81" s="199">
        <v>4</v>
      </c>
      <c r="AD81" s="209">
        <v>2.7099999999999997E-4</v>
      </c>
      <c r="AE81" s="209">
        <v>9.1500000000000001E-4</v>
      </c>
      <c r="AR81" s="237">
        <v>199</v>
      </c>
      <c r="AS81" s="162">
        <v>123.82</v>
      </c>
    </row>
    <row r="82" spans="5:45" ht="15" x14ac:dyDescent="0.2">
      <c r="F82" s="162">
        <v>77</v>
      </c>
      <c r="G82" s="220">
        <f t="shared" si="4"/>
        <v>45.158099999999997</v>
      </c>
      <c r="H82" s="220">
        <f t="shared" si="5"/>
        <v>37.265500000000003</v>
      </c>
      <c r="I82" s="86"/>
      <c r="J82" s="87"/>
      <c r="K82" s="88"/>
      <c r="L82" s="84"/>
      <c r="M82" s="68"/>
      <c r="N82" s="84"/>
      <c r="T82"/>
      <c r="U82" s="199">
        <v>4</v>
      </c>
      <c r="V82" s="200">
        <f t="shared" si="8"/>
        <v>0.26419999999999999</v>
      </c>
      <c r="W82" s="200">
        <f t="shared" si="9"/>
        <v>0.8921</v>
      </c>
      <c r="Y82" s="199">
        <v>4</v>
      </c>
      <c r="Z82" s="208">
        <f t="shared" si="6"/>
        <v>0.97499999999999998</v>
      </c>
      <c r="AA82" s="208">
        <f t="shared" si="7"/>
        <v>0.97499999999999998</v>
      </c>
      <c r="AC82" s="199">
        <v>5</v>
      </c>
      <c r="AD82" s="209">
        <v>1.85E-4</v>
      </c>
      <c r="AE82" s="209">
        <v>4.6999999999999999E-4</v>
      </c>
      <c r="AR82" s="237">
        <v>198</v>
      </c>
      <c r="AS82" s="162">
        <v>123.46</v>
      </c>
    </row>
    <row r="83" spans="5:45" ht="15" x14ac:dyDescent="0.2">
      <c r="F83" s="162">
        <v>78</v>
      </c>
      <c r="G83" s="220">
        <f t="shared" si="4"/>
        <v>49.748399999999997</v>
      </c>
      <c r="H83" s="220">
        <f t="shared" si="5"/>
        <v>41.009500000000003</v>
      </c>
      <c r="I83" s="86"/>
      <c r="J83" s="87"/>
      <c r="K83" s="88"/>
      <c r="L83" s="89"/>
      <c r="M83" s="71"/>
      <c r="N83" s="89"/>
      <c r="T83"/>
      <c r="U83" s="199">
        <v>5</v>
      </c>
      <c r="V83" s="200">
        <f t="shared" si="8"/>
        <v>0.1804</v>
      </c>
      <c r="W83" s="200">
        <f t="shared" si="9"/>
        <v>0.45829999999999999</v>
      </c>
      <c r="Y83" s="199">
        <v>5</v>
      </c>
      <c r="Z83" s="208">
        <f t="shared" si="6"/>
        <v>0.97499999999999998</v>
      </c>
      <c r="AA83" s="208">
        <f t="shared" si="7"/>
        <v>0.97499999999999998</v>
      </c>
      <c r="AC83" s="199">
        <v>6</v>
      </c>
      <c r="AD83" s="209">
        <v>1.5200000000000001E-4</v>
      </c>
      <c r="AE83" s="209">
        <v>2.7099999999999997E-4</v>
      </c>
      <c r="AR83" s="237">
        <v>197</v>
      </c>
      <c r="AS83" s="162">
        <v>123.11</v>
      </c>
    </row>
    <row r="84" spans="5:45" ht="15" x14ac:dyDescent="0.2">
      <c r="F84" s="162">
        <v>79</v>
      </c>
      <c r="G84" s="220">
        <f t="shared" si="4"/>
        <v>54.825200000000002</v>
      </c>
      <c r="H84" s="220">
        <f t="shared" si="5"/>
        <v>45.158099999999997</v>
      </c>
      <c r="I84" s="86"/>
      <c r="J84" s="87"/>
      <c r="K84" s="88"/>
      <c r="L84" s="89"/>
      <c r="M84" s="71"/>
      <c r="N84" s="89"/>
      <c r="U84" s="199">
        <v>6</v>
      </c>
      <c r="V84" s="200">
        <f t="shared" si="8"/>
        <v>0.1482</v>
      </c>
      <c r="W84" s="200">
        <f t="shared" si="9"/>
        <v>0.26419999999999999</v>
      </c>
      <c r="Y84" s="199">
        <v>6</v>
      </c>
      <c r="Z84" s="208">
        <f t="shared" si="6"/>
        <v>0.97499999999999998</v>
      </c>
      <c r="AA84" s="208">
        <f t="shared" si="7"/>
        <v>0.97499999999999998</v>
      </c>
      <c r="AC84" s="199">
        <v>7</v>
      </c>
      <c r="AD84" s="209">
        <v>1.4899999999999999E-4</v>
      </c>
      <c r="AE84" s="209">
        <v>1.85E-4</v>
      </c>
      <c r="AR84" s="237">
        <v>196</v>
      </c>
      <c r="AS84" s="162">
        <v>122.75</v>
      </c>
    </row>
    <row r="85" spans="5:45" ht="15" x14ac:dyDescent="0.2">
      <c r="F85" s="162">
        <v>80</v>
      </c>
      <c r="G85" s="220">
        <f t="shared" si="4"/>
        <v>60.435400000000001</v>
      </c>
      <c r="H85" s="220">
        <f t="shared" si="5"/>
        <v>49.748399999999997</v>
      </c>
      <c r="I85" s="86"/>
      <c r="J85" s="87"/>
      <c r="K85" s="88"/>
      <c r="L85" s="89"/>
      <c r="M85" s="71"/>
      <c r="N85" s="89"/>
      <c r="U85" s="199">
        <v>7</v>
      </c>
      <c r="V85" s="200">
        <f t="shared" si="8"/>
        <v>0.14530000000000001</v>
      </c>
      <c r="W85" s="200">
        <f t="shared" si="9"/>
        <v>0.1804</v>
      </c>
      <c r="Y85" s="199">
        <v>7</v>
      </c>
      <c r="Z85" s="208">
        <f t="shared" si="6"/>
        <v>0.97499999999999998</v>
      </c>
      <c r="AA85" s="208">
        <f t="shared" si="7"/>
        <v>0.97499999999999998</v>
      </c>
      <c r="AC85" s="199">
        <v>8</v>
      </c>
      <c r="AD85" s="209">
        <v>1.6699999999999999E-4</v>
      </c>
      <c r="AE85" s="209">
        <v>1.5200000000000001E-4</v>
      </c>
      <c r="AR85" s="237">
        <v>195</v>
      </c>
      <c r="AS85" s="162">
        <v>122.39</v>
      </c>
    </row>
    <row r="86" spans="5:45" ht="15" x14ac:dyDescent="0.2">
      <c r="F86" s="162">
        <v>81</v>
      </c>
      <c r="G86" s="220">
        <f t="shared" si="4"/>
        <v>66.629599999999996</v>
      </c>
      <c r="H86" s="220">
        <f t="shared" si="5"/>
        <v>54.825200000000002</v>
      </c>
      <c r="I86" s="86"/>
      <c r="J86" s="87"/>
      <c r="K86" s="88"/>
      <c r="L86" s="89"/>
      <c r="M86" s="71"/>
      <c r="N86" s="89"/>
      <c r="U86" s="199">
        <v>8</v>
      </c>
      <c r="V86" s="200">
        <f t="shared" si="8"/>
        <v>0.1628</v>
      </c>
      <c r="W86" s="200">
        <f t="shared" si="9"/>
        <v>0.1482</v>
      </c>
      <c r="Y86" s="199">
        <v>8</v>
      </c>
      <c r="Z86" s="208">
        <f t="shared" si="6"/>
        <v>0.97499999999999998</v>
      </c>
      <c r="AA86" s="208">
        <f t="shared" si="7"/>
        <v>0.97499999999999998</v>
      </c>
      <c r="AC86" s="199">
        <v>9</v>
      </c>
      <c r="AD86" s="209">
        <v>2.0599999999999999E-4</v>
      </c>
      <c r="AE86" s="209">
        <v>1.4899999999999999E-4</v>
      </c>
      <c r="AR86" s="237">
        <v>194</v>
      </c>
      <c r="AS86" s="162">
        <v>122.03</v>
      </c>
    </row>
    <row r="87" spans="5:45" ht="15" x14ac:dyDescent="0.2">
      <c r="E87" s="87"/>
      <c r="F87" s="212">
        <v>82</v>
      </c>
      <c r="G87" s="220">
        <f t="shared" si="4"/>
        <v>73.466300000000004</v>
      </c>
      <c r="H87" s="220">
        <f t="shared" si="5"/>
        <v>60.435400000000001</v>
      </c>
      <c r="I87" s="87"/>
      <c r="J87" s="87"/>
      <c r="K87" s="88"/>
      <c r="L87" s="89"/>
      <c r="M87" s="71"/>
      <c r="N87" s="89"/>
      <c r="U87" s="199">
        <v>9</v>
      </c>
      <c r="V87" s="200">
        <f t="shared" si="8"/>
        <v>0.2009</v>
      </c>
      <c r="W87" s="200">
        <f t="shared" si="9"/>
        <v>0.14530000000000001</v>
      </c>
      <c r="Y87" s="199">
        <v>9</v>
      </c>
      <c r="Z87" s="208">
        <f t="shared" si="6"/>
        <v>0.97499999999999998</v>
      </c>
      <c r="AA87" s="208">
        <f t="shared" si="7"/>
        <v>0.97499999999999998</v>
      </c>
      <c r="AC87" s="199">
        <v>10</v>
      </c>
      <c r="AD87" s="209">
        <v>2.6499999999999999E-4</v>
      </c>
      <c r="AE87" s="209">
        <v>1.6699999999999999E-4</v>
      </c>
      <c r="AR87" s="237">
        <v>193</v>
      </c>
      <c r="AS87" s="162">
        <v>121.67</v>
      </c>
    </row>
    <row r="88" spans="5:45" ht="15" x14ac:dyDescent="0.2">
      <c r="E88" s="87"/>
      <c r="F88" s="212">
        <v>83</v>
      </c>
      <c r="G88" s="220">
        <f t="shared" si="4"/>
        <v>81.004999999999995</v>
      </c>
      <c r="H88" s="220">
        <f t="shared" si="5"/>
        <v>66.629599999999996</v>
      </c>
      <c r="I88" s="87"/>
      <c r="J88" s="87"/>
      <c r="K88" s="88"/>
      <c r="L88" s="89"/>
      <c r="M88" s="71"/>
      <c r="N88" s="89"/>
      <c r="U88" s="199">
        <v>10</v>
      </c>
      <c r="V88" s="200">
        <f t="shared" si="8"/>
        <v>0.25840000000000002</v>
      </c>
      <c r="W88" s="200">
        <f t="shared" si="9"/>
        <v>0.1628</v>
      </c>
      <c r="Y88" s="199">
        <v>10</v>
      </c>
      <c r="Z88" s="208">
        <f t="shared" si="6"/>
        <v>0.97499999999999998</v>
      </c>
      <c r="AA88" s="208">
        <f t="shared" si="7"/>
        <v>0.97499999999999998</v>
      </c>
      <c r="AC88" s="199">
        <v>11</v>
      </c>
      <c r="AD88" s="209">
        <v>3.4099999999999999E-4</v>
      </c>
      <c r="AE88" s="209">
        <v>2.0599999999999999E-4</v>
      </c>
      <c r="AR88" s="237">
        <v>192</v>
      </c>
      <c r="AS88" s="162">
        <v>121.3</v>
      </c>
    </row>
    <row r="89" spans="5:45" ht="15" x14ac:dyDescent="0.2">
      <c r="E89" s="87"/>
      <c r="F89" s="212">
        <v>84</v>
      </c>
      <c r="G89" s="220">
        <f t="shared" si="4"/>
        <v>89.311000000000007</v>
      </c>
      <c r="H89" s="220">
        <f t="shared" si="5"/>
        <v>73.466300000000004</v>
      </c>
      <c r="I89" s="87"/>
      <c r="J89" s="87"/>
      <c r="K89" s="88"/>
      <c r="U89" s="199">
        <v>11</v>
      </c>
      <c r="V89" s="200">
        <f t="shared" si="8"/>
        <v>0.33250000000000002</v>
      </c>
      <c r="W89" s="200">
        <f t="shared" si="9"/>
        <v>0.2009</v>
      </c>
      <c r="Y89" s="199">
        <v>11</v>
      </c>
      <c r="Z89" s="208">
        <f t="shared" si="6"/>
        <v>0.97499999999999998</v>
      </c>
      <c r="AA89" s="208">
        <f t="shared" si="7"/>
        <v>0.97499999999999998</v>
      </c>
      <c r="AC89" s="199">
        <v>12</v>
      </c>
      <c r="AD89" s="209">
        <v>4.2900000000000002E-4</v>
      </c>
      <c r="AE89" s="209">
        <v>2.6499999999999999E-4</v>
      </c>
      <c r="AR89" s="237">
        <v>191</v>
      </c>
      <c r="AS89" s="162">
        <v>120.93</v>
      </c>
    </row>
    <row r="90" spans="5:45" ht="15" x14ac:dyDescent="0.2">
      <c r="E90" s="87"/>
      <c r="F90" s="212">
        <v>85</v>
      </c>
      <c r="G90" s="220">
        <f t="shared" si="4"/>
        <v>98.454499999999996</v>
      </c>
      <c r="H90" s="220">
        <f t="shared" si="5"/>
        <v>81.004999999999995</v>
      </c>
      <c r="I90" s="87"/>
      <c r="J90" s="87"/>
      <c r="K90" s="88"/>
      <c r="U90" s="199">
        <v>12</v>
      </c>
      <c r="V90" s="200">
        <f t="shared" si="8"/>
        <v>0.41830000000000001</v>
      </c>
      <c r="W90" s="200">
        <f t="shared" si="9"/>
        <v>0.25840000000000002</v>
      </c>
      <c r="Y90" s="199">
        <v>12</v>
      </c>
      <c r="Z90" s="208">
        <f t="shared" si="6"/>
        <v>0.97499999999999998</v>
      </c>
      <c r="AA90" s="208">
        <f t="shared" si="7"/>
        <v>0.97499999999999998</v>
      </c>
      <c r="AC90" s="199">
        <v>13</v>
      </c>
      <c r="AD90" s="209">
        <v>5.22E-4</v>
      </c>
      <c r="AE90" s="209">
        <v>3.4099999999999999E-4</v>
      </c>
      <c r="AR90" s="237">
        <v>190</v>
      </c>
      <c r="AS90" s="162">
        <v>120.56</v>
      </c>
    </row>
    <row r="91" spans="5:45" ht="15" x14ac:dyDescent="0.2">
      <c r="E91" s="87"/>
      <c r="F91" s="212">
        <v>86</v>
      </c>
      <c r="G91" s="220">
        <f t="shared" si="4"/>
        <v>108.5087</v>
      </c>
      <c r="H91" s="220">
        <f t="shared" si="5"/>
        <v>89.311000000000007</v>
      </c>
      <c r="I91" s="87"/>
      <c r="J91" s="87"/>
      <c r="K91" s="88"/>
      <c r="L91" s="89"/>
      <c r="M91" s="71"/>
      <c r="U91" s="199">
        <v>13</v>
      </c>
      <c r="V91" s="200">
        <f t="shared" si="8"/>
        <v>0.50900000000000001</v>
      </c>
      <c r="W91" s="200">
        <f t="shared" si="9"/>
        <v>0.33250000000000002</v>
      </c>
      <c r="Y91" s="199">
        <v>13</v>
      </c>
      <c r="Z91" s="208">
        <f t="shared" si="6"/>
        <v>0.97499999999999998</v>
      </c>
      <c r="AA91" s="208">
        <f t="shared" si="7"/>
        <v>0.97499999999999998</v>
      </c>
      <c r="AC91" s="199">
        <v>14</v>
      </c>
      <c r="AD91" s="209">
        <v>6.1399999999999996E-4</v>
      </c>
      <c r="AE91" s="209">
        <v>4.2900000000000002E-4</v>
      </c>
      <c r="AR91" s="237">
        <v>189</v>
      </c>
      <c r="AS91" s="162">
        <v>120.19</v>
      </c>
    </row>
    <row r="92" spans="5:45" ht="15" x14ac:dyDescent="0.2">
      <c r="E92" s="87"/>
      <c r="F92" s="212">
        <v>87</v>
      </c>
      <c r="G92" s="220">
        <f t="shared" si="4"/>
        <v>119.5506</v>
      </c>
      <c r="H92" s="220">
        <f t="shared" si="5"/>
        <v>98.454499999999996</v>
      </c>
      <c r="I92" s="87"/>
      <c r="J92" s="87"/>
      <c r="K92" s="88"/>
      <c r="L92" s="89"/>
      <c r="M92" s="71"/>
      <c r="U92" s="199">
        <v>14</v>
      </c>
      <c r="V92" s="200">
        <f t="shared" si="8"/>
        <v>0.59870000000000001</v>
      </c>
      <c r="W92" s="200">
        <f t="shared" si="9"/>
        <v>0.41830000000000001</v>
      </c>
      <c r="Y92" s="199">
        <v>14</v>
      </c>
      <c r="Z92" s="208">
        <f t="shared" si="6"/>
        <v>0.97499999999999998</v>
      </c>
      <c r="AA92" s="208">
        <f t="shared" si="7"/>
        <v>0.97499999999999998</v>
      </c>
      <c r="AC92" s="199">
        <v>15</v>
      </c>
      <c r="AD92" s="209">
        <v>6.9800000000000005E-4</v>
      </c>
      <c r="AE92" s="209">
        <v>5.22E-4</v>
      </c>
      <c r="AR92" s="237">
        <v>188</v>
      </c>
      <c r="AS92" s="162">
        <v>119.82</v>
      </c>
    </row>
    <row r="93" spans="5:45" ht="15" x14ac:dyDescent="0.2">
      <c r="E93" s="87"/>
      <c r="F93" s="212">
        <v>88</v>
      </c>
      <c r="G93" s="220">
        <f t="shared" si="4"/>
        <v>131.6611</v>
      </c>
      <c r="H93" s="220">
        <f t="shared" si="5"/>
        <v>108.5087</v>
      </c>
      <c r="I93" s="87"/>
      <c r="J93" s="87"/>
      <c r="K93" s="88"/>
      <c r="L93" s="89"/>
      <c r="M93" s="71"/>
      <c r="U93" s="199">
        <v>15</v>
      </c>
      <c r="V93" s="200">
        <f t="shared" si="8"/>
        <v>0.68059999999999998</v>
      </c>
      <c r="W93" s="200">
        <f t="shared" si="9"/>
        <v>0.50900000000000001</v>
      </c>
      <c r="Y93" s="199">
        <v>15</v>
      </c>
      <c r="Z93" s="208">
        <f t="shared" si="6"/>
        <v>0.97499999999999998</v>
      </c>
      <c r="AA93" s="208">
        <f t="shared" si="7"/>
        <v>0.97499999999999998</v>
      </c>
      <c r="AC93" s="199">
        <v>16</v>
      </c>
      <c r="AD93" s="209">
        <v>7.6999999999999996E-4</v>
      </c>
      <c r="AE93" s="209">
        <v>6.1399999999999996E-4</v>
      </c>
      <c r="AR93" s="237">
        <v>187</v>
      </c>
      <c r="AS93" s="162">
        <v>119.45</v>
      </c>
    </row>
    <row r="94" spans="5:45" ht="15" x14ac:dyDescent="0.2">
      <c r="E94" s="87"/>
      <c r="F94" s="212">
        <v>89</v>
      </c>
      <c r="G94" s="220">
        <f t="shared" si="4"/>
        <v>144.923</v>
      </c>
      <c r="H94" s="220">
        <f t="shared" si="5"/>
        <v>119.5506</v>
      </c>
      <c r="I94" s="87"/>
      <c r="J94" s="87"/>
      <c r="K94" s="88"/>
      <c r="L94" s="89"/>
      <c r="M94" s="71"/>
      <c r="U94" s="199">
        <v>16</v>
      </c>
      <c r="V94" s="200">
        <f t="shared" si="8"/>
        <v>0.75080000000000002</v>
      </c>
      <c r="W94" s="200">
        <f t="shared" si="9"/>
        <v>0.59870000000000001</v>
      </c>
      <c r="Y94" s="199">
        <v>16</v>
      </c>
      <c r="Z94" s="208">
        <f t="shared" si="6"/>
        <v>0.97499999999999998</v>
      </c>
      <c r="AA94" s="208">
        <f t="shared" si="7"/>
        <v>0.97499999999999998</v>
      </c>
      <c r="AC94" s="199">
        <v>17</v>
      </c>
      <c r="AD94" s="209">
        <v>8.2899999999999998E-4</v>
      </c>
      <c r="AE94" s="209">
        <v>6.9800000000000005E-4</v>
      </c>
      <c r="AR94" s="237">
        <v>186</v>
      </c>
      <c r="AS94" s="162">
        <v>119.07</v>
      </c>
    </row>
    <row r="95" spans="5:45" ht="15" x14ac:dyDescent="0.2">
      <c r="E95" s="87"/>
      <c r="F95" s="212">
        <v>90</v>
      </c>
      <c r="G95" s="220">
        <f t="shared" si="4"/>
        <v>159.41929999999999</v>
      </c>
      <c r="H95" s="220">
        <f t="shared" si="5"/>
        <v>131.6611</v>
      </c>
      <c r="I95" s="87"/>
      <c r="J95" s="87"/>
      <c r="K95" s="88"/>
      <c r="L95" s="89"/>
      <c r="M95" s="71"/>
      <c r="U95" s="199">
        <v>17</v>
      </c>
      <c r="V95" s="200">
        <f t="shared" si="8"/>
        <v>0.80830000000000002</v>
      </c>
      <c r="W95" s="200">
        <f t="shared" si="9"/>
        <v>0.68059999999999998</v>
      </c>
      <c r="Y95" s="199">
        <v>17</v>
      </c>
      <c r="Z95" s="208">
        <f t="shared" si="6"/>
        <v>0.97499999999999998</v>
      </c>
      <c r="AA95" s="208">
        <f t="shared" si="7"/>
        <v>0.97499999999999998</v>
      </c>
      <c r="AC95" s="199">
        <v>18</v>
      </c>
      <c r="AD95" s="209">
        <v>8.7399999999999999E-4</v>
      </c>
      <c r="AE95" s="209">
        <v>7.6999999999999996E-4</v>
      </c>
      <c r="AR95" s="237">
        <v>185</v>
      </c>
      <c r="AS95" s="162">
        <v>118.69</v>
      </c>
    </row>
    <row r="96" spans="5:45" ht="15" x14ac:dyDescent="0.2">
      <c r="E96" s="87"/>
      <c r="F96" s="212">
        <v>91</v>
      </c>
      <c r="G96" s="220">
        <f t="shared" si="4"/>
        <v>175.2329</v>
      </c>
      <c r="H96" s="220">
        <f t="shared" si="5"/>
        <v>144.923</v>
      </c>
      <c r="I96" s="87"/>
      <c r="J96" s="87"/>
      <c r="K96" s="89"/>
      <c r="L96" s="89"/>
      <c r="M96" s="71"/>
      <c r="U96" s="199">
        <v>18</v>
      </c>
      <c r="V96" s="200">
        <f t="shared" si="8"/>
        <v>0.85219999999999996</v>
      </c>
      <c r="W96" s="200">
        <f t="shared" si="9"/>
        <v>0.75080000000000002</v>
      </c>
      <c r="Y96" s="199">
        <v>18</v>
      </c>
      <c r="Z96" s="208">
        <f t="shared" si="6"/>
        <v>0.97499999999999998</v>
      </c>
      <c r="AA96" s="208">
        <f t="shared" si="7"/>
        <v>0.97499999999999998</v>
      </c>
      <c r="AC96" s="199">
        <v>19</v>
      </c>
      <c r="AD96" s="209">
        <v>9.0499999999999999E-4</v>
      </c>
      <c r="AE96" s="209">
        <v>8.2899999999999998E-4</v>
      </c>
      <c r="AR96" s="237">
        <v>184</v>
      </c>
      <c r="AS96" s="162">
        <v>118.31</v>
      </c>
    </row>
    <row r="97" spans="5:45" ht="15" x14ac:dyDescent="0.2">
      <c r="E97" s="87"/>
      <c r="F97" s="212">
        <v>92</v>
      </c>
      <c r="G97" s="220">
        <f t="shared" si="4"/>
        <v>192.44550000000001</v>
      </c>
      <c r="H97" s="220">
        <f t="shared" si="5"/>
        <v>159.41929999999999</v>
      </c>
      <c r="I97" s="87"/>
      <c r="J97" s="87"/>
      <c r="K97" s="89"/>
      <c r="L97" s="89"/>
      <c r="M97" s="71"/>
      <c r="U97" s="199">
        <v>19</v>
      </c>
      <c r="V97" s="200">
        <f t="shared" si="8"/>
        <v>0.88239999999999996</v>
      </c>
      <c r="W97" s="200">
        <f t="shared" si="9"/>
        <v>0.80830000000000002</v>
      </c>
      <c r="Y97" s="199">
        <v>19</v>
      </c>
      <c r="Z97" s="208">
        <f t="shared" si="6"/>
        <v>0.97499999999999998</v>
      </c>
      <c r="AA97" s="208">
        <f t="shared" ref="AA97:AA116" si="10">INDEX(Mort_Charge_Table,MATCH(Z97,$O$71:$O$75,1),MATCH(pr,$P$70:$T$70,1))</f>
        <v>0.97499999999999998</v>
      </c>
      <c r="AC97" s="199">
        <v>20</v>
      </c>
      <c r="AD97" s="209">
        <v>9.2400000000000002E-4</v>
      </c>
      <c r="AE97" s="209">
        <v>8.7399999999999999E-4</v>
      </c>
      <c r="AR97" s="237">
        <v>183</v>
      </c>
      <c r="AS97" s="162">
        <v>117.93</v>
      </c>
    </row>
    <row r="98" spans="5:45" ht="15" x14ac:dyDescent="0.2">
      <c r="E98" s="87"/>
      <c r="F98" s="212">
        <v>93</v>
      </c>
      <c r="G98" s="220">
        <f t="shared" si="4"/>
        <v>211.13329999999999</v>
      </c>
      <c r="H98" s="220">
        <f t="shared" si="5"/>
        <v>175.2329</v>
      </c>
      <c r="I98" s="87"/>
      <c r="J98" s="87"/>
      <c r="K98" s="89"/>
      <c r="L98" s="89"/>
      <c r="M98" s="71"/>
      <c r="U98" s="199">
        <v>20</v>
      </c>
      <c r="V98" s="200">
        <f t="shared" si="8"/>
        <v>0.90090000000000003</v>
      </c>
      <c r="W98" s="200">
        <f t="shared" si="9"/>
        <v>0.85219999999999996</v>
      </c>
      <c r="Y98" s="199">
        <v>20</v>
      </c>
      <c r="Z98" s="208">
        <f t="shared" si="6"/>
        <v>0.97499999999999998</v>
      </c>
      <c r="AA98" s="208">
        <f t="shared" si="10"/>
        <v>0.97499999999999998</v>
      </c>
      <c r="AC98" s="199">
        <v>21</v>
      </c>
      <c r="AD98" s="209">
        <v>9.3400000000000004E-4</v>
      </c>
      <c r="AE98" s="209">
        <v>9.0499999999999999E-4</v>
      </c>
      <c r="AR98" s="237">
        <v>182</v>
      </c>
      <c r="AS98" s="162">
        <v>117.54</v>
      </c>
    </row>
    <row r="99" spans="5:45" ht="15" x14ac:dyDescent="0.2">
      <c r="E99" s="87"/>
      <c r="F99" s="212">
        <v>94</v>
      </c>
      <c r="G99" s="220">
        <f t="shared" si="4"/>
        <v>231.36949999999999</v>
      </c>
      <c r="H99" s="220">
        <f t="shared" si="5"/>
        <v>192.44550000000001</v>
      </c>
      <c r="I99" s="87"/>
      <c r="J99" s="87"/>
      <c r="K99" s="89"/>
      <c r="L99" s="89"/>
      <c r="M99" s="71"/>
      <c r="U99" s="199">
        <v>21</v>
      </c>
      <c r="V99" s="200">
        <f t="shared" si="8"/>
        <v>0.91069999999999995</v>
      </c>
      <c r="W99" s="200">
        <f t="shared" si="9"/>
        <v>0.88239999999999996</v>
      </c>
      <c r="Y99" s="199">
        <v>21</v>
      </c>
      <c r="Z99" s="208">
        <f t="shared" si="6"/>
        <v>0.97499999999999998</v>
      </c>
      <c r="AA99" s="208">
        <f t="shared" si="10"/>
        <v>0.97499999999999998</v>
      </c>
      <c r="AC99" s="199">
        <v>22</v>
      </c>
      <c r="AD99" s="209">
        <v>9.3700000000000001E-4</v>
      </c>
      <c r="AE99" s="209">
        <v>9.2400000000000002E-4</v>
      </c>
      <c r="AR99" s="237">
        <v>181</v>
      </c>
      <c r="AS99" s="162">
        <v>117.16</v>
      </c>
    </row>
    <row r="100" spans="5:45" ht="15" x14ac:dyDescent="0.2">
      <c r="E100" s="87"/>
      <c r="F100" s="212">
        <v>95</v>
      </c>
      <c r="G100" s="220">
        <f t="shared" si="4"/>
        <v>253.21340000000001</v>
      </c>
      <c r="H100" s="220">
        <f t="shared" si="5"/>
        <v>211.13329999999999</v>
      </c>
      <c r="I100" s="87"/>
      <c r="J100" s="87"/>
      <c r="K100" s="89"/>
      <c r="L100" s="89"/>
      <c r="M100" s="71"/>
      <c r="U100" s="199">
        <v>22</v>
      </c>
      <c r="V100" s="200">
        <f t="shared" si="8"/>
        <v>0.91359999999999997</v>
      </c>
      <c r="W100" s="200">
        <f t="shared" si="9"/>
        <v>0.90090000000000003</v>
      </c>
      <c r="Y100" s="199">
        <v>22</v>
      </c>
      <c r="Z100" s="208">
        <f t="shared" si="6"/>
        <v>0.97499999999999998</v>
      </c>
      <c r="AA100" s="208">
        <f t="shared" si="10"/>
        <v>0.97499999999999998</v>
      </c>
      <c r="AC100" s="199">
        <v>23</v>
      </c>
      <c r="AD100" s="209">
        <v>9.3599999999999998E-4</v>
      </c>
      <c r="AE100" s="209">
        <v>9.3400000000000004E-4</v>
      </c>
      <c r="AR100" s="237">
        <v>180</v>
      </c>
      <c r="AS100" s="162">
        <v>116.77</v>
      </c>
    </row>
    <row r="101" spans="5:45" ht="15" x14ac:dyDescent="0.2">
      <c r="E101" s="87"/>
      <c r="F101" s="212">
        <v>96</v>
      </c>
      <c r="G101" s="220">
        <f t="shared" si="4"/>
        <v>276.71769999999998</v>
      </c>
      <c r="H101" s="220">
        <f t="shared" si="5"/>
        <v>231.36949999999999</v>
      </c>
      <c r="I101" s="87"/>
      <c r="J101" s="87"/>
      <c r="K101" s="89"/>
      <c r="L101" s="89"/>
      <c r="M101" s="71"/>
      <c r="U101" s="199">
        <v>23</v>
      </c>
      <c r="V101" s="200">
        <f t="shared" si="8"/>
        <v>0.91259999999999997</v>
      </c>
      <c r="W101" s="200">
        <f t="shared" si="9"/>
        <v>0.91069999999999995</v>
      </c>
      <c r="Y101" s="199">
        <v>23</v>
      </c>
      <c r="Z101" s="208">
        <f t="shared" si="6"/>
        <v>0.97499999999999998</v>
      </c>
      <c r="AA101" s="208">
        <f t="shared" si="10"/>
        <v>0.97499999999999998</v>
      </c>
      <c r="AC101" s="199">
        <v>24</v>
      </c>
      <c r="AD101" s="209">
        <v>9.3300000000000002E-4</v>
      </c>
      <c r="AE101" s="209">
        <v>9.3700000000000001E-4</v>
      </c>
      <c r="AR101" s="237">
        <v>179</v>
      </c>
      <c r="AS101" s="162">
        <v>116.38</v>
      </c>
    </row>
    <row r="102" spans="5:45" ht="15" x14ac:dyDescent="0.2">
      <c r="E102" s="87"/>
      <c r="F102" s="212">
        <v>97</v>
      </c>
      <c r="G102" s="220">
        <f t="shared" si="4"/>
        <v>301.91750000000002</v>
      </c>
      <c r="H102" s="220">
        <f t="shared" si="5"/>
        <v>253.21340000000001</v>
      </c>
      <c r="I102" s="87"/>
      <c r="J102" s="87"/>
      <c r="K102" s="89"/>
      <c r="L102" s="89"/>
      <c r="M102" s="71"/>
      <c r="U102" s="199">
        <v>24</v>
      </c>
      <c r="V102" s="200">
        <f t="shared" si="8"/>
        <v>0.90969999999999995</v>
      </c>
      <c r="W102" s="200">
        <f t="shared" si="9"/>
        <v>0.91359999999999997</v>
      </c>
      <c r="Y102" s="199">
        <v>24</v>
      </c>
      <c r="Z102" s="208">
        <f t="shared" si="6"/>
        <v>0.97499999999999998</v>
      </c>
      <c r="AA102" s="208">
        <f t="shared" si="10"/>
        <v>0.97499999999999998</v>
      </c>
      <c r="AC102" s="199">
        <v>25</v>
      </c>
      <c r="AD102" s="209">
        <v>9.3099999999999997E-4</v>
      </c>
      <c r="AE102" s="209">
        <v>9.3599999999999998E-4</v>
      </c>
      <c r="AR102" s="237">
        <v>178</v>
      </c>
      <c r="AS102" s="162">
        <v>115.98</v>
      </c>
    </row>
    <row r="103" spans="5:45" ht="15" x14ac:dyDescent="0.2">
      <c r="E103" s="87"/>
      <c r="F103" s="212">
        <v>98</v>
      </c>
      <c r="G103" s="220">
        <f t="shared" ref="G103:G105" si="11">V176</f>
        <v>328.83339999999998</v>
      </c>
      <c r="H103" s="220">
        <f t="shared" ref="H103:H105" si="12">W176</f>
        <v>276.71769999999998</v>
      </c>
      <c r="I103" s="87"/>
      <c r="J103" s="87"/>
      <c r="K103" s="89"/>
      <c r="L103" s="89"/>
      <c r="M103" s="71"/>
      <c r="U103" s="199">
        <v>25</v>
      </c>
      <c r="V103" s="200">
        <f t="shared" si="8"/>
        <v>0.90769999999999995</v>
      </c>
      <c r="W103" s="200">
        <f t="shared" si="9"/>
        <v>0.91259999999999997</v>
      </c>
      <c r="Y103" s="199">
        <v>25</v>
      </c>
      <c r="Z103" s="208">
        <f t="shared" si="6"/>
        <v>0.97499999999999998</v>
      </c>
      <c r="AA103" s="208">
        <f t="shared" si="10"/>
        <v>0.97499999999999998</v>
      </c>
      <c r="AC103" s="199">
        <v>26</v>
      </c>
      <c r="AD103" s="209">
        <v>9.3099999999999997E-4</v>
      </c>
      <c r="AE103" s="209">
        <v>9.3300000000000002E-4</v>
      </c>
      <c r="AR103" s="237">
        <v>177</v>
      </c>
      <c r="AS103" s="162">
        <v>115.59</v>
      </c>
    </row>
    <row r="104" spans="5:45" ht="15" x14ac:dyDescent="0.2">
      <c r="E104" s="87"/>
      <c r="F104" s="212">
        <v>99</v>
      </c>
      <c r="G104" s="220">
        <f t="shared" si="11"/>
        <v>357.46429999999998</v>
      </c>
      <c r="H104" s="220">
        <f t="shared" si="12"/>
        <v>301.91750000000002</v>
      </c>
      <c r="I104" s="87"/>
      <c r="J104" s="87"/>
      <c r="K104" s="89"/>
      <c r="L104" s="89"/>
      <c r="M104" s="71"/>
      <c r="U104" s="199">
        <v>26</v>
      </c>
      <c r="V104" s="200">
        <f t="shared" si="8"/>
        <v>0.90769999999999995</v>
      </c>
      <c r="W104" s="200">
        <f t="shared" si="9"/>
        <v>0.90969999999999995</v>
      </c>
      <c r="Y104" s="199">
        <v>26</v>
      </c>
      <c r="Z104" s="208">
        <f t="shared" si="6"/>
        <v>0.97499999999999998</v>
      </c>
      <c r="AA104" s="208">
        <f t="shared" si="10"/>
        <v>0.97499999999999998</v>
      </c>
      <c r="AC104" s="199">
        <v>27</v>
      </c>
      <c r="AD104" s="209">
        <v>9.3400000000000004E-4</v>
      </c>
      <c r="AE104" s="209">
        <v>9.3099999999999997E-4</v>
      </c>
      <c r="AR104" s="237">
        <v>176</v>
      </c>
      <c r="AS104" s="162">
        <v>115.19</v>
      </c>
    </row>
    <row r="105" spans="5:45" ht="15" x14ac:dyDescent="0.2">
      <c r="E105" s="87"/>
      <c r="F105" s="212">
        <v>100</v>
      </c>
      <c r="G105" s="220">
        <f t="shared" si="11"/>
        <v>387.78969999999998</v>
      </c>
      <c r="H105" s="220">
        <f t="shared" si="12"/>
        <v>328.83339999999998</v>
      </c>
      <c r="I105" s="87"/>
      <c r="J105" s="87"/>
      <c r="K105" s="89"/>
      <c r="L105" s="89"/>
      <c r="M105" s="71"/>
      <c r="U105" s="199">
        <v>27</v>
      </c>
      <c r="V105" s="200">
        <f t="shared" si="8"/>
        <v>0.91069999999999995</v>
      </c>
      <c r="W105" s="200">
        <f t="shared" si="9"/>
        <v>0.90769999999999995</v>
      </c>
      <c r="Y105" s="199">
        <v>27</v>
      </c>
      <c r="Z105" s="208">
        <f t="shared" si="6"/>
        <v>0.97499999999999998</v>
      </c>
      <c r="AA105" s="208">
        <f t="shared" si="10"/>
        <v>0.97499999999999998</v>
      </c>
      <c r="AC105" s="199">
        <v>28</v>
      </c>
      <c r="AD105" s="209">
        <v>9.4200000000000002E-4</v>
      </c>
      <c r="AE105" s="209">
        <v>9.3099999999999997E-4</v>
      </c>
      <c r="AR105" s="237">
        <v>175</v>
      </c>
      <c r="AS105" s="162">
        <v>114.79</v>
      </c>
    </row>
    <row r="106" spans="5:45" ht="15" x14ac:dyDescent="0.2">
      <c r="E106" s="87"/>
      <c r="F106" s="87"/>
      <c r="G106" s="87"/>
      <c r="H106" s="87"/>
      <c r="I106" s="87"/>
      <c r="J106" s="87"/>
      <c r="K106" s="89"/>
      <c r="L106" s="89"/>
      <c r="M106" s="71"/>
      <c r="U106" s="199">
        <v>28</v>
      </c>
      <c r="V106" s="200">
        <f t="shared" si="8"/>
        <v>0.91849999999999998</v>
      </c>
      <c r="W106" s="200">
        <f t="shared" si="9"/>
        <v>0.90769999999999995</v>
      </c>
      <c r="Y106" s="199">
        <v>28</v>
      </c>
      <c r="Z106" s="208">
        <f t="shared" si="6"/>
        <v>0.97499999999999998</v>
      </c>
      <c r="AA106" s="208">
        <f t="shared" si="10"/>
        <v>0.97499999999999998</v>
      </c>
      <c r="AC106" s="199">
        <v>29</v>
      </c>
      <c r="AD106" s="209">
        <v>9.5600000000000004E-4</v>
      </c>
      <c r="AE106" s="209">
        <v>9.3400000000000004E-4</v>
      </c>
      <c r="AR106" s="237">
        <v>174</v>
      </c>
      <c r="AS106" s="162">
        <v>114.39</v>
      </c>
    </row>
    <row r="107" spans="5:45" ht="15" x14ac:dyDescent="0.2">
      <c r="E107" s="87"/>
      <c r="F107" s="87"/>
      <c r="G107" s="87"/>
      <c r="H107" s="87"/>
      <c r="I107" s="87"/>
      <c r="J107" s="87"/>
      <c r="K107" s="89"/>
      <c r="L107" s="89"/>
      <c r="M107" s="71"/>
      <c r="U107" s="199">
        <v>29</v>
      </c>
      <c r="V107" s="200">
        <f t="shared" si="8"/>
        <v>0.93210000000000004</v>
      </c>
      <c r="W107" s="200">
        <f t="shared" si="9"/>
        <v>0.91069999999999995</v>
      </c>
      <c r="Y107" s="199">
        <v>29</v>
      </c>
      <c r="Z107" s="208">
        <f t="shared" si="6"/>
        <v>0.97499999999999998</v>
      </c>
      <c r="AA107" s="208">
        <f t="shared" si="10"/>
        <v>0.97499999999999998</v>
      </c>
      <c r="AC107" s="199">
        <v>30</v>
      </c>
      <c r="AD107" s="209">
        <v>9.77E-4</v>
      </c>
      <c r="AE107" s="209">
        <v>9.4200000000000002E-4</v>
      </c>
      <c r="AR107" s="237">
        <v>173</v>
      </c>
      <c r="AS107" s="162">
        <v>113.99</v>
      </c>
    </row>
    <row r="108" spans="5:45" ht="15" x14ac:dyDescent="0.2">
      <c r="E108" s="87"/>
      <c r="F108" s="87"/>
      <c r="G108" s="87"/>
      <c r="H108" s="87"/>
      <c r="I108" s="87"/>
      <c r="J108" s="87"/>
      <c r="K108" s="89"/>
      <c r="L108" s="89"/>
      <c r="M108" s="71"/>
      <c r="U108" s="199">
        <v>30</v>
      </c>
      <c r="V108" s="200">
        <f t="shared" si="8"/>
        <v>0.9526</v>
      </c>
      <c r="W108" s="200">
        <f t="shared" si="9"/>
        <v>0.91849999999999998</v>
      </c>
      <c r="Y108" s="199">
        <v>30</v>
      </c>
      <c r="Z108" s="208">
        <f t="shared" si="6"/>
        <v>0.97499999999999998</v>
      </c>
      <c r="AA108" s="208">
        <f t="shared" si="10"/>
        <v>0.97499999999999998</v>
      </c>
      <c r="AC108" s="199">
        <v>31</v>
      </c>
      <c r="AD108" s="209">
        <v>1.005E-3</v>
      </c>
      <c r="AE108" s="209">
        <v>9.5600000000000004E-4</v>
      </c>
      <c r="AR108" s="237">
        <v>172</v>
      </c>
      <c r="AS108" s="162">
        <v>113.58</v>
      </c>
    </row>
    <row r="109" spans="5:45" ht="15" x14ac:dyDescent="0.2">
      <c r="E109" s="87"/>
      <c r="F109" s="87"/>
      <c r="G109" s="87"/>
      <c r="H109" s="87"/>
      <c r="I109" s="87"/>
      <c r="J109" s="87"/>
      <c r="K109" s="89"/>
      <c r="L109" s="89"/>
      <c r="M109" s="71"/>
      <c r="U109" s="199">
        <v>31</v>
      </c>
      <c r="V109" s="200">
        <f t="shared" si="8"/>
        <v>0.97989999999999999</v>
      </c>
      <c r="W109" s="200">
        <f t="shared" si="9"/>
        <v>0.93210000000000004</v>
      </c>
      <c r="Y109" s="199">
        <v>31</v>
      </c>
      <c r="Z109" s="208">
        <f t="shared" ref="Z109:Z140" si="13">INDEX(Mort_Charge_Table,MATCH(Y110,$O$71:$O$75,1),MATCH(pr,$P$70:$T$70,1))</f>
        <v>0.97499999999999998</v>
      </c>
      <c r="AA109" s="208">
        <f t="shared" si="10"/>
        <v>0.97499999999999998</v>
      </c>
      <c r="AC109" s="199">
        <v>32</v>
      </c>
      <c r="AD109" s="209">
        <v>1.042E-3</v>
      </c>
      <c r="AE109" s="209">
        <v>9.77E-4</v>
      </c>
      <c r="AR109" s="237">
        <v>171</v>
      </c>
      <c r="AS109" s="162">
        <v>113.17</v>
      </c>
    </row>
    <row r="110" spans="5:45" ht="15" x14ac:dyDescent="0.2">
      <c r="E110" s="87"/>
      <c r="F110" s="87"/>
      <c r="G110" s="87"/>
      <c r="H110" s="87"/>
      <c r="I110" s="87"/>
      <c r="J110" s="87"/>
      <c r="K110" s="89"/>
      <c r="L110" s="89"/>
      <c r="M110" s="71"/>
      <c r="U110" s="199">
        <v>32</v>
      </c>
      <c r="V110" s="200">
        <f t="shared" ref="V110:V141" si="14">ROUND(VLOOKUP(U110,$AC$77:$AE$177,2,0)*Z109*1000,4)</f>
        <v>1.016</v>
      </c>
      <c r="W110" s="200">
        <f t="shared" ref="W110:W141" si="15">ROUND(VLOOKUP(U110,$AC$77:$AE$177,3,0)*AA109*1000,4)</f>
        <v>0.9526</v>
      </c>
      <c r="Y110" s="199">
        <v>32</v>
      </c>
      <c r="Z110" s="208">
        <f t="shared" si="13"/>
        <v>0.97499999999999998</v>
      </c>
      <c r="AA110" s="208">
        <f t="shared" si="10"/>
        <v>0.97499999999999998</v>
      </c>
      <c r="AC110" s="199">
        <v>33</v>
      </c>
      <c r="AD110" s="209">
        <v>1.0859999999999999E-3</v>
      </c>
      <c r="AE110" s="209">
        <v>1.005E-3</v>
      </c>
      <c r="AR110" s="237">
        <v>170</v>
      </c>
      <c r="AS110" s="162">
        <v>112.76</v>
      </c>
    </row>
    <row r="111" spans="5:45" ht="15" x14ac:dyDescent="0.2">
      <c r="E111" s="87"/>
      <c r="F111" s="87"/>
      <c r="G111" s="87"/>
      <c r="H111" s="87"/>
      <c r="I111" s="87"/>
      <c r="J111" s="87"/>
      <c r="K111" s="89"/>
      <c r="L111" s="89"/>
      <c r="M111" s="71"/>
      <c r="U111" s="199">
        <v>33</v>
      </c>
      <c r="V111" s="200">
        <f t="shared" si="14"/>
        <v>1.0589</v>
      </c>
      <c r="W111" s="200">
        <f t="shared" si="15"/>
        <v>0.97989999999999999</v>
      </c>
      <c r="Y111" s="199">
        <v>33</v>
      </c>
      <c r="Z111" s="208">
        <f t="shared" si="13"/>
        <v>0.97499999999999998</v>
      </c>
      <c r="AA111" s="208">
        <f t="shared" si="10"/>
        <v>0.97499999999999998</v>
      </c>
      <c r="AC111" s="199">
        <v>34</v>
      </c>
      <c r="AD111" s="209">
        <v>1.14E-3</v>
      </c>
      <c r="AE111" s="209">
        <v>1.042E-3</v>
      </c>
      <c r="AR111" s="237">
        <v>169</v>
      </c>
      <c r="AS111" s="162">
        <v>112.35</v>
      </c>
    </row>
    <row r="112" spans="5:45" ht="15" x14ac:dyDescent="0.2">
      <c r="E112" s="87"/>
      <c r="F112" s="87"/>
      <c r="G112" s="87"/>
      <c r="H112" s="87"/>
      <c r="I112" s="87"/>
      <c r="J112" s="87"/>
      <c r="K112" s="89"/>
      <c r="L112" s="89"/>
      <c r="M112" s="71"/>
      <c r="U112" s="199">
        <v>34</v>
      </c>
      <c r="V112" s="200">
        <f t="shared" si="14"/>
        <v>1.1114999999999999</v>
      </c>
      <c r="W112" s="200">
        <f t="shared" si="15"/>
        <v>1.016</v>
      </c>
      <c r="Y112" s="199">
        <v>34</v>
      </c>
      <c r="Z112" s="208">
        <f t="shared" si="13"/>
        <v>0.97499999999999998</v>
      </c>
      <c r="AA112" s="208">
        <f t="shared" si="10"/>
        <v>0.97499999999999998</v>
      </c>
      <c r="AC112" s="199">
        <v>35</v>
      </c>
      <c r="AD112" s="209">
        <v>1.2019999999999999E-3</v>
      </c>
      <c r="AE112" s="209">
        <v>1.0859999999999999E-3</v>
      </c>
      <c r="AR112" s="237">
        <v>168</v>
      </c>
      <c r="AS112" s="162">
        <v>111.94</v>
      </c>
    </row>
    <row r="113" spans="5:45" ht="15" x14ac:dyDescent="0.2">
      <c r="E113" s="87"/>
      <c r="F113" s="87"/>
      <c r="G113" s="87"/>
      <c r="H113" s="87"/>
      <c r="I113" s="87"/>
      <c r="J113" s="87"/>
      <c r="K113" s="89"/>
      <c r="L113" s="89"/>
      <c r="M113" s="71"/>
      <c r="U113" s="199">
        <v>35</v>
      </c>
      <c r="V113" s="200">
        <f t="shared" si="14"/>
        <v>1.1719999999999999</v>
      </c>
      <c r="W113" s="200">
        <f t="shared" si="15"/>
        <v>1.0589</v>
      </c>
      <c r="Y113" s="199">
        <v>35</v>
      </c>
      <c r="Z113" s="208">
        <f t="shared" si="13"/>
        <v>0.97499999999999998</v>
      </c>
      <c r="AA113" s="208">
        <f t="shared" si="10"/>
        <v>0.97499999999999998</v>
      </c>
      <c r="AC113" s="199">
        <v>36</v>
      </c>
      <c r="AD113" s="209">
        <v>1.2750000000000001E-3</v>
      </c>
      <c r="AE113" s="209">
        <v>1.14E-3</v>
      </c>
      <c r="AR113" s="237">
        <v>167</v>
      </c>
      <c r="AS113" s="162">
        <v>111.52</v>
      </c>
    </row>
    <row r="114" spans="5:45" ht="15" x14ac:dyDescent="0.2">
      <c r="E114" s="87"/>
      <c r="F114" s="87"/>
      <c r="G114" s="87"/>
      <c r="H114" s="87"/>
      <c r="I114" s="87"/>
      <c r="J114" s="87"/>
      <c r="K114" s="89"/>
      <c r="L114" s="89"/>
      <c r="M114" s="71"/>
      <c r="U114" s="199">
        <v>36</v>
      </c>
      <c r="V114" s="200">
        <f t="shared" si="14"/>
        <v>1.2431000000000001</v>
      </c>
      <c r="W114" s="200">
        <f t="shared" si="15"/>
        <v>1.1114999999999999</v>
      </c>
      <c r="Y114" s="199">
        <v>36</v>
      </c>
      <c r="Z114" s="208">
        <f t="shared" si="13"/>
        <v>0.97499999999999998</v>
      </c>
      <c r="AA114" s="208">
        <f t="shared" si="10"/>
        <v>0.97499999999999998</v>
      </c>
      <c r="AC114" s="199">
        <v>37</v>
      </c>
      <c r="AD114" s="209">
        <v>1.358E-3</v>
      </c>
      <c r="AE114" s="209">
        <v>1.2019999999999999E-3</v>
      </c>
      <c r="AR114" s="237">
        <v>166</v>
      </c>
      <c r="AS114" s="162">
        <v>111.1</v>
      </c>
    </row>
    <row r="115" spans="5:45" ht="15" x14ac:dyDescent="0.2">
      <c r="E115" s="87"/>
      <c r="F115" s="87"/>
      <c r="G115" s="87"/>
      <c r="H115" s="87"/>
      <c r="I115" s="87"/>
      <c r="J115" s="87"/>
      <c r="K115" s="89"/>
      <c r="L115" s="89"/>
      <c r="M115" s="71"/>
      <c r="U115" s="199">
        <v>37</v>
      </c>
      <c r="V115" s="200">
        <f t="shared" si="14"/>
        <v>1.3241000000000001</v>
      </c>
      <c r="W115" s="200">
        <f t="shared" si="15"/>
        <v>1.1719999999999999</v>
      </c>
      <c r="Y115" s="199">
        <v>37</v>
      </c>
      <c r="Z115" s="208">
        <f t="shared" si="13"/>
        <v>0.97499999999999998</v>
      </c>
      <c r="AA115" s="208">
        <f t="shared" si="10"/>
        <v>0.97499999999999998</v>
      </c>
      <c r="AC115" s="199">
        <v>38</v>
      </c>
      <c r="AD115" s="209">
        <v>1.4530000000000001E-3</v>
      </c>
      <c r="AE115" s="209">
        <v>1.2750000000000001E-3</v>
      </c>
      <c r="AR115" s="237">
        <v>165</v>
      </c>
      <c r="AS115" s="162">
        <v>110.68</v>
      </c>
    </row>
    <row r="116" spans="5:45" ht="15" x14ac:dyDescent="0.2">
      <c r="E116" s="87"/>
      <c r="F116" s="87"/>
      <c r="G116" s="87"/>
      <c r="H116" s="87"/>
      <c r="I116" s="87"/>
      <c r="J116" s="87"/>
      <c r="K116" s="89"/>
      <c r="L116" s="89"/>
      <c r="M116" s="71"/>
      <c r="U116" s="199">
        <v>38</v>
      </c>
      <c r="V116" s="200">
        <f t="shared" si="14"/>
        <v>1.4167000000000001</v>
      </c>
      <c r="W116" s="200">
        <f t="shared" si="15"/>
        <v>1.2431000000000001</v>
      </c>
      <c r="Y116" s="199">
        <v>38</v>
      </c>
      <c r="Z116" s="208">
        <f t="shared" si="13"/>
        <v>0.97499999999999998</v>
      </c>
      <c r="AA116" s="208">
        <f t="shared" si="10"/>
        <v>0.97499999999999998</v>
      </c>
      <c r="AC116" s="199">
        <v>39</v>
      </c>
      <c r="AD116" s="209">
        <v>1.56E-3</v>
      </c>
      <c r="AE116" s="209">
        <v>1.358E-3</v>
      </c>
      <c r="AR116" s="237">
        <v>164</v>
      </c>
      <c r="AS116" s="162">
        <v>110.26</v>
      </c>
    </row>
    <row r="117" spans="5:45" ht="15" x14ac:dyDescent="0.2">
      <c r="G117" s="71"/>
      <c r="H117" s="68"/>
      <c r="I117" s="90"/>
      <c r="J117" s="90"/>
      <c r="K117" s="89"/>
      <c r="L117" s="89"/>
      <c r="M117" s="71"/>
      <c r="U117" s="199">
        <v>39</v>
      </c>
      <c r="V117" s="200">
        <f t="shared" si="14"/>
        <v>1.5209999999999999</v>
      </c>
      <c r="W117" s="200">
        <f t="shared" si="15"/>
        <v>1.3241000000000001</v>
      </c>
      <c r="Y117" s="199">
        <v>39</v>
      </c>
      <c r="Z117" s="208">
        <f t="shared" si="13"/>
        <v>0.97499999999999998</v>
      </c>
      <c r="AA117" s="208">
        <f t="shared" ref="AA117:AA136" si="16">INDEX(Mort_Charge_Table,MATCH(Z117,$O$71:$O$75,1),MATCH(pr,$P$70:$T$70,1))</f>
        <v>0.97499999999999998</v>
      </c>
      <c r="AC117" s="199">
        <v>40</v>
      </c>
      <c r="AD117" s="209">
        <v>1.6800000000000001E-3</v>
      </c>
      <c r="AE117" s="209">
        <v>1.4530000000000001E-3</v>
      </c>
      <c r="AR117" s="237">
        <v>163</v>
      </c>
      <c r="AS117" s="162">
        <v>109.83</v>
      </c>
    </row>
    <row r="118" spans="5:45" ht="15" x14ac:dyDescent="0.2">
      <c r="G118" s="71"/>
      <c r="H118" s="68"/>
      <c r="I118" s="90"/>
      <c r="J118" s="90"/>
      <c r="K118" s="89"/>
      <c r="L118" s="89"/>
      <c r="M118" s="71"/>
      <c r="U118" s="199">
        <v>40</v>
      </c>
      <c r="V118" s="200">
        <f t="shared" si="14"/>
        <v>1.6379999999999999</v>
      </c>
      <c r="W118" s="200">
        <f t="shared" si="15"/>
        <v>1.4167000000000001</v>
      </c>
      <c r="Y118" s="199">
        <v>40</v>
      </c>
      <c r="Z118" s="208">
        <f t="shared" si="13"/>
        <v>0.97499999999999998</v>
      </c>
      <c r="AA118" s="208">
        <f t="shared" si="16"/>
        <v>0.97499999999999998</v>
      </c>
      <c r="AC118" s="199">
        <v>41</v>
      </c>
      <c r="AD118" s="209">
        <v>1.815E-3</v>
      </c>
      <c r="AE118" s="209">
        <v>1.56E-3</v>
      </c>
      <c r="AR118" s="237">
        <v>162</v>
      </c>
      <c r="AS118" s="162">
        <v>109.41</v>
      </c>
    </row>
    <row r="119" spans="5:45" ht="15" x14ac:dyDescent="0.2">
      <c r="G119" s="71"/>
      <c r="H119" s="68"/>
      <c r="I119" s="90"/>
      <c r="J119" s="90"/>
      <c r="K119" s="89"/>
      <c r="L119" s="89"/>
      <c r="M119" s="71"/>
      <c r="U119" s="199">
        <v>41</v>
      </c>
      <c r="V119" s="200">
        <f t="shared" si="14"/>
        <v>1.7696000000000001</v>
      </c>
      <c r="W119" s="200">
        <f t="shared" si="15"/>
        <v>1.5209999999999999</v>
      </c>
      <c r="Y119" s="199">
        <v>41</v>
      </c>
      <c r="Z119" s="208">
        <f t="shared" si="13"/>
        <v>0.97499999999999998</v>
      </c>
      <c r="AA119" s="208">
        <f t="shared" si="16"/>
        <v>0.97499999999999998</v>
      </c>
      <c r="AC119" s="199">
        <v>42</v>
      </c>
      <c r="AD119" s="209">
        <v>1.9689999999999998E-3</v>
      </c>
      <c r="AE119" s="209">
        <v>1.6800000000000001E-3</v>
      </c>
      <c r="AR119" s="237">
        <v>161</v>
      </c>
      <c r="AS119" s="162">
        <v>108.98</v>
      </c>
    </row>
    <row r="120" spans="5:45" ht="15" x14ac:dyDescent="0.2">
      <c r="G120" s="71"/>
      <c r="H120" s="79"/>
      <c r="I120" s="71"/>
      <c r="J120" s="71"/>
      <c r="K120" s="84"/>
      <c r="L120" s="89"/>
      <c r="M120" s="71"/>
      <c r="U120" s="199">
        <v>42</v>
      </c>
      <c r="V120" s="200">
        <f t="shared" si="14"/>
        <v>1.9198</v>
      </c>
      <c r="W120" s="200">
        <f t="shared" si="15"/>
        <v>1.6379999999999999</v>
      </c>
      <c r="Y120" s="199">
        <v>42</v>
      </c>
      <c r="Z120" s="208">
        <f t="shared" si="13"/>
        <v>0.97499999999999998</v>
      </c>
      <c r="AA120" s="208">
        <f t="shared" si="16"/>
        <v>0.97499999999999998</v>
      </c>
      <c r="AC120" s="199">
        <v>43</v>
      </c>
      <c r="AD120" s="209">
        <v>2.1440000000000001E-3</v>
      </c>
      <c r="AE120" s="209">
        <v>1.815E-3</v>
      </c>
      <c r="AR120" s="237">
        <v>160</v>
      </c>
      <c r="AS120" s="162">
        <v>108.55</v>
      </c>
    </row>
    <row r="121" spans="5:45" ht="15" x14ac:dyDescent="0.2">
      <c r="G121" s="71"/>
      <c r="H121" s="79"/>
      <c r="I121" s="71"/>
      <c r="J121" s="71"/>
      <c r="K121" s="84"/>
      <c r="L121" s="89"/>
      <c r="M121" s="71"/>
      <c r="U121" s="199">
        <v>43</v>
      </c>
      <c r="V121" s="200">
        <f t="shared" si="14"/>
        <v>2.0903999999999998</v>
      </c>
      <c r="W121" s="200">
        <f t="shared" si="15"/>
        <v>1.7696000000000001</v>
      </c>
      <c r="Y121" s="199">
        <v>43</v>
      </c>
      <c r="Z121" s="208">
        <f t="shared" si="13"/>
        <v>0.97499999999999998</v>
      </c>
      <c r="AA121" s="208">
        <f t="shared" si="16"/>
        <v>0.97499999999999998</v>
      </c>
      <c r="AC121" s="199">
        <v>44</v>
      </c>
      <c r="AD121" s="209">
        <v>2.3449999999999999E-3</v>
      </c>
      <c r="AE121" s="209">
        <v>1.9689999999999998E-3</v>
      </c>
      <c r="AR121" s="237">
        <v>159</v>
      </c>
      <c r="AS121" s="162">
        <v>108.11</v>
      </c>
    </row>
    <row r="122" spans="5:45" ht="15" x14ac:dyDescent="0.2">
      <c r="G122" s="71"/>
      <c r="H122" s="79"/>
      <c r="I122" s="71"/>
      <c r="J122" s="71"/>
      <c r="K122" s="84"/>
      <c r="L122" s="89"/>
      <c r="M122" s="71"/>
      <c r="U122" s="199">
        <v>44</v>
      </c>
      <c r="V122" s="200">
        <f t="shared" si="14"/>
        <v>2.2864</v>
      </c>
      <c r="W122" s="200">
        <f t="shared" si="15"/>
        <v>1.9198</v>
      </c>
      <c r="Y122" s="199">
        <v>44</v>
      </c>
      <c r="Z122" s="208">
        <f t="shared" si="13"/>
        <v>0.97499999999999998</v>
      </c>
      <c r="AA122" s="208">
        <f t="shared" si="16"/>
        <v>0.97499999999999998</v>
      </c>
      <c r="AC122" s="199">
        <v>45</v>
      </c>
      <c r="AD122" s="209">
        <v>2.5790000000000001E-3</v>
      </c>
      <c r="AE122" s="209">
        <v>2.1440000000000001E-3</v>
      </c>
      <c r="AR122" s="237">
        <v>158</v>
      </c>
      <c r="AS122" s="162">
        <v>107.68</v>
      </c>
    </row>
    <row r="123" spans="5:45" ht="15" x14ac:dyDescent="0.2">
      <c r="U123" s="199">
        <v>45</v>
      </c>
      <c r="V123" s="200">
        <f t="shared" si="14"/>
        <v>2.5145</v>
      </c>
      <c r="W123" s="200">
        <f t="shared" si="15"/>
        <v>2.0903999999999998</v>
      </c>
      <c r="Y123" s="199">
        <v>45</v>
      </c>
      <c r="Z123" s="208">
        <f t="shared" si="13"/>
        <v>0.97499999999999998</v>
      </c>
      <c r="AA123" s="208">
        <f t="shared" si="16"/>
        <v>0.97499999999999998</v>
      </c>
      <c r="AC123" s="199">
        <v>46</v>
      </c>
      <c r="AD123" s="209">
        <v>2.8509999999999998E-3</v>
      </c>
      <c r="AE123" s="209">
        <v>2.3449999999999999E-3</v>
      </c>
      <c r="AR123" s="237">
        <v>157</v>
      </c>
      <c r="AS123" s="162">
        <v>107.24</v>
      </c>
    </row>
    <row r="124" spans="5:45" ht="15" x14ac:dyDescent="0.2">
      <c r="U124" s="199">
        <v>46</v>
      </c>
      <c r="V124" s="200">
        <f t="shared" si="14"/>
        <v>2.7797000000000001</v>
      </c>
      <c r="W124" s="200">
        <f t="shared" si="15"/>
        <v>2.2864</v>
      </c>
      <c r="Y124" s="199">
        <v>46</v>
      </c>
      <c r="Z124" s="208">
        <f t="shared" si="13"/>
        <v>0.97499999999999998</v>
      </c>
      <c r="AA124" s="208">
        <f t="shared" si="16"/>
        <v>0.97499999999999998</v>
      </c>
      <c r="AC124" s="199">
        <v>47</v>
      </c>
      <c r="AD124" s="209">
        <v>3.1679999999999998E-3</v>
      </c>
      <c r="AE124" s="209">
        <v>2.5790000000000001E-3</v>
      </c>
      <c r="AR124" s="237">
        <v>156</v>
      </c>
      <c r="AS124" s="162">
        <v>106.8</v>
      </c>
    </row>
    <row r="125" spans="5:45" ht="15" x14ac:dyDescent="0.2">
      <c r="U125" s="199">
        <v>47</v>
      </c>
      <c r="V125" s="200">
        <f t="shared" si="14"/>
        <v>3.0888</v>
      </c>
      <c r="W125" s="200">
        <f t="shared" si="15"/>
        <v>2.5145</v>
      </c>
      <c r="Y125" s="199">
        <v>47</v>
      </c>
      <c r="Z125" s="208">
        <f t="shared" si="13"/>
        <v>0.97499999999999998</v>
      </c>
      <c r="AA125" s="208">
        <f t="shared" si="16"/>
        <v>0.97499999999999998</v>
      </c>
      <c r="AC125" s="199">
        <v>48</v>
      </c>
      <c r="AD125" s="209">
        <v>3.5360000000000001E-3</v>
      </c>
      <c r="AE125" s="209">
        <v>2.8509999999999998E-3</v>
      </c>
      <c r="AR125" s="237">
        <v>155</v>
      </c>
      <c r="AS125" s="162">
        <v>106.35</v>
      </c>
    </row>
    <row r="126" spans="5:45" ht="15" x14ac:dyDescent="0.2">
      <c r="U126" s="199">
        <v>48</v>
      </c>
      <c r="V126" s="200">
        <f t="shared" si="14"/>
        <v>3.4476</v>
      </c>
      <c r="W126" s="200">
        <f t="shared" si="15"/>
        <v>2.7797000000000001</v>
      </c>
      <c r="Y126" s="199">
        <v>48</v>
      </c>
      <c r="Z126" s="208">
        <f t="shared" si="13"/>
        <v>0.97499999999999998</v>
      </c>
      <c r="AA126" s="208">
        <f t="shared" si="16"/>
        <v>0.97499999999999998</v>
      </c>
      <c r="AC126" s="199">
        <v>49</v>
      </c>
      <c r="AD126" s="209">
        <v>3.9579999999999997E-3</v>
      </c>
      <c r="AE126" s="209">
        <v>3.1679999999999998E-3</v>
      </c>
      <c r="AR126" s="237">
        <v>154</v>
      </c>
      <c r="AS126" s="162">
        <v>105.91</v>
      </c>
    </row>
    <row r="127" spans="5:45" ht="15" x14ac:dyDescent="0.2">
      <c r="U127" s="199">
        <v>49</v>
      </c>
      <c r="V127" s="200">
        <f t="shared" si="14"/>
        <v>3.8591000000000002</v>
      </c>
      <c r="W127" s="200">
        <f t="shared" si="15"/>
        <v>3.0888</v>
      </c>
      <c r="Y127" s="199">
        <v>49</v>
      </c>
      <c r="Z127" s="208">
        <f t="shared" si="13"/>
        <v>0.97499999999999998</v>
      </c>
      <c r="AA127" s="208">
        <f t="shared" si="16"/>
        <v>0.97499999999999998</v>
      </c>
      <c r="AC127" s="199">
        <v>50</v>
      </c>
      <c r="AD127" s="209">
        <v>4.4359999999999998E-3</v>
      </c>
      <c r="AE127" s="209">
        <v>3.5360000000000001E-3</v>
      </c>
      <c r="AR127" s="237">
        <v>153</v>
      </c>
      <c r="AS127" s="162">
        <v>105.46</v>
      </c>
    </row>
    <row r="128" spans="5:45" ht="15" x14ac:dyDescent="0.2">
      <c r="U128" s="199">
        <v>50</v>
      </c>
      <c r="V128" s="200">
        <f t="shared" si="14"/>
        <v>4.3250999999999999</v>
      </c>
      <c r="W128" s="200">
        <f t="shared" si="15"/>
        <v>3.4476</v>
      </c>
      <c r="Y128" s="199">
        <v>50</v>
      </c>
      <c r="Z128" s="208">
        <f t="shared" si="13"/>
        <v>0.97499999999999998</v>
      </c>
      <c r="AA128" s="208">
        <f t="shared" si="16"/>
        <v>0.97499999999999998</v>
      </c>
      <c r="AC128" s="199">
        <v>51</v>
      </c>
      <c r="AD128" s="209">
        <v>4.9690000000000003E-3</v>
      </c>
      <c r="AE128" s="209">
        <v>3.9579999999999997E-3</v>
      </c>
      <c r="AR128" s="237">
        <v>152</v>
      </c>
      <c r="AS128" s="162">
        <v>105.01</v>
      </c>
    </row>
    <row r="129" spans="21:45" ht="15" x14ac:dyDescent="0.2">
      <c r="U129" s="199">
        <v>51</v>
      </c>
      <c r="V129" s="200">
        <f t="shared" si="14"/>
        <v>4.8448000000000002</v>
      </c>
      <c r="W129" s="200">
        <f t="shared" si="15"/>
        <v>3.8591000000000002</v>
      </c>
      <c r="Y129" s="199">
        <v>51</v>
      </c>
      <c r="Z129" s="208">
        <f t="shared" si="13"/>
        <v>0.97499999999999998</v>
      </c>
      <c r="AA129" s="208">
        <f t="shared" si="16"/>
        <v>0.97499999999999998</v>
      </c>
      <c r="AC129" s="199">
        <v>52</v>
      </c>
      <c r="AD129" s="209">
        <v>5.5500000000000002E-3</v>
      </c>
      <c r="AE129" s="209">
        <v>4.4359999999999998E-3</v>
      </c>
      <c r="AR129" s="237">
        <v>151</v>
      </c>
      <c r="AS129" s="162">
        <v>104.56</v>
      </c>
    </row>
    <row r="130" spans="21:45" ht="15" x14ac:dyDescent="0.2">
      <c r="U130" s="199">
        <v>52</v>
      </c>
      <c r="V130" s="200">
        <f t="shared" si="14"/>
        <v>5.4112999999999998</v>
      </c>
      <c r="W130" s="200">
        <f t="shared" si="15"/>
        <v>4.3250999999999999</v>
      </c>
      <c r="Y130" s="199">
        <v>52</v>
      </c>
      <c r="Z130" s="208">
        <f t="shared" si="13"/>
        <v>0.97499999999999998</v>
      </c>
      <c r="AA130" s="208">
        <f t="shared" si="16"/>
        <v>0.97499999999999998</v>
      </c>
      <c r="AC130" s="199">
        <v>53</v>
      </c>
      <c r="AD130" s="209">
        <v>6.1739999999999998E-3</v>
      </c>
      <c r="AE130" s="209">
        <v>4.9690000000000003E-3</v>
      </c>
      <c r="AR130" s="237">
        <v>150</v>
      </c>
      <c r="AS130" s="162">
        <v>104.1</v>
      </c>
    </row>
    <row r="131" spans="21:45" ht="15" x14ac:dyDescent="0.2">
      <c r="U131" s="199">
        <v>53</v>
      </c>
      <c r="V131" s="200">
        <f t="shared" si="14"/>
        <v>6.0197000000000003</v>
      </c>
      <c r="W131" s="200">
        <f t="shared" si="15"/>
        <v>4.8448000000000002</v>
      </c>
      <c r="Y131" s="199">
        <v>53</v>
      </c>
      <c r="Z131" s="208">
        <f t="shared" si="13"/>
        <v>0.97499999999999998</v>
      </c>
      <c r="AA131" s="208">
        <f t="shared" si="16"/>
        <v>0.97499999999999998</v>
      </c>
      <c r="AC131" s="199">
        <v>54</v>
      </c>
      <c r="AD131" s="209">
        <v>6.8310000000000003E-3</v>
      </c>
      <c r="AE131" s="209">
        <v>5.5500000000000002E-3</v>
      </c>
      <c r="AR131" s="237">
        <v>149</v>
      </c>
      <c r="AS131" s="162">
        <v>103.64</v>
      </c>
    </row>
    <row r="132" spans="21:45" ht="15" x14ac:dyDescent="0.2">
      <c r="U132" s="199">
        <v>54</v>
      </c>
      <c r="V132" s="200">
        <f t="shared" si="14"/>
        <v>6.6601999999999997</v>
      </c>
      <c r="W132" s="200">
        <f t="shared" si="15"/>
        <v>5.4112999999999998</v>
      </c>
      <c r="Y132" s="199">
        <v>54</v>
      </c>
      <c r="Z132" s="208">
        <f t="shared" si="13"/>
        <v>0.97499999999999998</v>
      </c>
      <c r="AA132" s="208">
        <f t="shared" si="16"/>
        <v>0.97499999999999998</v>
      </c>
      <c r="AC132" s="199">
        <v>55</v>
      </c>
      <c r="AD132" s="209">
        <v>7.5129999999999997E-3</v>
      </c>
      <c r="AE132" s="209">
        <v>6.1739999999999998E-3</v>
      </c>
      <c r="AR132" s="237">
        <v>148</v>
      </c>
      <c r="AS132" s="162">
        <v>103.18</v>
      </c>
    </row>
    <row r="133" spans="21:45" ht="15" x14ac:dyDescent="0.2">
      <c r="U133" s="199">
        <v>55</v>
      </c>
      <c r="V133" s="200">
        <f t="shared" si="14"/>
        <v>7.3251999999999997</v>
      </c>
      <c r="W133" s="200">
        <f t="shared" si="15"/>
        <v>6.0197000000000003</v>
      </c>
      <c r="Y133" s="199">
        <v>55</v>
      </c>
      <c r="Z133" s="208">
        <f t="shared" si="13"/>
        <v>0.97499999999999998</v>
      </c>
      <c r="AA133" s="208">
        <f t="shared" si="16"/>
        <v>0.97499999999999998</v>
      </c>
      <c r="AC133" s="199">
        <v>56</v>
      </c>
      <c r="AD133" s="209">
        <v>8.2120000000000005E-3</v>
      </c>
      <c r="AE133" s="209">
        <v>6.8310000000000003E-3</v>
      </c>
      <c r="AR133" s="237">
        <v>147</v>
      </c>
      <c r="AS133" s="162">
        <v>102.72</v>
      </c>
    </row>
    <row r="134" spans="21:45" ht="15" x14ac:dyDescent="0.2">
      <c r="U134" s="199">
        <v>56</v>
      </c>
      <c r="V134" s="200">
        <f t="shared" si="14"/>
        <v>8.0067000000000004</v>
      </c>
      <c r="W134" s="200">
        <f t="shared" si="15"/>
        <v>6.6601999999999997</v>
      </c>
      <c r="Y134" s="199">
        <v>56</v>
      </c>
      <c r="Z134" s="208">
        <f t="shared" si="13"/>
        <v>0.97499999999999998</v>
      </c>
      <c r="AA134" s="208">
        <f t="shared" si="16"/>
        <v>0.97499999999999998</v>
      </c>
      <c r="AC134" s="199">
        <v>57</v>
      </c>
      <c r="AD134" s="209">
        <v>8.9250000000000006E-3</v>
      </c>
      <c r="AE134" s="209">
        <v>7.5129999999999997E-3</v>
      </c>
      <c r="AR134" s="237">
        <v>146</v>
      </c>
      <c r="AS134" s="162">
        <v>102.26</v>
      </c>
    </row>
    <row r="135" spans="21:45" ht="15" x14ac:dyDescent="0.2">
      <c r="U135" s="199">
        <v>57</v>
      </c>
      <c r="V135" s="200">
        <f t="shared" si="14"/>
        <v>8.7019000000000002</v>
      </c>
      <c r="W135" s="200">
        <f t="shared" si="15"/>
        <v>7.3251999999999997</v>
      </c>
      <c r="Y135" s="199">
        <v>57</v>
      </c>
      <c r="Z135" s="208">
        <f t="shared" si="13"/>
        <v>0.97499999999999998</v>
      </c>
      <c r="AA135" s="208">
        <f t="shared" si="16"/>
        <v>0.97499999999999998</v>
      </c>
      <c r="AC135" s="199">
        <v>58</v>
      </c>
      <c r="AD135" s="209">
        <v>9.6509999999999999E-3</v>
      </c>
      <c r="AE135" s="209">
        <v>8.2120000000000005E-3</v>
      </c>
      <c r="AR135" s="237">
        <v>145</v>
      </c>
      <c r="AS135" s="162">
        <v>101.79</v>
      </c>
    </row>
    <row r="136" spans="21:45" ht="15" x14ac:dyDescent="0.2">
      <c r="U136" s="199">
        <v>58</v>
      </c>
      <c r="V136" s="200">
        <f t="shared" si="14"/>
        <v>9.4097000000000008</v>
      </c>
      <c r="W136" s="200">
        <f t="shared" si="15"/>
        <v>8.0067000000000004</v>
      </c>
      <c r="Y136" s="199">
        <v>58</v>
      </c>
      <c r="Z136" s="208">
        <f t="shared" si="13"/>
        <v>0.97499999999999998</v>
      </c>
      <c r="AA136" s="208">
        <f t="shared" si="16"/>
        <v>0.97499999999999998</v>
      </c>
      <c r="AC136" s="199">
        <v>59</v>
      </c>
      <c r="AD136" s="209">
        <v>1.0392999999999999E-2</v>
      </c>
      <c r="AE136" s="209">
        <v>8.9250000000000006E-3</v>
      </c>
      <c r="AR136" s="237">
        <v>144</v>
      </c>
      <c r="AS136" s="162">
        <v>101.32</v>
      </c>
    </row>
    <row r="137" spans="21:45" ht="15" x14ac:dyDescent="0.2">
      <c r="U137" s="199">
        <v>59</v>
      </c>
      <c r="V137" s="200">
        <f t="shared" si="14"/>
        <v>10.1332</v>
      </c>
      <c r="W137" s="200">
        <f t="shared" si="15"/>
        <v>8.7019000000000002</v>
      </c>
      <c r="Y137" s="199">
        <v>59</v>
      </c>
      <c r="Z137" s="208">
        <f t="shared" si="13"/>
        <v>0.97499999999999998</v>
      </c>
      <c r="AA137" s="208">
        <f t="shared" ref="AA137:AA156" si="17">INDEX(Mort_Charge_Table,MATCH(Z137,$O$71:$O$75,1),MATCH(pr,$P$70:$T$70,1))</f>
        <v>0.97499999999999998</v>
      </c>
      <c r="AC137" s="199">
        <v>60</v>
      </c>
      <c r="AD137" s="209">
        <v>1.1162E-2</v>
      </c>
      <c r="AE137" s="209">
        <v>9.6509999999999999E-3</v>
      </c>
      <c r="AR137" s="237">
        <v>143</v>
      </c>
      <c r="AS137" s="162">
        <v>100.85</v>
      </c>
    </row>
    <row r="138" spans="21:45" ht="15" x14ac:dyDescent="0.2">
      <c r="U138" s="199">
        <v>60</v>
      </c>
      <c r="V138" s="200">
        <f t="shared" si="14"/>
        <v>10.882999999999999</v>
      </c>
      <c r="W138" s="200">
        <f t="shared" si="15"/>
        <v>9.4097000000000008</v>
      </c>
      <c r="Y138" s="199">
        <v>60</v>
      </c>
      <c r="Z138" s="208">
        <f t="shared" si="13"/>
        <v>0.97499999999999998</v>
      </c>
      <c r="AA138" s="208">
        <f t="shared" si="17"/>
        <v>0.97499999999999998</v>
      </c>
      <c r="AC138" s="199">
        <v>61</v>
      </c>
      <c r="AD138" s="209">
        <v>1.1969E-2</v>
      </c>
      <c r="AE138" s="209">
        <v>1.0392999999999999E-2</v>
      </c>
      <c r="AR138" s="237">
        <v>142</v>
      </c>
      <c r="AS138" s="162">
        <v>100.37</v>
      </c>
    </row>
    <row r="139" spans="21:45" ht="15" x14ac:dyDescent="0.2">
      <c r="U139" s="199">
        <v>61</v>
      </c>
      <c r="V139" s="200">
        <f t="shared" si="14"/>
        <v>11.6698</v>
      </c>
      <c r="W139" s="200">
        <f t="shared" si="15"/>
        <v>10.1332</v>
      </c>
      <c r="Y139" s="199">
        <v>61</v>
      </c>
      <c r="Z139" s="208">
        <f t="shared" si="13"/>
        <v>0.97499999999999998</v>
      </c>
      <c r="AA139" s="208">
        <f t="shared" si="17"/>
        <v>0.97499999999999998</v>
      </c>
      <c r="AC139" s="199">
        <v>62</v>
      </c>
      <c r="AD139" s="209">
        <v>1.2831E-2</v>
      </c>
      <c r="AE139" s="209">
        <v>1.1162E-2</v>
      </c>
      <c r="AR139" s="237">
        <v>141</v>
      </c>
      <c r="AS139" s="162">
        <v>99.89</v>
      </c>
    </row>
    <row r="140" spans="21:45" ht="15" x14ac:dyDescent="0.2">
      <c r="U140" s="199">
        <v>62</v>
      </c>
      <c r="V140" s="200">
        <f t="shared" si="14"/>
        <v>12.510199999999999</v>
      </c>
      <c r="W140" s="200">
        <f t="shared" si="15"/>
        <v>10.882999999999999</v>
      </c>
      <c r="Y140" s="199">
        <v>62</v>
      </c>
      <c r="Z140" s="208">
        <f t="shared" si="13"/>
        <v>0.97499999999999998</v>
      </c>
      <c r="AA140" s="208">
        <f t="shared" si="17"/>
        <v>0.97499999999999998</v>
      </c>
      <c r="AC140" s="199">
        <v>63</v>
      </c>
      <c r="AD140" s="209">
        <v>1.3764999999999999E-2</v>
      </c>
      <c r="AE140" s="209">
        <v>1.1969E-2</v>
      </c>
      <c r="AR140" s="237">
        <v>140</v>
      </c>
      <c r="AS140" s="162">
        <v>99.42</v>
      </c>
    </row>
    <row r="141" spans="21:45" ht="15" x14ac:dyDescent="0.2">
      <c r="U141" s="199">
        <v>63</v>
      </c>
      <c r="V141" s="200">
        <f t="shared" si="14"/>
        <v>13.4209</v>
      </c>
      <c r="W141" s="200">
        <f t="shared" si="15"/>
        <v>11.6698</v>
      </c>
      <c r="Y141" s="199">
        <v>63</v>
      </c>
      <c r="Z141" s="208">
        <f t="shared" ref="Z141:Z177" si="18">INDEX(Mort_Charge_Table,MATCH(Y142,$O$71:$O$75,1),MATCH(pr,$P$70:$T$70,1))</f>
        <v>0.97499999999999998</v>
      </c>
      <c r="AA141" s="208">
        <f t="shared" si="17"/>
        <v>0.97499999999999998</v>
      </c>
      <c r="AC141" s="199">
        <v>64</v>
      </c>
      <c r="AD141" s="209">
        <v>1.4792E-2</v>
      </c>
      <c r="AE141" s="209">
        <v>1.2831E-2</v>
      </c>
      <c r="AR141" s="237">
        <v>139</v>
      </c>
      <c r="AS141" s="162">
        <v>98.93</v>
      </c>
    </row>
    <row r="142" spans="21:45" ht="15" x14ac:dyDescent="0.2">
      <c r="U142" s="199">
        <v>64</v>
      </c>
      <c r="V142" s="200">
        <f t="shared" ref="V142:V173" si="19">ROUND(VLOOKUP(U142,$AC$77:$AE$177,2,0)*Z141*1000,4)</f>
        <v>14.4222</v>
      </c>
      <c r="W142" s="200">
        <f t="shared" ref="W142:W178" si="20">ROUND(VLOOKUP(U142,$AC$77:$AE$177,3,0)*AA141*1000,4)</f>
        <v>12.510199999999999</v>
      </c>
      <c r="Y142" s="199">
        <v>64</v>
      </c>
      <c r="Z142" s="208">
        <f t="shared" si="18"/>
        <v>0.97499999999999998</v>
      </c>
      <c r="AA142" s="208">
        <f t="shared" si="17"/>
        <v>0.97499999999999998</v>
      </c>
      <c r="AC142" s="199">
        <v>65</v>
      </c>
      <c r="AD142" s="209">
        <v>1.5932000000000002E-2</v>
      </c>
      <c r="AE142" s="209">
        <v>1.3764999999999999E-2</v>
      </c>
      <c r="AR142" s="237">
        <v>138</v>
      </c>
      <c r="AS142" s="162">
        <v>98.45</v>
      </c>
    </row>
    <row r="143" spans="21:45" ht="15" x14ac:dyDescent="0.2">
      <c r="U143" s="199">
        <v>65</v>
      </c>
      <c r="V143" s="200">
        <f t="shared" si="19"/>
        <v>15.5337</v>
      </c>
      <c r="W143" s="200">
        <f t="shared" si="20"/>
        <v>13.4209</v>
      </c>
      <c r="Y143" s="199">
        <v>65</v>
      </c>
      <c r="Z143" s="208">
        <f t="shared" si="18"/>
        <v>0.97499999999999998</v>
      </c>
      <c r="AA143" s="208">
        <f t="shared" si="17"/>
        <v>0.97499999999999998</v>
      </c>
      <c r="AC143" s="199">
        <v>66</v>
      </c>
      <c r="AD143" s="209">
        <v>1.7205999999999999E-2</v>
      </c>
      <c r="AE143" s="209">
        <v>1.4792E-2</v>
      </c>
      <c r="AR143" s="237">
        <v>137</v>
      </c>
      <c r="AS143" s="162">
        <v>97.96</v>
      </c>
    </row>
    <row r="144" spans="21:45" ht="15" x14ac:dyDescent="0.2">
      <c r="U144" s="199">
        <v>66</v>
      </c>
      <c r="V144" s="200">
        <f t="shared" si="19"/>
        <v>16.7759</v>
      </c>
      <c r="W144" s="200">
        <f t="shared" si="20"/>
        <v>14.4222</v>
      </c>
      <c r="Y144" s="199">
        <v>66</v>
      </c>
      <c r="Z144" s="208">
        <f t="shared" si="18"/>
        <v>0.97499999999999998</v>
      </c>
      <c r="AA144" s="208">
        <f t="shared" si="17"/>
        <v>0.97499999999999998</v>
      </c>
      <c r="AC144" s="199">
        <v>67</v>
      </c>
      <c r="AD144" s="209">
        <v>1.8634999999999999E-2</v>
      </c>
      <c r="AE144" s="209">
        <v>1.5932000000000002E-2</v>
      </c>
      <c r="AR144" s="237">
        <v>136</v>
      </c>
      <c r="AS144" s="162">
        <v>97.47</v>
      </c>
    </row>
    <row r="145" spans="21:45" ht="15" x14ac:dyDescent="0.2">
      <c r="U145" s="199">
        <v>67</v>
      </c>
      <c r="V145" s="200">
        <f t="shared" si="19"/>
        <v>18.1691</v>
      </c>
      <c r="W145" s="200">
        <f t="shared" si="20"/>
        <v>15.5337</v>
      </c>
      <c r="Y145" s="199">
        <v>67</v>
      </c>
      <c r="Z145" s="208">
        <f t="shared" si="18"/>
        <v>0.97499999999999998</v>
      </c>
      <c r="AA145" s="208">
        <f t="shared" si="17"/>
        <v>0.97499999999999998</v>
      </c>
      <c r="AC145" s="199">
        <v>68</v>
      </c>
      <c r="AD145" s="209">
        <v>2.0240000000000001E-2</v>
      </c>
      <c r="AE145" s="209">
        <v>1.7205999999999999E-2</v>
      </c>
      <c r="AR145" s="237">
        <v>135</v>
      </c>
      <c r="AS145" s="162">
        <v>96.98</v>
      </c>
    </row>
    <row r="146" spans="21:45" ht="15" x14ac:dyDescent="0.2">
      <c r="U146" s="199">
        <v>68</v>
      </c>
      <c r="V146" s="200">
        <f t="shared" si="19"/>
        <v>19.734000000000002</v>
      </c>
      <c r="W146" s="200">
        <f t="shared" si="20"/>
        <v>16.7759</v>
      </c>
      <c r="Y146" s="199">
        <v>68</v>
      </c>
      <c r="Z146" s="208">
        <f t="shared" si="18"/>
        <v>0.97499999999999998</v>
      </c>
      <c r="AA146" s="208">
        <f t="shared" si="17"/>
        <v>0.97499999999999998</v>
      </c>
      <c r="AC146" s="199">
        <v>69</v>
      </c>
      <c r="AD146" s="209">
        <v>2.2040000000000001E-2</v>
      </c>
      <c r="AE146" s="209">
        <v>1.8634999999999999E-2</v>
      </c>
      <c r="AR146" s="237">
        <v>134</v>
      </c>
      <c r="AS146" s="162">
        <v>96.48</v>
      </c>
    </row>
    <row r="147" spans="21:45" ht="15" x14ac:dyDescent="0.2">
      <c r="U147" s="199">
        <v>69</v>
      </c>
      <c r="V147" s="200">
        <f t="shared" si="19"/>
        <v>21.489000000000001</v>
      </c>
      <c r="W147" s="200">
        <f t="shared" si="20"/>
        <v>18.1691</v>
      </c>
      <c r="Y147" s="199">
        <v>69</v>
      </c>
      <c r="Z147" s="208">
        <f t="shared" si="18"/>
        <v>0.97499999999999998</v>
      </c>
      <c r="AA147" s="208">
        <f t="shared" si="17"/>
        <v>0.97499999999999998</v>
      </c>
      <c r="AC147" s="199">
        <v>70</v>
      </c>
      <c r="AD147" s="209">
        <v>2.4058E-2</v>
      </c>
      <c r="AE147" s="209">
        <v>2.0240000000000001E-2</v>
      </c>
      <c r="AR147" s="237">
        <v>133</v>
      </c>
      <c r="AS147" s="162">
        <v>95.99</v>
      </c>
    </row>
    <row r="148" spans="21:45" ht="15" x14ac:dyDescent="0.2">
      <c r="U148" s="199">
        <v>70</v>
      </c>
      <c r="V148" s="200">
        <f t="shared" si="19"/>
        <v>23.456600000000002</v>
      </c>
      <c r="W148" s="200">
        <f t="shared" si="20"/>
        <v>19.734000000000002</v>
      </c>
      <c r="Y148" s="199">
        <v>70</v>
      </c>
      <c r="Z148" s="208">
        <f t="shared" si="18"/>
        <v>0.97499999999999998</v>
      </c>
      <c r="AA148" s="208">
        <f t="shared" si="17"/>
        <v>0.97499999999999998</v>
      </c>
      <c r="AC148" s="199">
        <v>71</v>
      </c>
      <c r="AD148" s="209">
        <v>2.6314000000000001E-2</v>
      </c>
      <c r="AE148" s="209">
        <v>2.2040000000000001E-2</v>
      </c>
      <c r="AR148" s="237">
        <v>132</v>
      </c>
      <c r="AS148" s="162">
        <v>95.49</v>
      </c>
    </row>
    <row r="149" spans="21:45" ht="15" x14ac:dyDescent="0.2">
      <c r="U149" s="199">
        <v>71</v>
      </c>
      <c r="V149" s="200">
        <f t="shared" si="19"/>
        <v>25.656199999999998</v>
      </c>
      <c r="W149" s="200">
        <f t="shared" si="20"/>
        <v>21.489000000000001</v>
      </c>
      <c r="Y149" s="199">
        <v>71</v>
      </c>
      <c r="Z149" s="208">
        <f t="shared" si="18"/>
        <v>0.97499999999999998</v>
      </c>
      <c r="AA149" s="208">
        <f t="shared" si="17"/>
        <v>0.97499999999999998</v>
      </c>
      <c r="AC149" s="199">
        <v>72</v>
      </c>
      <c r="AD149" s="209">
        <v>2.8832E-2</v>
      </c>
      <c r="AE149" s="209">
        <v>2.4058E-2</v>
      </c>
      <c r="AR149" s="237">
        <v>131</v>
      </c>
      <c r="AS149" s="162">
        <v>94.98</v>
      </c>
    </row>
    <row r="150" spans="21:45" ht="15" x14ac:dyDescent="0.2">
      <c r="U150" s="199">
        <v>72</v>
      </c>
      <c r="V150" s="200">
        <f t="shared" si="19"/>
        <v>28.1112</v>
      </c>
      <c r="W150" s="200">
        <f t="shared" si="20"/>
        <v>23.456600000000002</v>
      </c>
      <c r="Y150" s="199">
        <v>72</v>
      </c>
      <c r="Z150" s="208">
        <f t="shared" si="18"/>
        <v>0.97499999999999998</v>
      </c>
      <c r="AA150" s="208">
        <f t="shared" si="17"/>
        <v>0.97499999999999998</v>
      </c>
      <c r="AC150" s="199">
        <v>73</v>
      </c>
      <c r="AD150" s="209">
        <v>3.1637999999999999E-2</v>
      </c>
      <c r="AE150" s="209">
        <v>2.6314000000000001E-2</v>
      </c>
      <c r="AR150" s="237">
        <v>130</v>
      </c>
      <c r="AS150" s="162">
        <v>94.48</v>
      </c>
    </row>
    <row r="151" spans="21:45" ht="15" x14ac:dyDescent="0.2">
      <c r="U151" s="199">
        <v>73</v>
      </c>
      <c r="V151" s="200">
        <f t="shared" si="19"/>
        <v>30.847100000000001</v>
      </c>
      <c r="W151" s="200">
        <f t="shared" si="20"/>
        <v>25.656199999999998</v>
      </c>
      <c r="Y151" s="199">
        <v>73</v>
      </c>
      <c r="Z151" s="208">
        <f t="shared" si="18"/>
        <v>0.97499999999999998</v>
      </c>
      <c r="AA151" s="208">
        <f t="shared" si="17"/>
        <v>0.97499999999999998</v>
      </c>
      <c r="AC151" s="199">
        <v>74</v>
      </c>
      <c r="AD151" s="209">
        <v>3.4757000000000003E-2</v>
      </c>
      <c r="AE151" s="209">
        <v>2.8832E-2</v>
      </c>
      <c r="AR151" s="237">
        <v>129</v>
      </c>
      <c r="AS151" s="162">
        <v>93.97</v>
      </c>
    </row>
    <row r="152" spans="21:45" ht="15" x14ac:dyDescent="0.2">
      <c r="U152" s="199">
        <v>74</v>
      </c>
      <c r="V152" s="200">
        <f t="shared" si="19"/>
        <v>33.888100000000001</v>
      </c>
      <c r="W152" s="200">
        <f t="shared" si="20"/>
        <v>28.1112</v>
      </c>
      <c r="Y152" s="199">
        <v>74</v>
      </c>
      <c r="Z152" s="208">
        <f t="shared" si="18"/>
        <v>0.97499999999999998</v>
      </c>
      <c r="AA152" s="208">
        <f t="shared" si="17"/>
        <v>0.97499999999999998</v>
      </c>
      <c r="AC152" s="199">
        <v>75</v>
      </c>
      <c r="AD152" s="209">
        <v>3.8220999999999998E-2</v>
      </c>
      <c r="AE152" s="209">
        <v>3.1637999999999999E-2</v>
      </c>
      <c r="AR152" s="237">
        <v>128</v>
      </c>
      <c r="AS152" s="162">
        <v>93.46</v>
      </c>
    </row>
    <row r="153" spans="21:45" ht="15" x14ac:dyDescent="0.2">
      <c r="U153" s="199">
        <v>75</v>
      </c>
      <c r="V153" s="200">
        <f t="shared" si="19"/>
        <v>37.265500000000003</v>
      </c>
      <c r="W153" s="200">
        <f t="shared" si="20"/>
        <v>30.847100000000001</v>
      </c>
      <c r="Y153" s="199">
        <v>75</v>
      </c>
      <c r="Z153" s="208">
        <f t="shared" si="18"/>
        <v>0.97499999999999998</v>
      </c>
      <c r="AA153" s="208">
        <f t="shared" si="17"/>
        <v>0.97499999999999998</v>
      </c>
      <c r="AC153" s="199">
        <v>76</v>
      </c>
      <c r="AD153" s="209">
        <v>4.2061000000000001E-2</v>
      </c>
      <c r="AE153" s="209">
        <v>3.4757000000000003E-2</v>
      </c>
      <c r="AR153" s="237">
        <v>127</v>
      </c>
      <c r="AS153" s="162">
        <v>92.95</v>
      </c>
    </row>
    <row r="154" spans="21:45" ht="15" x14ac:dyDescent="0.2">
      <c r="U154" s="199">
        <v>76</v>
      </c>
      <c r="V154" s="200">
        <f t="shared" si="19"/>
        <v>41.009500000000003</v>
      </c>
      <c r="W154" s="200">
        <f t="shared" si="20"/>
        <v>33.888100000000001</v>
      </c>
      <c r="Y154" s="199">
        <v>76</v>
      </c>
      <c r="Z154" s="208">
        <f t="shared" si="18"/>
        <v>0.97499999999999998</v>
      </c>
      <c r="AA154" s="208">
        <f t="shared" si="17"/>
        <v>0.97499999999999998</v>
      </c>
      <c r="AC154" s="199">
        <v>77</v>
      </c>
      <c r="AD154" s="209">
        <v>4.6316000000000003E-2</v>
      </c>
      <c r="AE154" s="209">
        <v>3.8220999999999998E-2</v>
      </c>
      <c r="AR154" s="237">
        <v>126</v>
      </c>
      <c r="AS154" s="162">
        <v>92.43</v>
      </c>
    </row>
    <row r="155" spans="21:45" ht="15" x14ac:dyDescent="0.2">
      <c r="U155" s="199">
        <v>77</v>
      </c>
      <c r="V155" s="200">
        <f t="shared" si="19"/>
        <v>45.158099999999997</v>
      </c>
      <c r="W155" s="200">
        <f t="shared" si="20"/>
        <v>37.265500000000003</v>
      </c>
      <c r="Y155" s="199">
        <v>77</v>
      </c>
      <c r="Z155" s="208">
        <f t="shared" si="18"/>
        <v>0.97499999999999998</v>
      </c>
      <c r="AA155" s="208">
        <f t="shared" si="17"/>
        <v>0.97499999999999998</v>
      </c>
      <c r="AC155" s="199">
        <v>78</v>
      </c>
      <c r="AD155" s="209">
        <v>5.1024E-2</v>
      </c>
      <c r="AE155" s="209">
        <v>4.2061000000000001E-2</v>
      </c>
      <c r="AR155" s="237">
        <v>125</v>
      </c>
      <c r="AS155" s="162">
        <v>91.91</v>
      </c>
    </row>
    <row r="156" spans="21:45" ht="15" x14ac:dyDescent="0.2">
      <c r="U156" s="199">
        <v>78</v>
      </c>
      <c r="V156" s="200">
        <f t="shared" si="19"/>
        <v>49.748399999999997</v>
      </c>
      <c r="W156" s="200">
        <f t="shared" si="20"/>
        <v>41.009500000000003</v>
      </c>
      <c r="Y156" s="199">
        <v>78</v>
      </c>
      <c r="Z156" s="208">
        <f t="shared" si="18"/>
        <v>0.97499999999999998</v>
      </c>
      <c r="AA156" s="208">
        <f t="shared" si="17"/>
        <v>0.97499999999999998</v>
      </c>
      <c r="AC156" s="199">
        <v>79</v>
      </c>
      <c r="AD156" s="209">
        <v>5.6231000000000003E-2</v>
      </c>
      <c r="AE156" s="209">
        <v>4.6316000000000003E-2</v>
      </c>
      <c r="AR156" s="237">
        <v>124</v>
      </c>
      <c r="AS156" s="162">
        <v>91.39</v>
      </c>
    </row>
    <row r="157" spans="21:45" ht="15" x14ac:dyDescent="0.2">
      <c r="U157" s="199">
        <v>79</v>
      </c>
      <c r="V157" s="200">
        <f t="shared" si="19"/>
        <v>54.825200000000002</v>
      </c>
      <c r="W157" s="200">
        <f t="shared" si="20"/>
        <v>45.158099999999997</v>
      </c>
      <c r="Y157" s="199">
        <v>79</v>
      </c>
      <c r="Z157" s="208">
        <f t="shared" si="18"/>
        <v>0.97499999999999998</v>
      </c>
      <c r="AA157" s="208">
        <f t="shared" ref="AA157:AA176" si="21">INDEX(Mort_Charge_Table,MATCH(Z157,$O$71:$O$75,1),MATCH(pr,$P$70:$T$70,1))</f>
        <v>0.97499999999999998</v>
      </c>
      <c r="AC157" s="199">
        <v>80</v>
      </c>
      <c r="AD157" s="209">
        <v>6.1984999999999998E-2</v>
      </c>
      <c r="AE157" s="209">
        <v>5.1024E-2</v>
      </c>
      <c r="AR157" s="237">
        <v>123</v>
      </c>
      <c r="AS157" s="162">
        <v>90.86</v>
      </c>
    </row>
    <row r="158" spans="21:45" ht="15" x14ac:dyDescent="0.2">
      <c r="U158" s="199">
        <v>80</v>
      </c>
      <c r="V158" s="200">
        <f t="shared" si="19"/>
        <v>60.435400000000001</v>
      </c>
      <c r="W158" s="200">
        <f t="shared" si="20"/>
        <v>49.748399999999997</v>
      </c>
      <c r="Y158" s="199">
        <v>80</v>
      </c>
      <c r="Z158" s="208">
        <f t="shared" si="18"/>
        <v>0.97499999999999998</v>
      </c>
      <c r="AA158" s="208">
        <f t="shared" si="21"/>
        <v>0.97499999999999998</v>
      </c>
      <c r="AC158" s="199">
        <v>81</v>
      </c>
      <c r="AD158" s="209">
        <v>6.8337999999999996E-2</v>
      </c>
      <c r="AE158" s="209">
        <v>5.6231000000000003E-2</v>
      </c>
      <c r="AR158" s="237">
        <v>122</v>
      </c>
      <c r="AS158" s="162">
        <v>90.34</v>
      </c>
    </row>
    <row r="159" spans="21:45" ht="15" x14ac:dyDescent="0.2">
      <c r="U159" s="199">
        <v>81</v>
      </c>
      <c r="V159" s="200">
        <f t="shared" si="19"/>
        <v>66.629599999999996</v>
      </c>
      <c r="W159" s="200">
        <f t="shared" si="20"/>
        <v>54.825200000000002</v>
      </c>
      <c r="Y159" s="199">
        <v>81</v>
      </c>
      <c r="Z159" s="208">
        <f t="shared" si="18"/>
        <v>0.97499999999999998</v>
      </c>
      <c r="AA159" s="208">
        <f t="shared" si="21"/>
        <v>0.97499999999999998</v>
      </c>
      <c r="AC159" s="199">
        <v>82</v>
      </c>
      <c r="AD159" s="209">
        <v>7.535E-2</v>
      </c>
      <c r="AE159" s="209">
        <v>6.1984999999999998E-2</v>
      </c>
      <c r="AR159" s="237">
        <v>121</v>
      </c>
      <c r="AS159" s="162">
        <v>89.81</v>
      </c>
    </row>
    <row r="160" spans="21:45" ht="15" x14ac:dyDescent="0.2">
      <c r="U160" s="199">
        <v>82</v>
      </c>
      <c r="V160" s="200">
        <f t="shared" si="19"/>
        <v>73.466300000000004</v>
      </c>
      <c r="W160" s="200">
        <f t="shared" si="20"/>
        <v>60.435400000000001</v>
      </c>
      <c r="Y160" s="199">
        <v>82</v>
      </c>
      <c r="Z160" s="208">
        <f t="shared" si="18"/>
        <v>0.97499999999999998</v>
      </c>
      <c r="AA160" s="208">
        <f t="shared" si="21"/>
        <v>0.97499999999999998</v>
      </c>
      <c r="AC160" s="199">
        <v>83</v>
      </c>
      <c r="AD160" s="209">
        <v>8.3082000000000003E-2</v>
      </c>
      <c r="AE160" s="209">
        <v>6.8337999999999996E-2</v>
      </c>
      <c r="AR160" s="237">
        <v>120</v>
      </c>
      <c r="AS160" s="162">
        <v>89.27</v>
      </c>
    </row>
    <row r="161" spans="21:45" ht="15" x14ac:dyDescent="0.2">
      <c r="U161" s="199">
        <v>83</v>
      </c>
      <c r="V161" s="200">
        <f t="shared" si="19"/>
        <v>81.004999999999995</v>
      </c>
      <c r="W161" s="200">
        <f t="shared" si="20"/>
        <v>66.629599999999996</v>
      </c>
      <c r="Y161" s="199">
        <v>83</v>
      </c>
      <c r="Z161" s="208">
        <f t="shared" si="18"/>
        <v>0.97499999999999998</v>
      </c>
      <c r="AA161" s="208">
        <f t="shared" si="21"/>
        <v>0.97499999999999998</v>
      </c>
      <c r="AC161" s="199">
        <v>84</v>
      </c>
      <c r="AD161" s="209">
        <v>9.1601000000000002E-2</v>
      </c>
      <c r="AE161" s="209">
        <v>7.535E-2</v>
      </c>
      <c r="AR161" s="237">
        <v>119</v>
      </c>
      <c r="AS161" s="162">
        <v>88.74</v>
      </c>
    </row>
    <row r="162" spans="21:45" ht="15" x14ac:dyDescent="0.2">
      <c r="U162" s="199">
        <v>84</v>
      </c>
      <c r="V162" s="200">
        <f t="shared" si="19"/>
        <v>89.311000000000007</v>
      </c>
      <c r="W162" s="200">
        <f t="shared" si="20"/>
        <v>73.466300000000004</v>
      </c>
      <c r="Y162" s="199">
        <v>84</v>
      </c>
      <c r="Z162" s="208">
        <f t="shared" si="18"/>
        <v>0.97499999999999998</v>
      </c>
      <c r="AA162" s="208">
        <f t="shared" si="21"/>
        <v>0.97499999999999998</v>
      </c>
      <c r="AC162" s="199">
        <v>85</v>
      </c>
      <c r="AD162" s="209">
        <v>0.100979</v>
      </c>
      <c r="AE162" s="209">
        <v>8.3082000000000003E-2</v>
      </c>
      <c r="AR162" s="237">
        <v>118</v>
      </c>
      <c r="AS162" s="162">
        <v>88.2</v>
      </c>
    </row>
    <row r="163" spans="21:45" ht="15" x14ac:dyDescent="0.2">
      <c r="U163" s="199">
        <v>85</v>
      </c>
      <c r="V163" s="200">
        <f t="shared" si="19"/>
        <v>98.454499999999996</v>
      </c>
      <c r="W163" s="200">
        <f t="shared" si="20"/>
        <v>81.004999999999995</v>
      </c>
      <c r="Y163" s="199">
        <v>85</v>
      </c>
      <c r="Z163" s="208">
        <f t="shared" si="18"/>
        <v>0.97499999999999998</v>
      </c>
      <c r="AA163" s="208">
        <f t="shared" si="21"/>
        <v>0.97499999999999998</v>
      </c>
      <c r="AC163" s="199">
        <v>86</v>
      </c>
      <c r="AD163" s="209">
        <v>0.111291</v>
      </c>
      <c r="AE163" s="209">
        <v>9.1601000000000002E-2</v>
      </c>
      <c r="AR163" s="237">
        <v>117</v>
      </c>
      <c r="AS163" s="162">
        <v>87.66</v>
      </c>
    </row>
    <row r="164" spans="21:45" ht="15" x14ac:dyDescent="0.2">
      <c r="U164" s="199">
        <v>86</v>
      </c>
      <c r="V164" s="200">
        <f t="shared" si="19"/>
        <v>108.5087</v>
      </c>
      <c r="W164" s="200">
        <f t="shared" si="20"/>
        <v>89.311000000000007</v>
      </c>
      <c r="Y164" s="199">
        <v>86</v>
      </c>
      <c r="Z164" s="208">
        <f t="shared" si="18"/>
        <v>0.97499999999999998</v>
      </c>
      <c r="AA164" s="208">
        <f t="shared" si="21"/>
        <v>0.97499999999999998</v>
      </c>
      <c r="AC164" s="199">
        <v>87</v>
      </c>
      <c r="AD164" s="209">
        <v>0.122616</v>
      </c>
      <c r="AE164" s="209">
        <v>0.100979</v>
      </c>
      <c r="AR164" s="237">
        <v>116</v>
      </c>
      <c r="AS164" s="162">
        <v>87.11</v>
      </c>
    </row>
    <row r="165" spans="21:45" ht="15" x14ac:dyDescent="0.2">
      <c r="U165" s="199">
        <v>87</v>
      </c>
      <c r="V165" s="200">
        <f t="shared" si="19"/>
        <v>119.5506</v>
      </c>
      <c r="W165" s="200">
        <f t="shared" si="20"/>
        <v>98.454499999999996</v>
      </c>
      <c r="Y165" s="199">
        <v>87</v>
      </c>
      <c r="Z165" s="208">
        <f t="shared" si="18"/>
        <v>0.97499999999999998</v>
      </c>
      <c r="AA165" s="208">
        <f t="shared" si="21"/>
        <v>0.97499999999999998</v>
      </c>
      <c r="AC165" s="199">
        <v>88</v>
      </c>
      <c r="AD165" s="209">
        <v>0.13503699999999999</v>
      </c>
      <c r="AE165" s="209">
        <v>0.111291</v>
      </c>
      <c r="AR165" s="237">
        <v>115</v>
      </c>
      <c r="AS165" s="162">
        <v>86.57</v>
      </c>
    </row>
    <row r="166" spans="21:45" ht="15" x14ac:dyDescent="0.2">
      <c r="U166" s="199">
        <v>88</v>
      </c>
      <c r="V166" s="200">
        <f t="shared" si="19"/>
        <v>131.6611</v>
      </c>
      <c r="W166" s="200">
        <f t="shared" si="20"/>
        <v>108.5087</v>
      </c>
      <c r="Y166" s="199">
        <v>88</v>
      </c>
      <c r="Z166" s="208">
        <f t="shared" si="18"/>
        <v>0.97499999999999998</v>
      </c>
      <c r="AA166" s="208">
        <f t="shared" si="21"/>
        <v>0.97499999999999998</v>
      </c>
      <c r="AC166" s="199">
        <v>89</v>
      </c>
      <c r="AD166" s="209">
        <v>0.14863899999999999</v>
      </c>
      <c r="AE166" s="209">
        <v>0.122616</v>
      </c>
      <c r="AR166" s="237">
        <v>114</v>
      </c>
      <c r="AS166" s="162">
        <v>86.02</v>
      </c>
    </row>
    <row r="167" spans="21:45" ht="15" x14ac:dyDescent="0.2">
      <c r="U167" s="199">
        <v>89</v>
      </c>
      <c r="V167" s="200">
        <f t="shared" si="19"/>
        <v>144.923</v>
      </c>
      <c r="W167" s="200">
        <f t="shared" si="20"/>
        <v>119.5506</v>
      </c>
      <c r="Y167" s="199">
        <v>89</v>
      </c>
      <c r="Z167" s="208">
        <f t="shared" si="18"/>
        <v>0.97499999999999998</v>
      </c>
      <c r="AA167" s="208">
        <f t="shared" si="21"/>
        <v>0.97499999999999998</v>
      </c>
      <c r="AC167" s="199">
        <v>90</v>
      </c>
      <c r="AD167" s="209">
        <v>0.16350700000000001</v>
      </c>
      <c r="AE167" s="209">
        <v>0.13503699999999999</v>
      </c>
      <c r="AR167" s="237">
        <v>113</v>
      </c>
      <c r="AS167" s="162">
        <v>85.47</v>
      </c>
    </row>
    <row r="168" spans="21:45" ht="15" x14ac:dyDescent="0.2">
      <c r="U168" s="199">
        <v>90</v>
      </c>
      <c r="V168" s="200">
        <f t="shared" si="19"/>
        <v>159.41929999999999</v>
      </c>
      <c r="W168" s="200">
        <f t="shared" si="20"/>
        <v>131.6611</v>
      </c>
      <c r="Y168" s="199">
        <v>90</v>
      </c>
      <c r="Z168" s="208">
        <f t="shared" si="18"/>
        <v>0.97499999999999998</v>
      </c>
      <c r="AA168" s="208">
        <f t="shared" si="21"/>
        <v>0.97499999999999998</v>
      </c>
      <c r="AC168" s="199">
        <v>91</v>
      </c>
      <c r="AD168" s="209">
        <v>0.179726</v>
      </c>
      <c r="AE168" s="209">
        <v>0.14863899999999999</v>
      </c>
      <c r="AR168" s="237">
        <v>112</v>
      </c>
      <c r="AS168" s="162">
        <v>84.91</v>
      </c>
    </row>
    <row r="169" spans="21:45" ht="15" x14ac:dyDescent="0.2">
      <c r="U169" s="199">
        <v>91</v>
      </c>
      <c r="V169" s="200">
        <f t="shared" si="19"/>
        <v>175.2329</v>
      </c>
      <c r="W169" s="200">
        <f t="shared" si="20"/>
        <v>144.923</v>
      </c>
      <c r="Y169" s="199">
        <v>91</v>
      </c>
      <c r="Z169" s="208">
        <f t="shared" si="18"/>
        <v>0.97499999999999998</v>
      </c>
      <c r="AA169" s="208">
        <f t="shared" si="21"/>
        <v>0.97499999999999998</v>
      </c>
      <c r="AC169" s="199">
        <v>92</v>
      </c>
      <c r="AD169" s="209">
        <v>0.19738</v>
      </c>
      <c r="AE169" s="209">
        <v>0.16350700000000001</v>
      </c>
      <c r="AR169" s="237">
        <v>111</v>
      </c>
      <c r="AS169" s="162">
        <v>84.35</v>
      </c>
    </row>
    <row r="170" spans="21:45" ht="15" x14ac:dyDescent="0.2">
      <c r="U170" s="199">
        <v>92</v>
      </c>
      <c r="V170" s="200">
        <f t="shared" si="19"/>
        <v>192.44550000000001</v>
      </c>
      <c r="W170" s="200">
        <f t="shared" si="20"/>
        <v>159.41929999999999</v>
      </c>
      <c r="Y170" s="199">
        <v>92</v>
      </c>
      <c r="Z170" s="208">
        <f t="shared" si="18"/>
        <v>0.97499999999999998</v>
      </c>
      <c r="AA170" s="208">
        <f t="shared" si="21"/>
        <v>0.97499999999999998</v>
      </c>
      <c r="AC170" s="199">
        <v>93</v>
      </c>
      <c r="AD170" s="209">
        <v>0.21654699999999999</v>
      </c>
      <c r="AE170" s="209">
        <v>0.179726</v>
      </c>
      <c r="AR170" s="237">
        <v>110</v>
      </c>
      <c r="AS170" s="162">
        <v>83.79</v>
      </c>
    </row>
    <row r="171" spans="21:45" ht="15" x14ac:dyDescent="0.2">
      <c r="U171" s="199">
        <v>93</v>
      </c>
      <c r="V171" s="200">
        <f t="shared" si="19"/>
        <v>211.13329999999999</v>
      </c>
      <c r="W171" s="200">
        <f t="shared" si="20"/>
        <v>175.2329</v>
      </c>
      <c r="Y171" s="199">
        <v>93</v>
      </c>
      <c r="Z171" s="208">
        <f t="shared" si="18"/>
        <v>0.97499999999999998</v>
      </c>
      <c r="AA171" s="208">
        <f t="shared" si="21"/>
        <v>0.97499999999999998</v>
      </c>
      <c r="AC171" s="199">
        <v>94</v>
      </c>
      <c r="AD171" s="209">
        <v>0.23730200000000001</v>
      </c>
      <c r="AE171" s="209">
        <v>0.19738</v>
      </c>
      <c r="AR171" s="237">
        <v>109</v>
      </c>
      <c r="AS171" s="162">
        <v>83.23</v>
      </c>
    </row>
    <row r="172" spans="21:45" ht="15" x14ac:dyDescent="0.2">
      <c r="U172" s="199">
        <v>94</v>
      </c>
      <c r="V172" s="200">
        <f t="shared" si="19"/>
        <v>231.36949999999999</v>
      </c>
      <c r="W172" s="200">
        <f t="shared" si="20"/>
        <v>192.44550000000001</v>
      </c>
      <c r="Y172" s="199">
        <v>94</v>
      </c>
      <c r="Z172" s="208">
        <f t="shared" si="18"/>
        <v>0.97499999999999998</v>
      </c>
      <c r="AA172" s="208">
        <f t="shared" si="21"/>
        <v>0.97499999999999998</v>
      </c>
      <c r="AC172" s="199">
        <v>95</v>
      </c>
      <c r="AD172" s="209">
        <v>0.25970599999999999</v>
      </c>
      <c r="AE172" s="209">
        <v>0.21654699999999999</v>
      </c>
      <c r="AR172" s="237">
        <v>108</v>
      </c>
      <c r="AS172" s="162">
        <v>82.66</v>
      </c>
    </row>
    <row r="173" spans="21:45" ht="15" x14ac:dyDescent="0.2">
      <c r="U173" s="199">
        <v>95</v>
      </c>
      <c r="V173" s="200">
        <f t="shared" si="19"/>
        <v>253.21340000000001</v>
      </c>
      <c r="W173" s="200">
        <f t="shared" si="20"/>
        <v>211.13329999999999</v>
      </c>
      <c r="Y173" s="199">
        <v>95</v>
      </c>
      <c r="Z173" s="208">
        <f t="shared" si="18"/>
        <v>0.97499999999999998</v>
      </c>
      <c r="AA173" s="208">
        <f t="shared" si="21"/>
        <v>0.97499999999999998</v>
      </c>
      <c r="AC173" s="199">
        <v>96</v>
      </c>
      <c r="AD173" s="209">
        <v>0.28381299999999998</v>
      </c>
      <c r="AE173" s="209">
        <v>0.23730200000000001</v>
      </c>
      <c r="AR173" s="237">
        <v>107</v>
      </c>
      <c r="AS173" s="162">
        <v>82.09</v>
      </c>
    </row>
    <row r="174" spans="21:45" ht="15" x14ac:dyDescent="0.2">
      <c r="U174" s="199">
        <v>96</v>
      </c>
      <c r="V174" s="200">
        <f>ROUND(VLOOKUP(U174,$AC$77:$AE$177,2,0)*Z173*1000,4)</f>
        <v>276.71769999999998</v>
      </c>
      <c r="W174" s="200">
        <f t="shared" si="20"/>
        <v>231.36949999999999</v>
      </c>
      <c r="Y174" s="199">
        <v>96</v>
      </c>
      <c r="Z174" s="208">
        <f t="shared" si="18"/>
        <v>0.97499999999999998</v>
      </c>
      <c r="AA174" s="208">
        <f t="shared" si="21"/>
        <v>0.97499999999999998</v>
      </c>
      <c r="AC174" s="199">
        <v>97</v>
      </c>
      <c r="AD174" s="209">
        <v>0.30965900000000002</v>
      </c>
      <c r="AE174" s="209">
        <v>0.25970599999999999</v>
      </c>
      <c r="AR174" s="237">
        <v>106</v>
      </c>
      <c r="AS174" s="162">
        <v>81.510000000000005</v>
      </c>
    </row>
    <row r="175" spans="21:45" ht="15" x14ac:dyDescent="0.2">
      <c r="U175" s="199">
        <v>97</v>
      </c>
      <c r="V175" s="200">
        <f>ROUND(VLOOKUP(U175,$AC$77:$AE$177,2,0)*Z174*1000,4)</f>
        <v>301.91750000000002</v>
      </c>
      <c r="W175" s="200">
        <f t="shared" si="20"/>
        <v>253.21340000000001</v>
      </c>
      <c r="Y175" s="199">
        <v>97</v>
      </c>
      <c r="Z175" s="208">
        <f t="shared" si="18"/>
        <v>0.97499999999999998</v>
      </c>
      <c r="AA175" s="208">
        <f t="shared" si="21"/>
        <v>0.97499999999999998</v>
      </c>
      <c r="AC175" s="199">
        <v>98</v>
      </c>
      <c r="AD175" s="209">
        <v>0.33726499999999998</v>
      </c>
      <c r="AE175" s="209">
        <v>0.28381299999999998</v>
      </c>
      <c r="AR175" s="237">
        <v>105</v>
      </c>
      <c r="AS175" s="162">
        <v>80.94</v>
      </c>
    </row>
    <row r="176" spans="21:45" ht="15" x14ac:dyDescent="0.2">
      <c r="U176" s="199">
        <v>98</v>
      </c>
      <c r="V176" s="200">
        <f>ROUND(VLOOKUP(U176,$AC$77:$AE$177,2,0)*Z175*1000,4)</f>
        <v>328.83339999999998</v>
      </c>
      <c r="W176" s="200">
        <f t="shared" si="20"/>
        <v>276.71769999999998</v>
      </c>
      <c r="Y176" s="199">
        <v>98</v>
      </c>
      <c r="Z176" s="208">
        <f t="shared" si="18"/>
        <v>0.97499999999999998</v>
      </c>
      <c r="AA176" s="208">
        <f t="shared" si="21"/>
        <v>0.97499999999999998</v>
      </c>
      <c r="AC176" s="199">
        <v>99</v>
      </c>
      <c r="AD176" s="209">
        <v>0.36663000000000001</v>
      </c>
      <c r="AE176" s="209">
        <v>0.30965900000000002</v>
      </c>
      <c r="AR176" s="237">
        <v>104</v>
      </c>
      <c r="AS176" s="162">
        <v>80.36</v>
      </c>
    </row>
    <row r="177" spans="21:45" ht="15" x14ac:dyDescent="0.2">
      <c r="U177" s="199">
        <v>99</v>
      </c>
      <c r="V177" s="200">
        <f>ROUND(VLOOKUP(U177,$AC$77:$AE$177,2,0)*Z176*1000,4)</f>
        <v>357.46429999999998</v>
      </c>
      <c r="W177" s="200">
        <f t="shared" si="20"/>
        <v>301.91750000000002</v>
      </c>
      <c r="Y177" s="199">
        <v>99</v>
      </c>
      <c r="Z177" s="208">
        <f t="shared" si="18"/>
        <v>0.97499999999999998</v>
      </c>
      <c r="AA177" s="208">
        <f>INDEX(Mort_Charge_Table,MATCH(Z177,$O$71:$O$75,1),MATCH(pr,$P$70:$T$70,1))</f>
        <v>0.97499999999999998</v>
      </c>
      <c r="AC177" s="199">
        <v>100</v>
      </c>
      <c r="AD177" s="209">
        <v>0.397733</v>
      </c>
      <c r="AE177" s="209">
        <v>0.33726499999999998</v>
      </c>
      <c r="AR177" s="237">
        <v>103</v>
      </c>
      <c r="AS177" s="162">
        <v>79.78</v>
      </c>
    </row>
    <row r="178" spans="21:45" ht="15" x14ac:dyDescent="0.2">
      <c r="U178" s="199">
        <v>100</v>
      </c>
      <c r="V178" s="200">
        <f>ROUND(VLOOKUP(U178,$AC$77:$AE$177,2,0)*Z177*1000,4)</f>
        <v>387.78969999999998</v>
      </c>
      <c r="W178" s="200">
        <f t="shared" si="20"/>
        <v>328.83339999999998</v>
      </c>
      <c r="Y178" s="199">
        <v>100</v>
      </c>
      <c r="AR178" s="237">
        <v>102</v>
      </c>
      <c r="AS178" s="162">
        <v>79.19</v>
      </c>
    </row>
    <row r="179" spans="21:45" x14ac:dyDescent="0.2">
      <c r="AR179" s="237">
        <v>101</v>
      </c>
      <c r="AS179" s="162">
        <v>78.599999999999994</v>
      </c>
    </row>
    <row r="180" spans="21:45" x14ac:dyDescent="0.2">
      <c r="AR180" s="237">
        <v>100</v>
      </c>
      <c r="AS180" s="162">
        <v>78.010000000000005</v>
      </c>
    </row>
    <row r="181" spans="21:45" x14ac:dyDescent="0.2">
      <c r="AR181" s="237">
        <v>99</v>
      </c>
      <c r="AS181" s="162">
        <v>77.42</v>
      </c>
    </row>
    <row r="182" spans="21:45" x14ac:dyDescent="0.2">
      <c r="AR182" s="237">
        <v>98</v>
      </c>
      <c r="AS182" s="162">
        <v>76.819999999999993</v>
      </c>
    </row>
    <row r="183" spans="21:45" x14ac:dyDescent="0.2">
      <c r="AR183" s="237">
        <v>97</v>
      </c>
      <c r="AS183" s="162">
        <v>76.22</v>
      </c>
    </row>
    <row r="184" spans="21:45" x14ac:dyDescent="0.2">
      <c r="AR184" s="237">
        <v>96</v>
      </c>
      <c r="AS184" s="162">
        <v>75.61</v>
      </c>
    </row>
    <row r="185" spans="21:45" x14ac:dyDescent="0.2">
      <c r="AR185" s="237">
        <v>95</v>
      </c>
      <c r="AS185" s="162">
        <v>75.010000000000005</v>
      </c>
    </row>
    <row r="186" spans="21:45" x14ac:dyDescent="0.2">
      <c r="AR186" s="237">
        <v>94</v>
      </c>
      <c r="AS186" s="162">
        <v>74.39</v>
      </c>
    </row>
    <row r="187" spans="21:45" x14ac:dyDescent="0.2">
      <c r="AR187" s="237">
        <v>93</v>
      </c>
      <c r="AS187" s="162">
        <v>73.78</v>
      </c>
    </row>
    <row r="188" spans="21:45" x14ac:dyDescent="0.2">
      <c r="AR188" s="237">
        <v>92</v>
      </c>
      <c r="AS188" s="162">
        <v>73.16</v>
      </c>
    </row>
    <row r="189" spans="21:45" x14ac:dyDescent="0.2">
      <c r="AR189" s="237">
        <v>91</v>
      </c>
      <c r="AS189" s="162">
        <v>72.540000000000006</v>
      </c>
    </row>
    <row r="190" spans="21:45" x14ac:dyDescent="0.2">
      <c r="AR190" s="237">
        <v>90</v>
      </c>
      <c r="AS190" s="162">
        <v>71.92</v>
      </c>
    </row>
    <row r="191" spans="21:45" x14ac:dyDescent="0.2">
      <c r="AR191" s="237">
        <v>89</v>
      </c>
      <c r="AS191" s="162">
        <v>71.290000000000006</v>
      </c>
    </row>
    <row r="192" spans="21:45" x14ac:dyDescent="0.2">
      <c r="AR192" s="237">
        <v>88</v>
      </c>
      <c r="AS192" s="162">
        <v>70.66</v>
      </c>
    </row>
    <row r="193" spans="44:45" x14ac:dyDescent="0.2">
      <c r="AR193" s="237">
        <v>87</v>
      </c>
      <c r="AS193" s="162">
        <v>70.03</v>
      </c>
    </row>
    <row r="194" spans="44:45" x14ac:dyDescent="0.2">
      <c r="AR194" s="237">
        <v>86</v>
      </c>
      <c r="AS194" s="162">
        <v>69.39</v>
      </c>
    </row>
    <row r="195" spans="44:45" x14ac:dyDescent="0.2">
      <c r="AR195" s="237">
        <v>85</v>
      </c>
      <c r="AS195" s="162">
        <v>68.75</v>
      </c>
    </row>
    <row r="196" spans="44:45" x14ac:dyDescent="0.2">
      <c r="AR196" s="237">
        <v>84</v>
      </c>
      <c r="AS196" s="162">
        <v>68.11</v>
      </c>
    </row>
    <row r="197" spans="44:45" x14ac:dyDescent="0.2">
      <c r="AR197" s="237">
        <v>83</v>
      </c>
      <c r="AS197" s="162">
        <v>67.459999999999994</v>
      </c>
    </row>
    <row r="198" spans="44:45" x14ac:dyDescent="0.2">
      <c r="AR198" s="237">
        <v>82</v>
      </c>
      <c r="AS198" s="162">
        <v>66.81</v>
      </c>
    </row>
    <row r="199" spans="44:45" x14ac:dyDescent="0.2">
      <c r="AR199" s="237">
        <v>81</v>
      </c>
      <c r="AS199" s="162">
        <v>66.16</v>
      </c>
    </row>
    <row r="200" spans="44:45" x14ac:dyDescent="0.2">
      <c r="AR200" s="237">
        <v>80</v>
      </c>
      <c r="AS200" s="162">
        <v>65.5</v>
      </c>
    </row>
    <row r="201" spans="44:45" x14ac:dyDescent="0.2">
      <c r="AR201" s="237">
        <v>79</v>
      </c>
      <c r="AS201" s="162">
        <v>64.84</v>
      </c>
    </row>
    <row r="202" spans="44:45" x14ac:dyDescent="0.2">
      <c r="AR202" s="237">
        <v>78</v>
      </c>
      <c r="AS202" s="162">
        <v>64.180000000000007</v>
      </c>
    </row>
    <row r="203" spans="44:45" x14ac:dyDescent="0.2">
      <c r="AR203" s="237">
        <v>77</v>
      </c>
      <c r="AS203" s="162">
        <v>63.51</v>
      </c>
    </row>
    <row r="204" spans="44:45" x14ac:dyDescent="0.2">
      <c r="AR204" s="237">
        <v>76</v>
      </c>
      <c r="AS204" s="162">
        <v>62.84</v>
      </c>
    </row>
    <row r="205" spans="44:45" x14ac:dyDescent="0.2">
      <c r="AR205" s="237">
        <v>75</v>
      </c>
      <c r="AS205" s="162">
        <v>62.16</v>
      </c>
    </row>
    <row r="206" spans="44:45" x14ac:dyDescent="0.2">
      <c r="AR206" s="237">
        <v>74</v>
      </c>
      <c r="AS206" s="162">
        <v>61.48</v>
      </c>
    </row>
    <row r="207" spans="44:45" x14ac:dyDescent="0.2">
      <c r="AR207" s="237">
        <v>73</v>
      </c>
      <c r="AS207" s="162">
        <v>60.8</v>
      </c>
    </row>
    <row r="208" spans="44:45" x14ac:dyDescent="0.2">
      <c r="AR208" s="237">
        <v>72</v>
      </c>
      <c r="AS208" s="162">
        <v>60.12</v>
      </c>
    </row>
    <row r="209" spans="44:45" x14ac:dyDescent="0.2">
      <c r="AR209" s="237">
        <v>71</v>
      </c>
      <c r="AS209" s="162">
        <v>59.43</v>
      </c>
    </row>
    <row r="210" spans="44:45" x14ac:dyDescent="0.2">
      <c r="AR210" s="237">
        <v>70</v>
      </c>
      <c r="AS210" s="162">
        <v>58.74</v>
      </c>
    </row>
    <row r="211" spans="44:45" x14ac:dyDescent="0.2">
      <c r="AR211" s="237">
        <v>69</v>
      </c>
      <c r="AS211" s="162">
        <v>58.04</v>
      </c>
    </row>
    <row r="212" spans="44:45" x14ac:dyDescent="0.2">
      <c r="AR212" s="237">
        <v>68</v>
      </c>
      <c r="AS212" s="162">
        <v>57.34</v>
      </c>
    </row>
    <row r="213" spans="44:45" x14ac:dyDescent="0.2">
      <c r="AR213" s="237">
        <v>67</v>
      </c>
      <c r="AS213" s="162">
        <v>56.64</v>
      </c>
    </row>
    <row r="214" spans="44:45" x14ac:dyDescent="0.2">
      <c r="AR214" s="237">
        <v>66</v>
      </c>
      <c r="AS214" s="162">
        <v>55.93</v>
      </c>
    </row>
    <row r="215" spans="44:45" x14ac:dyDescent="0.2">
      <c r="AR215" s="237">
        <v>65</v>
      </c>
      <c r="AS215" s="162">
        <v>55.22</v>
      </c>
    </row>
    <row r="216" spans="44:45" x14ac:dyDescent="0.2">
      <c r="AR216" s="237">
        <v>64</v>
      </c>
      <c r="AS216" s="162">
        <v>54.5</v>
      </c>
    </row>
    <row r="217" spans="44:45" x14ac:dyDescent="0.2">
      <c r="AR217" s="237">
        <v>63</v>
      </c>
      <c r="AS217" s="162">
        <v>53.79</v>
      </c>
    </row>
    <row r="218" spans="44:45" x14ac:dyDescent="0.2">
      <c r="AR218" s="237">
        <v>62</v>
      </c>
      <c r="AS218" s="162">
        <v>53.06</v>
      </c>
    </row>
    <row r="219" spans="44:45" x14ac:dyDescent="0.2">
      <c r="AR219" s="237">
        <v>61</v>
      </c>
      <c r="AS219" s="162">
        <v>52.34</v>
      </c>
    </row>
    <row r="220" spans="44:45" x14ac:dyDescent="0.2">
      <c r="AR220" s="237">
        <v>60</v>
      </c>
      <c r="AS220" s="162">
        <v>51.61</v>
      </c>
    </row>
    <row r="221" spans="44:45" x14ac:dyDescent="0.2">
      <c r="AR221" s="237">
        <v>59</v>
      </c>
      <c r="AS221" s="162">
        <v>50.87</v>
      </c>
    </row>
    <row r="222" spans="44:45" x14ac:dyDescent="0.2">
      <c r="AR222" s="237">
        <v>58</v>
      </c>
      <c r="AS222" s="162">
        <v>50.14</v>
      </c>
    </row>
    <row r="223" spans="44:45" x14ac:dyDescent="0.2">
      <c r="AR223" s="237">
        <v>57</v>
      </c>
      <c r="AS223" s="162">
        <v>49.39</v>
      </c>
    </row>
    <row r="224" spans="44:45" x14ac:dyDescent="0.2">
      <c r="AR224" s="237">
        <v>56</v>
      </c>
      <c r="AS224" s="162">
        <v>48.65</v>
      </c>
    </row>
    <row r="225" spans="44:45" x14ac:dyDescent="0.2">
      <c r="AR225" s="237">
        <v>55</v>
      </c>
      <c r="AS225" s="162">
        <v>47.9</v>
      </c>
    </row>
    <row r="226" spans="44:45" x14ac:dyDescent="0.2">
      <c r="AR226" s="237">
        <v>54</v>
      </c>
      <c r="AS226" s="162">
        <v>47.15</v>
      </c>
    </row>
    <row r="227" spans="44:45" x14ac:dyDescent="0.2">
      <c r="AR227" s="237">
        <v>53</v>
      </c>
      <c r="AS227" s="162">
        <v>46.39</v>
      </c>
    </row>
    <row r="228" spans="44:45" x14ac:dyDescent="0.2">
      <c r="AR228" s="237">
        <v>52</v>
      </c>
      <c r="AS228" s="162">
        <v>45.63</v>
      </c>
    </row>
    <row r="229" spans="44:45" x14ac:dyDescent="0.2">
      <c r="AR229" s="237">
        <v>51</v>
      </c>
      <c r="AS229" s="162">
        <v>44.86</v>
      </c>
    </row>
    <row r="230" spans="44:45" x14ac:dyDescent="0.2">
      <c r="AR230" s="237">
        <v>50</v>
      </c>
      <c r="AS230" s="162">
        <v>44.09</v>
      </c>
    </row>
    <row r="231" spans="44:45" x14ac:dyDescent="0.2">
      <c r="AR231" s="237">
        <v>49</v>
      </c>
      <c r="AS231" s="162">
        <v>43.32</v>
      </c>
    </row>
    <row r="232" spans="44:45" x14ac:dyDescent="0.2">
      <c r="AR232" s="237">
        <v>48</v>
      </c>
      <c r="AS232" s="162">
        <v>42.54</v>
      </c>
    </row>
    <row r="233" spans="44:45" x14ac:dyDescent="0.2">
      <c r="AR233" s="237">
        <v>47</v>
      </c>
      <c r="AS233" s="162">
        <v>41.76</v>
      </c>
    </row>
    <row r="234" spans="44:45" x14ac:dyDescent="0.2">
      <c r="AR234" s="237">
        <v>46</v>
      </c>
      <c r="AS234" s="162">
        <v>40.98</v>
      </c>
    </row>
    <row r="235" spans="44:45" x14ac:dyDescent="0.2">
      <c r="AR235" s="237">
        <v>45</v>
      </c>
      <c r="AS235" s="162">
        <v>40.19</v>
      </c>
    </row>
    <row r="236" spans="44:45" x14ac:dyDescent="0.2">
      <c r="AR236" s="237">
        <v>44</v>
      </c>
      <c r="AS236" s="162">
        <v>39.39</v>
      </c>
    </row>
    <row r="237" spans="44:45" x14ac:dyDescent="0.2">
      <c r="AR237" s="237">
        <v>43</v>
      </c>
      <c r="AS237" s="162">
        <v>38.590000000000003</v>
      </c>
    </row>
    <row r="238" spans="44:45" x14ac:dyDescent="0.2">
      <c r="AR238" s="237">
        <v>42</v>
      </c>
      <c r="AS238" s="162">
        <v>37.79</v>
      </c>
    </row>
    <row r="239" spans="44:45" x14ac:dyDescent="0.2">
      <c r="AR239" s="237">
        <v>41</v>
      </c>
      <c r="AS239" s="162">
        <v>36.99</v>
      </c>
    </row>
    <row r="240" spans="44:45" x14ac:dyDescent="0.2">
      <c r="AR240" s="237">
        <v>40</v>
      </c>
      <c r="AS240" s="162">
        <v>36.18</v>
      </c>
    </row>
    <row r="241" spans="44:45" x14ac:dyDescent="0.2">
      <c r="AR241" s="237">
        <v>39</v>
      </c>
      <c r="AS241" s="162">
        <v>35.36</v>
      </c>
    </row>
    <row r="242" spans="44:45" x14ac:dyDescent="0.2">
      <c r="AR242" s="237">
        <v>38</v>
      </c>
      <c r="AS242" s="162">
        <v>34.54</v>
      </c>
    </row>
    <row r="243" spans="44:45" x14ac:dyDescent="0.2">
      <c r="AR243" s="237">
        <v>37</v>
      </c>
      <c r="AS243" s="162">
        <v>33.72</v>
      </c>
    </row>
    <row r="244" spans="44:45" x14ac:dyDescent="0.2">
      <c r="AR244" s="237">
        <v>36</v>
      </c>
      <c r="AS244" s="162">
        <v>32.89</v>
      </c>
    </row>
    <row r="245" spans="44:45" x14ac:dyDescent="0.2">
      <c r="AR245" s="237">
        <v>35</v>
      </c>
      <c r="AS245" s="162">
        <v>32.06</v>
      </c>
    </row>
    <row r="246" spans="44:45" x14ac:dyDescent="0.2">
      <c r="AR246" s="237">
        <v>34</v>
      </c>
      <c r="AS246" s="162">
        <v>31.22</v>
      </c>
    </row>
    <row r="247" spans="44:45" x14ac:dyDescent="0.2">
      <c r="AR247" s="237">
        <v>33</v>
      </c>
      <c r="AS247" s="162">
        <v>30.38</v>
      </c>
    </row>
    <row r="248" spans="44:45" x14ac:dyDescent="0.2">
      <c r="AR248" s="237">
        <v>32</v>
      </c>
      <c r="AS248" s="162">
        <v>29.53</v>
      </c>
    </row>
    <row r="249" spans="44:45" x14ac:dyDescent="0.2">
      <c r="AR249" s="237">
        <v>31</v>
      </c>
      <c r="AS249" s="162">
        <v>28.68</v>
      </c>
    </row>
    <row r="250" spans="44:45" x14ac:dyDescent="0.2">
      <c r="AR250" s="237">
        <v>30</v>
      </c>
      <c r="AS250" s="162">
        <v>27.83</v>
      </c>
    </row>
    <row r="251" spans="44:45" x14ac:dyDescent="0.2">
      <c r="AR251" s="237">
        <v>29</v>
      </c>
      <c r="AS251" s="162">
        <v>26.97</v>
      </c>
    </row>
    <row r="252" spans="44:45" x14ac:dyDescent="0.2">
      <c r="AR252" s="237">
        <v>28</v>
      </c>
      <c r="AS252" s="162">
        <v>26.11</v>
      </c>
    </row>
    <row r="253" spans="44:45" x14ac:dyDescent="0.2">
      <c r="AR253" s="237">
        <v>27</v>
      </c>
      <c r="AS253" s="162">
        <v>25.24</v>
      </c>
    </row>
    <row r="254" spans="44:45" x14ac:dyDescent="0.2">
      <c r="AR254" s="237">
        <v>26</v>
      </c>
      <c r="AS254" s="162">
        <v>24.37</v>
      </c>
    </row>
    <row r="255" spans="44:45" x14ac:dyDescent="0.2">
      <c r="AR255" s="237">
        <v>25</v>
      </c>
      <c r="AS255" s="162">
        <v>23.49</v>
      </c>
    </row>
    <row r="256" spans="44:45" x14ac:dyDescent="0.2">
      <c r="AR256" s="237">
        <v>24</v>
      </c>
      <c r="AS256" s="162">
        <v>22.61</v>
      </c>
    </row>
    <row r="257" spans="44:45" x14ac:dyDescent="0.2">
      <c r="AR257" s="237">
        <v>23</v>
      </c>
      <c r="AS257" s="162">
        <v>21.72</v>
      </c>
    </row>
    <row r="258" spans="44:45" x14ac:dyDescent="0.2">
      <c r="AR258" s="237">
        <v>22</v>
      </c>
      <c r="AS258" s="162">
        <v>20.83</v>
      </c>
    </row>
    <row r="259" spans="44:45" x14ac:dyDescent="0.2">
      <c r="AR259" s="237">
        <v>21</v>
      </c>
      <c r="AS259" s="162">
        <v>19.940000000000001</v>
      </c>
    </row>
    <row r="260" spans="44:45" x14ac:dyDescent="0.2">
      <c r="AR260" s="237">
        <v>20</v>
      </c>
      <c r="AS260" s="162">
        <v>19.04</v>
      </c>
    </row>
    <row r="261" spans="44:45" x14ac:dyDescent="0.2">
      <c r="AR261" s="237">
        <v>19</v>
      </c>
      <c r="AS261" s="162">
        <v>18.13</v>
      </c>
    </row>
    <row r="262" spans="44:45" x14ac:dyDescent="0.2">
      <c r="AR262" s="237">
        <v>18</v>
      </c>
      <c r="AS262" s="162">
        <v>17.22</v>
      </c>
    </row>
    <row r="263" spans="44:45" x14ac:dyDescent="0.2">
      <c r="AR263" s="237">
        <v>17</v>
      </c>
      <c r="AS263" s="162">
        <v>16.309999999999999</v>
      </c>
    </row>
    <row r="264" spans="44:45" x14ac:dyDescent="0.2">
      <c r="AR264" s="237">
        <v>16</v>
      </c>
      <c r="AS264" s="162">
        <v>15.39</v>
      </c>
    </row>
    <row r="265" spans="44:45" x14ac:dyDescent="0.2">
      <c r="AR265" s="237">
        <v>15</v>
      </c>
      <c r="AS265" s="162">
        <v>14.46</v>
      </c>
    </row>
    <row r="266" spans="44:45" x14ac:dyDescent="0.2">
      <c r="AR266" s="237">
        <v>14</v>
      </c>
      <c r="AS266" s="162">
        <v>13.53</v>
      </c>
    </row>
    <row r="267" spans="44:45" x14ac:dyDescent="0.2">
      <c r="AR267" s="237">
        <v>13</v>
      </c>
      <c r="AS267" s="162">
        <v>12.6</v>
      </c>
    </row>
    <row r="268" spans="44:45" x14ac:dyDescent="0.2">
      <c r="AR268" s="237">
        <v>12</v>
      </c>
      <c r="AS268" s="162">
        <v>11.66</v>
      </c>
    </row>
    <row r="269" spans="44:45" x14ac:dyDescent="0.2">
      <c r="AR269" s="237">
        <v>11</v>
      </c>
      <c r="AS269" s="162">
        <v>10.72</v>
      </c>
    </row>
    <row r="270" spans="44:45" x14ac:dyDescent="0.2">
      <c r="AR270" s="237">
        <v>10</v>
      </c>
      <c r="AS270" s="162">
        <v>9.77</v>
      </c>
    </row>
    <row r="271" spans="44:45" x14ac:dyDescent="0.2">
      <c r="AR271" s="237">
        <v>9</v>
      </c>
      <c r="AS271" s="162">
        <v>8.81</v>
      </c>
    </row>
    <row r="272" spans="44:45" x14ac:dyDescent="0.2">
      <c r="AR272" s="237">
        <v>8</v>
      </c>
      <c r="AS272" s="162">
        <v>7.85</v>
      </c>
    </row>
    <row r="273" spans="44:45" x14ac:dyDescent="0.2">
      <c r="AR273" s="237">
        <v>7</v>
      </c>
      <c r="AS273" s="162">
        <v>6.89</v>
      </c>
    </row>
    <row r="274" spans="44:45" x14ac:dyDescent="0.2">
      <c r="AR274" s="237">
        <v>6</v>
      </c>
      <c r="AS274" s="162">
        <v>5.92</v>
      </c>
    </row>
    <row r="275" spans="44:45" x14ac:dyDescent="0.2">
      <c r="AR275" s="237">
        <v>5</v>
      </c>
      <c r="AS275" s="162">
        <v>4.95</v>
      </c>
    </row>
    <row r="276" spans="44:45" x14ac:dyDescent="0.2">
      <c r="AR276" s="237">
        <v>4</v>
      </c>
      <c r="AS276" s="162">
        <v>3.97</v>
      </c>
    </row>
    <row r="277" spans="44:45" x14ac:dyDescent="0.2">
      <c r="AR277" s="237">
        <v>3</v>
      </c>
      <c r="AS277" s="162">
        <v>2.98</v>
      </c>
    </row>
    <row r="278" spans="44:45" x14ac:dyDescent="0.2">
      <c r="AR278" s="237">
        <v>2</v>
      </c>
      <c r="AS278" s="162">
        <v>1.99</v>
      </c>
    </row>
    <row r="279" spans="44:45" x14ac:dyDescent="0.2">
      <c r="AR279" s="237">
        <v>1</v>
      </c>
      <c r="AS279" s="162">
        <v>1</v>
      </c>
    </row>
  </sheetData>
  <mergeCells count="24">
    <mergeCell ref="C26:D26"/>
    <mergeCell ref="B5:C5"/>
    <mergeCell ref="F5:H5"/>
    <mergeCell ref="P11:Q11"/>
    <mergeCell ref="AT2:AU2"/>
    <mergeCell ref="AN4:AQ4"/>
    <mergeCell ref="AO5:AQ5"/>
    <mergeCell ref="AN2:AQ2"/>
    <mergeCell ref="B2:E2"/>
    <mergeCell ref="T5:U5"/>
    <mergeCell ref="B16:D16"/>
    <mergeCell ref="U76:W76"/>
    <mergeCell ref="U40:X40"/>
    <mergeCell ref="T39:X39"/>
    <mergeCell ref="T38:X38"/>
    <mergeCell ref="T54:X54"/>
    <mergeCell ref="U55:X55"/>
    <mergeCell ref="B28:C28"/>
    <mergeCell ref="O52:Q52"/>
    <mergeCell ref="O59:Q59"/>
    <mergeCell ref="O37:Q37"/>
    <mergeCell ref="O38:Q38"/>
    <mergeCell ref="O45:Q45"/>
    <mergeCell ref="B37:C37"/>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249977111117893"/>
  </sheetPr>
  <dimension ref="A2:AS124"/>
  <sheetViews>
    <sheetView topLeftCell="B1" zoomScale="60" zoomScaleNormal="60" zoomScalePageLayoutView="80" workbookViewId="0">
      <selection activeCell="J3" sqref="J3"/>
    </sheetView>
  </sheetViews>
  <sheetFormatPr defaultRowHeight="12.75" x14ac:dyDescent="0.2"/>
  <cols>
    <col min="1" max="1" width="0" style="249" hidden="1" customWidth="1"/>
    <col min="2" max="2" width="12.28515625" style="249" customWidth="1"/>
    <col min="3" max="3" width="19.140625" style="249" customWidth="1"/>
    <col min="4" max="4" width="18.7109375" style="249" customWidth="1"/>
    <col min="5" max="5" width="19.5703125" style="249" customWidth="1"/>
    <col min="6" max="6" width="14.7109375" style="249" customWidth="1"/>
    <col min="7" max="7" width="9.5703125" style="249" bestFit="1" customWidth="1"/>
    <col min="8" max="8" width="13.140625" style="249" customWidth="1"/>
    <col min="9" max="9" width="9.5703125" style="249" bestFit="1" customWidth="1"/>
    <col min="10" max="11" width="10.140625" style="249" bestFit="1" customWidth="1"/>
    <col min="12" max="14" width="9.5703125" style="249" bestFit="1" customWidth="1"/>
    <col min="15" max="15" width="13.28515625" style="249" bestFit="1" customWidth="1"/>
    <col min="16" max="16" width="12.140625" style="249" customWidth="1"/>
    <col min="17" max="18" width="9.140625" style="249"/>
    <col min="19" max="19" width="10.85546875" style="249" customWidth="1"/>
    <col min="20" max="20" width="10" style="249" customWidth="1"/>
    <col min="21" max="21" width="12.5703125" style="249" customWidth="1"/>
    <col min="22" max="22" width="9.5703125" style="249" customWidth="1"/>
    <col min="23" max="24" width="9.140625" style="249"/>
    <col min="25" max="25" width="12.85546875" style="249" customWidth="1"/>
    <col min="26" max="26" width="9.140625" style="249"/>
    <col min="27" max="27" width="10.28515625" style="249" customWidth="1"/>
    <col min="28" max="28" width="12.28515625" style="249" customWidth="1"/>
    <col min="29" max="29" width="9.140625" style="249"/>
    <col min="30" max="30" width="12.5703125" style="249" customWidth="1"/>
    <col min="31" max="31" width="15.140625" style="249" bestFit="1" customWidth="1"/>
    <col min="32" max="32" width="22.140625" style="249" customWidth="1"/>
    <col min="33" max="33" width="9.140625" style="249"/>
    <col min="34" max="34" width="12.85546875" style="249" bestFit="1" customWidth="1"/>
    <col min="35" max="16384" width="9.140625" style="249"/>
  </cols>
  <sheetData>
    <row r="2" spans="3:31" ht="13.5" thickBot="1" x14ac:dyDescent="0.25"/>
    <row r="3" spans="3:31" ht="40.5" customHeight="1" thickBot="1" x14ac:dyDescent="0.25">
      <c r="C3" s="250" t="s">
        <v>396</v>
      </c>
      <c r="D3" s="525"/>
      <c r="E3" s="251" t="s">
        <v>397</v>
      </c>
      <c r="F3" s="601" t="s">
        <v>398</v>
      </c>
      <c r="G3" s="602"/>
      <c r="H3" s="603"/>
      <c r="R3" s="252"/>
      <c r="S3" s="252"/>
      <c r="T3" s="252"/>
      <c r="U3" s="252"/>
      <c r="V3" s="252"/>
      <c r="W3" s="252"/>
      <c r="X3" s="252"/>
      <c r="Y3" s="252"/>
      <c r="Z3" s="252"/>
      <c r="AA3" s="252"/>
      <c r="AB3" s="252"/>
      <c r="AC3" s="252"/>
      <c r="AD3" s="252"/>
      <c r="AE3" s="252"/>
    </row>
    <row r="4" spans="3:31" ht="27" customHeight="1" thickBot="1" x14ac:dyDescent="0.25">
      <c r="C4" s="253" t="s">
        <v>399</v>
      </c>
      <c r="D4" s="254" t="str">
        <f ca="1">age&amp;" years last birthday"</f>
        <v>60 years last birthday</v>
      </c>
      <c r="E4" s="604" t="s">
        <v>400</v>
      </c>
      <c r="F4" s="592" t="s">
        <v>411</v>
      </c>
      <c r="G4" s="593"/>
      <c r="H4" s="594"/>
      <c r="R4" s="252"/>
      <c r="S4" s="252"/>
      <c r="T4" s="252"/>
      <c r="U4" s="252"/>
      <c r="V4" s="252"/>
      <c r="W4" s="252"/>
      <c r="X4" s="252"/>
      <c r="Y4" s="252"/>
      <c r="Z4" s="252"/>
      <c r="AA4" s="252"/>
      <c r="AB4" s="252"/>
      <c r="AC4" s="252"/>
      <c r="AD4" s="252"/>
      <c r="AE4" s="252"/>
    </row>
    <row r="5" spans="3:31" ht="30.75" thickBot="1" x14ac:dyDescent="0.25">
      <c r="C5" s="253" t="s">
        <v>401</v>
      </c>
      <c r="D5" s="254"/>
      <c r="E5" s="605"/>
      <c r="F5" s="595"/>
      <c r="G5" s="596"/>
      <c r="H5" s="597"/>
      <c r="R5" s="252"/>
      <c r="S5" s="252"/>
      <c r="T5" s="252"/>
      <c r="U5" s="252"/>
      <c r="V5" s="252"/>
      <c r="W5" s="252"/>
      <c r="X5" s="252"/>
      <c r="Y5" s="252"/>
      <c r="Z5" s="252"/>
      <c r="AA5" s="252"/>
      <c r="AB5" s="252"/>
      <c r="AC5" s="252"/>
      <c r="AD5" s="252"/>
      <c r="AE5" s="252"/>
    </row>
    <row r="6" spans="3:31" ht="30.75" thickBot="1" x14ac:dyDescent="0.4">
      <c r="C6" s="253" t="s">
        <v>399</v>
      </c>
      <c r="D6" s="254" t="str">
        <f ca="1">age&amp;" years last birthday"</f>
        <v>60 years last birthday</v>
      </c>
      <c r="E6" s="255" t="s">
        <v>402</v>
      </c>
      <c r="F6" s="606" t="str">
        <f>Input!F2</f>
        <v>122L137V01</v>
      </c>
      <c r="G6" s="607"/>
      <c r="H6" s="608"/>
      <c r="R6" s="252"/>
      <c r="S6" s="252"/>
      <c r="T6" s="252"/>
      <c r="U6" s="252"/>
      <c r="V6" s="252"/>
      <c r="W6" s="252"/>
      <c r="X6" s="252"/>
      <c r="Y6" s="252"/>
      <c r="Z6" s="252"/>
      <c r="AA6" s="252"/>
      <c r="AB6" s="252"/>
      <c r="AC6" s="252"/>
      <c r="AD6" s="252"/>
      <c r="AE6" s="252"/>
    </row>
    <row r="7" spans="3:31" ht="22.5" customHeight="1" thickBot="1" x14ac:dyDescent="0.4">
      <c r="C7" s="253" t="s">
        <v>403</v>
      </c>
      <c r="D7" s="254" t="str">
        <f ca="1">"Rs."&amp; sa</f>
        <v>Rs.3000000</v>
      </c>
      <c r="E7" s="255" t="s">
        <v>404</v>
      </c>
      <c r="F7" s="586">
        <f>Input!C34</f>
        <v>0.18</v>
      </c>
      <c r="G7" s="587"/>
      <c r="H7" s="588"/>
      <c r="R7" s="252"/>
      <c r="S7" s="252"/>
      <c r="T7" s="252"/>
      <c r="U7" s="252"/>
      <c r="V7" s="252"/>
      <c r="W7" s="252"/>
      <c r="X7" s="252"/>
      <c r="Y7" s="252"/>
      <c r="Z7" s="252"/>
      <c r="AA7" s="252"/>
      <c r="AB7" s="252"/>
      <c r="AC7" s="252"/>
      <c r="AD7" s="252"/>
      <c r="AE7" s="252"/>
    </row>
    <row r="8" spans="3:31" ht="22.5" customHeight="1" thickBot="1" x14ac:dyDescent="0.25">
      <c r="C8" s="253" t="s">
        <v>405</v>
      </c>
      <c r="D8" s="254">
        <f>pt</f>
        <v>15</v>
      </c>
      <c r="E8" s="598" t="s">
        <v>412</v>
      </c>
      <c r="F8" s="589"/>
      <c r="G8" s="590"/>
      <c r="H8" s="591"/>
      <c r="R8" s="252"/>
      <c r="S8" s="252"/>
      <c r="T8" s="252"/>
      <c r="U8" s="252"/>
      <c r="V8" s="252"/>
      <c r="W8" s="252"/>
      <c r="X8" s="252"/>
      <c r="Y8" s="252"/>
      <c r="Z8" s="252"/>
      <c r="AA8" s="252"/>
      <c r="AB8" s="252"/>
      <c r="AC8" s="252"/>
      <c r="AD8" s="252"/>
      <c r="AE8" s="252"/>
    </row>
    <row r="9" spans="3:31" ht="40.5" customHeight="1" thickBot="1" x14ac:dyDescent="0.25">
      <c r="C9" s="253" t="s">
        <v>408</v>
      </c>
      <c r="D9" s="254">
        <f>ppt</f>
        <v>15</v>
      </c>
      <c r="E9" s="599"/>
      <c r="F9" s="256" t="s">
        <v>406</v>
      </c>
      <c r="G9" s="257" t="s">
        <v>407</v>
      </c>
      <c r="H9" s="258" t="s">
        <v>248</v>
      </c>
      <c r="R9" s="252"/>
      <c r="S9" s="252"/>
      <c r="T9" s="252"/>
      <c r="U9" s="252"/>
      <c r="V9" s="252"/>
      <c r="W9" s="252"/>
      <c r="X9" s="252"/>
      <c r="Y9" s="252"/>
      <c r="Z9" s="252"/>
      <c r="AA9" s="252"/>
      <c r="AB9" s="252"/>
      <c r="AC9" s="252"/>
      <c r="AD9" s="252"/>
      <c r="AE9" s="252"/>
    </row>
    <row r="10" spans="3:31" ht="30.75" thickBot="1" x14ac:dyDescent="0.25">
      <c r="C10" s="253" t="s">
        <v>409</v>
      </c>
      <c r="D10" s="259">
        <f ca="1">Input!C25</f>
        <v>300000</v>
      </c>
      <c r="E10" s="599"/>
      <c r="F10" s="526"/>
      <c r="G10" s="527"/>
      <c r="H10" s="528"/>
      <c r="R10" s="252"/>
      <c r="S10" s="252"/>
      <c r="T10" s="252"/>
      <c r="U10" s="252"/>
      <c r="V10" s="252"/>
      <c r="W10" s="252"/>
      <c r="X10" s="252"/>
      <c r="Y10" s="252"/>
      <c r="Z10" s="252"/>
      <c r="AA10" s="252"/>
      <c r="AB10" s="252"/>
      <c r="AC10" s="252"/>
      <c r="AD10" s="252"/>
      <c r="AE10" s="252"/>
    </row>
    <row r="11" spans="3:31" ht="30.75" thickBot="1" x14ac:dyDescent="0.25">
      <c r="C11" s="260" t="s">
        <v>410</v>
      </c>
      <c r="D11" s="261" t="str">
        <f>IF(fq=1,"Annual",IF(fq=2,"Half Yearly","Monthly"))</f>
        <v>Annual</v>
      </c>
      <c r="E11" s="600"/>
      <c r="F11" s="529"/>
      <c r="G11" s="530"/>
      <c r="H11" s="530"/>
    </row>
    <row r="15" spans="3:31" ht="12.75" customHeight="1" x14ac:dyDescent="0.2">
      <c r="C15" s="615" t="s">
        <v>413</v>
      </c>
      <c r="D15" s="615"/>
      <c r="E15" s="615"/>
      <c r="F15" s="615"/>
      <c r="G15" s="615"/>
      <c r="H15" s="615"/>
      <c r="I15" s="615"/>
      <c r="J15" s="615"/>
      <c r="K15" s="615"/>
      <c r="L15" s="615"/>
      <c r="M15" s="615"/>
      <c r="N15" s="252"/>
      <c r="O15" s="252"/>
      <c r="P15" s="252"/>
    </row>
    <row r="16" spans="3:31" x14ac:dyDescent="0.2">
      <c r="C16" s="615"/>
      <c r="D16" s="615"/>
      <c r="E16" s="615"/>
      <c r="F16" s="615"/>
      <c r="G16" s="615"/>
      <c r="H16" s="615"/>
      <c r="I16" s="615"/>
      <c r="J16" s="615"/>
      <c r="K16" s="615"/>
      <c r="L16" s="615"/>
      <c r="M16" s="615"/>
      <c r="N16" s="252"/>
      <c r="O16" s="252"/>
      <c r="P16" s="252"/>
    </row>
    <row r="17" spans="2:41" x14ac:dyDescent="0.2">
      <c r="C17" s="615"/>
      <c r="D17" s="615"/>
      <c r="E17" s="615"/>
      <c r="F17" s="615"/>
      <c r="G17" s="615"/>
      <c r="H17" s="615"/>
      <c r="I17" s="615"/>
      <c r="J17" s="615"/>
      <c r="K17" s="615"/>
      <c r="L17" s="615"/>
      <c r="M17" s="615"/>
      <c r="N17" s="252"/>
      <c r="O17" s="252"/>
      <c r="P17" s="252"/>
    </row>
    <row r="18" spans="2:41" x14ac:dyDescent="0.2">
      <c r="C18" s="615"/>
      <c r="D18" s="615"/>
      <c r="E18" s="615"/>
      <c r="F18" s="615"/>
      <c r="G18" s="615"/>
      <c r="H18" s="615"/>
      <c r="I18" s="615"/>
      <c r="J18" s="615"/>
      <c r="K18" s="615"/>
      <c r="L18" s="615"/>
      <c r="M18" s="615"/>
      <c r="N18" s="252"/>
      <c r="O18" s="252"/>
      <c r="P18" s="252"/>
    </row>
    <row r="19" spans="2:41" x14ac:dyDescent="0.2">
      <c r="C19" s="615"/>
      <c r="D19" s="615"/>
      <c r="E19" s="615"/>
      <c r="F19" s="615"/>
      <c r="G19" s="615"/>
      <c r="H19" s="615"/>
      <c r="I19" s="615"/>
      <c r="J19" s="615"/>
      <c r="K19" s="615"/>
      <c r="L19" s="615"/>
      <c r="M19" s="615"/>
      <c r="N19" s="252"/>
      <c r="O19" s="252"/>
      <c r="P19" s="252"/>
    </row>
    <row r="20" spans="2:41" x14ac:dyDescent="0.2">
      <c r="C20" s="615"/>
      <c r="D20" s="615"/>
      <c r="E20" s="615"/>
      <c r="F20" s="615"/>
      <c r="G20" s="615"/>
      <c r="H20" s="615"/>
      <c r="I20" s="615"/>
      <c r="J20" s="615"/>
      <c r="K20" s="615"/>
      <c r="L20" s="615"/>
      <c r="M20" s="615"/>
      <c r="N20" s="252"/>
      <c r="O20" s="252"/>
      <c r="P20" s="252"/>
    </row>
    <row r="21" spans="2:41" x14ac:dyDescent="0.2">
      <c r="C21" s="615"/>
      <c r="D21" s="615"/>
      <c r="E21" s="615"/>
      <c r="F21" s="615"/>
      <c r="G21" s="615"/>
      <c r="H21" s="615"/>
      <c r="I21" s="615"/>
      <c r="J21" s="615"/>
      <c r="K21" s="615"/>
      <c r="L21" s="615"/>
      <c r="M21" s="615"/>
      <c r="N21" s="252"/>
      <c r="O21" s="252"/>
      <c r="P21" s="252"/>
    </row>
    <row r="22" spans="2:41" ht="120.75" customHeight="1" x14ac:dyDescent="0.2">
      <c r="C22" s="615"/>
      <c r="D22" s="615"/>
      <c r="E22" s="615"/>
      <c r="F22" s="615"/>
      <c r="G22" s="615"/>
      <c r="H22" s="615"/>
      <c r="I22" s="615"/>
      <c r="J22" s="615"/>
      <c r="K22" s="615"/>
      <c r="L22" s="615"/>
      <c r="M22" s="615"/>
      <c r="N22" s="252"/>
      <c r="O22" s="252"/>
      <c r="P22" s="252"/>
    </row>
    <row r="27" spans="2:41" s="263" customFormat="1" x14ac:dyDescent="0.2">
      <c r="B27" s="262"/>
      <c r="D27" s="264"/>
      <c r="E27" s="264"/>
      <c r="F27" s="264"/>
      <c r="G27" s="264"/>
      <c r="H27" s="264"/>
      <c r="I27" s="264"/>
      <c r="J27" s="264"/>
      <c r="K27" s="264"/>
      <c r="L27" s="264"/>
      <c r="M27" s="264"/>
      <c r="N27" s="264"/>
      <c r="O27" s="264"/>
    </row>
    <row r="28" spans="2:41" ht="13.5" thickBot="1" x14ac:dyDescent="0.25">
      <c r="B28" s="265" t="s">
        <v>216</v>
      </c>
      <c r="R28" s="265" t="s">
        <v>223</v>
      </c>
    </row>
    <row r="29" spans="2:41" ht="13.5" thickBot="1" x14ac:dyDescent="0.25">
      <c r="O29" s="266" t="s">
        <v>221</v>
      </c>
      <c r="P29" s="266"/>
      <c r="S29" s="267"/>
      <c r="T29" s="267"/>
      <c r="V29" s="267"/>
      <c r="W29" s="267"/>
      <c r="X29" s="267"/>
      <c r="Y29" s="268" t="s">
        <v>230</v>
      </c>
      <c r="Z29" s="269" t="s">
        <v>231</v>
      </c>
      <c r="AA29" s="269" t="s">
        <v>232</v>
      </c>
      <c r="AB29" s="270">
        <f ca="1">'Calculation IRDA Circular'!AH4</f>
        <v>6.3360757495081854E-2</v>
      </c>
      <c r="AC29" s="271"/>
      <c r="AD29" s="267"/>
      <c r="AF29" s="266" t="s">
        <v>221</v>
      </c>
    </row>
    <row r="30" spans="2:41" ht="13.5" thickBot="1" x14ac:dyDescent="0.25">
      <c r="B30" s="625" t="s">
        <v>82</v>
      </c>
      <c r="C30" s="627" t="s">
        <v>217</v>
      </c>
      <c r="D30" s="629" t="s">
        <v>246</v>
      </c>
      <c r="E30" s="630"/>
      <c r="F30" s="630"/>
      <c r="G30" s="630"/>
      <c r="H30" s="630"/>
      <c r="I30" s="631"/>
      <c r="J30" s="632" t="s">
        <v>245</v>
      </c>
      <c r="K30" s="630"/>
      <c r="L30" s="630"/>
      <c r="M30" s="630"/>
      <c r="N30" s="630"/>
      <c r="O30" s="631"/>
      <c r="P30" s="272"/>
      <c r="R30" s="609" t="s">
        <v>82</v>
      </c>
      <c r="S30" s="611" t="s">
        <v>224</v>
      </c>
      <c r="T30" s="611" t="s">
        <v>225</v>
      </c>
      <c r="U30" s="611" t="s">
        <v>247</v>
      </c>
      <c r="V30" s="611" t="s">
        <v>2</v>
      </c>
      <c r="W30" s="611" t="s">
        <v>242</v>
      </c>
      <c r="X30" s="611" t="s">
        <v>226</v>
      </c>
      <c r="Y30" s="611" t="s">
        <v>227</v>
      </c>
      <c r="Z30" s="611" t="s">
        <v>219</v>
      </c>
      <c r="AA30" s="611" t="s">
        <v>228</v>
      </c>
      <c r="AB30" s="611" t="s">
        <v>83</v>
      </c>
      <c r="AC30" s="611" t="s">
        <v>36</v>
      </c>
      <c r="AD30" s="611" t="s">
        <v>229</v>
      </c>
      <c r="AE30" s="611" t="s">
        <v>220</v>
      </c>
      <c r="AF30" s="613" t="s">
        <v>39</v>
      </c>
    </row>
    <row r="31" spans="2:41" s="278" customFormat="1" ht="51.75" thickBot="1" x14ac:dyDescent="0.25">
      <c r="B31" s="626"/>
      <c r="C31" s="628"/>
      <c r="D31" s="273" t="s">
        <v>218</v>
      </c>
      <c r="E31" s="274" t="s">
        <v>219</v>
      </c>
      <c r="F31" s="274" t="s">
        <v>242</v>
      </c>
      <c r="G31" s="274" t="s">
        <v>243</v>
      </c>
      <c r="H31" s="274" t="s">
        <v>220</v>
      </c>
      <c r="I31" s="275" t="s">
        <v>39</v>
      </c>
      <c r="J31" s="276" t="s">
        <v>218</v>
      </c>
      <c r="K31" s="274" t="s">
        <v>219</v>
      </c>
      <c r="L31" s="274" t="s">
        <v>242</v>
      </c>
      <c r="M31" s="274" t="s">
        <v>243</v>
      </c>
      <c r="N31" s="274" t="s">
        <v>220</v>
      </c>
      <c r="O31" s="275" t="s">
        <v>39</v>
      </c>
      <c r="P31" s="277" t="s">
        <v>244</v>
      </c>
      <c r="R31" s="610"/>
      <c r="S31" s="612"/>
      <c r="T31" s="612"/>
      <c r="U31" s="612"/>
      <c r="V31" s="612"/>
      <c r="W31" s="612"/>
      <c r="X31" s="612"/>
      <c r="Y31" s="612"/>
      <c r="Z31" s="612"/>
      <c r="AA31" s="612"/>
      <c r="AB31" s="612"/>
      <c r="AC31" s="612"/>
      <c r="AD31" s="612"/>
      <c r="AE31" s="612"/>
      <c r="AF31" s="614"/>
    </row>
    <row r="32" spans="2:41" x14ac:dyDescent="0.2">
      <c r="B32" s="279">
        <v>1</v>
      </c>
      <c r="C32" s="280">
        <f>S32</f>
        <v>300000</v>
      </c>
      <c r="D32" s="281">
        <f t="shared" ref="D32:D51" ca="1" si="0">V67</f>
        <v>29771.536692811856</v>
      </c>
      <c r="E32" s="282">
        <f ca="1">T67+X67+Y67+AC67+Z67</f>
        <v>25436.163233787345</v>
      </c>
      <c r="F32" s="282">
        <f t="shared" ref="F32:F51" ca="1" si="1">W67</f>
        <v>9937.3859867878546</v>
      </c>
      <c r="G32" s="282">
        <f t="shared" ref="G32:G51" ca="1" si="2">AD67</f>
        <v>245105.96073353218</v>
      </c>
      <c r="H32" s="282">
        <f t="shared" ref="H32:H51" ca="1" si="3">AE67</f>
        <v>239105.96073353218</v>
      </c>
      <c r="I32" s="283">
        <f t="shared" ref="I32:I51" ca="1" si="4">AF67</f>
        <v>3000000</v>
      </c>
      <c r="J32" s="284">
        <f t="shared" ref="J32:J51" ca="1" si="5">V32</f>
        <v>29719.967455754551</v>
      </c>
      <c r="K32" s="282">
        <f ca="1">T32+X32+Y32+AC32+Z32</f>
        <v>25511.7875538152</v>
      </c>
      <c r="L32" s="282">
        <f t="shared" ref="L32:L51" ca="1" si="6">W32</f>
        <v>9941.7159017225495</v>
      </c>
      <c r="M32" s="282">
        <f t="shared" ref="M32:M51" ca="1" si="7">AD32</f>
        <v>255339.62296261446</v>
      </c>
      <c r="N32" s="282">
        <f t="shared" ref="N32:N51" ca="1" si="8">AE32</f>
        <v>249339.62296261446</v>
      </c>
      <c r="O32" s="285">
        <f t="shared" ref="O32:O51" ca="1" si="9">AF32</f>
        <v>3000000</v>
      </c>
      <c r="P32" s="286">
        <f>IF(Input!$C$13="Offline",VLOOKUP(B32,Charges!$AT$4:$AU$33,2,FALSE)*C32,0)</f>
        <v>9000</v>
      </c>
      <c r="Q32" s="271"/>
      <c r="R32" s="287">
        <f t="shared" ref="R32:U51" si="10">R67</f>
        <v>1</v>
      </c>
      <c r="S32" s="288">
        <f t="shared" si="10"/>
        <v>300000</v>
      </c>
      <c r="T32" s="288">
        <f t="shared" si="10"/>
        <v>16500.000000000015</v>
      </c>
      <c r="U32" s="288">
        <f t="shared" si="10"/>
        <v>283500</v>
      </c>
      <c r="V32" s="282">
        <f ca="1">('Calculation_8%'!AY7+'Calculation_8%'!AZ7+'Calculation_8%'!BA7)*(R32&lt;=pt)</f>
        <v>29719.967455754551</v>
      </c>
      <c r="W32" s="282">
        <f ca="1">IF(R32&lt;=pt,'Calculation_8%'!BD7,0)</f>
        <v>9941.7159017225495</v>
      </c>
      <c r="X32" s="282">
        <f>IF(R32&lt;=pt,'Calculation_8%'!BB7,0)</f>
        <v>5400</v>
      </c>
      <c r="Y32" s="288">
        <v>0</v>
      </c>
      <c r="Z32" s="288">
        <f>Z67</f>
        <v>0</v>
      </c>
      <c r="AA32" s="282">
        <f>IF(R32&lt;=pt,(INDEX('Calculation_8%'!$AA$7:$AA$367,12*R32)+INDEX('Calculation_8%'!$AB$7:$AB$367,12*R32)+INDEX('Calculation_8%'!$AC$7:$AC$367,12*R32)),0)</f>
        <v>0</v>
      </c>
      <c r="AB32" s="282">
        <f ca="1">(MAX(0,INDEX('Calculation_8%'!$X$7:$X$367,12*R32))+MAX(0,INDEX('Calculation_8%'!$AP$7:$AP$367,12*R32)))*(R32&lt;=pt)</f>
        <v>255679.22184224791</v>
      </c>
      <c r="AC32" s="282">
        <f ca="1">IF(R32&lt;=pt,'Calculation_8%'!BC7,0)</f>
        <v>3611.7875538151852</v>
      </c>
      <c r="AD32" s="282">
        <f ca="1">(MAX(0,INDEX('Calculation_8%'!$AD$7:$AD$367,12*R32))+MAX(0,INDEX('Calculation_8%'!$AR$7:$AR$367,12*R32)))*(R32&lt;=pt)</f>
        <v>255339.62296261446</v>
      </c>
      <c r="AE32" s="289">
        <f ca="1">(AD32-IF(R32&lt;5,MIN(MAX(0,INDEX('Calculation_8%'!$AD$7:$AD$367,12*R32))*VLOOKUP(R32,Charges!$O$7:$P$10,2,0),pr*VLOOKUP(R32,Charges!$O$7:$P$10,2,0),VLOOKUP(R32,Charges!$O$7:$Q$10,3,0)),0))-AA32</f>
        <v>249339.62296261446</v>
      </c>
      <c r="AF32" s="283">
        <f ca="1">IF(INDEX('Calculation_8%'!$X$7:$X$367,12*R32)&gt;=0,INDEX('Calculation_8%'!$AE$7:$AE$367,12*R32),0)</f>
        <v>3000000</v>
      </c>
      <c r="AG32" s="267"/>
      <c r="AH32" s="290"/>
      <c r="AI32" s="290"/>
      <c r="AJ32" s="290"/>
      <c r="AK32" s="290"/>
      <c r="AL32" s="290"/>
      <c r="AM32" s="290"/>
      <c r="AN32" s="290"/>
      <c r="AO32" s="290"/>
    </row>
    <row r="33" spans="2:41" x14ac:dyDescent="0.2">
      <c r="B33" s="291">
        <f>B32+1</f>
        <v>2</v>
      </c>
      <c r="C33" s="292">
        <f t="shared" ref="C33:C51" si="11">S33</f>
        <v>300000</v>
      </c>
      <c r="D33" s="293">
        <f t="shared" ca="1" si="0"/>
        <v>29007.148334912577</v>
      </c>
      <c r="E33" s="294">
        <f t="shared" ref="E33:E51" ca="1" si="12">T68+X68+Y68+AC68+Z68</f>
        <v>27324.270511032766</v>
      </c>
      <c r="F33" s="295">
        <f t="shared" ca="1" si="1"/>
        <v>10139.655392270161</v>
      </c>
      <c r="G33" s="295">
        <f t="shared" ca="1" si="2"/>
        <v>498707.77773695247</v>
      </c>
      <c r="H33" s="295">
        <f t="shared" ca="1" si="3"/>
        <v>493707.77773695247</v>
      </c>
      <c r="I33" s="296">
        <f t="shared" ca="1" si="4"/>
        <v>3000000</v>
      </c>
      <c r="J33" s="297">
        <f t="shared" ca="1" si="5"/>
        <v>28776.756650672283</v>
      </c>
      <c r="K33" s="294">
        <f t="shared" ref="K33:K51" ca="1" si="13">T33+X33+Y33+AC33+Z33</f>
        <v>27614.775108120695</v>
      </c>
      <c r="L33" s="295">
        <f t="shared" ca="1" si="6"/>
        <v>10150.475716582732</v>
      </c>
      <c r="M33" s="295">
        <f t="shared" ca="1" si="7"/>
        <v>529773.82376828021</v>
      </c>
      <c r="N33" s="295">
        <f t="shared" ca="1" si="8"/>
        <v>524773.82376828021</v>
      </c>
      <c r="O33" s="298">
        <f t="shared" ca="1" si="9"/>
        <v>3000000</v>
      </c>
      <c r="P33" s="296">
        <f>IF(Input!$C$13="Offline",VLOOKUP(B33,Charges!$AT$4:$AU$33,2,FALSE)*C33,0)</f>
        <v>3000</v>
      </c>
      <c r="Q33" s="271"/>
      <c r="R33" s="299">
        <f t="shared" si="10"/>
        <v>2</v>
      </c>
      <c r="S33" s="300">
        <f t="shared" si="10"/>
        <v>300000</v>
      </c>
      <c r="T33" s="300">
        <f t="shared" si="10"/>
        <v>15000.000000000013</v>
      </c>
      <c r="U33" s="300">
        <f t="shared" si="10"/>
        <v>285000</v>
      </c>
      <c r="V33" s="295">
        <f ca="1">('Calculation_8%'!AY8+'Calculation_8%'!AZ8+'Calculation_8%'!BA8)*(R33&lt;=pt)</f>
        <v>28776.756650672283</v>
      </c>
      <c r="W33" s="295">
        <f ca="1">IF(R33&lt;=pt,'Calculation_8%'!BD8,0)</f>
        <v>10150.475716582732</v>
      </c>
      <c r="X33" s="295">
        <f>IF(R33&lt;=pt,'Calculation_8%'!BB8,0)</f>
        <v>5400</v>
      </c>
      <c r="Y33" s="300">
        <v>0</v>
      </c>
      <c r="Z33" s="300">
        <f t="shared" ref="Z33:Z51" si="14">Z68</f>
        <v>0</v>
      </c>
      <c r="AA33" s="295">
        <f>IF(R33&lt;=pt,(INDEX('Calculation_8%'!$AA$7:$AA$367,12*R33)+INDEX('Calculation_8%'!$AB$7:$AB$367,12*R33)+INDEX('Calculation_8%'!$AC$7:$AC$367,12*R33)),0)</f>
        <v>0</v>
      </c>
      <c r="AB33" s="295">
        <f ca="1">(MAX(0,INDEX('Calculation_8%'!$X$7:$X$367,12*R33))+MAX(0,INDEX('Calculation_8%'!$AP$7:$AP$367,12*R33)))*(R33&lt;=pt)</f>
        <v>530478.41710527742</v>
      </c>
      <c r="AC33" s="295">
        <f ca="1">IF(R33&lt;=pt,'Calculation_8%'!BC8,0)</f>
        <v>7214.7751081206789</v>
      </c>
      <c r="AD33" s="295">
        <f ca="1">(MAX(0,INDEX('Calculation_8%'!$AD$7:$AD$367,12*R33))+MAX(0,INDEX('Calculation_8%'!$AR$7:$AR$367,12*R33)))*(R33&lt;=pt)</f>
        <v>529773.82376828021</v>
      </c>
      <c r="AE33" s="301">
        <f ca="1">(AD33-IF(R33&lt;5,MIN(MAX(0,INDEX('Calculation_8%'!$AD$7:$AD$367,12*R33))*VLOOKUP(R33,Charges!$O$7:$P$10,2,0),pr*VLOOKUP(R33,Charges!$O$7:$P$10,2,0),VLOOKUP(R33,Charges!$O$7:$Q$10,3,0)),0))-AA33</f>
        <v>524773.82376828021</v>
      </c>
      <c r="AF33" s="296">
        <f ca="1">IF(INDEX('Calculation_8%'!$X$7:$X$367,12*R33)&gt;=0,INDEX('Calculation_8%'!$AE$7:$AE$367,12*R33),0)</f>
        <v>3000000</v>
      </c>
      <c r="AG33" s="267"/>
      <c r="AH33" s="290"/>
      <c r="AI33" s="290"/>
      <c r="AJ33" s="290"/>
      <c r="AK33" s="290"/>
      <c r="AL33" s="290"/>
      <c r="AM33" s="290"/>
      <c r="AN33" s="290"/>
      <c r="AO33" s="290"/>
    </row>
    <row r="34" spans="2:41" x14ac:dyDescent="0.2">
      <c r="B34" s="291">
        <f t="shared" ref="B34:B51" si="15">B33+1</f>
        <v>3</v>
      </c>
      <c r="C34" s="292">
        <f t="shared" si="11"/>
        <v>300000</v>
      </c>
      <c r="D34" s="293">
        <f t="shared" ca="1" si="0"/>
        <v>27814.198509305876</v>
      </c>
      <c r="E34" s="294">
        <f t="shared" ca="1" si="12"/>
        <v>26380.947941393941</v>
      </c>
      <c r="F34" s="295">
        <f t="shared" ca="1" si="1"/>
        <v>9755.1263611259637</v>
      </c>
      <c r="G34" s="295">
        <f t="shared" ca="1" si="2"/>
        <v>765140.91178389033</v>
      </c>
      <c r="H34" s="295">
        <f t="shared" ca="1" si="3"/>
        <v>761140.91178389033</v>
      </c>
      <c r="I34" s="296">
        <f t="shared" ca="1" si="4"/>
        <v>3000000</v>
      </c>
      <c r="J34" s="297">
        <f t="shared" ca="1" si="5"/>
        <v>27239.320974471178</v>
      </c>
      <c r="K34" s="294">
        <f t="shared" ca="1" si="13"/>
        <v>27039.423902671711</v>
      </c>
      <c r="L34" s="295">
        <f t="shared" ca="1" si="6"/>
        <v>9770.1740778857165</v>
      </c>
      <c r="M34" s="295">
        <f t="shared" ca="1" si="7"/>
        <v>828991.09774737759</v>
      </c>
      <c r="N34" s="295">
        <f t="shared" ca="1" si="8"/>
        <v>824991.09774737759</v>
      </c>
      <c r="O34" s="298">
        <f t="shared" ca="1" si="9"/>
        <v>3000000</v>
      </c>
      <c r="P34" s="296">
        <f>IF(Input!$C$13="Offline",VLOOKUP(B34,Charges!$AT$4:$AU$33,2,FALSE)*C34,0)</f>
        <v>3000</v>
      </c>
      <c r="Q34" s="271"/>
      <c r="R34" s="299">
        <f t="shared" si="10"/>
        <v>3</v>
      </c>
      <c r="S34" s="300">
        <f t="shared" si="10"/>
        <v>300000</v>
      </c>
      <c r="T34" s="300">
        <f t="shared" si="10"/>
        <v>10500.000000000009</v>
      </c>
      <c r="U34" s="300">
        <f t="shared" si="10"/>
        <v>289500</v>
      </c>
      <c r="V34" s="295">
        <f ca="1">('Calculation_8%'!AY9+'Calculation_8%'!AZ9+'Calculation_8%'!BA9)*(R34&lt;=pt)</f>
        <v>27239.320974471178</v>
      </c>
      <c r="W34" s="295">
        <f ca="1">IF(R34&lt;=pt,'Calculation_8%'!BD9,0)</f>
        <v>9770.1740778857165</v>
      </c>
      <c r="X34" s="295">
        <f>IF(R34&lt;=pt,'Calculation_8%'!BB9,0)</f>
        <v>5400</v>
      </c>
      <c r="Y34" s="300">
        <v>0</v>
      </c>
      <c r="Z34" s="300">
        <f t="shared" si="14"/>
        <v>0</v>
      </c>
      <c r="AA34" s="295">
        <f>IF(R34&lt;=pt,(INDEX('Calculation_8%'!$AA$7:$AA$367,12*R34)+INDEX('Calculation_8%'!$AB$7:$AB$367,12*R34)+INDEX('Calculation_8%'!$AC$7:$AC$367,12*R34)),0)</f>
        <v>0</v>
      </c>
      <c r="AB34" s="295">
        <f ca="1">(MAX(0,INDEX('Calculation_8%'!$X$7:$X$367,12*R34))+MAX(0,INDEX('Calculation_8%'!$AP$7:$AP$367,12*R34)))*(R34&lt;=pt)</f>
        <v>830093.64675545821</v>
      </c>
      <c r="AC34" s="295">
        <f ca="1">IF(R34&lt;=pt,'Calculation_8%'!BC9,0)</f>
        <v>11139.4239026717</v>
      </c>
      <c r="AD34" s="295">
        <f ca="1">(MAX(0,INDEX('Calculation_8%'!$AD$7:$AD$367,12*R34))+MAX(0,INDEX('Calculation_8%'!$AR$7:$AR$367,12*R34)))*(R34&lt;=pt)</f>
        <v>828991.09774737759</v>
      </c>
      <c r="AE34" s="301">
        <f ca="1">(AD34-IF(R34&lt;5,MIN(MAX(0,INDEX('Calculation_8%'!$AD$7:$AD$367,12*R34))*VLOOKUP(R34,Charges!$O$7:$P$10,2,0),pr*VLOOKUP(R34,Charges!$O$7:$P$10,2,0),VLOOKUP(R34,Charges!$O$7:$Q$10,3,0)),0))-AA34</f>
        <v>824991.09774737759</v>
      </c>
      <c r="AF34" s="296">
        <f ca="1">IF(INDEX('Calculation_8%'!$X$7:$X$367,12*R34)&gt;=0,INDEX('Calculation_8%'!$AE$7:$AE$367,12*R34),0)</f>
        <v>3000000</v>
      </c>
      <c r="AG34" s="267"/>
      <c r="AH34" s="290"/>
      <c r="AI34" s="290"/>
      <c r="AJ34" s="290"/>
      <c r="AK34" s="290"/>
      <c r="AL34" s="290"/>
      <c r="AM34" s="290"/>
      <c r="AN34" s="290"/>
      <c r="AO34" s="290"/>
    </row>
    <row r="35" spans="2:41" x14ac:dyDescent="0.2">
      <c r="B35" s="291">
        <f t="shared" si="15"/>
        <v>4</v>
      </c>
      <c r="C35" s="292">
        <f t="shared" si="11"/>
        <v>300000</v>
      </c>
      <c r="D35" s="293">
        <f t="shared" ca="1" si="0"/>
        <v>26213.181247467041</v>
      </c>
      <c r="E35" s="294">
        <f t="shared" ca="1" si="12"/>
        <v>30044.178584799833</v>
      </c>
      <c r="F35" s="295">
        <f t="shared" ca="1" si="1"/>
        <v>10126.324769808032</v>
      </c>
      <c r="G35" s="295">
        <f t="shared" ca="1" si="2"/>
        <v>1039760.0386668071</v>
      </c>
      <c r="H35" s="295">
        <f t="shared" ca="1" si="3"/>
        <v>1037760.0386668071</v>
      </c>
      <c r="I35" s="296">
        <f t="shared" ca="1" si="4"/>
        <v>3000000</v>
      </c>
      <c r="J35" s="297">
        <f t="shared" ca="1" si="5"/>
        <v>25076.319834341062</v>
      </c>
      <c r="K35" s="294">
        <f t="shared" ca="1" si="13"/>
        <v>31241.798049939149</v>
      </c>
      <c r="L35" s="295">
        <f t="shared" ca="1" si="6"/>
        <v>10137.261219170437</v>
      </c>
      <c r="M35" s="295">
        <f t="shared" ca="1" si="7"/>
        <v>1149669.2332551309</v>
      </c>
      <c r="N35" s="295">
        <f t="shared" ca="1" si="8"/>
        <v>1147669.2332551309</v>
      </c>
      <c r="O35" s="298">
        <f t="shared" ca="1" si="9"/>
        <v>3000000</v>
      </c>
      <c r="P35" s="296">
        <f>IF(Input!$C$13="Offline",VLOOKUP(B35,Charges!$AT$4:$AU$33,2,FALSE)*C35,0)</f>
        <v>3000</v>
      </c>
      <c r="Q35" s="271"/>
      <c r="R35" s="299">
        <f t="shared" si="10"/>
        <v>4</v>
      </c>
      <c r="S35" s="300">
        <f t="shared" si="10"/>
        <v>300000</v>
      </c>
      <c r="T35" s="300">
        <f t="shared" si="10"/>
        <v>10500.000000000009</v>
      </c>
      <c r="U35" s="300">
        <f t="shared" si="10"/>
        <v>289500</v>
      </c>
      <c r="V35" s="295">
        <f ca="1">('Calculation_8%'!AY10+'Calculation_8%'!AZ10+'Calculation_8%'!BA10)*(R35&lt;=pt)</f>
        <v>25076.319834341062</v>
      </c>
      <c r="W35" s="295">
        <f ca="1">IF(R35&lt;=pt,'Calculation_8%'!BD10,0)</f>
        <v>10137.261219170437</v>
      </c>
      <c r="X35" s="295">
        <f>IF(R35&lt;=pt,'Calculation_8%'!BB10,0)</f>
        <v>5400</v>
      </c>
      <c r="Y35" s="300">
        <v>0</v>
      </c>
      <c r="Z35" s="300">
        <f t="shared" si="14"/>
        <v>0</v>
      </c>
      <c r="AA35" s="295">
        <f>IF(R35&lt;=pt,(INDEX('Calculation_8%'!$AA$7:$AA$367,12*R35)+INDEX('Calculation_8%'!$AB$7:$AB$367,12*R35)+INDEX('Calculation_8%'!$AC$7:$AC$367,12*R35)),0)</f>
        <v>0</v>
      </c>
      <c r="AB35" s="295">
        <f ca="1">(MAX(0,INDEX('Calculation_8%'!$X$7:$X$367,12*R35))+MAX(0,INDEX('Calculation_8%'!$AP$7:$AP$367,12*R35)))*(R35&lt;=pt)</f>
        <v>1151198.2806432038</v>
      </c>
      <c r="AC35" s="295">
        <f ca="1">IF(R35&lt;=pt,'Calculation_8%'!BC10,0)</f>
        <v>15341.79804993914</v>
      </c>
      <c r="AD35" s="295">
        <f ca="1">(MAX(0,INDEX('Calculation_8%'!$AD$7:$AD$367,12*R35))+MAX(0,INDEX('Calculation_8%'!$AR$7:$AR$367,12*R35)))*(R35&lt;=pt)</f>
        <v>1149669.2332551309</v>
      </c>
      <c r="AE35" s="301">
        <f ca="1">(AD35-IF(R35&lt;5,MIN(MAX(0,INDEX('Calculation_8%'!$AD$7:$AD$367,12*R35))*VLOOKUP(R35,Charges!$O$7:$P$10,2,0),pr*VLOOKUP(R35,Charges!$O$7:$P$10,2,0),VLOOKUP(R35,Charges!$O$7:$Q$10,3,0)),0))-AA35</f>
        <v>1147669.2332551309</v>
      </c>
      <c r="AF35" s="296">
        <f ca="1">IF(INDEX('Calculation_8%'!$X$7:$X$367,12*R35)&gt;=0,INDEX('Calculation_8%'!$AE$7:$AE$367,12*R35),0)</f>
        <v>3000000</v>
      </c>
      <c r="AG35" s="267"/>
      <c r="AH35" s="290"/>
      <c r="AI35" s="290"/>
      <c r="AJ35" s="290"/>
      <c r="AK35" s="290"/>
      <c r="AL35" s="290"/>
      <c r="AM35" s="290"/>
      <c r="AN35" s="290"/>
      <c r="AO35" s="290"/>
    </row>
    <row r="36" spans="2:41" x14ac:dyDescent="0.2">
      <c r="B36" s="291">
        <f t="shared" si="15"/>
        <v>5</v>
      </c>
      <c r="C36" s="292">
        <f t="shared" si="11"/>
        <v>300000</v>
      </c>
      <c r="D36" s="293">
        <f t="shared" ca="1" si="0"/>
        <v>24123.637986619724</v>
      </c>
      <c r="E36" s="294">
        <f t="shared" ca="1" si="12"/>
        <v>32348.004973882067</v>
      </c>
      <c r="F36" s="295">
        <f t="shared" ca="1" si="1"/>
        <v>10164.895732890316</v>
      </c>
      <c r="G36" s="295">
        <f t="shared" ca="1" si="2"/>
        <v>1325153.2915985461</v>
      </c>
      <c r="H36" s="295">
        <f t="shared" ca="1" si="3"/>
        <v>1325153.2915985461</v>
      </c>
      <c r="I36" s="296">
        <f t="shared" ca="1" si="4"/>
        <v>3000000</v>
      </c>
      <c r="J36" s="297">
        <f t="shared" ca="1" si="5"/>
        <v>22141.316168761063</v>
      </c>
      <c r="K36" s="294">
        <f t="shared" ca="1" si="13"/>
        <v>34275.711824514947</v>
      </c>
      <c r="L36" s="295">
        <f t="shared" ca="1" si="6"/>
        <v>10155.06503878968</v>
      </c>
      <c r="M36" s="295">
        <f t="shared" ca="1" si="7"/>
        <v>1495980.9509101918</v>
      </c>
      <c r="N36" s="295">
        <f t="shared" ca="1" si="8"/>
        <v>1495980.9509101918</v>
      </c>
      <c r="O36" s="298">
        <f t="shared" ca="1" si="9"/>
        <v>3000000</v>
      </c>
      <c r="P36" s="296">
        <f>IF(Input!$C$13="Offline",VLOOKUP(B36,Charges!$AT$4:$AU$33,2,FALSE)*C36,0)</f>
        <v>3000</v>
      </c>
      <c r="Q36" s="271"/>
      <c r="R36" s="299">
        <f t="shared" si="10"/>
        <v>5</v>
      </c>
      <c r="S36" s="300">
        <f t="shared" si="10"/>
        <v>300000</v>
      </c>
      <c r="T36" s="300">
        <f t="shared" si="10"/>
        <v>9000.0000000000073</v>
      </c>
      <c r="U36" s="300">
        <f t="shared" si="10"/>
        <v>291000</v>
      </c>
      <c r="V36" s="295">
        <f ca="1">('Calculation_8%'!AY11+'Calculation_8%'!AZ11+'Calculation_8%'!BA11)*(R36&lt;=pt)</f>
        <v>22141.316168761063</v>
      </c>
      <c r="W36" s="295">
        <f ca="1">IF(R36&lt;=pt,'Calculation_8%'!BD11,0)</f>
        <v>10155.06503878968</v>
      </c>
      <c r="X36" s="295">
        <f>IF(R36&lt;=pt,'Calculation_8%'!BB11,0)</f>
        <v>5400</v>
      </c>
      <c r="Y36" s="300">
        <v>0</v>
      </c>
      <c r="Z36" s="300">
        <f t="shared" si="14"/>
        <v>0</v>
      </c>
      <c r="AA36" s="295">
        <f>IF(R36&lt;=pt,(INDEX('Calculation_8%'!$AA$7:$AA$367,12*R36)+INDEX('Calculation_8%'!$AB$7:$AB$367,12*R36)+INDEX('Calculation_8%'!$AC$7:$AC$367,12*R36)),0)</f>
        <v>0</v>
      </c>
      <c r="AB36" s="295">
        <f ca="1">(MAX(0,INDEX('Calculation_8%'!$X$7:$X$367,12*R36))+MAX(0,INDEX('Calculation_8%'!$AP$7:$AP$367,12*R36)))*(R36&lt;=pt)</f>
        <v>1497970.5890595224</v>
      </c>
      <c r="AC36" s="295">
        <f ca="1">IF(R36&lt;=pt,'Calculation_8%'!BC11,0)</f>
        <v>19875.71182451494</v>
      </c>
      <c r="AD36" s="295">
        <f ca="1">(MAX(0,INDEX('Calculation_8%'!$AD$7:$AD$367,12*R36))+MAX(0,INDEX('Calculation_8%'!$AR$7:$AR$367,12*R36)))*(R36&lt;=pt)</f>
        <v>1495980.9509101918</v>
      </c>
      <c r="AE36" s="301">
        <f ca="1">(AD36-IF(R36&lt;5,MIN(MAX(0,INDEX('Calculation_8%'!$AD$7:$AD$367,12*R36))*VLOOKUP(R36,Charges!$O$7:$P$10,2,0),pr*VLOOKUP(R36,Charges!$O$7:$P$10,2,0),VLOOKUP(R36,Charges!$O$7:$Q$10,3,0)),0))-AA36</f>
        <v>1495980.9509101918</v>
      </c>
      <c r="AF36" s="296">
        <f ca="1">IF(INDEX('Calculation_8%'!$X$7:$X$367,12*R36)&gt;=0,INDEX('Calculation_8%'!$AE$7:$AE$367,12*R36),0)</f>
        <v>3000000</v>
      </c>
      <c r="AG36" s="267"/>
      <c r="AH36" s="290"/>
      <c r="AI36" s="290"/>
      <c r="AJ36" s="290"/>
      <c r="AK36" s="290"/>
      <c r="AL36" s="290"/>
      <c r="AM36" s="290"/>
      <c r="AN36" s="290"/>
      <c r="AO36" s="290"/>
    </row>
    <row r="37" spans="2:41" x14ac:dyDescent="0.2">
      <c r="B37" s="291">
        <f t="shared" si="15"/>
        <v>6</v>
      </c>
      <c r="C37" s="292">
        <f t="shared" si="11"/>
        <v>300000</v>
      </c>
      <c r="D37" s="293">
        <f t="shared" ca="1" si="0"/>
        <v>21428.850490890814</v>
      </c>
      <c r="E37" s="294">
        <f t="shared" ca="1" si="12"/>
        <v>33923.66529617591</v>
      </c>
      <c r="F37" s="295">
        <f t="shared" ca="1" si="1"/>
        <v>9963.4528416720059</v>
      </c>
      <c r="G37" s="295">
        <f t="shared" ca="1" si="2"/>
        <v>1623392.2271878012</v>
      </c>
      <c r="H37" s="295">
        <f t="shared" ca="1" si="3"/>
        <v>1623392.2271878012</v>
      </c>
      <c r="I37" s="296">
        <f t="shared" ca="1" si="4"/>
        <v>3000000</v>
      </c>
      <c r="J37" s="297">
        <f t="shared" ca="1" si="5"/>
        <v>18230.545026890279</v>
      </c>
      <c r="K37" s="294">
        <f t="shared" ca="1" si="13"/>
        <v>36795.983596386402</v>
      </c>
      <c r="L37" s="295">
        <f t="shared" ca="1" si="6"/>
        <v>9904.775152189799</v>
      </c>
      <c r="M37" s="295">
        <f t="shared" ca="1" si="7"/>
        <v>1871878.0684163817</v>
      </c>
      <c r="N37" s="295">
        <f t="shared" ca="1" si="8"/>
        <v>1871878.0684163817</v>
      </c>
      <c r="O37" s="298">
        <f t="shared" ca="1" si="9"/>
        <v>3000000</v>
      </c>
      <c r="P37" s="296">
        <f>IF(Input!$C$13="Offline",VLOOKUP(B37,Charges!$AT$4:$AU$33,2,FALSE)*C37,0)</f>
        <v>3000</v>
      </c>
      <c r="Q37" s="271"/>
      <c r="R37" s="299">
        <f t="shared" si="10"/>
        <v>6</v>
      </c>
      <c r="S37" s="300">
        <f t="shared" si="10"/>
        <v>300000</v>
      </c>
      <c r="T37" s="300">
        <f t="shared" si="10"/>
        <v>6000.0000000000055</v>
      </c>
      <c r="U37" s="300">
        <f t="shared" si="10"/>
        <v>294000</v>
      </c>
      <c r="V37" s="295">
        <f ca="1">('Calculation_8%'!AY12+'Calculation_8%'!AZ12+'Calculation_8%'!BA12)*(R37&lt;=pt)</f>
        <v>18230.545026890279</v>
      </c>
      <c r="W37" s="295">
        <f ca="1">IF(R37&lt;=pt,'Calculation_8%'!BD12,0)</f>
        <v>9904.775152189799</v>
      </c>
      <c r="X37" s="295">
        <f>IF(R37&lt;=pt,'Calculation_8%'!BB12,0)</f>
        <v>6000</v>
      </c>
      <c r="Y37" s="300">
        <v>0</v>
      </c>
      <c r="Z37" s="300">
        <f t="shared" si="14"/>
        <v>0</v>
      </c>
      <c r="AA37" s="295">
        <f>IF(R37&lt;=pt,(INDEX('Calculation_8%'!$AA$7:$AA$367,12*R37)+INDEX('Calculation_8%'!$AB$7:$AB$367,12*R37)+INDEX('Calculation_8%'!$AC$7:$AC$367,12*R37)),0)</f>
        <v>0</v>
      </c>
      <c r="AB37" s="295">
        <f ca="1">(MAX(0,INDEX('Calculation_8%'!$X$7:$X$367,12*R37))+MAX(0,INDEX('Calculation_8%'!$AP$7:$AP$367,12*R37)))*(R37&lt;=pt)</f>
        <v>1874367.6455821542</v>
      </c>
      <c r="AC37" s="295">
        <f ca="1">IF(R37&lt;=pt,'Calculation_8%'!BC12,0)</f>
        <v>24795.983596386395</v>
      </c>
      <c r="AD37" s="295">
        <f ca="1">(MAX(0,INDEX('Calculation_8%'!$AD$7:$AD$367,12*R37))+MAX(0,INDEX('Calculation_8%'!$AR$7:$AR$367,12*R37)))*(R37&lt;=pt)</f>
        <v>1871878.0684163817</v>
      </c>
      <c r="AE37" s="301">
        <f ca="1">(AD37-IF(R37&lt;5,MIN(MAX(0,INDEX('Calculation_8%'!$AD$7:$AD$367,12*R37))*VLOOKUP(R37,Charges!$O$7:$P$10,2,0),pr*VLOOKUP(R37,Charges!$O$7:$P$10,2,0),VLOOKUP(R37,Charges!$O$7:$Q$10,3,0)),0))-AA37</f>
        <v>1871878.0684163817</v>
      </c>
      <c r="AF37" s="296">
        <f ca="1">IF(INDEX('Calculation_8%'!$X$7:$X$367,12*R37)&gt;=0,INDEX('Calculation_8%'!$AE$7:$AE$367,12*R37),0)</f>
        <v>3000000</v>
      </c>
      <c r="AG37" s="267"/>
      <c r="AH37" s="290"/>
      <c r="AI37" s="290"/>
      <c r="AJ37" s="290"/>
      <c r="AK37" s="290"/>
      <c r="AL37" s="290"/>
      <c r="AM37" s="290"/>
      <c r="AN37" s="290"/>
      <c r="AO37" s="290"/>
    </row>
    <row r="38" spans="2:41" x14ac:dyDescent="0.2">
      <c r="B38" s="291">
        <f t="shared" si="15"/>
        <v>7</v>
      </c>
      <c r="C38" s="292">
        <f t="shared" si="11"/>
        <v>300000</v>
      </c>
      <c r="D38" s="293">
        <f t="shared" ca="1" si="0"/>
        <v>18054.931463736819</v>
      </c>
      <c r="E38" s="294">
        <f t="shared" ca="1" si="12"/>
        <v>38037.876668895769</v>
      </c>
      <c r="F38" s="295">
        <f t="shared" ca="1" si="1"/>
        <v>10096.705463873861</v>
      </c>
      <c r="G38" s="295">
        <f t="shared" ca="1" si="2"/>
        <v>1932684.3785125453</v>
      </c>
      <c r="H38" s="295">
        <f t="shared" ca="1" si="3"/>
        <v>1932684.3785125453</v>
      </c>
      <c r="I38" s="296">
        <f t="shared" ca="1" si="4"/>
        <v>3000000</v>
      </c>
      <c r="J38" s="297">
        <f t="shared" ca="1" si="5"/>
        <v>13156.516128276138</v>
      </c>
      <c r="K38" s="294">
        <f t="shared" ca="1" si="13"/>
        <v>42095.8459857048</v>
      </c>
      <c r="L38" s="295">
        <f t="shared" ca="1" si="6"/>
        <v>9945.4251805165659</v>
      </c>
      <c r="M38" s="295">
        <f t="shared" ca="1" si="7"/>
        <v>2277609.1922831382</v>
      </c>
      <c r="N38" s="295">
        <f t="shared" ca="1" si="8"/>
        <v>2277609.1922831382</v>
      </c>
      <c r="O38" s="298">
        <f t="shared" ca="1" si="9"/>
        <v>3000000</v>
      </c>
      <c r="P38" s="296">
        <f>IF(Input!$C$13="Offline",VLOOKUP(B38,Charges!$AT$4:$AU$33,2,FALSE)*C38,0)</f>
        <v>1500</v>
      </c>
      <c r="Q38" s="271"/>
      <c r="R38" s="299">
        <f t="shared" si="10"/>
        <v>7</v>
      </c>
      <c r="S38" s="300">
        <f t="shared" si="10"/>
        <v>300000</v>
      </c>
      <c r="T38" s="300">
        <f t="shared" si="10"/>
        <v>6000.0000000000055</v>
      </c>
      <c r="U38" s="300">
        <f t="shared" si="10"/>
        <v>294000</v>
      </c>
      <c r="V38" s="295">
        <f ca="1">('Calculation_8%'!AY13+'Calculation_8%'!AZ13+'Calculation_8%'!BA13)*(R38&lt;=pt)</f>
        <v>13156.516128276138</v>
      </c>
      <c r="W38" s="295">
        <f ca="1">IF(R38&lt;=pt,'Calculation_8%'!BD13,0)</f>
        <v>9945.4251805165659</v>
      </c>
      <c r="X38" s="295">
        <f>IF(R38&lt;=pt,'Calculation_8%'!BB13,0)</f>
        <v>6000</v>
      </c>
      <c r="Y38" s="300">
        <v>0</v>
      </c>
      <c r="Z38" s="300">
        <f t="shared" si="14"/>
        <v>0</v>
      </c>
      <c r="AA38" s="295">
        <f>IF(R38&lt;=pt,(INDEX('Calculation_8%'!$AA$7:$AA$367,12*R38)+INDEX('Calculation_8%'!$AB$7:$AB$367,12*R38)+INDEX('Calculation_8%'!$AC$7:$AC$367,12*R38)),0)</f>
        <v>0</v>
      </c>
      <c r="AB38" s="295">
        <f ca="1">(MAX(0,INDEX('Calculation_8%'!$X$7:$X$367,12*R38))+MAX(0,INDEX('Calculation_8%'!$AP$7:$AP$367,12*R38)))*(R38&lt;=pt)</f>
        <v>2280638.3873644494</v>
      </c>
      <c r="AC38" s="295">
        <f ca="1">IF(R38&lt;=pt,'Calculation_8%'!BC13,0)</f>
        <v>30095.845985704793</v>
      </c>
      <c r="AD38" s="295">
        <f ca="1">(MAX(0,INDEX('Calculation_8%'!$AD$7:$AD$367,12*R38))+MAX(0,INDEX('Calculation_8%'!$AR$7:$AR$367,12*R38)))*(R38&lt;=pt)</f>
        <v>2277609.1922831382</v>
      </c>
      <c r="AE38" s="301">
        <f ca="1">(AD38-IF(R38&lt;5,MIN(MAX(0,INDEX('Calculation_8%'!$AD$7:$AD$367,12*R38))*VLOOKUP(R38,Charges!$O$7:$P$10,2,0),pr*VLOOKUP(R38,Charges!$O$7:$P$10,2,0),VLOOKUP(R38,Charges!$O$7:$Q$10,3,0)),0))-AA38</f>
        <v>2277609.1922831382</v>
      </c>
      <c r="AF38" s="296">
        <f ca="1">IF(INDEX('Calculation_8%'!$X$7:$X$367,12*R38)&gt;=0,INDEX('Calculation_8%'!$AE$7:$AE$367,12*R38),0)</f>
        <v>3000000</v>
      </c>
      <c r="AG38" s="267"/>
      <c r="AH38" s="290"/>
      <c r="AI38" s="290"/>
      <c r="AJ38" s="290"/>
      <c r="AK38" s="290"/>
      <c r="AL38" s="290"/>
      <c r="AM38" s="290"/>
      <c r="AN38" s="290"/>
      <c r="AO38" s="290"/>
    </row>
    <row r="39" spans="2:41" x14ac:dyDescent="0.2">
      <c r="B39" s="291">
        <f t="shared" si="15"/>
        <v>8</v>
      </c>
      <c r="C39" s="292">
        <f t="shared" si="11"/>
        <v>300000</v>
      </c>
      <c r="D39" s="293">
        <f t="shared" ca="1" si="0"/>
        <v>13833.01020074844</v>
      </c>
      <c r="E39" s="294">
        <f t="shared" ca="1" si="12"/>
        <v>42310.810601127632</v>
      </c>
      <c r="F39" s="295">
        <f t="shared" ca="1" si="1"/>
        <v>10105.887744337695</v>
      </c>
      <c r="G39" s="295">
        <f t="shared" ca="1" si="2"/>
        <v>2254303.2192485728</v>
      </c>
      <c r="H39" s="295">
        <f t="shared" ca="1" si="3"/>
        <v>2254303.2192485728</v>
      </c>
      <c r="I39" s="296">
        <f t="shared" ca="1" si="4"/>
        <v>3000000</v>
      </c>
      <c r="J39" s="297">
        <f t="shared" ca="1" si="5"/>
        <v>6602.7006437122927</v>
      </c>
      <c r="K39" s="294">
        <f t="shared" ca="1" si="13"/>
        <v>47825.724734528085</v>
      </c>
      <c r="L39" s="295">
        <f t="shared" ca="1" si="6"/>
        <v>9797.1165680832637</v>
      </c>
      <c r="M39" s="295">
        <f t="shared" ca="1" si="7"/>
        <v>2716855.32291729</v>
      </c>
      <c r="N39" s="295">
        <f t="shared" ca="1" si="8"/>
        <v>2716855.32291729</v>
      </c>
      <c r="O39" s="298">
        <f t="shared" ca="1" si="9"/>
        <v>3000000</v>
      </c>
      <c r="P39" s="296">
        <f>IF(Input!$C$13="Offline",VLOOKUP(B39,Charges!$AT$4:$AU$33,2,FALSE)*C39,0)</f>
        <v>1500</v>
      </c>
      <c r="Q39" s="271"/>
      <c r="R39" s="299">
        <f t="shared" si="10"/>
        <v>8</v>
      </c>
      <c r="S39" s="300">
        <f t="shared" si="10"/>
        <v>300000</v>
      </c>
      <c r="T39" s="300">
        <f t="shared" si="10"/>
        <v>6000.0000000000055</v>
      </c>
      <c r="U39" s="300">
        <f t="shared" si="10"/>
        <v>294000</v>
      </c>
      <c r="V39" s="295">
        <f ca="1">('Calculation_8%'!AY14+'Calculation_8%'!AZ14+'Calculation_8%'!BA14)*(R39&lt;=pt)</f>
        <v>6602.7006437122927</v>
      </c>
      <c r="W39" s="295">
        <f ca="1">IF(R39&lt;=pt,'Calculation_8%'!BD14,0)</f>
        <v>9797.1165680832637</v>
      </c>
      <c r="X39" s="295">
        <f>IF(R39&lt;=pt,'Calculation_8%'!BB14,0)</f>
        <v>6000</v>
      </c>
      <c r="Y39" s="300">
        <v>0</v>
      </c>
      <c r="Z39" s="300">
        <f t="shared" si="14"/>
        <v>0</v>
      </c>
      <c r="AA39" s="295">
        <f>IF(R39&lt;=pt,(INDEX('Calculation_8%'!$AA$7:$AA$367,12*R39)+INDEX('Calculation_8%'!$AB$7:$AB$367,12*R39)+INDEX('Calculation_8%'!$AC$7:$AC$367,12*R39)),0)</f>
        <v>0</v>
      </c>
      <c r="AB39" s="295">
        <f ca="1">(MAX(0,INDEX('Calculation_8%'!$X$7:$X$367,12*R39))+MAX(0,INDEX('Calculation_8%'!$AP$7:$AP$367,12*R39)))*(R39&lt;=pt)</f>
        <v>2720468.7105031409</v>
      </c>
      <c r="AC39" s="295">
        <f ca="1">IF(R39&lt;=pt,'Calculation_8%'!BC14,0)</f>
        <v>35825.724734528078</v>
      </c>
      <c r="AD39" s="295">
        <f ca="1">(MAX(0,INDEX('Calculation_8%'!$AD$7:$AD$367,12*R39))+MAX(0,INDEX('Calculation_8%'!$AR$7:$AR$367,12*R39)))*(R39&lt;=pt)</f>
        <v>2716855.32291729</v>
      </c>
      <c r="AE39" s="301">
        <f ca="1">(AD39-IF(R39&lt;5,MIN(MAX(0,INDEX('Calculation_8%'!$AD$7:$AD$367,12*R39))*VLOOKUP(R39,Charges!$O$7:$P$10,2,0),pr*VLOOKUP(R39,Charges!$O$7:$P$10,2,0),VLOOKUP(R39,Charges!$O$7:$Q$10,3,0)),0))-AA39</f>
        <v>2716855.32291729</v>
      </c>
      <c r="AF39" s="296">
        <f ca="1">IF(INDEX('Calculation_8%'!$X$7:$X$367,12*R39)&gt;=0,INDEX('Calculation_8%'!$AE$7:$AE$367,12*R39),0)</f>
        <v>3000000</v>
      </c>
      <c r="AG39" s="267"/>
      <c r="AH39" s="290"/>
      <c r="AI39" s="290"/>
      <c r="AJ39" s="290"/>
      <c r="AK39" s="290"/>
      <c r="AL39" s="290"/>
      <c r="AM39" s="290"/>
      <c r="AN39" s="290"/>
      <c r="AO39" s="290"/>
    </row>
    <row r="40" spans="2:41" x14ac:dyDescent="0.2">
      <c r="B40" s="291">
        <f t="shared" si="15"/>
        <v>9</v>
      </c>
      <c r="C40" s="292">
        <f t="shared" si="11"/>
        <v>300000</v>
      </c>
      <c r="D40" s="293">
        <f t="shared" ca="1" si="0"/>
        <v>8553.2095497612263</v>
      </c>
      <c r="E40" s="294">
        <f t="shared" ca="1" si="12"/>
        <v>46761.717878670963</v>
      </c>
      <c r="F40" s="295">
        <f t="shared" ca="1" si="1"/>
        <v>9956.6869371177909</v>
      </c>
      <c r="G40" s="295">
        <f t="shared" ca="1" si="2"/>
        <v>2589802.9686301784</v>
      </c>
      <c r="H40" s="295">
        <f t="shared" ca="1" si="3"/>
        <v>2589802.9686301784</v>
      </c>
      <c r="I40" s="296">
        <f t="shared" ca="1" si="4"/>
        <v>3000000</v>
      </c>
      <c r="J40" s="297">
        <f t="shared" ca="1" si="5"/>
        <v>0</v>
      </c>
      <c r="K40" s="294">
        <f t="shared" ca="1" si="13"/>
        <v>54029.310687919038</v>
      </c>
      <c r="L40" s="295">
        <f t="shared" ca="1" si="6"/>
        <v>9725.2759238254257</v>
      </c>
      <c r="M40" s="295">
        <f t="shared" ca="1" si="7"/>
        <v>3191805.5833517597</v>
      </c>
      <c r="N40" s="295">
        <f t="shared" ca="1" si="8"/>
        <v>3191805.5833517597</v>
      </c>
      <c r="O40" s="298">
        <f t="shared" ca="1" si="9"/>
        <v>3191805.5833517597</v>
      </c>
      <c r="P40" s="296">
        <f>IF(Input!$C$13="Offline",VLOOKUP(B40,Charges!$AT$4:$AU$33,2,FALSE)*C40,0)</f>
        <v>1500</v>
      </c>
      <c r="Q40" s="271"/>
      <c r="R40" s="299">
        <f t="shared" si="10"/>
        <v>9</v>
      </c>
      <c r="S40" s="300">
        <f t="shared" si="10"/>
        <v>300000</v>
      </c>
      <c r="T40" s="300">
        <f t="shared" si="10"/>
        <v>6000.0000000000055</v>
      </c>
      <c r="U40" s="300">
        <f t="shared" si="10"/>
        <v>294000</v>
      </c>
      <c r="V40" s="295">
        <f ca="1">('Calculation_8%'!AY15+'Calculation_8%'!AZ15+'Calculation_8%'!BA15)*(R40&lt;=pt)</f>
        <v>0</v>
      </c>
      <c r="W40" s="295">
        <f ca="1">IF(R40&lt;=pt,'Calculation_8%'!BD15,0)</f>
        <v>9725.2759238254257</v>
      </c>
      <c r="X40" s="295">
        <f>IF(R40&lt;=pt,'Calculation_8%'!BB15,0)</f>
        <v>6000</v>
      </c>
      <c r="Y40" s="300">
        <v>0</v>
      </c>
      <c r="Z40" s="300">
        <f t="shared" si="14"/>
        <v>0</v>
      </c>
      <c r="AA40" s="295">
        <f>IF(R40&lt;=pt,(INDEX('Calculation_8%'!$AA$7:$AA$367,12*R40)+INDEX('Calculation_8%'!$AB$7:$AB$367,12*R40)+INDEX('Calculation_8%'!$AC$7:$AC$367,12*R40)),0)</f>
        <v>0</v>
      </c>
      <c r="AB40" s="295">
        <f ca="1">(MAX(0,INDEX('Calculation_8%'!$X$7:$X$367,12*R40))+MAX(0,INDEX('Calculation_8%'!$AP$7:$AP$367,12*R40)))*(R40&lt;=pt)</f>
        <v>3196050.6495406167</v>
      </c>
      <c r="AC40" s="295">
        <f ca="1">IF(R40&lt;=pt,'Calculation_8%'!BC15,0)</f>
        <v>42029.310687919031</v>
      </c>
      <c r="AD40" s="295">
        <f ca="1">(MAX(0,INDEX('Calculation_8%'!$AD$7:$AD$367,12*R40))+MAX(0,INDEX('Calculation_8%'!$AR$7:$AR$367,12*R40)))*(R40&lt;=pt)</f>
        <v>3191805.5833517597</v>
      </c>
      <c r="AE40" s="301">
        <f ca="1">(AD40-IF(R40&lt;5,MIN(MAX(0,INDEX('Calculation_8%'!$AD$7:$AD$367,12*R40))*VLOOKUP(R40,Charges!$O$7:$P$10,2,0),pr*VLOOKUP(R40,Charges!$O$7:$P$10,2,0),VLOOKUP(R40,Charges!$O$7:$Q$10,3,0)),0))-AA40</f>
        <v>3191805.5833517597</v>
      </c>
      <c r="AF40" s="296">
        <f ca="1">IF(INDEX('Calculation_8%'!$X$7:$X$367,12*R40)&gt;=0,INDEX('Calculation_8%'!$AE$7:$AE$367,12*R40),0)</f>
        <v>3191805.5833517597</v>
      </c>
      <c r="AG40" s="267"/>
      <c r="AH40" s="290"/>
      <c r="AI40" s="290"/>
      <c r="AJ40" s="290"/>
      <c r="AK40" s="290"/>
      <c r="AL40" s="290"/>
      <c r="AM40" s="290"/>
      <c r="AN40" s="290"/>
      <c r="AO40" s="290"/>
    </row>
    <row r="41" spans="2:41" x14ac:dyDescent="0.2">
      <c r="B41" s="291">
        <f t="shared" si="15"/>
        <v>10</v>
      </c>
      <c r="C41" s="292">
        <f t="shared" si="11"/>
        <v>300000</v>
      </c>
      <c r="D41" s="293">
        <f t="shared" ca="1" si="0"/>
        <v>5211.7305358805361</v>
      </c>
      <c r="E41" s="294">
        <f t="shared" ca="1" si="12"/>
        <v>51385.830144615342</v>
      </c>
      <c r="F41" s="295">
        <f t="shared" ca="1" si="1"/>
        <v>10187.560922489258</v>
      </c>
      <c r="G41" s="295">
        <f t="shared" ca="1" si="2"/>
        <v>2937194.1322683208</v>
      </c>
      <c r="H41" s="295">
        <f t="shared" ca="1" si="3"/>
        <v>2937194.1322683208</v>
      </c>
      <c r="I41" s="296">
        <f t="shared" ca="1" si="4"/>
        <v>3150000</v>
      </c>
      <c r="J41" s="297">
        <f t="shared" ca="1" si="5"/>
        <v>0</v>
      </c>
      <c r="K41" s="294">
        <f t="shared" ca="1" si="13"/>
        <v>60670.026251794494</v>
      </c>
      <c r="L41" s="295">
        <f t="shared" ca="1" si="6"/>
        <v>10920.604725323006</v>
      </c>
      <c r="M41" s="295">
        <f t="shared" ca="1" si="7"/>
        <v>3696635.6450297157</v>
      </c>
      <c r="N41" s="295">
        <f t="shared" ca="1" si="8"/>
        <v>3696635.6450297157</v>
      </c>
      <c r="O41" s="298">
        <f t="shared" ca="1" si="9"/>
        <v>3696635.6450297157</v>
      </c>
      <c r="P41" s="296">
        <f>IF(Input!$C$13="Offline",VLOOKUP(B41,Charges!$AT$4:$AU$33,2,FALSE)*C41,0)</f>
        <v>1500</v>
      </c>
      <c r="Q41" s="271"/>
      <c r="R41" s="299">
        <f t="shared" si="10"/>
        <v>10</v>
      </c>
      <c r="S41" s="300">
        <f t="shared" si="10"/>
        <v>300000</v>
      </c>
      <c r="T41" s="300">
        <f t="shared" si="10"/>
        <v>6000.0000000000055</v>
      </c>
      <c r="U41" s="300">
        <f t="shared" si="10"/>
        <v>294000</v>
      </c>
      <c r="V41" s="295">
        <f ca="1">('Calculation_8%'!AY16+'Calculation_8%'!AZ16+'Calculation_8%'!BA16)*(R41&lt;=pt)</f>
        <v>0</v>
      </c>
      <c r="W41" s="295">
        <f ca="1">IF(R41&lt;=pt,'Calculation_8%'!BD16,0)</f>
        <v>10920.604725323006</v>
      </c>
      <c r="X41" s="295">
        <f>IF(R41&lt;=pt,'Calculation_8%'!BB16,0)</f>
        <v>6000</v>
      </c>
      <c r="Y41" s="300">
        <v>0</v>
      </c>
      <c r="Z41" s="300">
        <f t="shared" si="14"/>
        <v>0</v>
      </c>
      <c r="AA41" s="295">
        <f>IF(R41&lt;=pt,(INDEX('Calculation_8%'!$AA$7:$AA$367,12*R41)+INDEX('Calculation_8%'!$AB$7:$AB$367,12*R41)+INDEX('Calculation_8%'!$AC$7:$AC$367,12*R41)),0)</f>
        <v>0</v>
      </c>
      <c r="AB41" s="295">
        <f ca="1">(MAX(0,INDEX('Calculation_8%'!$X$7:$X$367,12*R41))+MAX(0,INDEX('Calculation_8%'!$AP$7:$AP$367,12*R41)))*(R41&lt;=pt)</f>
        <v>3701552.1296273647</v>
      </c>
      <c r="AC41" s="295">
        <f ca="1">IF(R41&lt;=pt,'Calculation_8%'!BC16,0)</f>
        <v>48670.026251794487</v>
      </c>
      <c r="AD41" s="295">
        <f ca="1">(MAX(0,INDEX('Calculation_8%'!$AD$7:$AD$367,12*R41))+MAX(0,INDEX('Calculation_8%'!$AR$7:$AR$367,12*R41)))*(R41&lt;=pt)</f>
        <v>3696635.6450297157</v>
      </c>
      <c r="AE41" s="301">
        <f ca="1">(AD41-IF(R41&lt;5,MIN(MAX(0,INDEX('Calculation_8%'!$AD$7:$AD$367,12*R41))*VLOOKUP(R41,Charges!$O$7:$P$10,2,0),pr*VLOOKUP(R41,Charges!$O$7:$P$10,2,0),VLOOKUP(R41,Charges!$O$7:$Q$10,3,0)),0))-AA41</f>
        <v>3696635.6450297157</v>
      </c>
      <c r="AF41" s="296">
        <f ca="1">IF(INDEX('Calculation_8%'!$X$7:$X$367,12*R41)&gt;=0,INDEX('Calculation_8%'!$AE$7:$AE$367,12*R41),0)</f>
        <v>3696635.6450297157</v>
      </c>
      <c r="AG41" s="267"/>
      <c r="AH41" s="290"/>
      <c r="AI41" s="290"/>
      <c r="AJ41" s="290"/>
      <c r="AK41" s="290"/>
      <c r="AL41" s="290"/>
      <c r="AM41" s="290"/>
      <c r="AN41" s="290"/>
      <c r="AO41" s="290"/>
    </row>
    <row r="42" spans="2:41" x14ac:dyDescent="0.2">
      <c r="B42" s="291">
        <f t="shared" si="15"/>
        <v>11</v>
      </c>
      <c r="C42" s="292">
        <f t="shared" si="11"/>
        <v>300000</v>
      </c>
      <c r="D42" s="293">
        <f t="shared" ca="1" si="0"/>
        <v>4667.4983834744671</v>
      </c>
      <c r="E42" s="294">
        <f t="shared" ca="1" si="12"/>
        <v>50245.411468543352</v>
      </c>
      <c r="F42" s="295">
        <f t="shared" ca="1" si="1"/>
        <v>9884.3237733632104</v>
      </c>
      <c r="G42" s="295">
        <f t="shared" ca="1" si="2"/>
        <v>3300660.7108285548</v>
      </c>
      <c r="H42" s="295">
        <f t="shared" ca="1" si="3"/>
        <v>3300660.7108285548</v>
      </c>
      <c r="I42" s="296">
        <f t="shared" ca="1" si="4"/>
        <v>3465000</v>
      </c>
      <c r="J42" s="297">
        <f t="shared" ca="1" si="5"/>
        <v>0</v>
      </c>
      <c r="K42" s="294">
        <f t="shared" ca="1" si="13"/>
        <v>61827.510723493768</v>
      </c>
      <c r="L42" s="295">
        <f t="shared" ca="1" si="6"/>
        <v>11128.951930228879</v>
      </c>
      <c r="M42" s="295">
        <f t="shared" ca="1" si="7"/>
        <v>4240750.7019917797</v>
      </c>
      <c r="N42" s="295">
        <f t="shared" ca="1" si="8"/>
        <v>4240750.7019917797</v>
      </c>
      <c r="O42" s="298">
        <f t="shared" ca="1" si="9"/>
        <v>4240750.7019917797</v>
      </c>
      <c r="P42" s="296">
        <f>IF(Input!$C$13="Offline",VLOOKUP(B42,Charges!$AT$4:$AU$33,2,FALSE)*C42,0)</f>
        <v>0</v>
      </c>
      <c r="Q42" s="271"/>
      <c r="R42" s="299">
        <f t="shared" si="10"/>
        <v>11</v>
      </c>
      <c r="S42" s="300">
        <f t="shared" si="10"/>
        <v>300000</v>
      </c>
      <c r="T42" s="300">
        <f t="shared" si="10"/>
        <v>0</v>
      </c>
      <c r="U42" s="300">
        <f t="shared" si="10"/>
        <v>300000</v>
      </c>
      <c r="V42" s="295">
        <f ca="1">('Calculation_8%'!AY17+'Calculation_8%'!AZ17+'Calculation_8%'!BA17)*(R42&lt;=pt)</f>
        <v>0</v>
      </c>
      <c r="W42" s="295">
        <f ca="1">IF(R42&lt;=pt,'Calculation_8%'!BD17,0)</f>
        <v>11128.951930228879</v>
      </c>
      <c r="X42" s="295">
        <f>IF(R42&lt;=pt,'Calculation_8%'!BB17,0)</f>
        <v>6000</v>
      </c>
      <c r="Y42" s="300">
        <v>0</v>
      </c>
      <c r="Z42" s="300">
        <f t="shared" si="14"/>
        <v>0</v>
      </c>
      <c r="AA42" s="295">
        <f>IF(R42&lt;=pt,(INDEX('Calculation_8%'!$AA$7:$AA$367,12*R42)+INDEX('Calculation_8%'!$AB$7:$AB$367,12*R42)+INDEX('Calculation_8%'!$AC$7:$AC$367,12*R42)),0)</f>
        <v>0</v>
      </c>
      <c r="AB42" s="295">
        <f ca="1">(MAX(0,INDEX('Calculation_8%'!$X$7:$X$367,12*R42))+MAX(0,INDEX('Calculation_8%'!$AP$7:$AP$367,12*R42)))*(R42&lt;=pt)</f>
        <v>4246390.8536082488</v>
      </c>
      <c r="AC42" s="295">
        <f ca="1">IF(R42&lt;=pt,'Calculation_8%'!BC17,0)</f>
        <v>55827.510723493768</v>
      </c>
      <c r="AD42" s="295">
        <f ca="1">(MAX(0,INDEX('Calculation_8%'!$AD$7:$AD$367,12*R42))+MAX(0,INDEX('Calculation_8%'!$AR$7:$AR$367,12*R42)))*(R42&lt;=pt)</f>
        <v>4240750.7019917797</v>
      </c>
      <c r="AE42" s="301">
        <f ca="1">(AD42-IF(R42&lt;5,MIN(MAX(0,INDEX('Calculation_8%'!$AD$7:$AD$367,12*R42))*VLOOKUP(R42,Charges!$O$7:$P$10,2,0),pr*VLOOKUP(R42,Charges!$O$7:$P$10,2,0),VLOOKUP(R42,Charges!$O$7:$Q$10,3,0)),0))-AA42</f>
        <v>4240750.7019917797</v>
      </c>
      <c r="AF42" s="296">
        <f ca="1">IF(INDEX('Calculation_8%'!$X$7:$X$367,12*R42)&gt;=0,INDEX('Calculation_8%'!$AE$7:$AE$367,12*R42),0)</f>
        <v>4240750.7019917797</v>
      </c>
      <c r="AG42" s="267"/>
      <c r="AH42" s="290"/>
      <c r="AI42" s="290"/>
      <c r="AJ42" s="290"/>
      <c r="AK42" s="290"/>
      <c r="AL42" s="290"/>
      <c r="AM42" s="290"/>
      <c r="AN42" s="290"/>
      <c r="AO42" s="290"/>
    </row>
    <row r="43" spans="2:41" x14ac:dyDescent="0.2">
      <c r="B43" s="291">
        <f t="shared" si="15"/>
        <v>12</v>
      </c>
      <c r="C43" s="292">
        <f t="shared" si="11"/>
        <v>300000</v>
      </c>
      <c r="D43" s="293">
        <f t="shared" ca="1" si="0"/>
        <v>3749.6451609474939</v>
      </c>
      <c r="E43" s="294">
        <f t="shared" ca="1" si="12"/>
        <v>55231.371856781603</v>
      </c>
      <c r="F43" s="295">
        <f t="shared" ca="1" si="1"/>
        <v>10616.583063191238</v>
      </c>
      <c r="G43" s="295">
        <f t="shared" ca="1" si="2"/>
        <v>3673780.8124005585</v>
      </c>
      <c r="H43" s="295">
        <f t="shared" ca="1" si="3"/>
        <v>3673780.8124005585</v>
      </c>
      <c r="I43" s="296">
        <f t="shared" ca="1" si="4"/>
        <v>3780000</v>
      </c>
      <c r="J43" s="297">
        <f t="shared" ca="1" si="5"/>
        <v>0</v>
      </c>
      <c r="K43" s="294">
        <f t="shared" ca="1" si="13"/>
        <v>69435.282796303261</v>
      </c>
      <c r="L43" s="295">
        <f t="shared" ca="1" si="6"/>
        <v>12498.350903334587</v>
      </c>
      <c r="M43" s="295">
        <f t="shared" ca="1" si="7"/>
        <v>4819096.8166244747</v>
      </c>
      <c r="N43" s="295">
        <f t="shared" ca="1" si="8"/>
        <v>4819096.8166244747</v>
      </c>
      <c r="O43" s="298">
        <f t="shared" ca="1" si="9"/>
        <v>4819096.8166244747</v>
      </c>
      <c r="P43" s="296">
        <f>IF(Input!$C$13="Offline",VLOOKUP(B43,Charges!$AT$4:$AU$33,2,FALSE)*C43,0)</f>
        <v>0</v>
      </c>
      <c r="Q43" s="271"/>
      <c r="R43" s="299">
        <f t="shared" si="10"/>
        <v>12</v>
      </c>
      <c r="S43" s="300">
        <f t="shared" si="10"/>
        <v>300000</v>
      </c>
      <c r="T43" s="300">
        <f t="shared" si="10"/>
        <v>0</v>
      </c>
      <c r="U43" s="300">
        <f t="shared" si="10"/>
        <v>300000</v>
      </c>
      <c r="V43" s="295">
        <f ca="1">('Calculation_8%'!AY18+'Calculation_8%'!AZ18+'Calculation_8%'!BA18)*(R43&lt;=pt)</f>
        <v>0</v>
      </c>
      <c r="W43" s="295">
        <f ca="1">IF(R43&lt;=pt,'Calculation_8%'!BD18,0)</f>
        <v>12498.350903334587</v>
      </c>
      <c r="X43" s="295">
        <f>IF(R43&lt;=pt,'Calculation_8%'!BB18,0)</f>
        <v>6000</v>
      </c>
      <c r="Y43" s="300">
        <v>0</v>
      </c>
      <c r="Z43" s="300">
        <f t="shared" si="14"/>
        <v>0</v>
      </c>
      <c r="AA43" s="295">
        <f>IF(R43&lt;=pt,(INDEX('Calculation_8%'!$AA$7:$AA$367,12*R43)+INDEX('Calculation_8%'!$AB$7:$AB$367,12*R43)+INDEX('Calculation_8%'!$AC$7:$AC$367,12*R43)),0)</f>
        <v>0</v>
      </c>
      <c r="AB43" s="295">
        <f ca="1">(MAX(0,INDEX('Calculation_8%'!$X$7:$X$367,12*R43))+MAX(0,INDEX('Calculation_8%'!$AP$7:$AP$367,12*R43)))*(R43&lt;=pt)</f>
        <v>4825506.1621885607</v>
      </c>
      <c r="AC43" s="295">
        <f ca="1">IF(R43&lt;=pt,'Calculation_8%'!BC18,0)</f>
        <v>63435.282796303261</v>
      </c>
      <c r="AD43" s="295">
        <f ca="1">(MAX(0,INDEX('Calculation_8%'!$AD$7:$AD$367,12*R43))+MAX(0,INDEX('Calculation_8%'!$AR$7:$AR$367,12*R43)))*(R43&lt;=pt)</f>
        <v>4819096.8166244747</v>
      </c>
      <c r="AE43" s="301">
        <f ca="1">(AD43-IF(R43&lt;5,MIN(MAX(0,INDEX('Calculation_8%'!$AD$7:$AD$367,12*R43))*VLOOKUP(R43,Charges!$O$7:$P$10,2,0),pr*VLOOKUP(R43,Charges!$O$7:$P$10,2,0),VLOOKUP(R43,Charges!$O$7:$Q$10,3,0)),0))-AA43</f>
        <v>4819096.8166244747</v>
      </c>
      <c r="AF43" s="296">
        <f ca="1">IF(INDEX('Calculation_8%'!$X$7:$X$367,12*R43)&gt;=0,INDEX('Calculation_8%'!$AE$7:$AE$367,12*R43),0)</f>
        <v>4819096.8166244747</v>
      </c>
      <c r="AG43" s="267"/>
      <c r="AH43" s="290"/>
      <c r="AI43" s="290"/>
      <c r="AJ43" s="290"/>
      <c r="AK43" s="290"/>
      <c r="AL43" s="290"/>
      <c r="AM43" s="290"/>
      <c r="AN43" s="290"/>
      <c r="AO43" s="290"/>
    </row>
    <row r="44" spans="2:41" x14ac:dyDescent="0.2">
      <c r="B44" s="291">
        <f t="shared" si="15"/>
        <v>13</v>
      </c>
      <c r="C44" s="292">
        <f t="shared" si="11"/>
        <v>300000</v>
      </c>
      <c r="D44" s="293">
        <f t="shared" ca="1" si="0"/>
        <v>2341.6296628121158</v>
      </c>
      <c r="E44" s="294">
        <f t="shared" ca="1" si="12"/>
        <v>60353.719070317456</v>
      </c>
      <c r="F44" s="295">
        <f t="shared" ca="1" si="1"/>
        <v>11285.162771963325</v>
      </c>
      <c r="G44" s="295">
        <f t="shared" ca="1" si="2"/>
        <v>4057367.2662152802</v>
      </c>
      <c r="H44" s="295">
        <f t="shared" ca="1" si="3"/>
        <v>4057367.2662152802</v>
      </c>
      <c r="I44" s="296">
        <f t="shared" ca="1" si="4"/>
        <v>4095000</v>
      </c>
      <c r="J44" s="297">
        <f t="shared" ca="1" si="5"/>
        <v>0</v>
      </c>
      <c r="K44" s="294">
        <f t="shared" ca="1" si="13"/>
        <v>77521.670708239442</v>
      </c>
      <c r="L44" s="295">
        <f t="shared" ca="1" si="6"/>
        <v>13953.900727483098</v>
      </c>
      <c r="M44" s="295">
        <f t="shared" ca="1" si="7"/>
        <v>5433827.5138013689</v>
      </c>
      <c r="N44" s="295">
        <f t="shared" ca="1" si="8"/>
        <v>5433827.5138013689</v>
      </c>
      <c r="O44" s="298">
        <f t="shared" ca="1" si="9"/>
        <v>5433827.5138013689</v>
      </c>
      <c r="P44" s="296">
        <f>IF(Input!$C$13="Offline",VLOOKUP(B44,Charges!$AT$4:$AU$33,2,FALSE)*C44,0)</f>
        <v>0</v>
      </c>
      <c r="Q44" s="271"/>
      <c r="R44" s="299">
        <f t="shared" si="10"/>
        <v>13</v>
      </c>
      <c r="S44" s="300">
        <f t="shared" si="10"/>
        <v>300000</v>
      </c>
      <c r="T44" s="300">
        <f t="shared" si="10"/>
        <v>0</v>
      </c>
      <c r="U44" s="300">
        <f t="shared" si="10"/>
        <v>300000</v>
      </c>
      <c r="V44" s="295">
        <f ca="1">('Calculation_8%'!AY19+'Calculation_8%'!AZ19+'Calculation_8%'!BA19)*(R44&lt;=pt)</f>
        <v>0</v>
      </c>
      <c r="W44" s="295">
        <f ca="1">IF(R44&lt;=pt,'Calculation_8%'!BD19,0)</f>
        <v>13953.900727483098</v>
      </c>
      <c r="X44" s="295">
        <f>IF(R44&lt;=pt,'Calculation_8%'!BB19,0)</f>
        <v>6000</v>
      </c>
      <c r="Y44" s="300">
        <v>0</v>
      </c>
      <c r="Z44" s="300">
        <f t="shared" si="14"/>
        <v>0</v>
      </c>
      <c r="AA44" s="295">
        <f>IF(R44&lt;=pt,(INDEX('Calculation_8%'!$AA$7:$AA$367,12*R44)+INDEX('Calculation_8%'!$AB$7:$AB$367,12*R44)+INDEX('Calculation_8%'!$AC$7:$AC$367,12*R44)),0)</f>
        <v>0</v>
      </c>
      <c r="AB44" s="295">
        <f ca="1">(MAX(0,INDEX('Calculation_8%'!$X$7:$X$367,12*R44))+MAX(0,INDEX('Calculation_8%'!$AP$7:$AP$367,12*R44)))*(R44&lt;=pt)</f>
        <v>5441054.444406176</v>
      </c>
      <c r="AC44" s="295">
        <f ca="1">IF(R44&lt;=pt,'Calculation_8%'!BC19,0)</f>
        <v>71521.670708239442</v>
      </c>
      <c r="AD44" s="295">
        <f ca="1">(MAX(0,INDEX('Calculation_8%'!$AD$7:$AD$367,12*R44))+MAX(0,INDEX('Calculation_8%'!$AR$7:$AR$367,12*R44)))*(R44&lt;=pt)</f>
        <v>5433827.5138013689</v>
      </c>
      <c r="AE44" s="301">
        <f ca="1">(AD44-IF(R44&lt;5,MIN(MAX(0,INDEX('Calculation_8%'!$AD$7:$AD$367,12*R44))*VLOOKUP(R44,Charges!$O$7:$P$10,2,0),pr*VLOOKUP(R44,Charges!$O$7:$P$10,2,0),VLOOKUP(R44,Charges!$O$7:$Q$10,3,0)),0))-AA44</f>
        <v>5433827.5138013689</v>
      </c>
      <c r="AF44" s="296">
        <f ca="1">IF(INDEX('Calculation_8%'!$X$7:$X$367,12*R44)&gt;=0,INDEX('Calculation_8%'!$AE$7:$AE$367,12*R44),0)</f>
        <v>5433827.5138013689</v>
      </c>
      <c r="AG44" s="267"/>
      <c r="AH44" s="290"/>
      <c r="AI44" s="290"/>
      <c r="AJ44" s="290"/>
      <c r="AK44" s="290"/>
      <c r="AL44" s="290"/>
      <c r="AM44" s="290"/>
      <c r="AN44" s="290"/>
      <c r="AO44" s="290"/>
    </row>
    <row r="45" spans="2:41" x14ac:dyDescent="0.2">
      <c r="B45" s="291">
        <f t="shared" si="15"/>
        <v>14</v>
      </c>
      <c r="C45" s="292">
        <f t="shared" si="11"/>
        <v>300000</v>
      </c>
      <c r="D45" s="293">
        <f t="shared" ca="1" si="0"/>
        <v>527.55239062662315</v>
      </c>
      <c r="E45" s="294">
        <f t="shared" ca="1" si="12"/>
        <v>65624.200977174216</v>
      </c>
      <c r="F45" s="295">
        <f t="shared" ca="1" si="1"/>
        <v>11907.315606204149</v>
      </c>
      <c r="G45" s="295">
        <f t="shared" ca="1" si="2"/>
        <v>4452153.8565316331</v>
      </c>
      <c r="H45" s="295">
        <f t="shared" ca="1" si="3"/>
        <v>4452153.8565316331</v>
      </c>
      <c r="I45" s="296">
        <f t="shared" ca="1" si="4"/>
        <v>4452153.8565316331</v>
      </c>
      <c r="J45" s="297">
        <f t="shared" ca="1" si="5"/>
        <v>0</v>
      </c>
      <c r="K45" s="294">
        <f t="shared" ca="1" si="13"/>
        <v>86116.784867352239</v>
      </c>
      <c r="L45" s="295">
        <f t="shared" ca="1" si="6"/>
        <v>15501.021276123403</v>
      </c>
      <c r="M45" s="295">
        <f t="shared" ca="1" si="7"/>
        <v>6087231.7997307237</v>
      </c>
      <c r="N45" s="295">
        <f t="shared" ca="1" si="8"/>
        <v>6087231.7997307237</v>
      </c>
      <c r="O45" s="298">
        <f t="shared" ca="1" si="9"/>
        <v>6087231.7997307237</v>
      </c>
      <c r="P45" s="296">
        <f>IF(Input!$C$13="Offline",VLOOKUP(B45,Charges!$AT$4:$AU$33,2,FALSE)*C45,0)</f>
        <v>0</v>
      </c>
      <c r="Q45" s="271"/>
      <c r="R45" s="299">
        <f t="shared" si="10"/>
        <v>14</v>
      </c>
      <c r="S45" s="300">
        <f t="shared" si="10"/>
        <v>300000</v>
      </c>
      <c r="T45" s="300">
        <f t="shared" si="10"/>
        <v>0</v>
      </c>
      <c r="U45" s="300">
        <f t="shared" si="10"/>
        <v>300000</v>
      </c>
      <c r="V45" s="295">
        <f ca="1">('Calculation_8%'!AY20+'Calculation_8%'!AZ20+'Calculation_8%'!BA20)*(R45&lt;=pt)</f>
        <v>0</v>
      </c>
      <c r="W45" s="295">
        <f ca="1">IF(R45&lt;=pt,'Calculation_8%'!BD20,0)</f>
        <v>15501.021276123403</v>
      </c>
      <c r="X45" s="295">
        <f>IF(R45&lt;=pt,'Calculation_8%'!BB20,0)</f>
        <v>6000</v>
      </c>
      <c r="Y45" s="300">
        <v>0</v>
      </c>
      <c r="Z45" s="300">
        <f t="shared" si="14"/>
        <v>0</v>
      </c>
      <c r="AA45" s="295">
        <f>IF(R45&lt;=pt,(INDEX('Calculation_8%'!$AA$7:$AA$367,12*R45)+INDEX('Calculation_8%'!$AB$7:$AB$367,12*R45)+INDEX('Calculation_8%'!$AC$7:$AC$367,12*R45)),0)</f>
        <v>0</v>
      </c>
      <c r="AB45" s="295">
        <f ca="1">(MAX(0,INDEX('Calculation_8%'!$X$7:$X$367,12*R45))+MAX(0,INDEX('Calculation_8%'!$AP$7:$AP$367,12*R45)))*(R45&lt;=pt)</f>
        <v>6095327.750822342</v>
      </c>
      <c r="AC45" s="295">
        <f ca="1">IF(R45&lt;=pt,'Calculation_8%'!BC20,0)</f>
        <v>80116.784867352239</v>
      </c>
      <c r="AD45" s="295">
        <f ca="1">(MAX(0,INDEX('Calculation_8%'!$AD$7:$AD$367,12*R45))+MAX(0,INDEX('Calculation_8%'!$AR$7:$AR$367,12*R45)))*(R45&lt;=pt)</f>
        <v>6087231.7997307237</v>
      </c>
      <c r="AE45" s="301">
        <f ca="1">(AD45-IF(R45&lt;5,MIN(MAX(0,INDEX('Calculation_8%'!$AD$7:$AD$367,12*R45))*VLOOKUP(R45,Charges!$O$7:$P$10,2,0),pr*VLOOKUP(R45,Charges!$O$7:$P$10,2,0),VLOOKUP(R45,Charges!$O$7:$Q$10,3,0)),0))-AA45</f>
        <v>6087231.7997307237</v>
      </c>
      <c r="AF45" s="296">
        <f ca="1">IF(INDEX('Calculation_8%'!$X$7:$X$367,12*R45)&gt;=0,INDEX('Calculation_8%'!$AE$7:$AE$367,12*R45),0)</f>
        <v>6087231.7997307237</v>
      </c>
      <c r="AG45" s="267"/>
      <c r="AH45" s="290"/>
      <c r="AI45" s="290"/>
      <c r="AJ45" s="290"/>
      <c r="AK45" s="290"/>
      <c r="AL45" s="290"/>
      <c r="AM45" s="290"/>
      <c r="AN45" s="290"/>
      <c r="AO45" s="290"/>
    </row>
    <row r="46" spans="2:41" x14ac:dyDescent="0.2">
      <c r="B46" s="291">
        <f t="shared" si="15"/>
        <v>15</v>
      </c>
      <c r="C46" s="292">
        <f t="shared" si="11"/>
        <v>300000</v>
      </c>
      <c r="D46" s="293">
        <f t="shared" ca="1" si="0"/>
        <v>0</v>
      </c>
      <c r="E46" s="294">
        <f t="shared" ca="1" si="12"/>
        <v>71038.807583248417</v>
      </c>
      <c r="F46" s="295">
        <f t="shared" ca="1" si="1"/>
        <v>12786.985364984719</v>
      </c>
      <c r="G46" s="295">
        <f t="shared" ca="1" si="2"/>
        <v>5290047.7591755539</v>
      </c>
      <c r="H46" s="295">
        <f t="shared" ca="1" si="3"/>
        <v>4856870.222504559</v>
      </c>
      <c r="I46" s="296">
        <f t="shared" ca="1" si="4"/>
        <v>4856870.222504559</v>
      </c>
      <c r="J46" s="297">
        <f t="shared" ca="1" si="5"/>
        <v>0</v>
      </c>
      <c r="K46" s="294">
        <f t="shared" ca="1" si="13"/>
        <v>95252.629970594702</v>
      </c>
      <c r="L46" s="295">
        <f t="shared" ca="1" si="6"/>
        <v>17145.473394707045</v>
      </c>
      <c r="M46" s="295">
        <f t="shared" ca="1" si="7"/>
        <v>7166130.4724514876</v>
      </c>
      <c r="N46" s="295">
        <f t="shared" ca="1" si="8"/>
        <v>6781742.6852803202</v>
      </c>
      <c r="O46" s="298">
        <f t="shared" ca="1" si="9"/>
        <v>6781742.6852803212</v>
      </c>
      <c r="P46" s="296">
        <f>IF(Input!$C$13="Offline",VLOOKUP(B46,Charges!$AT$4:$AU$33,2,FALSE)*C46,0)</f>
        <v>0</v>
      </c>
      <c r="Q46" s="271"/>
      <c r="R46" s="299">
        <f t="shared" si="10"/>
        <v>15</v>
      </c>
      <c r="S46" s="300">
        <f t="shared" si="10"/>
        <v>300000</v>
      </c>
      <c r="T46" s="300">
        <f t="shared" si="10"/>
        <v>0</v>
      </c>
      <c r="U46" s="300">
        <f t="shared" si="10"/>
        <v>300000</v>
      </c>
      <c r="V46" s="295">
        <f ca="1">('Calculation_8%'!AY21+'Calculation_8%'!AZ21+'Calculation_8%'!BA21)*(R46&lt;=pt)</f>
        <v>0</v>
      </c>
      <c r="W46" s="295">
        <f ca="1">IF(R46&lt;=pt,'Calculation_8%'!BD21,0)</f>
        <v>17145.473394707045</v>
      </c>
      <c r="X46" s="295">
        <f>IF(R46&lt;=pt,'Calculation_8%'!BB21,0)</f>
        <v>6000</v>
      </c>
      <c r="Y46" s="300">
        <v>0</v>
      </c>
      <c r="Z46" s="300">
        <f t="shared" si="14"/>
        <v>0</v>
      </c>
      <c r="AA46" s="295">
        <f ca="1">IF(R46&lt;=pt,(INDEX('Calculation_8%'!$AA$7:$AA$367,12*R46)+INDEX('Calculation_8%'!$AB$7:$AB$367,12*R46)+INDEX('Calculation_8%'!$AC$7:$AC$367,12*R46)),0)</f>
        <v>384387.78717116691</v>
      </c>
      <c r="AB46" s="295">
        <f ca="1">(MAX(0,INDEX('Calculation_8%'!$X$7:$X$367,12*R46))+MAX(0,INDEX('Calculation_8%'!$AP$7:$AP$367,12*R46)))*(R46&lt;=pt)</f>
        <v>6790762.3281824365</v>
      </c>
      <c r="AC46" s="295">
        <f ca="1">IF(R46&lt;=pt,'Calculation_8%'!BC21,0)</f>
        <v>89252.629970594702</v>
      </c>
      <c r="AD46" s="295">
        <f ca="1">(MAX(0,INDEX('Calculation_8%'!$AD$7:$AD$367,12*R46))+MAX(0,INDEX('Calculation_8%'!$AR$7:$AR$367,12*R46)))*(R46&lt;=pt)</f>
        <v>7166130.4724514876</v>
      </c>
      <c r="AE46" s="301">
        <f ca="1">(AD46-IF(R46&lt;5,MIN(MAX(0,INDEX('Calculation_8%'!$AD$7:$AD$367,12*R46))*VLOOKUP(R46,Charges!$O$7:$P$10,2,0),pr*VLOOKUP(R46,Charges!$O$7:$P$10,2,0),VLOOKUP(R46,Charges!$O$7:$Q$10,3,0)),0))-AA46</f>
        <v>6781742.6852803202</v>
      </c>
      <c r="AF46" s="296">
        <f ca="1">IF(INDEX('Calculation_8%'!$X$7:$X$367,12*R46)&gt;=0,INDEX('Calculation_8%'!$AE$7:$AE$367,12*R46),0)</f>
        <v>6781742.6852803212</v>
      </c>
      <c r="AG46" s="267"/>
      <c r="AH46" s="290"/>
      <c r="AI46" s="290"/>
      <c r="AJ46" s="290"/>
      <c r="AK46" s="290"/>
      <c r="AL46" s="290"/>
      <c r="AM46" s="290"/>
      <c r="AN46" s="290"/>
      <c r="AO46" s="290"/>
    </row>
    <row r="47" spans="2:41" x14ac:dyDescent="0.2">
      <c r="B47" s="291">
        <f t="shared" si="15"/>
        <v>16</v>
      </c>
      <c r="C47" s="292">
        <f t="shared" si="11"/>
        <v>0</v>
      </c>
      <c r="D47" s="293">
        <f t="shared" ca="1" si="0"/>
        <v>0</v>
      </c>
      <c r="E47" s="294">
        <f t="shared" si="12"/>
        <v>0</v>
      </c>
      <c r="F47" s="295">
        <f t="shared" si="1"/>
        <v>0</v>
      </c>
      <c r="G47" s="295">
        <f t="shared" ca="1" si="2"/>
        <v>0</v>
      </c>
      <c r="H47" s="295">
        <f t="shared" ca="1" si="3"/>
        <v>0</v>
      </c>
      <c r="I47" s="296">
        <f t="shared" ca="1" si="4"/>
        <v>0</v>
      </c>
      <c r="J47" s="297">
        <f t="shared" ca="1" si="5"/>
        <v>0</v>
      </c>
      <c r="K47" s="294">
        <f t="shared" si="13"/>
        <v>0</v>
      </c>
      <c r="L47" s="295">
        <f t="shared" si="6"/>
        <v>0</v>
      </c>
      <c r="M47" s="295">
        <f t="shared" ca="1" si="7"/>
        <v>0</v>
      </c>
      <c r="N47" s="295">
        <f t="shared" ca="1" si="8"/>
        <v>0</v>
      </c>
      <c r="O47" s="298">
        <f t="shared" ca="1" si="9"/>
        <v>0</v>
      </c>
      <c r="P47" s="296">
        <f>IF(Input!$C$13="Offline",VLOOKUP(B47,Charges!$AT$4:$AU$33,2,FALSE)*C47,0)</f>
        <v>0</v>
      </c>
      <c r="Q47" s="271"/>
      <c r="R47" s="299">
        <f t="shared" si="10"/>
        <v>16</v>
      </c>
      <c r="S47" s="300">
        <f t="shared" si="10"/>
        <v>0</v>
      </c>
      <c r="T47" s="300">
        <f t="shared" si="10"/>
        <v>0</v>
      </c>
      <c r="U47" s="300">
        <f t="shared" si="10"/>
        <v>0</v>
      </c>
      <c r="V47" s="295">
        <f ca="1">('Calculation_8%'!AY22+'Calculation_8%'!AZ22+'Calculation_8%'!BA22)*(R47&lt;=pt)</f>
        <v>0</v>
      </c>
      <c r="W47" s="295">
        <f>IF(R47&lt;=pt,'Calculation_8%'!BD22,0)</f>
        <v>0</v>
      </c>
      <c r="X47" s="295">
        <f>IF(R47&lt;=pt,'Calculation_8%'!BB22,0)</f>
        <v>0</v>
      </c>
      <c r="Y47" s="300">
        <v>0</v>
      </c>
      <c r="Z47" s="300">
        <f t="shared" si="14"/>
        <v>0</v>
      </c>
      <c r="AA47" s="295">
        <f>IF(R47&lt;=pt,(INDEX('Calculation_8%'!$AA$7:$AA$367,12*R47)+INDEX('Calculation_8%'!$AB$7:$AB$367,12*R47)+INDEX('Calculation_8%'!$AC$7:$AC$367,12*R47)),0)</f>
        <v>0</v>
      </c>
      <c r="AB47" s="295">
        <f ca="1">(MAX(0,INDEX('Calculation_8%'!$X$7:$X$367,12*R47))+MAX(0,INDEX('Calculation_8%'!$AP$7:$AP$367,12*R47)))*(R47&lt;=pt)</f>
        <v>0</v>
      </c>
      <c r="AC47" s="295">
        <f>IF(R47&lt;=pt,'Calculation_8%'!BC22,0)</f>
        <v>0</v>
      </c>
      <c r="AD47" s="295">
        <f ca="1">(MAX(0,INDEX('Calculation_8%'!$AD$7:$AD$367,12*R47))+MAX(0,INDEX('Calculation_8%'!$AR$7:$AR$367,12*R47)))*(R47&lt;=pt)</f>
        <v>0</v>
      </c>
      <c r="AE47" s="301">
        <f ca="1">(AD47-IF(R47&lt;5,MIN(MAX(0,INDEX('Calculation_8%'!$AD$7:$AD$367,12*R47))*VLOOKUP(R47,Charges!$O$7:$P$10,2,0),pr*VLOOKUP(R47,Charges!$O$7:$P$10,2,0),VLOOKUP(R47,Charges!$O$7:$Q$10,3,0)),0))-AA47</f>
        <v>0</v>
      </c>
      <c r="AF47" s="296">
        <f ca="1">IF(INDEX('Calculation_8%'!$X$7:$X$367,12*R47)&gt;=0,INDEX('Calculation_8%'!$AE$7:$AE$367,12*R47),0)</f>
        <v>0</v>
      </c>
      <c r="AG47" s="267"/>
      <c r="AH47" s="290"/>
      <c r="AI47" s="290"/>
      <c r="AJ47" s="290"/>
      <c r="AK47" s="290"/>
    </row>
    <row r="48" spans="2:41" x14ac:dyDescent="0.2">
      <c r="B48" s="291">
        <f t="shared" si="15"/>
        <v>17</v>
      </c>
      <c r="C48" s="292">
        <f t="shared" si="11"/>
        <v>0</v>
      </c>
      <c r="D48" s="293">
        <f t="shared" ca="1" si="0"/>
        <v>0</v>
      </c>
      <c r="E48" s="294">
        <f t="shared" si="12"/>
        <v>0</v>
      </c>
      <c r="F48" s="295">
        <f t="shared" si="1"/>
        <v>0</v>
      </c>
      <c r="G48" s="295">
        <f t="shared" ca="1" si="2"/>
        <v>0</v>
      </c>
      <c r="H48" s="295">
        <f t="shared" ca="1" si="3"/>
        <v>0</v>
      </c>
      <c r="I48" s="296">
        <f t="shared" ca="1" si="4"/>
        <v>0</v>
      </c>
      <c r="J48" s="297">
        <f t="shared" ca="1" si="5"/>
        <v>0</v>
      </c>
      <c r="K48" s="294">
        <f t="shared" si="13"/>
        <v>0</v>
      </c>
      <c r="L48" s="295">
        <f t="shared" si="6"/>
        <v>0</v>
      </c>
      <c r="M48" s="295">
        <f t="shared" ca="1" si="7"/>
        <v>0</v>
      </c>
      <c r="N48" s="295">
        <f t="shared" ca="1" si="8"/>
        <v>0</v>
      </c>
      <c r="O48" s="298">
        <f t="shared" ca="1" si="9"/>
        <v>0</v>
      </c>
      <c r="P48" s="296">
        <f>IF(Input!$C$13="Offline",VLOOKUP(B48,Charges!$AT$4:$AU$33,2,FALSE)*C48,0)</f>
        <v>0</v>
      </c>
      <c r="Q48" s="271"/>
      <c r="R48" s="299">
        <f t="shared" si="10"/>
        <v>17</v>
      </c>
      <c r="S48" s="300">
        <f t="shared" si="10"/>
        <v>0</v>
      </c>
      <c r="T48" s="300">
        <f t="shared" si="10"/>
        <v>0</v>
      </c>
      <c r="U48" s="300">
        <f t="shared" si="10"/>
        <v>0</v>
      </c>
      <c r="V48" s="295">
        <f ca="1">('Calculation_8%'!AY23+'Calculation_8%'!AZ23+'Calculation_8%'!BA23)*(R48&lt;=pt)</f>
        <v>0</v>
      </c>
      <c r="W48" s="295">
        <f>IF(R48&lt;=pt,'Calculation_8%'!BD23,0)</f>
        <v>0</v>
      </c>
      <c r="X48" s="295">
        <f>IF(R48&lt;=pt,'Calculation_8%'!BB23,0)</f>
        <v>0</v>
      </c>
      <c r="Y48" s="300">
        <v>0</v>
      </c>
      <c r="Z48" s="300">
        <f t="shared" si="14"/>
        <v>0</v>
      </c>
      <c r="AA48" s="295">
        <f>IF(R48&lt;=pt,(INDEX('Calculation_8%'!$AA$7:$AA$367,12*R48)+INDEX('Calculation_8%'!$AB$7:$AB$367,12*R48)+INDEX('Calculation_8%'!$AC$7:$AC$367,12*R48)),0)</f>
        <v>0</v>
      </c>
      <c r="AB48" s="295">
        <f ca="1">(MAX(0,INDEX('Calculation_8%'!$X$7:$X$367,12*R48))+MAX(0,INDEX('Calculation_8%'!$AP$7:$AP$367,12*R48)))*(R48&lt;=pt)</f>
        <v>0</v>
      </c>
      <c r="AC48" s="295">
        <f>IF(R48&lt;=pt,'Calculation_8%'!BC23,0)</f>
        <v>0</v>
      </c>
      <c r="AD48" s="295">
        <f ca="1">(MAX(0,INDEX('Calculation_8%'!$AD$7:$AD$367,12*R48))+MAX(0,INDEX('Calculation_8%'!$AR$7:$AR$367,12*R48)))*(R48&lt;=pt)</f>
        <v>0</v>
      </c>
      <c r="AE48" s="301">
        <f ca="1">(AD48-IF(R48&lt;5,MIN(MAX(0,INDEX('Calculation_8%'!$AD$7:$AD$367,12*R48))*VLOOKUP(R48,Charges!$O$7:$P$10,2,0),pr*VLOOKUP(R48,Charges!$O$7:$P$10,2,0),VLOOKUP(R48,Charges!$O$7:$Q$10,3,0)),0))-AA48</f>
        <v>0</v>
      </c>
      <c r="AF48" s="296">
        <f ca="1">IF(INDEX('Calculation_8%'!$X$7:$X$367,12*R48)&gt;=0,INDEX('Calculation_8%'!$AE$7:$AE$367,12*R48),0)</f>
        <v>0</v>
      </c>
      <c r="AG48" s="267"/>
      <c r="AH48" s="290"/>
      <c r="AI48" s="290"/>
      <c r="AJ48" s="290"/>
      <c r="AK48" s="290"/>
    </row>
    <row r="49" spans="1:37" x14ac:dyDescent="0.2">
      <c r="B49" s="291">
        <f t="shared" si="15"/>
        <v>18</v>
      </c>
      <c r="C49" s="292">
        <f t="shared" si="11"/>
        <v>0</v>
      </c>
      <c r="D49" s="293">
        <f t="shared" ca="1" si="0"/>
        <v>0</v>
      </c>
      <c r="E49" s="294">
        <f t="shared" si="12"/>
        <v>0</v>
      </c>
      <c r="F49" s="295">
        <f t="shared" si="1"/>
        <v>0</v>
      </c>
      <c r="G49" s="295">
        <f t="shared" ca="1" si="2"/>
        <v>0</v>
      </c>
      <c r="H49" s="295">
        <f t="shared" ca="1" si="3"/>
        <v>0</v>
      </c>
      <c r="I49" s="296">
        <f t="shared" ca="1" si="4"/>
        <v>0</v>
      </c>
      <c r="J49" s="297">
        <f t="shared" ca="1" si="5"/>
        <v>0</v>
      </c>
      <c r="K49" s="294">
        <f t="shared" si="13"/>
        <v>0</v>
      </c>
      <c r="L49" s="295">
        <f t="shared" si="6"/>
        <v>0</v>
      </c>
      <c r="M49" s="295">
        <f t="shared" ca="1" si="7"/>
        <v>0</v>
      </c>
      <c r="N49" s="295">
        <f t="shared" ca="1" si="8"/>
        <v>0</v>
      </c>
      <c r="O49" s="298">
        <f t="shared" ca="1" si="9"/>
        <v>0</v>
      </c>
      <c r="P49" s="296">
        <f>IF(Input!$C$13="Offline",VLOOKUP(B49,Charges!$AT$4:$AU$33,2,FALSE)*C49,0)</f>
        <v>0</v>
      </c>
      <c r="Q49" s="271"/>
      <c r="R49" s="299">
        <f t="shared" si="10"/>
        <v>18</v>
      </c>
      <c r="S49" s="300">
        <f t="shared" si="10"/>
        <v>0</v>
      </c>
      <c r="T49" s="300">
        <f t="shared" si="10"/>
        <v>0</v>
      </c>
      <c r="U49" s="300">
        <f t="shared" si="10"/>
        <v>0</v>
      </c>
      <c r="V49" s="295">
        <f ca="1">('Calculation_8%'!AY24+'Calculation_8%'!AZ24+'Calculation_8%'!BA24)*(R49&lt;=pt)</f>
        <v>0</v>
      </c>
      <c r="W49" s="295">
        <f>IF(R49&lt;=pt,'Calculation_8%'!BD24,0)</f>
        <v>0</v>
      </c>
      <c r="X49" s="295">
        <f>IF(R49&lt;=pt,'Calculation_8%'!BB24,0)</f>
        <v>0</v>
      </c>
      <c r="Y49" s="300">
        <v>0</v>
      </c>
      <c r="Z49" s="300">
        <f t="shared" si="14"/>
        <v>0</v>
      </c>
      <c r="AA49" s="295">
        <f>IF(R49&lt;=pt,(INDEX('Calculation_8%'!$AA$7:$AA$367,12*R49)+INDEX('Calculation_8%'!$AB$7:$AB$367,12*R49)+INDEX('Calculation_8%'!$AC$7:$AC$367,12*R49)),0)</f>
        <v>0</v>
      </c>
      <c r="AB49" s="295">
        <f ca="1">(MAX(0,INDEX('Calculation_8%'!$X$7:$X$367,12*R49))+MAX(0,INDEX('Calculation_8%'!$AP$7:$AP$367,12*R49)))*(R49&lt;=pt)</f>
        <v>0</v>
      </c>
      <c r="AC49" s="295">
        <f>IF(R49&lt;=pt,'Calculation_8%'!BC24,0)</f>
        <v>0</v>
      </c>
      <c r="AD49" s="295">
        <f ca="1">(MAX(0,INDEX('Calculation_8%'!$AD$7:$AD$367,12*R49))+MAX(0,INDEX('Calculation_8%'!$AR$7:$AR$367,12*R49)))*(R49&lt;=pt)</f>
        <v>0</v>
      </c>
      <c r="AE49" s="301">
        <f ca="1">(AD49-IF(R49&lt;5,MIN(MAX(0,INDEX('Calculation_8%'!$AD$7:$AD$367,12*R49))*VLOOKUP(R49,Charges!$O$7:$P$10,2,0),pr*VLOOKUP(R49,Charges!$O$7:$P$10,2,0),VLOOKUP(R49,Charges!$O$7:$Q$10,3,0)),0))-AA49</f>
        <v>0</v>
      </c>
      <c r="AF49" s="296">
        <f ca="1">IF(INDEX('Calculation_8%'!$X$7:$X$367,12*R49)&gt;=0,INDEX('Calculation_8%'!$AE$7:$AE$367,12*R49),0)</f>
        <v>0</v>
      </c>
      <c r="AG49" s="267"/>
      <c r="AH49" s="290"/>
      <c r="AI49" s="290"/>
      <c r="AJ49" s="290"/>
      <c r="AK49" s="290"/>
    </row>
    <row r="50" spans="1:37" x14ac:dyDescent="0.2">
      <c r="B50" s="291">
        <f t="shared" si="15"/>
        <v>19</v>
      </c>
      <c r="C50" s="292">
        <f t="shared" si="11"/>
        <v>0</v>
      </c>
      <c r="D50" s="293">
        <f t="shared" ca="1" si="0"/>
        <v>0</v>
      </c>
      <c r="E50" s="294">
        <f t="shared" si="12"/>
        <v>0</v>
      </c>
      <c r="F50" s="295">
        <f t="shared" si="1"/>
        <v>0</v>
      </c>
      <c r="G50" s="295">
        <f t="shared" ca="1" si="2"/>
        <v>0</v>
      </c>
      <c r="H50" s="295">
        <f t="shared" ca="1" si="3"/>
        <v>0</v>
      </c>
      <c r="I50" s="296">
        <f t="shared" ca="1" si="4"/>
        <v>0</v>
      </c>
      <c r="J50" s="297">
        <f t="shared" ca="1" si="5"/>
        <v>0</v>
      </c>
      <c r="K50" s="294">
        <f t="shared" si="13"/>
        <v>0</v>
      </c>
      <c r="L50" s="295">
        <f t="shared" si="6"/>
        <v>0</v>
      </c>
      <c r="M50" s="295">
        <f t="shared" ca="1" si="7"/>
        <v>0</v>
      </c>
      <c r="N50" s="295">
        <f t="shared" ca="1" si="8"/>
        <v>0</v>
      </c>
      <c r="O50" s="298">
        <f t="shared" ca="1" si="9"/>
        <v>0</v>
      </c>
      <c r="P50" s="296">
        <f>IF(Input!$C$13="Offline",VLOOKUP(B50,Charges!$AT$4:$AU$33,2,FALSE)*C50,0)</f>
        <v>0</v>
      </c>
      <c r="Q50" s="271"/>
      <c r="R50" s="299">
        <f t="shared" si="10"/>
        <v>19</v>
      </c>
      <c r="S50" s="300">
        <f t="shared" si="10"/>
        <v>0</v>
      </c>
      <c r="T50" s="300">
        <f t="shared" si="10"/>
        <v>0</v>
      </c>
      <c r="U50" s="300">
        <f t="shared" si="10"/>
        <v>0</v>
      </c>
      <c r="V50" s="295">
        <f ca="1">('Calculation_8%'!AY25+'Calculation_8%'!AZ25+'Calculation_8%'!BA25)*(R50&lt;=pt)</f>
        <v>0</v>
      </c>
      <c r="W50" s="295">
        <f>IF(R50&lt;=pt,'Calculation_8%'!BD25,0)</f>
        <v>0</v>
      </c>
      <c r="X50" s="295">
        <f>IF(R50&lt;=pt,'Calculation_8%'!BB25,0)</f>
        <v>0</v>
      </c>
      <c r="Y50" s="300">
        <v>0</v>
      </c>
      <c r="Z50" s="300">
        <f t="shared" si="14"/>
        <v>0</v>
      </c>
      <c r="AA50" s="295">
        <f>IF(R50&lt;=pt,(INDEX('Calculation_8%'!$AA$7:$AA$367,12*R50)+INDEX('Calculation_8%'!$AB$7:$AB$367,12*R50)+INDEX('Calculation_8%'!$AC$7:$AC$367,12*R50)),0)</f>
        <v>0</v>
      </c>
      <c r="AB50" s="295">
        <f ca="1">(MAX(0,INDEX('Calculation_8%'!$X$7:$X$367,12*R50))+MAX(0,INDEX('Calculation_8%'!$AP$7:$AP$367,12*R50)))*(R50&lt;=pt)</f>
        <v>0</v>
      </c>
      <c r="AC50" s="295">
        <f>IF(R50&lt;=pt,'Calculation_8%'!BC25,0)</f>
        <v>0</v>
      </c>
      <c r="AD50" s="295">
        <f ca="1">(MAX(0,INDEX('Calculation_8%'!$AD$7:$AD$367,12*R50))+MAX(0,INDEX('Calculation_8%'!$AR$7:$AR$367,12*R50)))*(R50&lt;=pt)</f>
        <v>0</v>
      </c>
      <c r="AE50" s="301">
        <f ca="1">(AD50-IF(R50&lt;5,MIN(MAX(0,INDEX('Calculation_8%'!$AD$7:$AD$367,12*R50))*VLOOKUP(R50,Charges!$O$7:$P$10,2,0),pr*VLOOKUP(R50,Charges!$O$7:$P$10,2,0),VLOOKUP(R50,Charges!$O$7:$Q$10,3,0)),0))-AA50</f>
        <v>0</v>
      </c>
      <c r="AF50" s="296">
        <f ca="1">IF(INDEX('Calculation_8%'!$X$7:$X$367,12*R50)&gt;=0,INDEX('Calculation_8%'!$AE$7:$AE$367,12*R50),0)</f>
        <v>0</v>
      </c>
      <c r="AG50" s="267"/>
    </row>
    <row r="51" spans="1:37" ht="13.5" thickBot="1" x14ac:dyDescent="0.25">
      <c r="B51" s="291">
        <f t="shared" si="15"/>
        <v>20</v>
      </c>
      <c r="C51" s="292">
        <f t="shared" si="11"/>
        <v>0</v>
      </c>
      <c r="D51" s="302">
        <f t="shared" ca="1" si="0"/>
        <v>0</v>
      </c>
      <c r="E51" s="303">
        <f t="shared" si="12"/>
        <v>0</v>
      </c>
      <c r="F51" s="304">
        <f t="shared" si="1"/>
        <v>0</v>
      </c>
      <c r="G51" s="304">
        <f t="shared" ca="1" si="2"/>
        <v>0</v>
      </c>
      <c r="H51" s="304">
        <f t="shared" ca="1" si="3"/>
        <v>0</v>
      </c>
      <c r="I51" s="305">
        <f t="shared" ca="1" si="4"/>
        <v>0</v>
      </c>
      <c r="J51" s="306">
        <f t="shared" ca="1" si="5"/>
        <v>0</v>
      </c>
      <c r="K51" s="303">
        <f t="shared" si="13"/>
        <v>0</v>
      </c>
      <c r="L51" s="304">
        <f t="shared" si="6"/>
        <v>0</v>
      </c>
      <c r="M51" s="304">
        <f t="shared" ca="1" si="7"/>
        <v>0</v>
      </c>
      <c r="N51" s="304">
        <f t="shared" ca="1" si="8"/>
        <v>0</v>
      </c>
      <c r="O51" s="307">
        <f t="shared" ca="1" si="9"/>
        <v>0</v>
      </c>
      <c r="P51" s="305">
        <f>IF(Input!$C$13="Offline",VLOOKUP(B51,Charges!$AT$4:$AU$33,2,FALSE)*C51,0)</f>
        <v>0</v>
      </c>
      <c r="Q51" s="271"/>
      <c r="R51" s="308">
        <f t="shared" si="10"/>
        <v>20</v>
      </c>
      <c r="S51" s="309">
        <f t="shared" si="10"/>
        <v>0</v>
      </c>
      <c r="T51" s="309">
        <f t="shared" si="10"/>
        <v>0</v>
      </c>
      <c r="U51" s="309">
        <f t="shared" si="10"/>
        <v>0</v>
      </c>
      <c r="V51" s="304">
        <f ca="1">('Calculation_8%'!AY26+'Calculation_8%'!AZ26+'Calculation_8%'!BA26)*(R51&lt;=pt)</f>
        <v>0</v>
      </c>
      <c r="W51" s="304">
        <f>IF(R51&lt;=pt,'Calculation_8%'!BD26,0)</f>
        <v>0</v>
      </c>
      <c r="X51" s="304">
        <f>IF(R51&lt;=pt,'Calculation_8%'!BB26,0)</f>
        <v>0</v>
      </c>
      <c r="Y51" s="309">
        <v>0</v>
      </c>
      <c r="Z51" s="309">
        <f t="shared" si="14"/>
        <v>0</v>
      </c>
      <c r="AA51" s="304">
        <f>IF(R51&lt;=pt,(INDEX('Calculation_8%'!$AA$7:$AA$367,12*R51)+INDEX('Calculation_8%'!$AB$7:$AB$367,12*R51)+INDEX('Calculation_8%'!$AC$7:$AC$367,12*R51)),0)</f>
        <v>0</v>
      </c>
      <c r="AB51" s="304">
        <f ca="1">(MAX(0,INDEX('Calculation_8%'!$X$7:$X$367,12*R51))+MAX(0,INDEX('Calculation_8%'!$AP$7:$AP$367,12*R51)))*(R51&lt;=pt)</f>
        <v>0</v>
      </c>
      <c r="AC51" s="304">
        <f>IF(R51&lt;=pt,'Calculation_8%'!BC26,0)</f>
        <v>0</v>
      </c>
      <c r="AD51" s="304">
        <f ca="1">(MAX(0,INDEX('Calculation_8%'!$AD$7:$AD$367,12*R51))+MAX(0,INDEX('Calculation_8%'!$AR$7:$AR$367,12*R51)))*(R51&lt;=pt)</f>
        <v>0</v>
      </c>
      <c r="AE51" s="310">
        <f ca="1">(AD51-IF(R51&lt;5,MIN(MAX(0,INDEX('Calculation_8%'!$AD$7:$AD$367,12*R51))*VLOOKUP(R51,Charges!$O$7:$P$10,2,0),pr*VLOOKUP(R51,Charges!$O$7:$P$10,2,0),VLOOKUP(R51,Charges!$O$7:$Q$10,3,0)),0))-AA51</f>
        <v>0</v>
      </c>
      <c r="AF51" s="305">
        <f ca="1">IF(INDEX('Calculation_8%'!$X$7:$X$367,12*R51)&gt;=0,INDEX('Calculation_8%'!$AE$7:$AE$367,12*R51),0)</f>
        <v>0</v>
      </c>
      <c r="AG51" s="267"/>
    </row>
    <row r="52" spans="1:37" s="290" customFormat="1" x14ac:dyDescent="0.2">
      <c r="A52" s="249"/>
      <c r="Q52" s="271"/>
    </row>
    <row r="53" spans="1:37" s="290" customFormat="1" x14ac:dyDescent="0.2">
      <c r="A53" s="249"/>
      <c r="B53" s="262" t="s">
        <v>222</v>
      </c>
      <c r="Q53" s="271"/>
    </row>
    <row r="54" spans="1:37" s="290" customFormat="1" x14ac:dyDescent="0.2">
      <c r="A54" s="249"/>
      <c r="Q54" s="271"/>
    </row>
    <row r="55" spans="1:37" s="290" customFormat="1" ht="15" x14ac:dyDescent="0.35">
      <c r="A55" s="249"/>
      <c r="B55" s="311" t="s">
        <v>414</v>
      </c>
      <c r="Q55" s="271"/>
    </row>
    <row r="56" spans="1:37" s="290" customFormat="1" x14ac:dyDescent="0.2">
      <c r="A56" s="249"/>
      <c r="B56" s="249"/>
      <c r="Q56" s="271"/>
    </row>
    <row r="57" spans="1:37" s="290" customFormat="1" ht="15.75" thickBot="1" x14ac:dyDescent="0.4">
      <c r="A57" s="249"/>
      <c r="B57" s="312"/>
      <c r="Q57" s="271"/>
    </row>
    <row r="58" spans="1:37" s="290" customFormat="1" ht="15" customHeight="1" x14ac:dyDescent="0.2">
      <c r="A58" s="249"/>
      <c r="B58" s="616" t="s">
        <v>415</v>
      </c>
      <c r="C58" s="617"/>
      <c r="D58" s="618"/>
      <c r="E58" s="313"/>
      <c r="I58" s="616" t="s">
        <v>417</v>
      </c>
      <c r="J58" s="617"/>
      <c r="K58" s="617"/>
      <c r="L58" s="617"/>
      <c r="M58" s="618"/>
      <c r="N58" s="313"/>
      <c r="O58" s="313"/>
      <c r="Q58" s="271"/>
    </row>
    <row r="59" spans="1:37" s="290" customFormat="1" ht="39" customHeight="1" x14ac:dyDescent="0.2">
      <c r="A59" s="249"/>
      <c r="B59" s="619"/>
      <c r="C59" s="620"/>
      <c r="D59" s="621"/>
      <c r="I59" s="619"/>
      <c r="J59" s="620"/>
      <c r="K59" s="620"/>
      <c r="L59" s="620"/>
      <c r="M59" s="621"/>
      <c r="Q59" s="271"/>
    </row>
    <row r="60" spans="1:37" s="290" customFormat="1" ht="15" x14ac:dyDescent="0.2">
      <c r="A60" s="249"/>
      <c r="B60" s="619" t="s">
        <v>419</v>
      </c>
      <c r="C60" s="620"/>
      <c r="D60" s="621"/>
      <c r="I60" s="619"/>
      <c r="J60" s="620"/>
      <c r="K60" s="620"/>
      <c r="L60" s="620"/>
      <c r="M60" s="621"/>
      <c r="Q60" s="271"/>
    </row>
    <row r="61" spans="1:37" s="290" customFormat="1" ht="15" customHeight="1" thickBot="1" x14ac:dyDescent="0.25">
      <c r="A61" s="249"/>
      <c r="B61" s="622" t="s">
        <v>416</v>
      </c>
      <c r="C61" s="623"/>
      <c r="D61" s="624"/>
      <c r="E61" s="313"/>
      <c r="I61" s="622" t="s">
        <v>418</v>
      </c>
      <c r="J61" s="623"/>
      <c r="K61" s="623"/>
      <c r="L61" s="623"/>
      <c r="M61" s="624"/>
      <c r="N61" s="313"/>
      <c r="Q61" s="271"/>
    </row>
    <row r="62" spans="1:37" x14ac:dyDescent="0.2">
      <c r="D62" s="263"/>
      <c r="E62" s="263"/>
      <c r="F62" s="263"/>
      <c r="G62" s="263"/>
      <c r="H62" s="263"/>
      <c r="I62" s="263"/>
      <c r="J62" s="263"/>
      <c r="K62" s="263"/>
      <c r="L62" s="263"/>
      <c r="M62" s="263"/>
      <c r="N62" s="263"/>
      <c r="O62" s="263"/>
      <c r="P62" s="263"/>
      <c r="Q62" s="271"/>
    </row>
    <row r="63" spans="1:37" ht="13.5" thickBot="1" x14ac:dyDescent="0.25">
      <c r="G63" s="271"/>
      <c r="H63" s="271"/>
      <c r="I63" s="271"/>
      <c r="J63" s="271"/>
      <c r="K63" s="271"/>
      <c r="L63" s="271"/>
      <c r="Q63" s="271"/>
    </row>
    <row r="64" spans="1:37" ht="13.5" thickBot="1" x14ac:dyDescent="0.25">
      <c r="G64" s="271"/>
      <c r="H64" s="271"/>
      <c r="I64" s="271"/>
      <c r="J64" s="271"/>
      <c r="K64" s="271"/>
      <c r="L64" s="271"/>
      <c r="Q64" s="271"/>
      <c r="R64" s="265" t="s">
        <v>223</v>
      </c>
      <c r="S64" s="267"/>
      <c r="T64" s="267"/>
      <c r="V64" s="267"/>
      <c r="W64" s="267"/>
      <c r="X64" s="267"/>
      <c r="Y64" s="268" t="s">
        <v>230</v>
      </c>
      <c r="Z64" s="314" t="s">
        <v>233</v>
      </c>
      <c r="AD64" s="267"/>
      <c r="AF64" s="266" t="s">
        <v>221</v>
      </c>
    </row>
    <row r="65" spans="2:45" ht="33" customHeight="1" x14ac:dyDescent="0.2">
      <c r="G65" s="271"/>
      <c r="H65" s="271"/>
      <c r="I65" s="271"/>
      <c r="J65" s="271"/>
      <c r="K65" s="271"/>
      <c r="L65" s="271"/>
      <c r="Q65" s="271"/>
      <c r="R65" s="609" t="s">
        <v>82</v>
      </c>
      <c r="S65" s="611" t="s">
        <v>224</v>
      </c>
      <c r="T65" s="611" t="s">
        <v>225</v>
      </c>
      <c r="U65" s="611" t="s">
        <v>247</v>
      </c>
      <c r="V65" s="611" t="s">
        <v>2</v>
      </c>
      <c r="W65" s="611" t="s">
        <v>242</v>
      </c>
      <c r="X65" s="611" t="s">
        <v>226</v>
      </c>
      <c r="Y65" s="611" t="s">
        <v>227</v>
      </c>
      <c r="Z65" s="611" t="s">
        <v>219</v>
      </c>
      <c r="AA65" s="611" t="s">
        <v>228</v>
      </c>
      <c r="AB65" s="611" t="s">
        <v>83</v>
      </c>
      <c r="AC65" s="611" t="s">
        <v>36</v>
      </c>
      <c r="AD65" s="611" t="s">
        <v>229</v>
      </c>
      <c r="AE65" s="611" t="s">
        <v>220</v>
      </c>
      <c r="AF65" s="613" t="s">
        <v>39</v>
      </c>
    </row>
    <row r="66" spans="2:45" ht="28.5" customHeight="1" thickBot="1" x14ac:dyDescent="0.25">
      <c r="B66" s="290"/>
      <c r="C66" s="290"/>
      <c r="D66" s="290"/>
      <c r="E66" s="290"/>
      <c r="F66" s="290"/>
      <c r="G66" s="290"/>
      <c r="H66" s="290"/>
      <c r="I66" s="290"/>
      <c r="J66" s="290"/>
      <c r="K66" s="290"/>
      <c r="L66" s="290"/>
      <c r="M66" s="290"/>
      <c r="N66" s="290"/>
      <c r="O66" s="290"/>
      <c r="Q66" s="271"/>
      <c r="R66" s="610"/>
      <c r="S66" s="612"/>
      <c r="T66" s="612"/>
      <c r="U66" s="612"/>
      <c r="V66" s="612"/>
      <c r="W66" s="612"/>
      <c r="X66" s="612"/>
      <c r="Y66" s="612"/>
      <c r="Z66" s="612"/>
      <c r="AA66" s="612"/>
      <c r="AB66" s="612"/>
      <c r="AC66" s="612"/>
      <c r="AD66" s="612"/>
      <c r="AE66" s="612"/>
      <c r="AF66" s="614"/>
    </row>
    <row r="67" spans="2:45" x14ac:dyDescent="0.2">
      <c r="B67" s="290"/>
      <c r="C67" s="290"/>
      <c r="D67" s="290"/>
      <c r="E67" s="290"/>
      <c r="F67" s="290"/>
      <c r="G67" s="290"/>
      <c r="H67" s="290"/>
      <c r="I67" s="290"/>
      <c r="J67" s="290"/>
      <c r="K67" s="290"/>
      <c r="L67" s="290"/>
      <c r="M67" s="290"/>
      <c r="N67" s="290"/>
      <c r="O67" s="290"/>
      <c r="P67" s="271"/>
      <c r="Q67" s="271"/>
      <c r="R67" s="287">
        <f t="shared" ref="R67:R86" si="16">B32</f>
        <v>1</v>
      </c>
      <c r="S67" s="288">
        <f t="shared" ref="S67:S86" si="17">IF(R67&lt;=ppt,pr,0)</f>
        <v>300000</v>
      </c>
      <c r="T67" s="315">
        <f>S67*(1-VLOOKUP(R67,Charges!$T$6:$U$35,2,0))</f>
        <v>16500.000000000015</v>
      </c>
      <c r="U67" s="288">
        <f>S67-T67</f>
        <v>283500</v>
      </c>
      <c r="V67" s="282">
        <f ca="1">('Calculation_4%'!AY7+'Calculation_4%'!AZ7+'Calculation_4%'!BA7)*(R67&lt;=pt)</f>
        <v>29771.536692811856</v>
      </c>
      <c r="W67" s="282">
        <f ca="1">IF(R67&lt;=pt,'Calculation_4%'!BD7,0)</f>
        <v>9937.3859867878546</v>
      </c>
      <c r="X67" s="282">
        <f>IF(R67&lt;=pt,'Calculation_4%'!BB7,0)</f>
        <v>5400</v>
      </c>
      <c r="Y67" s="288">
        <v>0</v>
      </c>
      <c r="Z67" s="288">
        <f>INDEX('Calculation_4%'!$AK$7:$AK$367,((R67-1)*12+1))</f>
        <v>0</v>
      </c>
      <c r="AA67" s="288">
        <f>IF(R67&lt;=pt,(INDEX('Calculation_4%'!$AA$7:$AA$367,12*R67)+INDEX('Calculation_4%'!$AB$7:$AB$367,12*R67)+INDEX('Calculation_4%'!$AC$7:$AC$367,12*R67)),0)</f>
        <v>0</v>
      </c>
      <c r="AB67" s="282">
        <f ca="1">(MAX(0,INDEX('Calculation_4%'!$X$7:$X$367,12*R67))+MAX(0,INDEX('Calculation_4%'!$AP$7:$AP$367,12*R67)))*(R67&lt;=pt)</f>
        <v>245431.94895537887</v>
      </c>
      <c r="AC67" s="282">
        <f ca="1">IF(R67&lt;=pt,'Calculation_4%'!BC7,0)</f>
        <v>3536.1632337873307</v>
      </c>
      <c r="AD67" s="282">
        <f ca="1">(MAX(0,INDEX('Calculation_4%'!$AD$7:$AD$367,12*R67))+MAX(0,INDEX('Calculation_4%'!$AR$7:$AR$367,12*R67)))*(R67&lt;=pt)</f>
        <v>245105.96073353218</v>
      </c>
      <c r="AE67" s="289">
        <f ca="1">(AD67-IF(R67&lt;5,MIN(MAX(0,INDEX('Calculation_4%'!$AD$7:$AD$367,12*R67))*VLOOKUP(R67,Charges!$O$7:$P$10,2,0),pr*VLOOKUP(R67,Charges!$O$7:$P$10,2,0),VLOOKUP(R67,Charges!$O$7:$Q$10,3,0)),0))-AA67</f>
        <v>239105.96073353218</v>
      </c>
      <c r="AF67" s="283">
        <f ca="1">IF(INDEX('Calculation_4%'!$X$7:$X$367,12*R67)&gt;=0,INDEX('Calculation_4%'!$AE$7:$AE$367,12*R67),0)</f>
        <v>3000000</v>
      </c>
      <c r="AG67" s="267"/>
      <c r="AH67" s="290"/>
      <c r="AI67" s="290"/>
      <c r="AJ67" s="290"/>
      <c r="AK67" s="290"/>
      <c r="AL67" s="290"/>
      <c r="AM67" s="290"/>
      <c r="AN67" s="290"/>
      <c r="AO67" s="290"/>
      <c r="AP67" s="290"/>
      <c r="AQ67" s="290"/>
      <c r="AR67" s="290"/>
      <c r="AS67" s="316"/>
    </row>
    <row r="68" spans="2:45" x14ac:dyDescent="0.2">
      <c r="B68" s="290"/>
      <c r="C68" s="290"/>
      <c r="D68" s="290"/>
      <c r="E68" s="290"/>
      <c r="F68" s="290"/>
      <c r="G68" s="290"/>
      <c r="H68" s="290"/>
      <c r="I68" s="290"/>
      <c r="J68" s="290"/>
      <c r="K68" s="290"/>
      <c r="L68" s="290"/>
      <c r="M68" s="290"/>
      <c r="N68" s="290"/>
      <c r="O68" s="290"/>
      <c r="P68" s="271"/>
      <c r="Q68" s="271"/>
      <c r="R68" s="299">
        <f t="shared" si="16"/>
        <v>2</v>
      </c>
      <c r="S68" s="300">
        <f t="shared" si="17"/>
        <v>300000</v>
      </c>
      <c r="T68" s="300">
        <f>S68*(1-VLOOKUP(R68,Charges!$T$6:$U$35,2,0))</f>
        <v>15000.000000000013</v>
      </c>
      <c r="U68" s="300">
        <f t="shared" ref="U68:U86" si="18">S68-T68</f>
        <v>285000</v>
      </c>
      <c r="V68" s="294">
        <f ca="1">('Calculation_4%'!AY8+'Calculation_4%'!AZ8+'Calculation_4%'!BA8)*(R68&lt;=pt)</f>
        <v>29007.148334912577</v>
      </c>
      <c r="W68" s="294">
        <f ca="1">IF(R68&lt;=pt,'Calculation_4%'!BD8,0)</f>
        <v>10139.655392270161</v>
      </c>
      <c r="X68" s="294">
        <f>IF(R68&lt;=pt,'Calculation_4%'!BB8,0)</f>
        <v>5400</v>
      </c>
      <c r="Y68" s="300">
        <v>0</v>
      </c>
      <c r="Z68" s="317">
        <f>INDEX('Calculation_4%'!$AK$7:$AK$367,((R68-1)*12+1))</f>
        <v>0</v>
      </c>
      <c r="AA68" s="317">
        <f>IF(R68&lt;=pt,(INDEX('Calculation_4%'!$AA$7:$AA$367,12*R68)+INDEX('Calculation_4%'!$AB$7:$AB$367,12*R68)+INDEX('Calculation_4%'!$AC$7:$AC$367,12*R68)),0)</f>
        <v>0</v>
      </c>
      <c r="AB68" s="294">
        <f ca="1">(MAX(0,INDEX('Calculation_4%'!$X$7:$X$367,12*R68))+MAX(0,INDEX('Calculation_4%'!$AP$7:$AP$367,12*R68)))*(R68&lt;=pt)</f>
        <v>499371.053575692</v>
      </c>
      <c r="AC68" s="294">
        <f ca="1">IF(R68&lt;=pt,'Calculation_4%'!BC8,0)</f>
        <v>6924.2705110327506</v>
      </c>
      <c r="AD68" s="294">
        <f ca="1">(MAX(0,INDEX('Calculation_4%'!$AD$7:$AD$367,12*R68))+MAX(0,INDEX('Calculation_4%'!$AR$7:$AR$367,12*R68)))*(R68&lt;=pt)</f>
        <v>498707.77773695247</v>
      </c>
      <c r="AE68" s="318">
        <f ca="1">(AD68-IF(R68&lt;5,MIN(MAX(0,INDEX('Calculation_4%'!$AD$7:$AD$367,12*R68))*VLOOKUP(R68,Charges!$O$7:$P$10,2,0),pr*VLOOKUP(R68,Charges!$O$7:$P$10,2,0),VLOOKUP(R68,Charges!$O$7:$Q$10,3,0)),0))-AA68</f>
        <v>493707.77773695247</v>
      </c>
      <c r="AF68" s="286">
        <f ca="1">IF(INDEX('Calculation_4%'!$X$7:$X$367,12*R68)&gt;=0,INDEX('Calculation_4%'!$AE$7:$AE$367,12*R68),0)</f>
        <v>3000000</v>
      </c>
      <c r="AG68" s="267"/>
      <c r="AH68" s="290"/>
      <c r="AI68" s="290"/>
      <c r="AJ68" s="290"/>
      <c r="AK68" s="290"/>
      <c r="AL68" s="290"/>
      <c r="AM68" s="290"/>
      <c r="AN68" s="290"/>
      <c r="AO68" s="290"/>
      <c r="AP68" s="290"/>
      <c r="AQ68" s="290"/>
      <c r="AR68" s="290"/>
    </row>
    <row r="69" spans="2:45" x14ac:dyDescent="0.2">
      <c r="B69" s="290"/>
      <c r="C69" s="290"/>
      <c r="D69" s="290"/>
      <c r="E69" s="290"/>
      <c r="F69" s="290"/>
      <c r="G69" s="290"/>
      <c r="H69" s="290"/>
      <c r="I69" s="290"/>
      <c r="J69" s="290"/>
      <c r="K69" s="290"/>
      <c r="L69" s="290"/>
      <c r="M69" s="290"/>
      <c r="N69" s="290"/>
      <c r="O69" s="290"/>
      <c r="P69" s="271"/>
      <c r="Q69" s="271"/>
      <c r="R69" s="299">
        <f t="shared" si="16"/>
        <v>3</v>
      </c>
      <c r="S69" s="300">
        <f t="shared" si="17"/>
        <v>300000</v>
      </c>
      <c r="T69" s="300">
        <f>S69*(1-VLOOKUP(R69,Charges!$T$6:$U$35,2,0))</f>
        <v>10500.000000000009</v>
      </c>
      <c r="U69" s="300">
        <f t="shared" si="18"/>
        <v>289500</v>
      </c>
      <c r="V69" s="294">
        <f ca="1">('Calculation_4%'!AY9+'Calculation_4%'!AZ9+'Calculation_4%'!BA9)*(R69&lt;=pt)</f>
        <v>27814.198509305876</v>
      </c>
      <c r="W69" s="294">
        <f ca="1">IF(R69&lt;=pt,'Calculation_4%'!BD9,0)</f>
        <v>9755.1263611259637</v>
      </c>
      <c r="X69" s="294">
        <f>IF(R69&lt;=pt,'Calculation_4%'!BB9,0)</f>
        <v>5400</v>
      </c>
      <c r="Y69" s="300">
        <v>0</v>
      </c>
      <c r="Z69" s="317">
        <f>INDEX('Calculation_4%'!$AK$7:$AK$367,((R69-1)*12+1))</f>
        <v>0</v>
      </c>
      <c r="AA69" s="317">
        <f>IF(R69&lt;=pt,(INDEX('Calculation_4%'!$AA$7:$AA$367,12*R69)+INDEX('Calculation_4%'!$AB$7:$AB$367,12*R69)+INDEX('Calculation_4%'!$AC$7:$AC$367,12*R69)),0)</f>
        <v>0</v>
      </c>
      <c r="AB69" s="294">
        <f ca="1">(MAX(0,INDEX('Calculation_4%'!$X$7:$X$367,12*R69))+MAX(0,INDEX('Calculation_4%'!$AP$7:$AP$367,12*R69)))*(R69&lt;=pt)</f>
        <v>766158.54074953496</v>
      </c>
      <c r="AC69" s="294">
        <f ca="1">IF(R69&lt;=pt,'Calculation_4%'!BC9,0)</f>
        <v>10480.947941393932</v>
      </c>
      <c r="AD69" s="294">
        <f ca="1">(MAX(0,INDEX('Calculation_4%'!$AD$7:$AD$367,12*R69))+MAX(0,INDEX('Calculation_4%'!$AR$7:$AR$367,12*R69)))*(R69&lt;=pt)</f>
        <v>765140.91178389033</v>
      </c>
      <c r="AE69" s="318">
        <f ca="1">(AD69-IF(R69&lt;5,MIN(MAX(0,INDEX('Calculation_4%'!$AD$7:$AD$367,12*R69))*VLOOKUP(R69,Charges!$O$7:$P$10,2,0),pr*VLOOKUP(R69,Charges!$O$7:$P$10,2,0),VLOOKUP(R69,Charges!$O$7:$Q$10,3,0)),0))-AA69</f>
        <v>761140.91178389033</v>
      </c>
      <c r="AF69" s="286">
        <f ca="1">IF(INDEX('Calculation_4%'!$X$7:$X$367,12*R69)&gt;=0,INDEX('Calculation_4%'!$AE$7:$AE$367,12*R69),0)</f>
        <v>3000000</v>
      </c>
      <c r="AG69" s="267"/>
      <c r="AH69" s="290"/>
      <c r="AI69" s="290"/>
      <c r="AJ69" s="290"/>
      <c r="AK69" s="290"/>
      <c r="AL69" s="290"/>
      <c r="AM69" s="290"/>
      <c r="AN69" s="290"/>
      <c r="AO69" s="290"/>
      <c r="AP69" s="290"/>
      <c r="AQ69" s="290"/>
      <c r="AR69" s="290"/>
    </row>
    <row r="70" spans="2:45" x14ac:dyDescent="0.2">
      <c r="B70" s="290"/>
      <c r="C70" s="290"/>
      <c r="D70" s="290"/>
      <c r="E70" s="290"/>
      <c r="F70" s="290"/>
      <c r="G70" s="290"/>
      <c r="H70" s="290"/>
      <c r="I70" s="290"/>
      <c r="J70" s="290"/>
      <c r="K70" s="290"/>
      <c r="L70" s="290"/>
      <c r="M70" s="290"/>
      <c r="N70" s="290"/>
      <c r="O70" s="290"/>
      <c r="P70" s="271"/>
      <c r="Q70" s="271"/>
      <c r="R70" s="299">
        <f t="shared" si="16"/>
        <v>4</v>
      </c>
      <c r="S70" s="300">
        <f t="shared" si="17"/>
        <v>300000</v>
      </c>
      <c r="T70" s="300">
        <f>S70*(1-VLOOKUP(R70,Charges!$T$6:$U$35,2,0))</f>
        <v>10500.000000000009</v>
      </c>
      <c r="U70" s="300">
        <f t="shared" si="18"/>
        <v>289500</v>
      </c>
      <c r="V70" s="294">
        <f ca="1">('Calculation_4%'!AY10+'Calculation_4%'!AZ10+'Calculation_4%'!BA10)*(R70&lt;=pt)</f>
        <v>26213.181247467041</v>
      </c>
      <c r="W70" s="294">
        <f ca="1">IF(R70&lt;=pt,'Calculation_4%'!BD10,0)</f>
        <v>10126.324769808032</v>
      </c>
      <c r="X70" s="294">
        <f>IF(R70&lt;=pt,'Calculation_4%'!BB10,0)</f>
        <v>5400</v>
      </c>
      <c r="Y70" s="300">
        <v>0</v>
      </c>
      <c r="Z70" s="317">
        <f>INDEX('Calculation_4%'!$AK$7:$AK$367,((R70-1)*12+1))</f>
        <v>0</v>
      </c>
      <c r="AA70" s="317">
        <f>IF(R70&lt;=pt,(INDEX('Calculation_4%'!$AA$7:$AA$367,12*R70)+INDEX('Calculation_4%'!$AB$7:$AB$367,12*R70)+INDEX('Calculation_4%'!$AC$7:$AC$367,12*R70)),0)</f>
        <v>0</v>
      </c>
      <c r="AB70" s="294">
        <f ca="1">(MAX(0,INDEX('Calculation_4%'!$X$7:$X$367,12*R70))+MAX(0,INDEX('Calculation_4%'!$AP$7:$AP$367,12*R70)))*(R70&lt;=pt)</f>
        <v>1041142.9080394567</v>
      </c>
      <c r="AC70" s="294">
        <f ca="1">IF(R70&lt;=pt,'Calculation_4%'!BC10,0)</f>
        <v>14144.178584799825</v>
      </c>
      <c r="AD70" s="294">
        <f ca="1">(MAX(0,INDEX('Calculation_4%'!$AD$7:$AD$367,12*R70))+MAX(0,INDEX('Calculation_4%'!$AR$7:$AR$367,12*R70)))*(R70&lt;=pt)</f>
        <v>1039760.0386668071</v>
      </c>
      <c r="AE70" s="318">
        <f ca="1">(AD70-IF(R70&lt;5,MIN(MAX(0,INDEX('Calculation_4%'!$AD$7:$AD$367,12*R70))*VLOOKUP(R70,Charges!$O$7:$P$10,2,0),pr*VLOOKUP(R70,Charges!$O$7:$P$10,2,0),VLOOKUP(R70,Charges!$O$7:$Q$10,3,0)),0))-AA70</f>
        <v>1037760.0386668071</v>
      </c>
      <c r="AF70" s="286">
        <f ca="1">IF(INDEX('Calculation_4%'!$X$7:$X$367,12*R70)&gt;=0,INDEX('Calculation_4%'!$AE$7:$AE$367,12*R70),0)</f>
        <v>3000000</v>
      </c>
      <c r="AG70" s="267"/>
      <c r="AH70" s="290"/>
      <c r="AI70" s="290"/>
      <c r="AJ70" s="290"/>
      <c r="AK70" s="290"/>
      <c r="AL70" s="290"/>
      <c r="AM70" s="290"/>
      <c r="AN70" s="290"/>
      <c r="AO70" s="290"/>
      <c r="AP70" s="290"/>
      <c r="AQ70" s="290"/>
      <c r="AR70" s="290"/>
    </row>
    <row r="71" spans="2:45" x14ac:dyDescent="0.2">
      <c r="B71" s="290"/>
      <c r="C71" s="290"/>
      <c r="D71" s="290"/>
      <c r="E71" s="290"/>
      <c r="F71" s="290"/>
      <c r="G71" s="290"/>
      <c r="H71" s="290"/>
      <c r="I71" s="290"/>
      <c r="J71" s="290"/>
      <c r="K71" s="290"/>
      <c r="L71" s="290"/>
      <c r="M71" s="290"/>
      <c r="N71" s="290"/>
      <c r="O71" s="290"/>
      <c r="P71" s="271"/>
      <c r="R71" s="299">
        <f t="shared" si="16"/>
        <v>5</v>
      </c>
      <c r="S71" s="300">
        <f t="shared" si="17"/>
        <v>300000</v>
      </c>
      <c r="T71" s="300">
        <f>S71*(1-VLOOKUP(R71,Charges!$T$6:$U$35,2,0))</f>
        <v>9000.0000000000073</v>
      </c>
      <c r="U71" s="300">
        <f t="shared" si="18"/>
        <v>291000</v>
      </c>
      <c r="V71" s="294">
        <f ca="1">('Calculation_4%'!AY11+'Calculation_4%'!AZ11+'Calculation_4%'!BA11)*(R71&lt;=pt)</f>
        <v>24123.637986619724</v>
      </c>
      <c r="W71" s="294">
        <f ca="1">IF(R71&lt;=pt,'Calculation_4%'!BD11,0)</f>
        <v>10164.895732890316</v>
      </c>
      <c r="X71" s="294">
        <f>IF(R71&lt;=pt,'Calculation_4%'!BB11,0)</f>
        <v>5400</v>
      </c>
      <c r="Y71" s="300">
        <v>0</v>
      </c>
      <c r="Z71" s="317">
        <f>INDEX('Calculation_4%'!$AK$7:$AK$367,((R71-1)*12+1))</f>
        <v>0</v>
      </c>
      <c r="AA71" s="317">
        <f>IF(R71&lt;=pt,(INDEX('Calculation_4%'!$AA$7:$AA$367,12*R71)+INDEX('Calculation_4%'!$AB$7:$AB$367,12*R71)+INDEX('Calculation_4%'!$AC$7:$AC$367,12*R71)),0)</f>
        <v>0</v>
      </c>
      <c r="AB71" s="294">
        <f ca="1">(MAX(0,INDEX('Calculation_4%'!$X$7:$X$367,12*R71))+MAX(0,INDEX('Calculation_4%'!$AP$7:$AP$367,12*R71)))*(R71&lt;=pt)</f>
        <v>1326915.730846901</v>
      </c>
      <c r="AC71" s="294">
        <f ca="1">IF(R71&lt;=pt,'Calculation_4%'!BC11,0)</f>
        <v>17948.00497388206</v>
      </c>
      <c r="AD71" s="294">
        <f ca="1">(MAX(0,INDEX('Calculation_4%'!$AD$7:$AD$367,12*R71))+MAX(0,INDEX('Calculation_4%'!$AR$7:$AR$367,12*R71)))*(R71&lt;=pt)</f>
        <v>1325153.2915985461</v>
      </c>
      <c r="AE71" s="318">
        <f ca="1">(AD71-IF(R71&lt;5,MIN(MAX(0,INDEX('Calculation_4%'!$AD$7:$AD$367,12*R71))*VLOOKUP(R71,Charges!$O$7:$P$10,2,0),pr*VLOOKUP(R71,Charges!$O$7:$P$10,2,0),VLOOKUP(R71,Charges!$O$7:$Q$10,3,0)),0))-AA71</f>
        <v>1325153.2915985461</v>
      </c>
      <c r="AF71" s="286">
        <f ca="1">IF(INDEX('Calculation_4%'!$X$7:$X$367,12*R71)&gt;=0,INDEX('Calculation_4%'!$AE$7:$AE$367,12*R71),0)</f>
        <v>3000000</v>
      </c>
      <c r="AG71" s="267"/>
      <c r="AH71" s="290"/>
      <c r="AI71" s="290"/>
      <c r="AJ71" s="290"/>
      <c r="AK71" s="290"/>
      <c r="AL71" s="290"/>
      <c r="AM71" s="290"/>
      <c r="AN71" s="290"/>
      <c r="AO71" s="290"/>
      <c r="AP71" s="290"/>
      <c r="AQ71" s="290"/>
      <c r="AR71" s="290"/>
    </row>
    <row r="72" spans="2:45" x14ac:dyDescent="0.2">
      <c r="B72" s="290"/>
      <c r="C72" s="290"/>
      <c r="D72" s="290"/>
      <c r="E72" s="290"/>
      <c r="F72" s="290"/>
      <c r="G72" s="290"/>
      <c r="H72" s="290"/>
      <c r="I72" s="290"/>
      <c r="J72" s="290"/>
      <c r="K72" s="290"/>
      <c r="L72" s="290"/>
      <c r="M72" s="290"/>
      <c r="N72" s="290"/>
      <c r="O72" s="290"/>
      <c r="P72" s="271"/>
      <c r="R72" s="299">
        <f t="shared" si="16"/>
        <v>6</v>
      </c>
      <c r="S72" s="300">
        <f t="shared" si="17"/>
        <v>300000</v>
      </c>
      <c r="T72" s="300">
        <f>S72*(1-VLOOKUP(R72,Charges!$T$6:$U$35,2,0))</f>
        <v>6000.0000000000055</v>
      </c>
      <c r="U72" s="300">
        <f t="shared" si="18"/>
        <v>294000</v>
      </c>
      <c r="V72" s="294">
        <f ca="1">('Calculation_4%'!AY12+'Calculation_4%'!AZ12+'Calculation_4%'!BA12)*(R72&lt;=pt)</f>
        <v>21428.850490890814</v>
      </c>
      <c r="W72" s="294">
        <f ca="1">IF(R72&lt;=pt,'Calculation_4%'!BD12,0)</f>
        <v>9963.4528416720059</v>
      </c>
      <c r="X72" s="294">
        <f>IF(R72&lt;=pt,'Calculation_4%'!BB12,0)</f>
        <v>6000</v>
      </c>
      <c r="Y72" s="300">
        <v>0</v>
      </c>
      <c r="Z72" s="317">
        <f>INDEX('Calculation_4%'!$AK$7:$AK$367,((R72-1)*12+1))</f>
        <v>0</v>
      </c>
      <c r="AA72" s="317">
        <f>IF(R72&lt;=pt,(INDEX('Calculation_4%'!$AA$7:$AA$367,12*R72)+INDEX('Calculation_4%'!$AB$7:$AB$367,12*R72)+INDEX('Calculation_4%'!$AC$7:$AC$367,12*R72)),0)</f>
        <v>0</v>
      </c>
      <c r="AB72" s="294">
        <f ca="1">(MAX(0,INDEX('Calculation_4%'!$X$7:$X$367,12*R72))+MAX(0,INDEX('Calculation_4%'!$AP$7:$AP$367,12*R72)))*(R72&lt;=pt)</f>
        <v>1625551.3209279818</v>
      </c>
      <c r="AC72" s="294">
        <f ca="1">IF(R72&lt;=pt,'Calculation_4%'!BC12,0)</f>
        <v>21923.665296175906</v>
      </c>
      <c r="AD72" s="294">
        <f ca="1">(MAX(0,INDEX('Calculation_4%'!$AD$7:$AD$367,12*R72))+MAX(0,INDEX('Calculation_4%'!$AR$7:$AR$367,12*R72)))*(R72&lt;=pt)</f>
        <v>1623392.2271878012</v>
      </c>
      <c r="AE72" s="318">
        <f ca="1">(AD72-IF(R72&lt;5,MIN(MAX(0,INDEX('Calculation_4%'!$AD$7:$AD$367,12*R72))*VLOOKUP(R72,Charges!$O$7:$P$10,2,0),pr*VLOOKUP(R72,Charges!$O$7:$P$10,2,0),VLOOKUP(R72,Charges!$O$7:$Q$10,3,0)),0))-AA72</f>
        <v>1623392.2271878012</v>
      </c>
      <c r="AF72" s="286">
        <f ca="1">IF(INDEX('Calculation_4%'!$X$7:$X$367,12*R72)&gt;=0,INDEX('Calculation_4%'!$AE$7:$AE$367,12*R72),0)</f>
        <v>3000000</v>
      </c>
      <c r="AG72" s="267"/>
      <c r="AH72" s="290"/>
      <c r="AI72" s="290"/>
      <c r="AJ72" s="290"/>
      <c r="AK72" s="290"/>
      <c r="AL72" s="290"/>
      <c r="AM72" s="290"/>
      <c r="AN72" s="290"/>
      <c r="AO72" s="290"/>
      <c r="AP72" s="290"/>
      <c r="AQ72" s="290"/>
      <c r="AR72" s="290"/>
    </row>
    <row r="73" spans="2:45" x14ac:dyDescent="0.2">
      <c r="B73" s="290"/>
      <c r="C73" s="290"/>
      <c r="D73" s="290"/>
      <c r="E73" s="290"/>
      <c r="F73" s="290"/>
      <c r="G73" s="290"/>
      <c r="H73" s="290"/>
      <c r="I73" s="290"/>
      <c r="J73" s="290"/>
      <c r="K73" s="290"/>
      <c r="L73" s="290"/>
      <c r="M73" s="290"/>
      <c r="N73" s="290"/>
      <c r="O73" s="290"/>
      <c r="P73" s="271"/>
      <c r="R73" s="299">
        <f t="shared" si="16"/>
        <v>7</v>
      </c>
      <c r="S73" s="300">
        <f t="shared" si="17"/>
        <v>300000</v>
      </c>
      <c r="T73" s="300">
        <f>S73*(1-VLOOKUP(R73,Charges!$T$6:$U$35,2,0))</f>
        <v>6000.0000000000055</v>
      </c>
      <c r="U73" s="300">
        <f t="shared" si="18"/>
        <v>294000</v>
      </c>
      <c r="V73" s="294">
        <f ca="1">('Calculation_4%'!AY13+'Calculation_4%'!AZ13+'Calculation_4%'!BA13)*(R73&lt;=pt)</f>
        <v>18054.931463736819</v>
      </c>
      <c r="W73" s="294">
        <f ca="1">IF(R73&lt;=pt,'Calculation_4%'!BD13,0)</f>
        <v>10096.705463873861</v>
      </c>
      <c r="X73" s="294">
        <f>IF(R73&lt;=pt,'Calculation_4%'!BB13,0)</f>
        <v>6000</v>
      </c>
      <c r="Y73" s="300">
        <v>0</v>
      </c>
      <c r="Z73" s="317">
        <f>INDEX('Calculation_4%'!$AK$7:$AK$367,((R73-1)*12+1))</f>
        <v>0</v>
      </c>
      <c r="AA73" s="317">
        <f>IF(R73&lt;=pt,(INDEX('Calculation_4%'!$AA$7:$AA$367,12*R73)+INDEX('Calculation_4%'!$AB$7:$AB$367,12*R73)+INDEX('Calculation_4%'!$AC$7:$AC$367,12*R73)),0)</f>
        <v>0</v>
      </c>
      <c r="AB73" s="294">
        <f ca="1">(MAX(0,INDEX('Calculation_4%'!$X$7:$X$367,12*R73))+MAX(0,INDEX('Calculation_4%'!$AP$7:$AP$367,12*R73)))*(R73&lt;=pt)</f>
        <v>1935254.8273994538</v>
      </c>
      <c r="AC73" s="294">
        <f ca="1">IF(R73&lt;=pt,'Calculation_4%'!BC13,0)</f>
        <v>26037.876668895766</v>
      </c>
      <c r="AD73" s="294">
        <f ca="1">(MAX(0,INDEX('Calculation_4%'!$AD$7:$AD$367,12*R73))+MAX(0,INDEX('Calculation_4%'!$AR$7:$AR$367,12*R73)))*(R73&lt;=pt)</f>
        <v>1932684.3785125453</v>
      </c>
      <c r="AE73" s="318">
        <f ca="1">(AD73-IF(R73&lt;5,MIN(MAX(0,INDEX('Calculation_4%'!$AD$7:$AD$367,12*R73))*VLOOKUP(R73,Charges!$O$7:$P$10,2,0),pr*VLOOKUP(R73,Charges!$O$7:$P$10,2,0),VLOOKUP(R73,Charges!$O$7:$Q$10,3,0)),0))-AA73</f>
        <v>1932684.3785125453</v>
      </c>
      <c r="AF73" s="286">
        <f ca="1">IF(INDEX('Calculation_4%'!$X$7:$X$367,12*R73)&gt;=0,INDEX('Calculation_4%'!$AE$7:$AE$367,12*R73),0)</f>
        <v>3000000</v>
      </c>
      <c r="AG73" s="267"/>
      <c r="AH73" s="290"/>
      <c r="AI73" s="290"/>
      <c r="AJ73" s="290"/>
      <c r="AK73" s="290"/>
      <c r="AL73" s="290"/>
      <c r="AM73" s="290"/>
      <c r="AN73" s="290"/>
      <c r="AO73" s="290"/>
      <c r="AP73" s="290"/>
      <c r="AQ73" s="290"/>
      <c r="AR73" s="290"/>
    </row>
    <row r="74" spans="2:45" x14ac:dyDescent="0.2">
      <c r="B74" s="290"/>
      <c r="C74" s="290"/>
      <c r="D74" s="290"/>
      <c r="E74" s="290"/>
      <c r="F74" s="290"/>
      <c r="G74" s="290"/>
      <c r="H74" s="290"/>
      <c r="I74" s="290"/>
      <c r="J74" s="290"/>
      <c r="K74" s="290"/>
      <c r="L74" s="290"/>
      <c r="M74" s="290"/>
      <c r="N74" s="290"/>
      <c r="O74" s="290"/>
      <c r="P74" s="271"/>
      <c r="R74" s="299">
        <f t="shared" si="16"/>
        <v>8</v>
      </c>
      <c r="S74" s="300">
        <f t="shared" si="17"/>
        <v>300000</v>
      </c>
      <c r="T74" s="300">
        <f>S74*(1-VLOOKUP(R74,Charges!$T$6:$U$35,2,0))</f>
        <v>6000.0000000000055</v>
      </c>
      <c r="U74" s="300">
        <f t="shared" si="18"/>
        <v>294000</v>
      </c>
      <c r="V74" s="294">
        <f ca="1">('Calculation_4%'!AY14+'Calculation_4%'!AZ14+'Calculation_4%'!BA14)*(R74&lt;=pt)</f>
        <v>13833.01020074844</v>
      </c>
      <c r="W74" s="294">
        <f ca="1">IF(R74&lt;=pt,'Calculation_4%'!BD14,0)</f>
        <v>10105.887744337695</v>
      </c>
      <c r="X74" s="294">
        <f>IF(R74&lt;=pt,'Calculation_4%'!BB14,0)</f>
        <v>6000</v>
      </c>
      <c r="Y74" s="300">
        <v>0</v>
      </c>
      <c r="Z74" s="317">
        <f>INDEX('Calculation_4%'!$AK$7:$AK$367,((R74-1)*12+1))</f>
        <v>0</v>
      </c>
      <c r="AA74" s="317">
        <f>IF(R74&lt;=pt,(INDEX('Calculation_4%'!$AA$7:$AA$367,12*R74)+INDEX('Calculation_4%'!$AB$7:$AB$367,12*R74)+INDEX('Calculation_4%'!$AC$7:$AC$367,12*R74)),0)</f>
        <v>0</v>
      </c>
      <c r="AB74" s="294">
        <f ca="1">(MAX(0,INDEX('Calculation_4%'!$X$7:$X$367,12*R74))+MAX(0,INDEX('Calculation_4%'!$AP$7:$AP$367,12*R74)))*(R74&lt;=pt)</f>
        <v>2257301.4176430423</v>
      </c>
      <c r="AC74" s="294">
        <f ca="1">IF(R74&lt;=pt,'Calculation_4%'!BC14,0)</f>
        <v>30310.810601127629</v>
      </c>
      <c r="AD74" s="294">
        <f ca="1">(MAX(0,INDEX('Calculation_4%'!$AD$7:$AD$367,12*R74))+MAX(0,INDEX('Calculation_4%'!$AR$7:$AR$367,12*R74)))*(R74&lt;=pt)</f>
        <v>2254303.2192485728</v>
      </c>
      <c r="AE74" s="318">
        <f ca="1">(AD74-IF(R74&lt;5,MIN(MAX(0,INDEX('Calculation_4%'!$AD$7:$AD$367,12*R74))*VLOOKUP(R74,Charges!$O$7:$P$10,2,0),pr*VLOOKUP(R74,Charges!$O$7:$P$10,2,0),VLOOKUP(R74,Charges!$O$7:$Q$10,3,0)),0))-AA74</f>
        <v>2254303.2192485728</v>
      </c>
      <c r="AF74" s="286">
        <f ca="1">IF(INDEX('Calculation_4%'!$X$7:$X$367,12*R74)&gt;=0,INDEX('Calculation_4%'!$AE$7:$AE$367,12*R74),0)</f>
        <v>3000000</v>
      </c>
      <c r="AG74" s="267"/>
      <c r="AH74" s="290"/>
      <c r="AI74" s="290"/>
      <c r="AJ74" s="290"/>
      <c r="AK74" s="290"/>
      <c r="AL74" s="290"/>
      <c r="AM74" s="290"/>
      <c r="AN74" s="290"/>
      <c r="AO74" s="290"/>
      <c r="AP74" s="290"/>
      <c r="AQ74" s="290"/>
      <c r="AR74" s="290"/>
    </row>
    <row r="75" spans="2:45" x14ac:dyDescent="0.2">
      <c r="B75" s="290"/>
      <c r="C75" s="290"/>
      <c r="D75" s="290"/>
      <c r="E75" s="290"/>
      <c r="F75" s="290"/>
      <c r="G75" s="290"/>
      <c r="H75" s="290"/>
      <c r="I75" s="290"/>
      <c r="J75" s="290"/>
      <c r="K75" s="290"/>
      <c r="L75" s="290"/>
      <c r="M75" s="290"/>
      <c r="N75" s="290"/>
      <c r="O75" s="290"/>
      <c r="P75" s="271"/>
      <c r="R75" s="299">
        <f t="shared" si="16"/>
        <v>9</v>
      </c>
      <c r="S75" s="300">
        <f t="shared" si="17"/>
        <v>300000</v>
      </c>
      <c r="T75" s="300">
        <f>S75*(1-VLOOKUP(R75,Charges!$T$6:$U$35,2,0))</f>
        <v>6000.0000000000055</v>
      </c>
      <c r="U75" s="300">
        <f t="shared" si="18"/>
        <v>294000</v>
      </c>
      <c r="V75" s="294">
        <f ca="1">('Calculation_4%'!AY15+'Calculation_4%'!AZ15+'Calculation_4%'!BA15)*(R75&lt;=pt)</f>
        <v>8553.2095497612263</v>
      </c>
      <c r="W75" s="294">
        <f ca="1">IF(R75&lt;=pt,'Calculation_4%'!BD15,0)</f>
        <v>9956.6869371177909</v>
      </c>
      <c r="X75" s="294">
        <f>IF(R75&lt;=pt,'Calculation_4%'!BB15,0)</f>
        <v>6000</v>
      </c>
      <c r="Y75" s="300">
        <v>0</v>
      </c>
      <c r="Z75" s="317">
        <f>INDEX('Calculation_4%'!$AK$7:$AK$367,((R75-1)*12+1))</f>
        <v>0</v>
      </c>
      <c r="AA75" s="317">
        <f>IF(R75&lt;=pt,(INDEX('Calculation_4%'!$AA$7:$AA$367,12*R75)+INDEX('Calculation_4%'!$AB$7:$AB$367,12*R75)+INDEX('Calculation_4%'!$AC$7:$AC$367,12*R75)),0)</f>
        <v>0</v>
      </c>
      <c r="AB75" s="294">
        <f ca="1">(MAX(0,INDEX('Calculation_4%'!$X$7:$X$367,12*R75))+MAX(0,INDEX('Calculation_4%'!$AP$7:$AP$367,12*R75)))*(R75&lt;=pt)</f>
        <v>2593247.377987464</v>
      </c>
      <c r="AC75" s="294">
        <f ca="1">IF(R75&lt;=pt,'Calculation_4%'!BC15,0)</f>
        <v>34761.717878670956</v>
      </c>
      <c r="AD75" s="294">
        <f ca="1">(MAX(0,INDEX('Calculation_4%'!$AD$7:$AD$367,12*R75))+MAX(0,INDEX('Calculation_4%'!$AR$7:$AR$367,12*R75)))*(R75&lt;=pt)</f>
        <v>2589802.9686301784</v>
      </c>
      <c r="AE75" s="318">
        <f ca="1">(AD75-IF(R75&lt;5,MIN(MAX(0,INDEX('Calculation_4%'!$AD$7:$AD$367,12*R75))*VLOOKUP(R75,Charges!$O$7:$P$10,2,0),pr*VLOOKUP(R75,Charges!$O$7:$P$10,2,0),VLOOKUP(R75,Charges!$O$7:$Q$10,3,0)),0))-AA75</f>
        <v>2589802.9686301784</v>
      </c>
      <c r="AF75" s="286">
        <f ca="1">IF(INDEX('Calculation_4%'!$X$7:$X$367,12*R75)&gt;=0,INDEX('Calculation_4%'!$AE$7:$AE$367,12*R75),0)</f>
        <v>3000000</v>
      </c>
      <c r="AG75" s="267"/>
      <c r="AH75" s="290"/>
      <c r="AI75" s="290"/>
      <c r="AJ75" s="290"/>
      <c r="AK75" s="290"/>
      <c r="AL75" s="290"/>
      <c r="AM75" s="290"/>
      <c r="AN75" s="290"/>
      <c r="AO75" s="290"/>
      <c r="AP75" s="290"/>
      <c r="AQ75" s="290"/>
      <c r="AR75" s="290"/>
    </row>
    <row r="76" spans="2:45" x14ac:dyDescent="0.2">
      <c r="B76" s="290"/>
      <c r="C76" s="290"/>
      <c r="D76" s="290"/>
      <c r="E76" s="290"/>
      <c r="F76" s="290"/>
      <c r="G76" s="290"/>
      <c r="H76" s="290"/>
      <c r="I76" s="290"/>
      <c r="J76" s="290"/>
      <c r="K76" s="290"/>
      <c r="L76" s="290"/>
      <c r="M76" s="290"/>
      <c r="N76" s="290"/>
      <c r="O76" s="290"/>
      <c r="P76" s="271"/>
      <c r="R76" s="299">
        <f t="shared" si="16"/>
        <v>10</v>
      </c>
      <c r="S76" s="300">
        <f t="shared" si="17"/>
        <v>300000</v>
      </c>
      <c r="T76" s="300">
        <f>S76*(1-VLOOKUP(R76,Charges!$T$6:$U$35,2,0))</f>
        <v>6000.0000000000055</v>
      </c>
      <c r="U76" s="300">
        <f t="shared" si="18"/>
        <v>294000</v>
      </c>
      <c r="V76" s="294">
        <f ca="1">('Calculation_4%'!AY16+'Calculation_4%'!AZ16+'Calculation_4%'!BA16)*(R76&lt;=pt)</f>
        <v>5211.7305358805361</v>
      </c>
      <c r="W76" s="294">
        <f ca="1">IF(R76&lt;=pt,'Calculation_4%'!BD16,0)</f>
        <v>10187.560922489258</v>
      </c>
      <c r="X76" s="294">
        <f>IF(R76&lt;=pt,'Calculation_4%'!BB16,0)</f>
        <v>6000</v>
      </c>
      <c r="Y76" s="300">
        <v>0</v>
      </c>
      <c r="Z76" s="317">
        <f>INDEX('Calculation_4%'!$AK$7:$AK$367,((R76-1)*12+1))</f>
        <v>0</v>
      </c>
      <c r="AA76" s="317">
        <f>IF(R76&lt;=pt,(INDEX('Calculation_4%'!$AA$7:$AA$367,12*R76)+INDEX('Calculation_4%'!$AB$7:$AB$367,12*R76)+INDEX('Calculation_4%'!$AC$7:$AC$367,12*R76)),0)</f>
        <v>0</v>
      </c>
      <c r="AB76" s="294">
        <f ca="1">(MAX(0,INDEX('Calculation_4%'!$X$7:$X$367,12*R76))+MAX(0,INDEX('Calculation_4%'!$AP$7:$AP$367,12*R76)))*(R76&lt;=pt)</f>
        <v>2941100.5680381046</v>
      </c>
      <c r="AC76" s="294">
        <f ca="1">IF(R76&lt;=pt,'Calculation_4%'!BC16,0)</f>
        <v>39385.830144615335</v>
      </c>
      <c r="AD76" s="294">
        <f ca="1">(MAX(0,INDEX('Calculation_4%'!$AD$7:$AD$367,12*R76))+MAX(0,INDEX('Calculation_4%'!$AR$7:$AR$367,12*R76)))*(R76&lt;=pt)</f>
        <v>2937194.1322683208</v>
      </c>
      <c r="AE76" s="318">
        <f ca="1">(AD76-IF(R76&lt;5,MIN(MAX(0,INDEX('Calculation_4%'!$AD$7:$AD$367,12*R76))*VLOOKUP(R76,Charges!$O$7:$P$10,2,0),pr*VLOOKUP(R76,Charges!$O$7:$P$10,2,0),VLOOKUP(R76,Charges!$O$7:$Q$10,3,0)),0))-AA76</f>
        <v>2937194.1322683208</v>
      </c>
      <c r="AF76" s="286">
        <f ca="1">IF(INDEX('Calculation_4%'!$X$7:$X$367,12*R76)&gt;=0,INDEX('Calculation_4%'!$AE$7:$AE$367,12*R76),0)</f>
        <v>3150000</v>
      </c>
      <c r="AG76" s="267"/>
      <c r="AH76" s="290"/>
      <c r="AI76" s="290"/>
      <c r="AJ76" s="290"/>
      <c r="AK76" s="290"/>
      <c r="AL76" s="290"/>
      <c r="AM76" s="290"/>
      <c r="AN76" s="290"/>
      <c r="AO76" s="290"/>
      <c r="AP76" s="290"/>
      <c r="AQ76" s="290"/>
      <c r="AR76" s="290"/>
    </row>
    <row r="77" spans="2:45" x14ac:dyDescent="0.2">
      <c r="B77" s="290"/>
      <c r="C77" s="290"/>
      <c r="D77" s="290"/>
      <c r="E77" s="290"/>
      <c r="F77" s="290"/>
      <c r="G77" s="290"/>
      <c r="H77" s="290"/>
      <c r="I77" s="290"/>
      <c r="J77" s="290"/>
      <c r="K77" s="290"/>
      <c r="L77" s="290"/>
      <c r="M77" s="290"/>
      <c r="N77" s="290"/>
      <c r="O77" s="290"/>
      <c r="P77" s="271"/>
      <c r="R77" s="299">
        <f t="shared" si="16"/>
        <v>11</v>
      </c>
      <c r="S77" s="300">
        <f t="shared" si="17"/>
        <v>300000</v>
      </c>
      <c r="T77" s="300">
        <f>S77*(1-VLOOKUP(R77,Charges!$T$6:$U$35,2,0))</f>
        <v>0</v>
      </c>
      <c r="U77" s="300">
        <f t="shared" si="18"/>
        <v>300000</v>
      </c>
      <c r="V77" s="294">
        <f ca="1">('Calculation_4%'!AY17+'Calculation_4%'!AZ17+'Calculation_4%'!BA17)*(R77&lt;=pt)</f>
        <v>4667.4983834744671</v>
      </c>
      <c r="W77" s="294">
        <f ca="1">IF(R77&lt;=pt,'Calculation_4%'!BD17,0)</f>
        <v>9884.3237733632104</v>
      </c>
      <c r="X77" s="294">
        <f>IF(R77&lt;=pt,'Calculation_4%'!BB17,0)</f>
        <v>6000</v>
      </c>
      <c r="Y77" s="300">
        <v>0</v>
      </c>
      <c r="Z77" s="317">
        <f>INDEX('Calculation_4%'!$AK$7:$AK$367,((R77-1)*12+1))</f>
        <v>0</v>
      </c>
      <c r="AA77" s="317">
        <f>IF(R77&lt;=pt,(INDEX('Calculation_4%'!$AA$7:$AA$367,12*R77)+INDEX('Calculation_4%'!$AB$7:$AB$367,12*R77)+INDEX('Calculation_4%'!$AC$7:$AC$367,12*R77)),0)</f>
        <v>0</v>
      </c>
      <c r="AB77" s="294">
        <f ca="1">(MAX(0,INDEX('Calculation_4%'!$X$7:$X$367,12*R77))+MAX(0,INDEX('Calculation_4%'!$AP$7:$AP$367,12*R77)))*(R77&lt;=pt)</f>
        <v>3305050.5531352134</v>
      </c>
      <c r="AC77" s="294">
        <f ca="1">IF(R77&lt;=pt,'Calculation_4%'!BC17,0)</f>
        <v>44245.411468543352</v>
      </c>
      <c r="AD77" s="294">
        <f ca="1">(MAX(0,INDEX('Calculation_4%'!$AD$7:$AD$367,12*R77))+MAX(0,INDEX('Calculation_4%'!$AR$7:$AR$367,12*R77)))*(R77&lt;=pt)</f>
        <v>3300660.7108285548</v>
      </c>
      <c r="AE77" s="318">
        <f ca="1">(AD77-IF(R77&lt;5,MIN(MAX(0,INDEX('Calculation_4%'!$AD$7:$AD$367,12*R77))*VLOOKUP(R77,Charges!$O$7:$P$10,2,0),pr*VLOOKUP(R77,Charges!$O$7:$P$10,2,0),VLOOKUP(R77,Charges!$O$7:$Q$10,3,0)),0))-AA77</f>
        <v>3300660.7108285548</v>
      </c>
      <c r="AF77" s="286">
        <f ca="1">IF(INDEX('Calculation_4%'!$X$7:$X$367,12*R77)&gt;=0,INDEX('Calculation_4%'!$AE$7:$AE$367,12*R77),0)</f>
        <v>3465000</v>
      </c>
      <c r="AG77" s="267"/>
      <c r="AH77" s="290"/>
      <c r="AI77" s="290"/>
      <c r="AJ77" s="290"/>
      <c r="AK77" s="290"/>
      <c r="AL77" s="290"/>
      <c r="AM77" s="290"/>
      <c r="AN77" s="290"/>
      <c r="AO77" s="290"/>
      <c r="AP77" s="290"/>
      <c r="AQ77" s="290"/>
      <c r="AR77" s="290"/>
    </row>
    <row r="78" spans="2:45" x14ac:dyDescent="0.2">
      <c r="B78" s="290"/>
      <c r="C78" s="290"/>
      <c r="D78" s="290"/>
      <c r="E78" s="290"/>
      <c r="F78" s="290"/>
      <c r="G78" s="290"/>
      <c r="H78" s="290"/>
      <c r="I78" s="290"/>
      <c r="J78" s="290"/>
      <c r="K78" s="290"/>
      <c r="L78" s="290"/>
      <c r="M78" s="290"/>
      <c r="N78" s="290"/>
      <c r="O78" s="290"/>
      <c r="P78" s="271"/>
      <c r="R78" s="299">
        <f t="shared" si="16"/>
        <v>12</v>
      </c>
      <c r="S78" s="300">
        <f t="shared" si="17"/>
        <v>300000</v>
      </c>
      <c r="T78" s="300">
        <f>S78*(1-VLOOKUP(R78,Charges!$T$6:$U$35,2,0))</f>
        <v>0</v>
      </c>
      <c r="U78" s="300">
        <f t="shared" si="18"/>
        <v>300000</v>
      </c>
      <c r="V78" s="294">
        <f ca="1">('Calculation_4%'!AY18+'Calculation_4%'!AZ18+'Calculation_4%'!BA18)*(R78&lt;=pt)</f>
        <v>3749.6451609474939</v>
      </c>
      <c r="W78" s="294">
        <f ca="1">IF(R78&lt;=pt,'Calculation_4%'!BD18,0)</f>
        <v>10616.583063191238</v>
      </c>
      <c r="X78" s="294">
        <f>IF(R78&lt;=pt,'Calculation_4%'!BB18,0)</f>
        <v>6000</v>
      </c>
      <c r="Y78" s="300">
        <v>0</v>
      </c>
      <c r="Z78" s="317">
        <f>INDEX('Calculation_4%'!$AK$7:$AK$367,((R78-1)*12+1))</f>
        <v>0</v>
      </c>
      <c r="AA78" s="317">
        <f>IF(R78&lt;=pt,(INDEX('Calculation_4%'!$AA$7:$AA$367,12*R78)+INDEX('Calculation_4%'!$AB$7:$AB$367,12*R78)+INDEX('Calculation_4%'!$AC$7:$AC$367,12*R78)),0)</f>
        <v>0</v>
      </c>
      <c r="AB78" s="294">
        <f ca="1">(MAX(0,INDEX('Calculation_4%'!$X$7:$X$367,12*R78))+MAX(0,INDEX('Calculation_4%'!$AP$7:$AP$367,12*R78)))*(R78&lt;=pt)</f>
        <v>3678666.9003231241</v>
      </c>
      <c r="AC78" s="294">
        <f ca="1">IF(R78&lt;=pt,'Calculation_4%'!BC18,0)</f>
        <v>49231.371856781603</v>
      </c>
      <c r="AD78" s="294">
        <f ca="1">(MAX(0,INDEX('Calculation_4%'!$AD$7:$AD$367,12*R78))+MAX(0,INDEX('Calculation_4%'!$AR$7:$AR$367,12*R78)))*(R78&lt;=pt)</f>
        <v>3673780.8124005585</v>
      </c>
      <c r="AE78" s="318">
        <f ca="1">(AD78-IF(R78&lt;5,MIN(MAX(0,INDEX('Calculation_4%'!$AD$7:$AD$367,12*R78))*VLOOKUP(R78,Charges!$O$7:$P$10,2,0),pr*VLOOKUP(R78,Charges!$O$7:$P$10,2,0),VLOOKUP(R78,Charges!$O$7:$Q$10,3,0)),0))-AA78</f>
        <v>3673780.8124005585</v>
      </c>
      <c r="AF78" s="286">
        <f ca="1">IF(INDEX('Calculation_4%'!$X$7:$X$367,12*R78)&gt;=0,INDEX('Calculation_4%'!$AE$7:$AE$367,12*R78),0)</f>
        <v>3780000</v>
      </c>
      <c r="AG78" s="267"/>
      <c r="AH78" s="290"/>
      <c r="AI78" s="290"/>
      <c r="AJ78" s="290"/>
      <c r="AK78" s="290"/>
      <c r="AL78" s="290"/>
      <c r="AM78" s="290"/>
      <c r="AN78" s="290"/>
      <c r="AO78" s="290"/>
      <c r="AP78" s="290"/>
      <c r="AQ78" s="290"/>
      <c r="AR78" s="290"/>
    </row>
    <row r="79" spans="2:45" x14ac:dyDescent="0.2">
      <c r="B79" s="290"/>
      <c r="C79" s="290"/>
      <c r="D79" s="290"/>
      <c r="E79" s="290"/>
      <c r="F79" s="290"/>
      <c r="G79" s="290"/>
      <c r="H79" s="290"/>
      <c r="I79" s="290"/>
      <c r="J79" s="290"/>
      <c r="K79" s="290"/>
      <c r="L79" s="290"/>
      <c r="M79" s="290"/>
      <c r="N79" s="290"/>
      <c r="O79" s="290"/>
      <c r="P79" s="271"/>
      <c r="R79" s="299">
        <f t="shared" si="16"/>
        <v>13</v>
      </c>
      <c r="S79" s="300">
        <f t="shared" si="17"/>
        <v>300000</v>
      </c>
      <c r="T79" s="300">
        <f>S79*(1-VLOOKUP(R79,Charges!$T$6:$U$35,2,0))</f>
        <v>0</v>
      </c>
      <c r="U79" s="300">
        <f t="shared" si="18"/>
        <v>300000</v>
      </c>
      <c r="V79" s="294">
        <f ca="1">('Calculation_4%'!AY19+'Calculation_4%'!AZ19+'Calculation_4%'!BA19)*(R79&lt;=pt)</f>
        <v>2341.6296628121158</v>
      </c>
      <c r="W79" s="294">
        <f ca="1">IF(R79&lt;=pt,'Calculation_4%'!BD19,0)</f>
        <v>11285.162771963325</v>
      </c>
      <c r="X79" s="294">
        <f>IF(R79&lt;=pt,'Calculation_4%'!BB19,0)</f>
        <v>6000</v>
      </c>
      <c r="Y79" s="300">
        <v>0</v>
      </c>
      <c r="Z79" s="317">
        <f>INDEX('Calculation_4%'!$AK$7:$AK$367,((R79-1)*12+1))</f>
        <v>0</v>
      </c>
      <c r="AA79" s="317">
        <f>IF(R79&lt;=pt,(INDEX('Calculation_4%'!$AA$7:$AA$367,12*R79)+INDEX('Calculation_4%'!$AB$7:$AB$367,12*R79)+INDEX('Calculation_4%'!$AC$7:$AC$367,12*R79)),0)</f>
        <v>0</v>
      </c>
      <c r="AB79" s="294">
        <f ca="1">(MAX(0,INDEX('Calculation_4%'!$X$7:$X$367,12*R79))+MAX(0,INDEX('Calculation_4%'!$AP$7:$AP$367,12*R79)))*(R79&lt;=pt)</f>
        <v>4062763.5198866893</v>
      </c>
      <c r="AC79" s="294">
        <f ca="1">IF(R79&lt;=pt,'Calculation_4%'!BC19,0)</f>
        <v>54353.719070317456</v>
      </c>
      <c r="AD79" s="294">
        <f ca="1">(MAX(0,INDEX('Calculation_4%'!$AD$7:$AD$367,12*R79))+MAX(0,INDEX('Calculation_4%'!$AR$7:$AR$367,12*R79)))*(R79&lt;=pt)</f>
        <v>4057367.2662152802</v>
      </c>
      <c r="AE79" s="318">
        <f ca="1">(AD79-IF(R79&lt;5,MIN(MAX(0,INDEX('Calculation_4%'!$AD$7:$AD$367,12*R79))*VLOOKUP(R79,Charges!$O$7:$P$10,2,0),pr*VLOOKUP(R79,Charges!$O$7:$P$10,2,0),VLOOKUP(R79,Charges!$O$7:$Q$10,3,0)),0))-AA79</f>
        <v>4057367.2662152802</v>
      </c>
      <c r="AF79" s="286">
        <f ca="1">IF(INDEX('Calculation_4%'!$X$7:$X$367,12*R79)&gt;=0,INDEX('Calculation_4%'!$AE$7:$AE$367,12*R79),0)</f>
        <v>4095000</v>
      </c>
      <c r="AG79" s="267"/>
      <c r="AH79" s="290"/>
      <c r="AI79" s="290"/>
      <c r="AJ79" s="290"/>
      <c r="AK79" s="290"/>
      <c r="AL79" s="290"/>
      <c r="AM79" s="290"/>
      <c r="AN79" s="290"/>
      <c r="AO79" s="290"/>
      <c r="AP79" s="290"/>
      <c r="AQ79" s="290"/>
      <c r="AR79" s="290"/>
    </row>
    <row r="80" spans="2:45" x14ac:dyDescent="0.2">
      <c r="B80" s="290"/>
      <c r="C80" s="290"/>
      <c r="D80" s="290"/>
      <c r="E80" s="290"/>
      <c r="F80" s="290"/>
      <c r="G80" s="290"/>
      <c r="H80" s="290"/>
      <c r="I80" s="290"/>
      <c r="J80" s="290"/>
      <c r="K80" s="290"/>
      <c r="L80" s="290"/>
      <c r="M80" s="290"/>
      <c r="N80" s="290"/>
      <c r="O80" s="290"/>
      <c r="P80" s="271"/>
      <c r="R80" s="299">
        <f t="shared" si="16"/>
        <v>14</v>
      </c>
      <c r="S80" s="300">
        <f t="shared" si="17"/>
        <v>300000</v>
      </c>
      <c r="T80" s="300">
        <f>S80*(1-VLOOKUP(R80,Charges!$T$6:$U$35,2,0))</f>
        <v>0</v>
      </c>
      <c r="U80" s="300">
        <f t="shared" si="18"/>
        <v>300000</v>
      </c>
      <c r="V80" s="294">
        <f ca="1">('Calculation_4%'!AY20+'Calculation_4%'!AZ20+'Calculation_4%'!BA20)*(R80&lt;=pt)</f>
        <v>527.55239062662315</v>
      </c>
      <c r="W80" s="294">
        <f ca="1">IF(R80&lt;=pt,'Calculation_4%'!BD20,0)</f>
        <v>11907.315606204149</v>
      </c>
      <c r="X80" s="294">
        <f>IF(R80&lt;=pt,'Calculation_4%'!BB20,0)</f>
        <v>6000</v>
      </c>
      <c r="Y80" s="300">
        <v>0</v>
      </c>
      <c r="Z80" s="317">
        <f>INDEX('Calculation_4%'!$AK$7:$AK$367,((R80-1)*12+1))</f>
        <v>0</v>
      </c>
      <c r="AA80" s="317">
        <f>IF(R80&lt;=pt,(INDEX('Calculation_4%'!$AA$7:$AA$367,12*R80)+INDEX('Calculation_4%'!$AB$7:$AB$367,12*R80)+INDEX('Calculation_4%'!$AC$7:$AC$367,12*R80)),0)</f>
        <v>0</v>
      </c>
      <c r="AB80" s="294">
        <f ca="1">(MAX(0,INDEX('Calculation_4%'!$X$7:$X$367,12*R80))+MAX(0,INDEX('Calculation_4%'!$AP$7:$AP$367,12*R80)))*(R80&lt;=pt)</f>
        <v>4458075.1720097847</v>
      </c>
      <c r="AC80" s="294">
        <f ca="1">IF(R80&lt;=pt,'Calculation_4%'!BC20,0)</f>
        <v>59624.200977174216</v>
      </c>
      <c r="AD80" s="294">
        <f ca="1">(MAX(0,INDEX('Calculation_4%'!$AD$7:$AD$367,12*R80))+MAX(0,INDEX('Calculation_4%'!$AR$7:$AR$367,12*R80)))*(R80&lt;=pt)</f>
        <v>4452153.8565316331</v>
      </c>
      <c r="AE80" s="318">
        <f ca="1">(AD80-IF(R80&lt;5,MIN(MAX(0,INDEX('Calculation_4%'!$AD$7:$AD$367,12*R80))*VLOOKUP(R80,Charges!$O$7:$P$10,2,0),pr*VLOOKUP(R80,Charges!$O$7:$P$10,2,0),VLOOKUP(R80,Charges!$O$7:$Q$10,3,0)),0))-AA80</f>
        <v>4452153.8565316331</v>
      </c>
      <c r="AF80" s="286">
        <f ca="1">IF(INDEX('Calculation_4%'!$X$7:$X$367,12*R80)&gt;=0,INDEX('Calculation_4%'!$AE$7:$AE$367,12*R80),0)</f>
        <v>4452153.8565316331</v>
      </c>
      <c r="AG80" s="267"/>
      <c r="AH80" s="290"/>
      <c r="AI80" s="290"/>
      <c r="AJ80" s="290"/>
      <c r="AK80" s="290"/>
      <c r="AL80" s="290"/>
      <c r="AM80" s="290"/>
      <c r="AN80" s="290"/>
      <c r="AO80" s="290"/>
      <c r="AP80" s="290"/>
      <c r="AQ80" s="290"/>
      <c r="AR80" s="290"/>
    </row>
    <row r="81" spans="2:44" x14ac:dyDescent="0.2">
      <c r="B81" s="290"/>
      <c r="C81" s="290"/>
      <c r="D81" s="290"/>
      <c r="E81" s="290"/>
      <c r="F81" s="290"/>
      <c r="G81" s="290"/>
      <c r="H81" s="290"/>
      <c r="I81" s="290"/>
      <c r="J81" s="290"/>
      <c r="K81" s="290"/>
      <c r="L81" s="290"/>
      <c r="M81" s="290"/>
      <c r="N81" s="290"/>
      <c r="O81" s="290"/>
      <c r="P81" s="271"/>
      <c r="R81" s="299">
        <f t="shared" si="16"/>
        <v>15</v>
      </c>
      <c r="S81" s="300">
        <f t="shared" si="17"/>
        <v>300000</v>
      </c>
      <c r="T81" s="300">
        <f>S81*(1-VLOOKUP(R81,Charges!$T$6:$U$35,2,0))</f>
        <v>0</v>
      </c>
      <c r="U81" s="300">
        <f t="shared" si="18"/>
        <v>300000</v>
      </c>
      <c r="V81" s="294">
        <f ca="1">('Calculation_4%'!AY21+'Calculation_4%'!AZ21+'Calculation_4%'!BA21)*(R81&lt;=pt)</f>
        <v>0</v>
      </c>
      <c r="W81" s="294">
        <f ca="1">IF(R81&lt;=pt,'Calculation_4%'!BD21,0)</f>
        <v>12786.985364984719</v>
      </c>
      <c r="X81" s="294">
        <f>IF(R81&lt;=pt,'Calculation_4%'!BB21,0)</f>
        <v>6000</v>
      </c>
      <c r="Y81" s="300">
        <v>0</v>
      </c>
      <c r="Z81" s="317">
        <f>INDEX('Calculation_4%'!$AK$7:$AK$367,((R81-1)*12+1))</f>
        <v>0</v>
      </c>
      <c r="AA81" s="294">
        <f ca="1">IF(R81&lt;=pt,(INDEX('Calculation_4%'!$AA$7:$AA$367,12*R81)+INDEX('Calculation_4%'!$AB$7:$AB$367,12*R81)+INDEX('Calculation_4%'!$AC$7:$AC$367,12*R81)),0)</f>
        <v>433177.53667099529</v>
      </c>
      <c r="AB81" s="294">
        <f ca="1">(MAX(0,INDEX('Calculation_4%'!$X$7:$X$367,12*R81))+MAX(0,INDEX('Calculation_4%'!$AP$7:$AP$367,12*R81)))*(R81&lt;=pt)</f>
        <v>4863329.806281453</v>
      </c>
      <c r="AC81" s="294">
        <f ca="1">IF(R81&lt;=pt,'Calculation_4%'!BC21,0)</f>
        <v>65038.807583248425</v>
      </c>
      <c r="AD81" s="294">
        <f ca="1">(MAX(0,INDEX('Calculation_4%'!$AD$7:$AD$367,12*R81))+MAX(0,INDEX('Calculation_4%'!$AR$7:$AR$367,12*R81)))*(R81&lt;=pt)</f>
        <v>5290047.7591755539</v>
      </c>
      <c r="AE81" s="318">
        <f ca="1">(AD81-IF(R81&lt;5,MIN(MAX(0,INDEX('Calculation_4%'!$AD$7:$AD$367,12*R81))*VLOOKUP(R81,Charges!$O$7:$P$10,2,0),pr*VLOOKUP(R81,Charges!$O$7:$P$10,2,0),VLOOKUP(R81,Charges!$O$7:$Q$10,3,0)),0))-AA81</f>
        <v>4856870.222504559</v>
      </c>
      <c r="AF81" s="286">
        <f ca="1">IF(INDEX('Calculation_4%'!$X$7:$X$367,12*R81)&gt;=0,INDEX('Calculation_4%'!$AE$7:$AE$367,12*R81),0)</f>
        <v>4856870.222504559</v>
      </c>
      <c r="AG81" s="267"/>
      <c r="AH81" s="290"/>
      <c r="AI81" s="290"/>
      <c r="AJ81" s="290"/>
      <c r="AK81" s="290"/>
      <c r="AL81" s="290"/>
      <c r="AM81" s="290"/>
      <c r="AN81" s="290"/>
      <c r="AO81" s="290"/>
      <c r="AP81" s="290"/>
      <c r="AQ81" s="290"/>
      <c r="AR81" s="290"/>
    </row>
    <row r="82" spans="2:44" x14ac:dyDescent="0.2">
      <c r="B82" s="290"/>
      <c r="C82" s="290"/>
      <c r="D82" s="290"/>
      <c r="E82" s="290"/>
      <c r="F82" s="290"/>
      <c r="G82" s="290"/>
      <c r="H82" s="290"/>
      <c r="I82" s="290"/>
      <c r="J82" s="290"/>
      <c r="K82" s="290"/>
      <c r="L82" s="290"/>
      <c r="M82" s="290"/>
      <c r="N82" s="290"/>
      <c r="O82" s="290"/>
      <c r="P82" s="271"/>
      <c r="R82" s="299">
        <f t="shared" si="16"/>
        <v>16</v>
      </c>
      <c r="S82" s="300">
        <f t="shared" si="17"/>
        <v>0</v>
      </c>
      <c r="T82" s="300">
        <f>S82*(1-VLOOKUP(R82,Charges!$T$6:$U$35,2,0))</f>
        <v>0</v>
      </c>
      <c r="U82" s="300">
        <f t="shared" si="18"/>
        <v>0</v>
      </c>
      <c r="V82" s="294">
        <f ca="1">('Calculation_4%'!AY22+'Calculation_4%'!AZ22+'Calculation_4%'!BA22)*(R82&lt;=pt)</f>
        <v>0</v>
      </c>
      <c r="W82" s="294">
        <f>IF(R82&lt;=pt,'Calculation_4%'!BD22,0)</f>
        <v>0</v>
      </c>
      <c r="X82" s="294">
        <f>IF(R82&lt;=pt,'Calculation_4%'!BB22,0)</f>
        <v>0</v>
      </c>
      <c r="Y82" s="300">
        <v>0</v>
      </c>
      <c r="Z82" s="317">
        <f>INDEX('Calculation_4%'!$AK$7:$AK$367,((R82-1)*12+1))</f>
        <v>0</v>
      </c>
      <c r="AA82" s="294">
        <f>IF(R82&lt;=pt,(INDEX('Calculation_4%'!$AA$7:$AA$367,12*R82)+INDEX('Calculation_4%'!$AB$7:$AB$367,12*R82)+INDEX('Calculation_4%'!$AC$7:$AC$367,12*R82)),0)</f>
        <v>0</v>
      </c>
      <c r="AB82" s="294">
        <f ca="1">(MAX(0,INDEX('Calculation_4%'!$X$7:$X$367,12*R82))+MAX(0,INDEX('Calculation_4%'!$AP$7:$AP$367,12*R82)))*(R82&lt;=pt)</f>
        <v>0</v>
      </c>
      <c r="AC82" s="294">
        <f>IF(R82&lt;=pt,'Calculation_4%'!BC22,0)</f>
        <v>0</v>
      </c>
      <c r="AD82" s="294">
        <f ca="1">(MAX(0,INDEX('Calculation_4%'!$AD$7:$AD$367,12*R82))+MAX(0,INDEX('Calculation_4%'!$AR$7:$AR$367,12*R82)))*(R82&lt;=pt)</f>
        <v>0</v>
      </c>
      <c r="AE82" s="318">
        <f ca="1">(AD82-IF(R82&lt;5,MIN(MAX(0,INDEX('Calculation_4%'!$AD$7:$AD$367,12*R82))*VLOOKUP(R82,Charges!$O$7:$P$10,2,0),pr*VLOOKUP(R82,Charges!$O$7:$P$10,2,0),VLOOKUP(R82,Charges!$O$7:$Q$10,3,0)),0))-AA82</f>
        <v>0</v>
      </c>
      <c r="AF82" s="286">
        <f ca="1">IF(INDEX('Calculation_4%'!$X$7:$X$367,12*R82)&gt;=0,INDEX('Calculation_4%'!$AE$7:$AE$367,12*R82),0)</f>
        <v>0</v>
      </c>
      <c r="AG82" s="267"/>
      <c r="AH82" s="271"/>
      <c r="AI82" s="267"/>
    </row>
    <row r="83" spans="2:44" x14ac:dyDescent="0.2">
      <c r="B83" s="290"/>
      <c r="C83" s="290"/>
      <c r="D83" s="290"/>
      <c r="E83" s="290"/>
      <c r="F83" s="290"/>
      <c r="G83" s="290"/>
      <c r="H83" s="290"/>
      <c r="I83" s="290"/>
      <c r="J83" s="290"/>
      <c r="K83" s="290"/>
      <c r="L83" s="290"/>
      <c r="M83" s="290"/>
      <c r="N83" s="290"/>
      <c r="O83" s="290"/>
      <c r="P83" s="271"/>
      <c r="R83" s="299">
        <f t="shared" si="16"/>
        <v>17</v>
      </c>
      <c r="S83" s="300">
        <f t="shared" si="17"/>
        <v>0</v>
      </c>
      <c r="T83" s="300">
        <f>S83*(1-VLOOKUP(R83,Charges!$T$6:$U$35,2,0))</f>
        <v>0</v>
      </c>
      <c r="U83" s="300">
        <f t="shared" si="18"/>
        <v>0</v>
      </c>
      <c r="V83" s="294">
        <f ca="1">('Calculation_4%'!AY23+'Calculation_4%'!AZ23+'Calculation_4%'!BA23)*(R83&lt;=pt)</f>
        <v>0</v>
      </c>
      <c r="W83" s="294">
        <f>IF(R83&lt;=pt,'Calculation_4%'!BD23,0)</f>
        <v>0</v>
      </c>
      <c r="X83" s="294">
        <f>IF(R83&lt;=pt,'Calculation_4%'!BB23,0)</f>
        <v>0</v>
      </c>
      <c r="Y83" s="300">
        <v>0</v>
      </c>
      <c r="Z83" s="317">
        <f>INDEX('Calculation_4%'!$AK$7:$AK$367,((R83-1)*12+1))</f>
        <v>0</v>
      </c>
      <c r="AA83" s="317">
        <f>IF(R83&lt;=pt,(INDEX('Calculation_4%'!$AA$7:$AA$367,12*R83)+INDEX('Calculation_4%'!$AB$7:$AB$367,12*R83)+INDEX('Calculation_4%'!$AC$7:$AC$367,12*R83)),0)</f>
        <v>0</v>
      </c>
      <c r="AB83" s="294">
        <f ca="1">(MAX(0,INDEX('Calculation_4%'!$X$7:$X$367,12*R83))+MAX(0,INDEX('Calculation_4%'!$AP$7:$AP$367,12*R83)))*(R83&lt;=pt)</f>
        <v>0</v>
      </c>
      <c r="AC83" s="294">
        <f>IF(R83&lt;=pt,'Calculation_4%'!BC23,0)</f>
        <v>0</v>
      </c>
      <c r="AD83" s="294">
        <f ca="1">(MAX(0,INDEX('Calculation_4%'!$AD$7:$AD$367,12*R83))+MAX(0,INDEX('Calculation_4%'!$AR$7:$AR$367,12*R83)))*(R83&lt;=pt)</f>
        <v>0</v>
      </c>
      <c r="AE83" s="318">
        <f ca="1">(AD83-IF(R83&lt;5,MIN(MAX(0,INDEX('Calculation_4%'!$AD$7:$AD$367,12*R83))*VLOOKUP(R83,Charges!$O$7:$P$10,2,0),pr*VLOOKUP(R83,Charges!$O$7:$P$10,2,0),VLOOKUP(R83,Charges!$O$7:$Q$10,3,0)),0))-AA83</f>
        <v>0</v>
      </c>
      <c r="AF83" s="286">
        <f ca="1">IF(INDEX('Calculation_4%'!$X$7:$X$367,12*R83)&gt;=0,INDEX('Calculation_4%'!$AE$7:$AE$367,12*R83),0)</f>
        <v>0</v>
      </c>
      <c r="AG83" s="267"/>
    </row>
    <row r="84" spans="2:44" x14ac:dyDescent="0.2">
      <c r="B84" s="290"/>
      <c r="C84" s="290"/>
      <c r="D84" s="290"/>
      <c r="E84" s="290"/>
      <c r="F84" s="290"/>
      <c r="G84" s="290"/>
      <c r="H84" s="290"/>
      <c r="I84" s="290"/>
      <c r="J84" s="290"/>
      <c r="K84" s="290"/>
      <c r="L84" s="290"/>
      <c r="M84" s="290"/>
      <c r="N84" s="290"/>
      <c r="O84" s="290"/>
      <c r="P84" s="271"/>
      <c r="R84" s="299">
        <f t="shared" si="16"/>
        <v>18</v>
      </c>
      <c r="S84" s="300">
        <f t="shared" si="17"/>
        <v>0</v>
      </c>
      <c r="T84" s="300">
        <f>S84*(1-VLOOKUP(R84,Charges!$T$6:$U$35,2,0))</f>
        <v>0</v>
      </c>
      <c r="U84" s="300">
        <f t="shared" si="18"/>
        <v>0</v>
      </c>
      <c r="V84" s="294">
        <f ca="1">('Calculation_4%'!AY24+'Calculation_4%'!AZ24+'Calculation_4%'!BA24)*(R84&lt;=pt)</f>
        <v>0</v>
      </c>
      <c r="W84" s="294">
        <f>IF(R84&lt;=pt,'Calculation_4%'!BD24,0)</f>
        <v>0</v>
      </c>
      <c r="X84" s="294">
        <f>IF(R84&lt;=pt,'Calculation_4%'!BB24,0)</f>
        <v>0</v>
      </c>
      <c r="Y84" s="300">
        <v>0</v>
      </c>
      <c r="Z84" s="317">
        <f>INDEX('Calculation_4%'!$AK$7:$AK$367,((R84-1)*12+1))</f>
        <v>0</v>
      </c>
      <c r="AA84" s="317">
        <f>IF(R84&lt;=pt,(INDEX('Calculation_4%'!$AA$7:$AA$367,12*R84)+INDEX('Calculation_4%'!$AB$7:$AB$367,12*R84)+INDEX('Calculation_4%'!$AC$7:$AC$367,12*R84)),0)</f>
        <v>0</v>
      </c>
      <c r="AB84" s="294">
        <f ca="1">(MAX(0,INDEX('Calculation_4%'!$X$7:$X$367,12*R84))+MAX(0,INDEX('Calculation_4%'!$AP$7:$AP$367,12*R84)))*(R84&lt;=pt)</f>
        <v>0</v>
      </c>
      <c r="AC84" s="294">
        <f>IF(R84&lt;=pt,'Calculation_4%'!BC24,0)</f>
        <v>0</v>
      </c>
      <c r="AD84" s="294">
        <f ca="1">(MAX(0,INDEX('Calculation_4%'!$AD$7:$AD$367,12*R84))+MAX(0,INDEX('Calculation_4%'!$AR$7:$AR$367,12*R84)))*(R84&lt;=pt)</f>
        <v>0</v>
      </c>
      <c r="AE84" s="318">
        <f ca="1">(AD84-IF(R84&lt;5,MIN(MAX(0,INDEX('Calculation_4%'!$AD$7:$AD$367,12*R84))*VLOOKUP(R84,Charges!$O$7:$P$10,2,0),pr*VLOOKUP(R84,Charges!$O$7:$P$10,2,0),VLOOKUP(R84,Charges!$O$7:$Q$10,3,0)),0))-AA84</f>
        <v>0</v>
      </c>
      <c r="AF84" s="286">
        <f ca="1">IF(INDEX('Calculation_4%'!$X$7:$X$367,12*R84)&gt;=0,INDEX('Calculation_4%'!$AE$7:$AE$367,12*R84),0)</f>
        <v>0</v>
      </c>
      <c r="AG84" s="267"/>
    </row>
    <row r="85" spans="2:44" x14ac:dyDescent="0.2">
      <c r="B85" s="290"/>
      <c r="C85" s="290"/>
      <c r="D85" s="290"/>
      <c r="E85" s="290"/>
      <c r="F85" s="290"/>
      <c r="G85" s="290"/>
      <c r="H85" s="290"/>
      <c r="I85" s="290"/>
      <c r="J85" s="290"/>
      <c r="K85" s="290"/>
      <c r="L85" s="290"/>
      <c r="M85" s="290"/>
      <c r="N85" s="290"/>
      <c r="O85" s="290"/>
      <c r="P85" s="271"/>
      <c r="R85" s="299">
        <f t="shared" si="16"/>
        <v>19</v>
      </c>
      <c r="S85" s="300">
        <f t="shared" si="17"/>
        <v>0</v>
      </c>
      <c r="T85" s="300">
        <f>S85*(1-VLOOKUP(R85,Charges!$T$6:$U$35,2,0))</f>
        <v>0</v>
      </c>
      <c r="U85" s="300">
        <f t="shared" si="18"/>
        <v>0</v>
      </c>
      <c r="V85" s="294">
        <f ca="1">('Calculation_4%'!AY25+'Calculation_4%'!AZ25+'Calculation_4%'!BA25)*(R85&lt;=pt)</f>
        <v>0</v>
      </c>
      <c r="W85" s="294">
        <f>IF(R85&lt;=pt,'Calculation_4%'!BD25,0)</f>
        <v>0</v>
      </c>
      <c r="X85" s="294">
        <f>IF(R85&lt;=pt,'Calculation_4%'!BB25,0)</f>
        <v>0</v>
      </c>
      <c r="Y85" s="300">
        <v>0</v>
      </c>
      <c r="Z85" s="317">
        <f>INDEX('Calculation_4%'!$AK$7:$AK$367,((R85-1)*12+1))</f>
        <v>0</v>
      </c>
      <c r="AA85" s="317">
        <f>IF(R85&lt;=pt,(INDEX('Calculation_4%'!$AA$7:$AA$367,12*R85)+INDEX('Calculation_4%'!$AB$7:$AB$367,12*R85)+INDEX('Calculation_4%'!$AC$7:$AC$367,12*R85)),0)</f>
        <v>0</v>
      </c>
      <c r="AB85" s="294">
        <f ca="1">(MAX(0,INDEX('Calculation_4%'!$X$7:$X$367,12*R85))+MAX(0,INDEX('Calculation_4%'!$AP$7:$AP$367,12*R85)))*(R85&lt;=pt)</f>
        <v>0</v>
      </c>
      <c r="AC85" s="294">
        <f>IF(R85&lt;=pt,'Calculation_4%'!BC25,0)</f>
        <v>0</v>
      </c>
      <c r="AD85" s="294">
        <f ca="1">(MAX(0,INDEX('Calculation_4%'!$AD$7:$AD$367,12*R85))+MAX(0,INDEX('Calculation_4%'!$AR$7:$AR$367,12*R85)))*(R85&lt;=pt)</f>
        <v>0</v>
      </c>
      <c r="AE85" s="318">
        <f ca="1">(AD85-IF(R85&lt;5,MIN(MAX(0,INDEX('Calculation_4%'!$AD$7:$AD$367,12*R85))*VLOOKUP(R85,Charges!$O$7:$P$10,2,0),pr*VLOOKUP(R85,Charges!$O$7:$P$10,2,0),VLOOKUP(R85,Charges!$O$7:$Q$10,3,0)),0))-AA85</f>
        <v>0</v>
      </c>
      <c r="AF85" s="286">
        <f ca="1">IF(INDEX('Calculation_4%'!$X$7:$X$367,12*R85)&gt;=0,INDEX('Calculation_4%'!$AE$7:$AE$367,12*R85),0)</f>
        <v>0</v>
      </c>
      <c r="AG85" s="267"/>
    </row>
    <row r="86" spans="2:44" ht="13.5" thickBot="1" x14ac:dyDescent="0.25">
      <c r="B86" s="290"/>
      <c r="C86" s="290"/>
      <c r="D86" s="290"/>
      <c r="E86" s="290"/>
      <c r="F86" s="290"/>
      <c r="G86" s="290"/>
      <c r="H86" s="290"/>
      <c r="I86" s="290"/>
      <c r="J86" s="290"/>
      <c r="K86" s="290"/>
      <c r="L86" s="290"/>
      <c r="M86" s="290"/>
      <c r="N86" s="290"/>
      <c r="O86" s="290"/>
      <c r="P86" s="271"/>
      <c r="R86" s="308">
        <f t="shared" si="16"/>
        <v>20</v>
      </c>
      <c r="S86" s="309">
        <f t="shared" si="17"/>
        <v>0</v>
      </c>
      <c r="T86" s="309">
        <f>S86*(1-VLOOKUP(R86,Charges!$T$6:$U$35,2,0))</f>
        <v>0</v>
      </c>
      <c r="U86" s="309">
        <f t="shared" si="18"/>
        <v>0</v>
      </c>
      <c r="V86" s="303">
        <f ca="1">('Calculation_4%'!AY26+'Calculation_4%'!AZ26+'Calculation_4%'!BA26)*(R86&lt;=pt)</f>
        <v>0</v>
      </c>
      <c r="W86" s="303">
        <f>IF(R86&lt;=pt,'Calculation_4%'!BD26,0)</f>
        <v>0</v>
      </c>
      <c r="X86" s="303">
        <f>IF(R86&lt;=pt,'Calculation_4%'!BB26,0)</f>
        <v>0</v>
      </c>
      <c r="Y86" s="309">
        <v>0</v>
      </c>
      <c r="Z86" s="319">
        <f>INDEX('Calculation_4%'!$AK$7:$AK$367,((R86-1)*12+1))</f>
        <v>0</v>
      </c>
      <c r="AA86" s="319">
        <f>IF(R86&lt;=pt,(INDEX('Calculation_4%'!$AA$7:$AA$367,12*R86)+INDEX('Calculation_4%'!$AB$7:$AB$367,12*R86)+INDEX('Calculation_4%'!$AC$7:$AC$367,12*R86)),0)</f>
        <v>0</v>
      </c>
      <c r="AB86" s="303">
        <f ca="1">(MAX(0,INDEX('Calculation_4%'!$X$7:$X$367,12*R86))+MAX(0,INDEX('Calculation_4%'!$AP$7:$AP$367,12*R86)))*(R86&lt;=pt)</f>
        <v>0</v>
      </c>
      <c r="AC86" s="303">
        <f>IF(R86&lt;=pt,'Calculation_4%'!BC26,0)</f>
        <v>0</v>
      </c>
      <c r="AD86" s="303">
        <f ca="1">(MAX(0,INDEX('Calculation_4%'!$AD$7:$AD$367,12*R86))+MAX(0,INDEX('Calculation_4%'!$AR$7:$AR$367,12*R86)))*(R86&lt;=pt)</f>
        <v>0</v>
      </c>
      <c r="AE86" s="320">
        <f ca="1">(AD86-IF(R86&lt;5,MIN(MAX(0,INDEX('Calculation_4%'!$AD$7:$AD$367,12*R86))*VLOOKUP(R86,Charges!$O$7:$P$10,2,0),pr*VLOOKUP(R86,Charges!$O$7:$P$10,2,0),VLOOKUP(R86,Charges!$O$7:$Q$10,3,0)),0))-AA86</f>
        <v>0</v>
      </c>
      <c r="AF86" s="321">
        <f ca="1">IF(INDEX('Calculation_4%'!$X$7:$X$367,12*R86)&gt;=0,INDEX('Calculation_4%'!$AE$7:$AE$367,12*R86),0)</f>
        <v>0</v>
      </c>
      <c r="AG86" s="267"/>
    </row>
    <row r="87" spans="2:44" ht="15" x14ac:dyDescent="0.35">
      <c r="B87" s="290"/>
      <c r="C87" s="290"/>
      <c r="D87" s="290"/>
      <c r="E87" s="290"/>
      <c r="F87" s="290"/>
      <c r="G87" s="290"/>
      <c r="H87" s="290"/>
      <c r="I87" s="290"/>
      <c r="J87" s="290"/>
      <c r="K87" s="290"/>
      <c r="L87" s="290"/>
      <c r="M87" s="290"/>
      <c r="N87" s="290"/>
      <c r="O87" s="290"/>
      <c r="P87" s="271"/>
      <c r="R87" s="322" t="s">
        <v>420</v>
      </c>
      <c r="S87" s="290"/>
      <c r="T87" s="290"/>
      <c r="U87" s="290"/>
      <c r="V87" s="290"/>
      <c r="W87" s="290"/>
      <c r="X87" s="290"/>
      <c r="Y87" s="290"/>
      <c r="Z87" s="290"/>
      <c r="AA87" s="290"/>
      <c r="AB87" s="290"/>
      <c r="AC87" s="290"/>
      <c r="AD87" s="290"/>
      <c r="AE87" s="290"/>
      <c r="AF87" s="290"/>
      <c r="AG87" s="267"/>
    </row>
    <row r="88" spans="2:44" x14ac:dyDescent="0.2">
      <c r="B88" s="290"/>
      <c r="C88" s="290"/>
      <c r="D88" s="290"/>
      <c r="E88" s="290"/>
      <c r="F88" s="290"/>
      <c r="G88" s="290"/>
      <c r="H88" s="290"/>
      <c r="I88" s="290"/>
      <c r="J88" s="290"/>
      <c r="K88" s="290"/>
      <c r="L88" s="290"/>
      <c r="M88" s="290"/>
      <c r="N88" s="290"/>
      <c r="O88" s="290"/>
      <c r="P88" s="271"/>
      <c r="R88" s="290"/>
      <c r="S88" s="290"/>
      <c r="T88" s="290"/>
      <c r="U88" s="290"/>
      <c r="V88" s="290"/>
      <c r="W88" s="290"/>
      <c r="X88" s="290"/>
      <c r="Y88" s="290"/>
      <c r="Z88" s="290"/>
      <c r="AA88" s="290"/>
      <c r="AB88" s="290"/>
      <c r="AC88" s="290"/>
      <c r="AD88" s="290"/>
      <c r="AE88" s="290"/>
      <c r="AF88" s="290"/>
      <c r="AG88" s="267"/>
    </row>
    <row r="89" spans="2:44" ht="15" x14ac:dyDescent="0.35">
      <c r="B89" s="290"/>
      <c r="C89" s="290"/>
      <c r="D89" s="290"/>
      <c r="E89" s="290"/>
      <c r="F89" s="290"/>
      <c r="G89" s="290"/>
      <c r="H89" s="290"/>
      <c r="I89" s="290"/>
      <c r="J89" s="290"/>
      <c r="K89" s="290"/>
      <c r="L89" s="290"/>
      <c r="M89" s="290"/>
      <c r="N89" s="290"/>
      <c r="O89" s="290"/>
      <c r="P89" s="271"/>
      <c r="R89" s="323" t="s">
        <v>421</v>
      </c>
      <c r="S89" s="290"/>
      <c r="T89" s="290"/>
      <c r="U89" s="290"/>
      <c r="V89" s="290"/>
      <c r="W89" s="290"/>
      <c r="X89" s="290"/>
      <c r="Y89" s="290"/>
      <c r="Z89" s="290"/>
      <c r="AA89" s="290"/>
      <c r="AB89" s="290"/>
      <c r="AC89" s="290"/>
      <c r="AD89" s="290"/>
      <c r="AE89" s="290"/>
      <c r="AF89" s="290"/>
      <c r="AG89" s="267"/>
    </row>
    <row r="90" spans="2:44" ht="15" x14ac:dyDescent="0.35">
      <c r="B90" s="290"/>
      <c r="C90" s="290"/>
      <c r="D90" s="290"/>
      <c r="E90" s="290"/>
      <c r="F90" s="290"/>
      <c r="G90" s="290"/>
      <c r="H90" s="290"/>
      <c r="I90" s="290"/>
      <c r="J90" s="290"/>
      <c r="K90" s="290"/>
      <c r="L90" s="290"/>
      <c r="M90" s="290"/>
      <c r="N90" s="290"/>
      <c r="O90" s="290"/>
      <c r="P90" s="271"/>
      <c r="R90" s="323" t="s">
        <v>422</v>
      </c>
      <c r="S90" s="290"/>
      <c r="T90" s="290"/>
      <c r="U90" s="290"/>
      <c r="V90" s="290"/>
      <c r="W90" s="290"/>
      <c r="X90" s="290"/>
      <c r="Y90" s="290"/>
      <c r="Z90" s="290"/>
      <c r="AA90" s="290"/>
      <c r="AB90" s="290"/>
      <c r="AC90" s="290"/>
      <c r="AD90" s="290"/>
      <c r="AE90" s="290"/>
      <c r="AF90" s="290"/>
      <c r="AG90" s="267"/>
    </row>
    <row r="91" spans="2:44" ht="15" x14ac:dyDescent="0.35">
      <c r="B91" s="290"/>
      <c r="C91" s="290"/>
      <c r="D91" s="290"/>
      <c r="E91" s="290"/>
      <c r="F91" s="290"/>
      <c r="G91" s="290"/>
      <c r="H91" s="290"/>
      <c r="I91" s="290"/>
      <c r="J91" s="290"/>
      <c r="K91" s="290"/>
      <c r="L91" s="290"/>
      <c r="M91" s="290"/>
      <c r="N91" s="290"/>
      <c r="O91" s="290"/>
      <c r="P91" s="271"/>
      <c r="R91" s="323" t="s">
        <v>423</v>
      </c>
      <c r="S91" s="290"/>
      <c r="T91" s="290"/>
      <c r="U91" s="290"/>
      <c r="V91" s="290"/>
      <c r="W91" s="290"/>
      <c r="X91" s="290"/>
      <c r="Y91" s="290"/>
      <c r="Z91" s="290"/>
      <c r="AA91" s="290"/>
      <c r="AB91" s="290"/>
      <c r="AC91" s="290"/>
      <c r="AD91" s="290"/>
      <c r="AE91" s="290"/>
      <c r="AF91" s="290"/>
      <c r="AG91" s="267"/>
    </row>
    <row r="92" spans="2:44" ht="15" x14ac:dyDescent="0.35">
      <c r="B92" s="290"/>
      <c r="C92" s="290"/>
      <c r="D92" s="290"/>
      <c r="E92" s="290"/>
      <c r="F92" s="290"/>
      <c r="G92" s="290"/>
      <c r="H92" s="290"/>
      <c r="I92" s="290"/>
      <c r="J92" s="290"/>
      <c r="K92" s="290"/>
      <c r="L92" s="290"/>
      <c r="M92" s="290"/>
      <c r="N92" s="290"/>
      <c r="O92" s="290"/>
      <c r="P92" s="271"/>
      <c r="R92" s="323" t="s">
        <v>435</v>
      </c>
      <c r="S92" s="290"/>
      <c r="T92" s="290"/>
      <c r="U92" s="290"/>
      <c r="V92" s="290"/>
      <c r="W92" s="290"/>
      <c r="X92" s="290"/>
      <c r="Y92" s="290"/>
      <c r="Z92" s="290"/>
      <c r="AA92" s="290"/>
      <c r="AB92" s="290"/>
      <c r="AC92" s="290"/>
      <c r="AD92" s="290"/>
      <c r="AE92" s="290"/>
      <c r="AF92" s="290"/>
      <c r="AG92" s="267"/>
    </row>
    <row r="93" spans="2:44" ht="15" x14ac:dyDescent="0.35">
      <c r="B93" s="290"/>
      <c r="C93" s="290"/>
      <c r="D93" s="290"/>
      <c r="E93" s="290"/>
      <c r="F93" s="290"/>
      <c r="G93" s="290"/>
      <c r="H93" s="290"/>
      <c r="I93" s="290"/>
      <c r="J93" s="290"/>
      <c r="K93" s="290"/>
      <c r="L93" s="290"/>
      <c r="M93" s="290"/>
      <c r="N93" s="290"/>
      <c r="O93" s="290"/>
      <c r="P93" s="271"/>
      <c r="R93" s="323" t="s">
        <v>436</v>
      </c>
      <c r="S93" s="290"/>
      <c r="T93" s="290"/>
      <c r="U93" s="290"/>
      <c r="V93" s="290"/>
      <c r="W93" s="290"/>
      <c r="X93" s="290"/>
      <c r="Y93" s="290"/>
      <c r="Z93" s="290"/>
      <c r="AA93" s="290"/>
      <c r="AB93" s="290"/>
      <c r="AC93" s="290"/>
      <c r="AD93" s="290"/>
      <c r="AE93" s="290"/>
      <c r="AF93" s="290"/>
      <c r="AG93" s="267"/>
    </row>
    <row r="94" spans="2:44" ht="15" x14ac:dyDescent="0.35">
      <c r="B94" s="290"/>
      <c r="C94" s="290"/>
      <c r="D94" s="290"/>
      <c r="E94" s="290"/>
      <c r="F94" s="290"/>
      <c r="G94" s="290"/>
      <c r="H94" s="290"/>
      <c r="I94" s="290"/>
      <c r="J94" s="290"/>
      <c r="K94" s="290"/>
      <c r="L94" s="290"/>
      <c r="M94" s="290"/>
      <c r="N94" s="290"/>
      <c r="O94" s="290"/>
      <c r="P94" s="271"/>
      <c r="R94" s="323" t="s">
        <v>424</v>
      </c>
      <c r="S94" s="290"/>
      <c r="T94" s="290"/>
      <c r="U94" s="290"/>
      <c r="V94" s="290"/>
      <c r="W94" s="290"/>
      <c r="X94" s="290"/>
      <c r="Y94" s="290"/>
      <c r="Z94" s="290"/>
      <c r="AA94" s="290"/>
      <c r="AB94" s="290"/>
      <c r="AC94" s="290"/>
      <c r="AD94" s="290"/>
      <c r="AE94" s="290"/>
      <c r="AF94" s="290"/>
      <c r="AG94" s="267"/>
    </row>
    <row r="95" spans="2:44" ht="15" x14ac:dyDescent="0.35">
      <c r="B95" s="290"/>
      <c r="C95" s="290"/>
      <c r="D95" s="290"/>
      <c r="E95" s="290"/>
      <c r="F95" s="290"/>
      <c r="G95" s="290"/>
      <c r="H95" s="290"/>
      <c r="I95" s="290"/>
      <c r="J95" s="290"/>
      <c r="K95" s="290"/>
      <c r="L95" s="290"/>
      <c r="M95" s="290"/>
      <c r="N95" s="290"/>
      <c r="O95" s="290"/>
      <c r="P95" s="271"/>
      <c r="R95" s="323" t="s">
        <v>425</v>
      </c>
      <c r="S95" s="290"/>
      <c r="T95" s="290"/>
      <c r="U95" s="290"/>
      <c r="V95" s="290"/>
      <c r="W95" s="290"/>
      <c r="X95" s="290"/>
      <c r="Y95" s="290"/>
      <c r="Z95" s="290"/>
      <c r="AA95" s="290"/>
      <c r="AB95" s="290"/>
      <c r="AC95" s="290"/>
      <c r="AD95" s="290"/>
      <c r="AE95" s="290"/>
      <c r="AF95" s="290"/>
      <c r="AG95" s="267"/>
    </row>
    <row r="96" spans="2:44" ht="15" x14ac:dyDescent="0.35">
      <c r="B96" s="290"/>
      <c r="C96" s="290"/>
      <c r="D96" s="290"/>
      <c r="E96" s="290"/>
      <c r="F96" s="290"/>
      <c r="G96" s="290"/>
      <c r="H96" s="290"/>
      <c r="I96" s="290"/>
      <c r="J96" s="290"/>
      <c r="K96" s="290"/>
      <c r="L96" s="290"/>
      <c r="M96" s="290"/>
      <c r="N96" s="290"/>
      <c r="O96" s="290"/>
      <c r="P96" s="271"/>
      <c r="R96" s="323" t="s">
        <v>426</v>
      </c>
      <c r="S96" s="290"/>
      <c r="T96" s="290"/>
      <c r="U96" s="290"/>
      <c r="V96" s="290"/>
      <c r="W96" s="290"/>
      <c r="X96" s="290"/>
      <c r="Y96" s="290"/>
      <c r="Z96" s="290"/>
      <c r="AA96" s="290"/>
      <c r="AB96" s="290"/>
      <c r="AC96" s="290"/>
      <c r="AD96" s="290"/>
      <c r="AE96" s="290"/>
      <c r="AF96" s="290"/>
      <c r="AG96" s="267"/>
    </row>
    <row r="97" spans="2:33" ht="15" x14ac:dyDescent="0.35">
      <c r="B97" s="290"/>
      <c r="C97" s="290"/>
      <c r="D97" s="290"/>
      <c r="E97" s="290"/>
      <c r="F97" s="290"/>
      <c r="G97" s="290"/>
      <c r="H97" s="290"/>
      <c r="I97" s="290"/>
      <c r="J97" s="290"/>
      <c r="K97" s="290"/>
      <c r="L97" s="290"/>
      <c r="M97" s="290"/>
      <c r="N97" s="290"/>
      <c r="O97" s="290"/>
      <c r="P97" s="271"/>
      <c r="R97" s="323" t="s">
        <v>427</v>
      </c>
      <c r="S97" s="290"/>
      <c r="T97" s="290"/>
      <c r="U97" s="290"/>
      <c r="V97" s="290"/>
      <c r="W97" s="290"/>
      <c r="X97" s="290"/>
      <c r="Y97" s="290"/>
      <c r="Z97" s="290"/>
      <c r="AA97" s="290"/>
      <c r="AB97" s="290"/>
      <c r="AC97" s="290"/>
      <c r="AD97" s="290"/>
      <c r="AE97" s="290"/>
      <c r="AF97" s="290"/>
      <c r="AG97" s="267"/>
    </row>
    <row r="98" spans="2:33" ht="15" x14ac:dyDescent="0.35">
      <c r="R98" s="323" t="s">
        <v>428</v>
      </c>
      <c r="S98" s="290"/>
      <c r="T98" s="290"/>
      <c r="U98" s="290"/>
      <c r="V98" s="290"/>
      <c r="W98" s="290"/>
      <c r="X98" s="290"/>
      <c r="Y98" s="290"/>
      <c r="Z98" s="290"/>
      <c r="AA98" s="290"/>
      <c r="AB98" s="290"/>
      <c r="AC98" s="290"/>
      <c r="AD98" s="290"/>
      <c r="AE98" s="290"/>
      <c r="AF98" s="290"/>
    </row>
    <row r="99" spans="2:33" ht="15" x14ac:dyDescent="0.35">
      <c r="R99" s="323" t="s">
        <v>429</v>
      </c>
      <c r="S99" s="290"/>
      <c r="T99" s="290"/>
      <c r="U99" s="290"/>
      <c r="V99" s="290"/>
      <c r="W99" s="290"/>
      <c r="X99" s="290"/>
      <c r="Y99" s="290"/>
      <c r="Z99" s="290"/>
      <c r="AA99" s="290"/>
      <c r="AB99" s="290"/>
      <c r="AC99" s="290"/>
      <c r="AD99" s="290"/>
      <c r="AE99" s="290"/>
      <c r="AF99" s="290"/>
    </row>
    <row r="100" spans="2:33" ht="15" x14ac:dyDescent="0.35">
      <c r="R100" s="323" t="s">
        <v>430</v>
      </c>
      <c r="S100" s="290"/>
      <c r="T100" s="290"/>
      <c r="U100" s="290"/>
      <c r="V100" s="290"/>
      <c r="W100" s="290"/>
      <c r="X100" s="290"/>
      <c r="Y100" s="290"/>
      <c r="Z100" s="290"/>
      <c r="AA100" s="290"/>
      <c r="AB100" s="290"/>
      <c r="AC100" s="290"/>
      <c r="AD100" s="290"/>
      <c r="AE100" s="290"/>
      <c r="AF100" s="290"/>
    </row>
    <row r="101" spans="2:33" ht="15" x14ac:dyDescent="0.35">
      <c r="R101" s="323" t="s">
        <v>431</v>
      </c>
      <c r="S101" s="290"/>
      <c r="T101" s="290"/>
      <c r="U101" s="290"/>
      <c r="V101" s="290"/>
      <c r="W101" s="290"/>
      <c r="X101" s="290"/>
      <c r="Y101" s="290"/>
      <c r="Z101" s="290"/>
      <c r="AA101" s="290"/>
      <c r="AB101" s="290"/>
      <c r="AC101" s="290"/>
      <c r="AD101" s="290"/>
      <c r="AE101" s="290"/>
      <c r="AF101" s="290"/>
    </row>
    <row r="102" spans="2:33" ht="15" x14ac:dyDescent="0.35">
      <c r="R102" s="323" t="s">
        <v>437</v>
      </c>
      <c r="S102" s="290"/>
      <c r="T102" s="290"/>
      <c r="U102" s="290"/>
      <c r="V102" s="290"/>
      <c r="W102" s="290"/>
      <c r="X102" s="290"/>
      <c r="Y102" s="290"/>
      <c r="Z102" s="290"/>
      <c r="AA102" s="290"/>
      <c r="AB102" s="290"/>
      <c r="AC102" s="290"/>
      <c r="AD102" s="290"/>
      <c r="AE102" s="290"/>
      <c r="AF102" s="290"/>
    </row>
    <row r="103" spans="2:33" ht="15" x14ac:dyDescent="0.35">
      <c r="R103" s="324" t="s">
        <v>439</v>
      </c>
      <c r="S103" s="290"/>
      <c r="T103" s="290"/>
      <c r="U103" s="290"/>
      <c r="V103" s="290"/>
      <c r="W103" s="290"/>
      <c r="X103" s="290"/>
      <c r="Y103" s="290"/>
      <c r="Z103" s="290"/>
      <c r="AA103" s="290"/>
      <c r="AB103" s="290"/>
      <c r="AC103" s="290"/>
      <c r="AD103" s="290"/>
      <c r="AE103" s="290"/>
      <c r="AF103" s="290"/>
    </row>
    <row r="104" spans="2:33" ht="15" x14ac:dyDescent="0.35">
      <c r="R104" s="324" t="s">
        <v>438</v>
      </c>
      <c r="S104" s="290"/>
      <c r="T104" s="290"/>
      <c r="U104" s="290"/>
      <c r="V104" s="290"/>
      <c r="W104" s="290"/>
      <c r="X104" s="290"/>
      <c r="Y104" s="290"/>
      <c r="Z104" s="290"/>
      <c r="AA104" s="290"/>
      <c r="AB104" s="290"/>
      <c r="AC104" s="290"/>
      <c r="AD104" s="290"/>
      <c r="AE104" s="290"/>
      <c r="AF104" s="290"/>
    </row>
    <row r="105" spans="2:33" ht="15" x14ac:dyDescent="0.35">
      <c r="R105" s="323" t="s">
        <v>432</v>
      </c>
      <c r="S105" s="290"/>
      <c r="T105" s="290"/>
      <c r="U105" s="290"/>
      <c r="V105" s="290"/>
      <c r="W105" s="290"/>
      <c r="X105" s="290"/>
      <c r="Y105" s="290"/>
      <c r="Z105" s="290"/>
      <c r="AA105" s="290"/>
      <c r="AB105" s="290"/>
      <c r="AC105" s="290"/>
      <c r="AD105" s="290"/>
      <c r="AE105" s="290"/>
      <c r="AF105" s="290"/>
    </row>
    <row r="106" spans="2:33" ht="15" x14ac:dyDescent="0.35">
      <c r="R106" s="323" t="s">
        <v>433</v>
      </c>
      <c r="S106" s="290"/>
      <c r="T106" s="290"/>
      <c r="U106" s="290"/>
      <c r="V106" s="290"/>
      <c r="W106" s="290"/>
      <c r="X106" s="290"/>
      <c r="Y106" s="290"/>
      <c r="Z106" s="290"/>
      <c r="AA106" s="290"/>
      <c r="AB106" s="290"/>
      <c r="AC106" s="290"/>
      <c r="AD106" s="290"/>
      <c r="AE106" s="290"/>
      <c r="AF106" s="290"/>
    </row>
    <row r="107" spans="2:33" ht="15" x14ac:dyDescent="0.35">
      <c r="R107" s="323" t="s">
        <v>434</v>
      </c>
    </row>
    <row r="109" spans="2:33" ht="13.5" thickBot="1" x14ac:dyDescent="0.25">
      <c r="S109" s="290"/>
      <c r="T109" s="290"/>
      <c r="U109" s="290"/>
      <c r="V109" s="290"/>
      <c r="W109" s="290"/>
      <c r="X109" s="290"/>
      <c r="Y109" s="290"/>
      <c r="Z109" s="290"/>
      <c r="AA109" s="290"/>
      <c r="AB109" s="290"/>
      <c r="AC109" s="290"/>
      <c r="AD109" s="290"/>
      <c r="AE109" s="290"/>
      <c r="AF109" s="290"/>
    </row>
    <row r="110" spans="2:33" ht="15" customHeight="1" x14ac:dyDescent="0.2">
      <c r="R110" s="616" t="s">
        <v>415</v>
      </c>
      <c r="S110" s="617"/>
      <c r="T110" s="617"/>
      <c r="U110" s="617"/>
      <c r="V110" s="618"/>
      <c r="W110" s="290"/>
      <c r="X110" s="290"/>
      <c r="Y110" s="616" t="s">
        <v>417</v>
      </c>
      <c r="Z110" s="617"/>
      <c r="AA110" s="617"/>
      <c r="AB110" s="617"/>
      <c r="AC110" s="618"/>
      <c r="AD110" s="290"/>
      <c r="AE110" s="290"/>
      <c r="AF110" s="290"/>
    </row>
    <row r="111" spans="2:33" ht="32.25" customHeight="1" x14ac:dyDescent="0.2">
      <c r="R111" s="619"/>
      <c r="S111" s="620"/>
      <c r="T111" s="620"/>
      <c r="U111" s="620"/>
      <c r="V111" s="621"/>
      <c r="W111" s="290"/>
      <c r="X111" s="290"/>
      <c r="Y111" s="619"/>
      <c r="Z111" s="620"/>
      <c r="AA111" s="620"/>
      <c r="AB111" s="620"/>
      <c r="AC111" s="621"/>
      <c r="AD111" s="290"/>
      <c r="AE111" s="290"/>
      <c r="AF111" s="290"/>
    </row>
    <row r="112" spans="2:33" ht="15" x14ac:dyDescent="0.2">
      <c r="R112" s="619" t="s">
        <v>419</v>
      </c>
      <c r="S112" s="620"/>
      <c r="T112" s="620"/>
      <c r="U112" s="620"/>
      <c r="V112" s="621"/>
      <c r="W112" s="290"/>
      <c r="X112" s="290"/>
      <c r="Y112" s="619"/>
      <c r="Z112" s="620"/>
      <c r="AA112" s="620"/>
      <c r="AB112" s="620"/>
      <c r="AC112" s="621"/>
      <c r="AD112" s="290"/>
      <c r="AE112" s="290"/>
      <c r="AF112" s="290"/>
    </row>
    <row r="113" spans="18:32" ht="15.75" customHeight="1" thickBot="1" x14ac:dyDescent="0.25">
      <c r="R113" s="622" t="s">
        <v>416</v>
      </c>
      <c r="S113" s="623"/>
      <c r="T113" s="623"/>
      <c r="U113" s="623"/>
      <c r="V113" s="624"/>
      <c r="W113" s="290"/>
      <c r="X113" s="290"/>
      <c r="Y113" s="622" t="s">
        <v>418</v>
      </c>
      <c r="Z113" s="623"/>
      <c r="AA113" s="623"/>
      <c r="AB113" s="623"/>
      <c r="AC113" s="624"/>
      <c r="AD113" s="290"/>
      <c r="AE113" s="290"/>
      <c r="AF113" s="290"/>
    </row>
    <row r="114" spans="18:32" x14ac:dyDescent="0.2">
      <c r="S114" s="290"/>
      <c r="T114" s="290"/>
      <c r="U114" s="290"/>
      <c r="V114" s="290"/>
      <c r="W114" s="290"/>
      <c r="X114" s="290"/>
      <c r="Y114" s="290"/>
      <c r="Z114" s="290"/>
      <c r="AA114" s="290"/>
      <c r="AB114" s="290"/>
      <c r="AC114" s="290"/>
      <c r="AD114" s="290"/>
      <c r="AE114" s="290"/>
      <c r="AF114" s="290"/>
    </row>
    <row r="115" spans="18:32" x14ac:dyDescent="0.2">
      <c r="S115" s="290"/>
      <c r="T115" s="290"/>
      <c r="U115" s="290"/>
      <c r="V115" s="290"/>
      <c r="W115" s="290"/>
      <c r="X115" s="290"/>
      <c r="Y115" s="290"/>
      <c r="Z115" s="290"/>
      <c r="AA115" s="290"/>
      <c r="AB115" s="290"/>
      <c r="AC115" s="290"/>
      <c r="AD115" s="290"/>
      <c r="AE115" s="290"/>
      <c r="AF115" s="290"/>
    </row>
    <row r="116" spans="18:32" x14ac:dyDescent="0.2">
      <c r="S116" s="290"/>
      <c r="T116" s="290"/>
      <c r="U116" s="290"/>
      <c r="V116" s="290"/>
      <c r="W116" s="290"/>
      <c r="X116" s="290"/>
      <c r="Y116" s="290"/>
      <c r="Z116" s="290"/>
      <c r="AA116" s="290"/>
      <c r="AB116" s="290"/>
      <c r="AC116" s="290"/>
      <c r="AD116" s="290"/>
      <c r="AE116" s="290"/>
      <c r="AF116" s="290"/>
    </row>
    <row r="117" spans="18:32" x14ac:dyDescent="0.2">
      <c r="S117" s="290"/>
      <c r="T117" s="290"/>
      <c r="U117" s="290"/>
      <c r="V117" s="290"/>
      <c r="W117" s="290"/>
      <c r="X117" s="290"/>
      <c r="Y117" s="290"/>
      <c r="Z117" s="290"/>
      <c r="AA117" s="290"/>
      <c r="AB117" s="290"/>
      <c r="AC117" s="290"/>
      <c r="AD117" s="290"/>
      <c r="AE117" s="290"/>
      <c r="AF117" s="290"/>
    </row>
    <row r="118" spans="18:32" x14ac:dyDescent="0.2">
      <c r="S118" s="290"/>
      <c r="T118" s="290"/>
      <c r="U118" s="290"/>
      <c r="V118" s="290"/>
      <c r="W118" s="290"/>
      <c r="X118" s="290"/>
      <c r="Y118" s="290"/>
      <c r="Z118" s="290"/>
      <c r="AA118" s="290"/>
      <c r="AB118" s="290"/>
      <c r="AC118" s="290"/>
      <c r="AD118" s="290"/>
      <c r="AE118" s="290"/>
      <c r="AF118" s="290"/>
    </row>
    <row r="119" spans="18:32" x14ac:dyDescent="0.2">
      <c r="S119" s="290"/>
      <c r="T119" s="290"/>
      <c r="U119" s="290"/>
      <c r="V119" s="290"/>
      <c r="W119" s="290"/>
      <c r="X119" s="290"/>
      <c r="Y119" s="290"/>
      <c r="Z119" s="290"/>
      <c r="AA119" s="290"/>
      <c r="AB119" s="290"/>
      <c r="AC119" s="290"/>
      <c r="AD119" s="290"/>
      <c r="AE119" s="290"/>
      <c r="AF119" s="290"/>
    </row>
    <row r="120" spans="18:32" x14ac:dyDescent="0.2">
      <c r="S120" s="290"/>
      <c r="T120" s="290"/>
      <c r="U120" s="290"/>
      <c r="V120" s="290"/>
      <c r="W120" s="290"/>
      <c r="X120" s="290"/>
      <c r="Y120" s="290"/>
      <c r="Z120" s="290"/>
      <c r="AA120" s="290"/>
      <c r="AB120" s="290"/>
      <c r="AC120" s="290"/>
      <c r="AD120" s="290"/>
      <c r="AE120" s="290"/>
      <c r="AF120" s="290"/>
    </row>
    <row r="121" spans="18:32" x14ac:dyDescent="0.2">
      <c r="S121" s="290"/>
      <c r="T121" s="290"/>
      <c r="U121" s="290"/>
      <c r="V121" s="290"/>
      <c r="W121" s="290"/>
      <c r="X121" s="290"/>
      <c r="Y121" s="290"/>
      <c r="Z121" s="290"/>
      <c r="AA121" s="290"/>
      <c r="AB121" s="290"/>
      <c r="AC121" s="290"/>
      <c r="AD121" s="290"/>
      <c r="AE121" s="290"/>
      <c r="AF121" s="290"/>
    </row>
    <row r="122" spans="18:32" x14ac:dyDescent="0.2">
      <c r="S122" s="290"/>
      <c r="T122" s="290"/>
      <c r="U122" s="290"/>
      <c r="V122" s="290"/>
      <c r="W122" s="290"/>
      <c r="X122" s="290"/>
      <c r="Y122" s="290"/>
      <c r="Z122" s="290"/>
      <c r="AA122" s="290"/>
      <c r="AB122" s="290"/>
      <c r="AC122" s="290"/>
      <c r="AD122" s="290"/>
      <c r="AE122" s="290"/>
      <c r="AF122" s="290"/>
    </row>
    <row r="123" spans="18:32" x14ac:dyDescent="0.2">
      <c r="S123" s="290"/>
      <c r="T123" s="290"/>
      <c r="U123" s="290"/>
      <c r="V123" s="290"/>
      <c r="W123" s="290"/>
      <c r="X123" s="290"/>
      <c r="Y123" s="290"/>
      <c r="Z123" s="290"/>
      <c r="AA123" s="290"/>
      <c r="AB123" s="290"/>
      <c r="AC123" s="290"/>
      <c r="AD123" s="290"/>
      <c r="AE123" s="290"/>
      <c r="AF123" s="290"/>
    </row>
    <row r="124" spans="18:32" x14ac:dyDescent="0.2">
      <c r="S124" s="290"/>
      <c r="T124" s="290"/>
      <c r="U124" s="290"/>
      <c r="V124" s="290"/>
      <c r="W124" s="290"/>
      <c r="X124" s="290"/>
      <c r="Y124" s="290"/>
      <c r="Z124" s="290"/>
      <c r="AA124" s="290"/>
      <c r="AB124" s="290"/>
      <c r="AC124" s="290"/>
      <c r="AD124" s="290"/>
      <c r="AE124" s="290"/>
      <c r="AF124" s="290"/>
    </row>
  </sheetData>
  <sheetProtection password="9B60" sheet="1" objects="1" scenarios="1"/>
  <mergeCells count="52">
    <mergeCell ref="Y110:AC112"/>
    <mergeCell ref="Y113:AC113"/>
    <mergeCell ref="R110:V111"/>
    <mergeCell ref="R113:V113"/>
    <mergeCell ref="R112:V112"/>
    <mergeCell ref="B61:D61"/>
    <mergeCell ref="I61:M61"/>
    <mergeCell ref="B30:B31"/>
    <mergeCell ref="C30:C31"/>
    <mergeCell ref="D30:I30"/>
    <mergeCell ref="J30:O30"/>
    <mergeCell ref="W30:W31"/>
    <mergeCell ref="X30:X31"/>
    <mergeCell ref="C15:M22"/>
    <mergeCell ref="I58:M60"/>
    <mergeCell ref="B58:D59"/>
    <mergeCell ref="B60:D60"/>
    <mergeCell ref="Y30:Y31"/>
    <mergeCell ref="Z30:Z31"/>
    <mergeCell ref="AF30:AF31"/>
    <mergeCell ref="AA30:AA31"/>
    <mergeCell ref="AB30:AB31"/>
    <mergeCell ref="AC30:AC31"/>
    <mergeCell ref="AD30:AD31"/>
    <mergeCell ref="AE30:AE31"/>
    <mergeCell ref="R30:R31"/>
    <mergeCell ref="S30:S31"/>
    <mergeCell ref="T30:T31"/>
    <mergeCell ref="U30:U31"/>
    <mergeCell ref="V30:V31"/>
    <mergeCell ref="R65:R66"/>
    <mergeCell ref="S65:S66"/>
    <mergeCell ref="AF65:AF66"/>
    <mergeCell ref="Z65:Z66"/>
    <mergeCell ref="AA65:AA66"/>
    <mergeCell ref="AB65:AB66"/>
    <mergeCell ref="AC65:AC66"/>
    <mergeCell ref="AD65:AD66"/>
    <mergeCell ref="AE65:AE66"/>
    <mergeCell ref="T65:T66"/>
    <mergeCell ref="Y65:Y66"/>
    <mergeCell ref="U65:U66"/>
    <mergeCell ref="V65:V66"/>
    <mergeCell ref="W65:W66"/>
    <mergeCell ref="X65:X66"/>
    <mergeCell ref="F7:H7"/>
    <mergeCell ref="F8:H8"/>
    <mergeCell ref="F4:H5"/>
    <mergeCell ref="E8:E11"/>
    <mergeCell ref="F3:H3"/>
    <mergeCell ref="E4:E5"/>
    <mergeCell ref="F6:H6"/>
  </mergeCells>
  <pageMargins left="0.7" right="0.39" top="0.65" bottom="0.51" header="0.3" footer="0.3"/>
  <pageSetup paperSize="9" scale="70" orientation="landscape" r:id="rId1"/>
  <colBreaks count="1" manualBreakCount="1">
    <brk id="16"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5" tint="-0.249977111117893"/>
  </sheetPr>
  <dimension ref="A1:CH789"/>
  <sheetViews>
    <sheetView zoomScaleNormal="100" workbookViewId="0">
      <pane xSplit="8" ySplit="7" topLeftCell="I8" activePane="bottomRight" state="frozen"/>
      <selection pane="topRight" activeCell="H1" sqref="H1"/>
      <selection pane="bottomLeft" activeCell="A8" sqref="A8"/>
      <selection pane="bottomRight" activeCell="R7" sqref="R7"/>
    </sheetView>
  </sheetViews>
  <sheetFormatPr defaultRowHeight="12" x14ac:dyDescent="0.2"/>
  <cols>
    <col min="1" max="1" width="12.42578125" style="2" bestFit="1" customWidth="1"/>
    <col min="2" max="2" width="8.42578125" style="2" customWidth="1"/>
    <col min="3" max="3" width="7.85546875" style="2" customWidth="1"/>
    <col min="4" max="4" width="8.85546875" style="4" customWidth="1"/>
    <col min="5" max="5" width="6.85546875" style="2" customWidth="1"/>
    <col min="6" max="7" width="12.7109375" style="2" customWidth="1"/>
    <col min="8" max="8" width="8.42578125" style="2" customWidth="1"/>
    <col min="9" max="9" width="11.42578125" style="2" customWidth="1"/>
    <col min="10" max="10" width="9.42578125" style="2" customWidth="1"/>
    <col min="11" max="11" width="9.5703125" style="2" customWidth="1"/>
    <col min="12" max="12" width="10.42578125" style="2" customWidth="1"/>
    <col min="13" max="13" width="10.85546875" style="2" customWidth="1"/>
    <col min="14" max="14" width="10.28515625" style="7" bestFit="1" customWidth="1"/>
    <col min="15" max="15" width="10.7109375" style="2" customWidth="1"/>
    <col min="16" max="16" width="17" style="3" bestFit="1" customWidth="1"/>
    <col min="17" max="17" width="15.85546875" style="5" bestFit="1" customWidth="1"/>
    <col min="18" max="19" width="11.140625" style="7" customWidth="1"/>
    <col min="20" max="20" width="15.42578125" style="7" customWidth="1"/>
    <col min="21" max="21" width="11.140625" style="7" customWidth="1"/>
    <col min="22" max="22" width="12.85546875" style="15" customWidth="1"/>
    <col min="23" max="23" width="13.140625" style="5" customWidth="1"/>
    <col min="24" max="24" width="15.7109375" style="3" customWidth="1"/>
    <col min="25" max="25" width="12.28515625" style="2" customWidth="1"/>
    <col min="26" max="26" width="13.42578125" style="2" customWidth="1"/>
    <col min="27" max="29" width="10.140625" style="2" customWidth="1"/>
    <col min="30" max="30" width="18" style="2" bestFit="1" customWidth="1"/>
    <col min="31" max="31" width="13.42578125" style="2" customWidth="1"/>
    <col min="32" max="32" width="17.7109375" style="7" bestFit="1" customWidth="1"/>
    <col min="33" max="33" width="12.85546875" style="2" customWidth="1"/>
    <col min="34" max="34" width="14" style="2" customWidth="1"/>
    <col min="35" max="35" width="24.42578125" style="2" bestFit="1" customWidth="1"/>
    <col min="36" max="36" width="11" style="2" bestFit="1" customWidth="1"/>
    <col min="37" max="37" width="9.42578125" style="2" bestFit="1" customWidth="1"/>
    <col min="38" max="38" width="9.42578125" style="2" customWidth="1"/>
    <col min="39" max="41" width="13.85546875" style="2" customWidth="1"/>
    <col min="42" max="42" width="11" style="3" bestFit="1" customWidth="1"/>
    <col min="43" max="44" width="9.85546875" style="3" customWidth="1"/>
    <col min="45" max="46" width="11" style="2" bestFit="1" customWidth="1"/>
    <col min="47" max="47" width="11" style="7" bestFit="1" customWidth="1"/>
    <col min="48" max="48" width="11.42578125" style="2" bestFit="1" customWidth="1"/>
    <col min="49" max="49" width="9.140625" style="2" customWidth="1"/>
    <col min="50" max="50" width="10.5703125" style="2" customWidth="1"/>
    <col min="51" max="51" width="10.42578125" style="2" customWidth="1"/>
    <col min="52" max="52" width="10.140625" style="2" customWidth="1"/>
    <col min="53" max="53" width="10.5703125" style="2" customWidth="1"/>
    <col min="54" max="55" width="9.140625" style="2" customWidth="1"/>
    <col min="56" max="57" width="9.140625" style="2"/>
    <col min="58" max="58" width="10.7109375" style="2" customWidth="1"/>
    <col min="59" max="59" width="9.140625" style="2"/>
    <col min="60" max="60" width="9.140625" style="2" customWidth="1"/>
    <col min="61" max="62" width="9.28515625" style="2" customWidth="1"/>
    <col min="63" max="63" width="8.85546875" style="2" customWidth="1"/>
    <col min="64" max="64" width="10.140625" style="2" customWidth="1"/>
    <col min="65" max="66" width="9.140625" style="2"/>
    <col min="67" max="67" width="10.42578125" style="2" customWidth="1"/>
    <col min="68" max="68" width="9.140625" style="2"/>
    <col min="69" max="69" width="14" style="2" bestFit="1" customWidth="1"/>
    <col min="70" max="70" width="9.140625" style="2"/>
    <col min="71" max="71" width="12.42578125" style="2" bestFit="1" customWidth="1"/>
    <col min="72" max="72" width="13.42578125" style="2" customWidth="1"/>
    <col min="73" max="80" width="9.140625" style="2"/>
    <col min="81" max="81" width="11.28515625" style="2" bestFit="1" customWidth="1"/>
    <col min="82" max="82" width="10.28515625" style="2" bestFit="1" customWidth="1"/>
    <col min="83" max="84" width="11.28515625" style="2" bestFit="1" customWidth="1"/>
    <col min="85" max="85" width="9.140625" style="2"/>
    <col min="86" max="86" width="11.28515625" style="2" customWidth="1"/>
    <col min="87" max="16384" width="9.140625" style="2"/>
  </cols>
  <sheetData>
    <row r="1" spans="1:86" ht="12.75" thickBot="1" x14ac:dyDescent="0.25">
      <c r="D1" s="2"/>
    </row>
    <row r="2" spans="1:86" ht="12.75" customHeight="1" thickBot="1" x14ac:dyDescent="0.25">
      <c r="D2" s="633" t="s">
        <v>55</v>
      </c>
      <c r="E2" s="634"/>
      <c r="F2" s="42">
        <f>Input!E24</f>
        <v>0.08</v>
      </c>
      <c r="G2" s="2" t="s">
        <v>69</v>
      </c>
      <c r="M2" s="137"/>
      <c r="P2" s="108" t="s">
        <v>117</v>
      </c>
      <c r="Q2" s="109">
        <v>1</v>
      </c>
      <c r="S2" s="15"/>
      <c r="T2" s="15"/>
      <c r="U2" s="15"/>
      <c r="W2" s="215">
        <f>wfmc/12</f>
        <v>1.1249999999999999E-3</v>
      </c>
      <c r="X2" s="47" t="s">
        <v>56</v>
      </c>
      <c r="Y2" s="48">
        <f>((1+wfmc/365.25)^(365.25))^(1/12)-1</f>
        <v>1.1256122364291521E-3</v>
      </c>
      <c r="AB2" s="140"/>
      <c r="AC2" s="140"/>
      <c r="AG2" s="637" t="s">
        <v>23</v>
      </c>
      <c r="AH2" s="638"/>
      <c r="AP2" s="43"/>
      <c r="AQ2" s="43"/>
      <c r="AR2" s="43"/>
      <c r="AS2" s="43"/>
      <c r="AT2" s="43"/>
      <c r="AU2" s="43"/>
      <c r="BG2" s="47" t="s">
        <v>77</v>
      </c>
      <c r="BH2" s="52">
        <v>1</v>
      </c>
      <c r="CC2" s="3">
        <f ca="1">SUM(N7:N367)</f>
        <v>0</v>
      </c>
    </row>
    <row r="3" spans="1:86" ht="12.75" thickBot="1" x14ac:dyDescent="0.25">
      <c r="D3" s="635"/>
      <c r="E3" s="636"/>
      <c r="F3" s="214">
        <f>((1+F2)^(1/12)-1)</f>
        <v>6.4340301100034303E-3</v>
      </c>
      <c r="G3" s="2" t="s">
        <v>70</v>
      </c>
      <c r="M3" s="247"/>
      <c r="N3" s="16"/>
      <c r="P3" s="24"/>
      <c r="R3" s="33"/>
      <c r="S3" s="33"/>
      <c r="T3" s="33"/>
      <c r="U3" s="149"/>
      <c r="W3" s="3"/>
      <c r="Y3" s="3"/>
      <c r="Z3" s="3"/>
      <c r="AA3" s="3"/>
      <c r="AB3" s="3"/>
      <c r="AC3" s="3"/>
      <c r="AD3" s="3"/>
      <c r="AE3" s="3"/>
      <c r="AF3" s="152"/>
      <c r="AG3" s="8" t="s">
        <v>25</v>
      </c>
      <c r="AH3" s="9">
        <f ca="1">IRR(AH7:AH367,0.000001)</f>
        <v>4.5679760743393416E-3</v>
      </c>
      <c r="AS3" s="3"/>
      <c r="BG3" s="19"/>
      <c r="BH3" s="19"/>
      <c r="BI3" s="19"/>
      <c r="BJ3" s="19"/>
      <c r="BK3" s="19"/>
      <c r="BL3" s="19"/>
      <c r="BM3" s="19"/>
      <c r="BN3" s="19"/>
      <c r="BO3" s="19"/>
      <c r="BP3" s="19"/>
      <c r="CC3" s="3"/>
      <c r="CD3" s="3"/>
      <c r="CF3" s="3"/>
    </row>
    <row r="4" spans="1:86" ht="12.75" thickBot="1" x14ac:dyDescent="0.25">
      <c r="A4" s="150"/>
      <c r="D4" s="2"/>
      <c r="W4" s="3"/>
      <c r="Y4" s="3"/>
      <c r="Z4" s="3"/>
      <c r="AA4" s="16"/>
      <c r="AB4" s="16"/>
      <c r="AC4" s="16"/>
      <c r="AD4" s="16"/>
      <c r="AE4" s="3"/>
      <c r="AG4" s="10" t="s">
        <v>26</v>
      </c>
      <c r="AH4" s="11">
        <f ca="1">(1+AH3)^12-1</f>
        <v>5.6214082552525912E-2</v>
      </c>
      <c r="AJ4" s="43" t="s">
        <v>28</v>
      </c>
      <c r="AK4" s="43"/>
      <c r="AL4" s="43"/>
      <c r="AM4" s="43"/>
      <c r="AN4" s="43"/>
      <c r="AW4" s="43" t="s">
        <v>97</v>
      </c>
      <c r="AX4" s="43"/>
      <c r="BG4" s="49" t="s">
        <v>214</v>
      </c>
      <c r="BH4" s="49"/>
      <c r="BI4" s="26"/>
      <c r="BJ4" s="26"/>
      <c r="BK4" s="49"/>
      <c r="BL4" s="49"/>
      <c r="BM4" s="26"/>
      <c r="BN4" s="26"/>
      <c r="BO4" s="49"/>
      <c r="BS4" s="639"/>
      <c r="BT4" s="639"/>
      <c r="BU4" s="639"/>
      <c r="CE4" s="3"/>
      <c r="CH4" s="2">
        <f ca="1">SUM(CH7:CH367)</f>
        <v>25</v>
      </c>
    </row>
    <row r="5" spans="1:86" s="128" customFormat="1" ht="72" customHeight="1" x14ac:dyDescent="0.2">
      <c r="B5" s="53" t="s">
        <v>78</v>
      </c>
      <c r="C5" s="53" t="s">
        <v>66</v>
      </c>
      <c r="D5" s="53" t="s">
        <v>12</v>
      </c>
      <c r="E5" s="53" t="s">
        <v>38</v>
      </c>
      <c r="F5" s="53" t="s">
        <v>12</v>
      </c>
      <c r="G5" s="53" t="s">
        <v>318</v>
      </c>
      <c r="H5" s="53" t="s">
        <v>13</v>
      </c>
      <c r="I5" s="53" t="s">
        <v>67</v>
      </c>
      <c r="J5" s="53" t="s">
        <v>14</v>
      </c>
      <c r="K5" s="53" t="s">
        <v>54</v>
      </c>
      <c r="L5" s="53" t="s">
        <v>15</v>
      </c>
      <c r="M5" s="53" t="s">
        <v>107</v>
      </c>
      <c r="N5" s="53" t="s">
        <v>108</v>
      </c>
      <c r="O5" s="53" t="s">
        <v>114</v>
      </c>
      <c r="P5" s="53" t="s">
        <v>41</v>
      </c>
      <c r="Q5" s="53" t="s">
        <v>18</v>
      </c>
      <c r="R5" s="53" t="s">
        <v>62</v>
      </c>
      <c r="S5" s="53" t="s">
        <v>76</v>
      </c>
      <c r="T5" s="53" t="s">
        <v>314</v>
      </c>
      <c r="U5" s="53" t="s">
        <v>305</v>
      </c>
      <c r="V5" s="53" t="s">
        <v>40</v>
      </c>
      <c r="W5" s="53" t="s">
        <v>19</v>
      </c>
      <c r="X5" s="53" t="s">
        <v>74</v>
      </c>
      <c r="Y5" s="53" t="s">
        <v>36</v>
      </c>
      <c r="Z5" s="53" t="s">
        <v>75</v>
      </c>
      <c r="AA5" s="53" t="s">
        <v>256</v>
      </c>
      <c r="AB5" s="53" t="s">
        <v>255</v>
      </c>
      <c r="AC5" s="53" t="s">
        <v>394</v>
      </c>
      <c r="AD5" s="53" t="s">
        <v>72</v>
      </c>
      <c r="AE5" s="53" t="s">
        <v>73</v>
      </c>
      <c r="AF5" s="37"/>
      <c r="AG5" s="56" t="s">
        <v>12</v>
      </c>
      <c r="AH5" s="57" t="s">
        <v>24</v>
      </c>
      <c r="AJ5" s="53" t="s">
        <v>68</v>
      </c>
      <c r="AK5" s="53" t="s">
        <v>54</v>
      </c>
      <c r="AL5" s="53" t="s">
        <v>27</v>
      </c>
      <c r="AM5" s="54" t="s">
        <v>201</v>
      </c>
      <c r="AN5" s="54" t="s">
        <v>199</v>
      </c>
      <c r="AO5" s="54" t="s">
        <v>200</v>
      </c>
      <c r="AP5" s="54" t="s">
        <v>57</v>
      </c>
      <c r="AQ5" s="53" t="s">
        <v>79</v>
      </c>
      <c r="AR5" s="53" t="s">
        <v>71</v>
      </c>
      <c r="AS5" s="53" t="s">
        <v>58</v>
      </c>
      <c r="AT5" s="53" t="s">
        <v>61</v>
      </c>
      <c r="AU5" s="53" t="s">
        <v>59</v>
      </c>
      <c r="AW5" s="55" t="s">
        <v>13</v>
      </c>
      <c r="AX5" s="55" t="s">
        <v>54</v>
      </c>
      <c r="AY5" s="55" t="s">
        <v>2</v>
      </c>
      <c r="AZ5" s="55" t="s">
        <v>363</v>
      </c>
      <c r="BA5" s="55" t="s">
        <v>362</v>
      </c>
      <c r="BB5" s="55" t="s">
        <v>29</v>
      </c>
      <c r="BC5" s="55" t="s">
        <v>36</v>
      </c>
      <c r="BD5" s="55" t="s">
        <v>213</v>
      </c>
      <c r="BE5" s="55" t="s">
        <v>137</v>
      </c>
      <c r="BF5" s="55" t="s">
        <v>105</v>
      </c>
      <c r="BG5" s="53" t="s">
        <v>54</v>
      </c>
      <c r="BH5" s="53" t="s">
        <v>2</v>
      </c>
      <c r="BI5" s="53" t="s">
        <v>76</v>
      </c>
      <c r="BJ5" s="229" t="s">
        <v>305</v>
      </c>
      <c r="BK5" s="53" t="s">
        <v>29</v>
      </c>
      <c r="BL5" s="53" t="s">
        <v>315</v>
      </c>
      <c r="BM5" s="53" t="s">
        <v>80</v>
      </c>
      <c r="BN5" s="53" t="s">
        <v>141</v>
      </c>
      <c r="BO5" s="53" t="s">
        <v>81</v>
      </c>
      <c r="BP5" s="53" t="s">
        <v>215</v>
      </c>
      <c r="BT5" s="31"/>
      <c r="BV5" s="31"/>
      <c r="BW5" s="53" t="s">
        <v>135</v>
      </c>
      <c r="BX5" s="53" t="s">
        <v>136</v>
      </c>
      <c r="BY5" s="53" t="s">
        <v>138</v>
      </c>
      <c r="BZ5" s="2"/>
      <c r="CA5" s="2"/>
      <c r="CC5" s="53" t="s">
        <v>180</v>
      </c>
      <c r="CD5" s="53" t="s">
        <v>182</v>
      </c>
      <c r="CE5" s="53" t="s">
        <v>181</v>
      </c>
      <c r="CF5" s="53" t="s">
        <v>183</v>
      </c>
      <c r="CH5" s="53" t="s">
        <v>384</v>
      </c>
    </row>
    <row r="6" spans="1:86" x14ac:dyDescent="0.2">
      <c r="D6" s="2"/>
      <c r="N6" s="46"/>
      <c r="O6" s="116">
        <f ca="1">SUM(O7:O367)</f>
        <v>0</v>
      </c>
      <c r="Q6" s="16"/>
      <c r="S6" s="16"/>
      <c r="T6" s="16"/>
      <c r="U6" s="16"/>
      <c r="Y6" s="19"/>
      <c r="AG6" s="44"/>
      <c r="AH6" s="44"/>
      <c r="AJ6" s="44"/>
      <c r="AK6" s="44"/>
      <c r="AL6" s="44"/>
      <c r="AM6" s="44"/>
      <c r="AN6" s="44"/>
      <c r="AO6" s="44"/>
      <c r="AP6" s="45"/>
      <c r="AQ6" s="45"/>
      <c r="AR6" s="45"/>
      <c r="AS6" s="44"/>
      <c r="AT6" s="44"/>
      <c r="AU6" s="46"/>
      <c r="BH6" s="2">
        <f>2400*18%</f>
        <v>432</v>
      </c>
    </row>
    <row r="7" spans="1:86" s="7" customFormat="1" x14ac:dyDescent="0.2">
      <c r="B7" s="14">
        <f t="shared" ref="B7:B70" si="0">IF(H7&lt;=pt,1,0)</f>
        <v>1</v>
      </c>
      <c r="C7" s="12">
        <f t="shared" ref="C7:C70" si="1">IF(H7&lt;=ppt,1,0)</f>
        <v>1</v>
      </c>
      <c r="D7" s="17">
        <f>F7+1</f>
        <v>1</v>
      </c>
      <c r="E7" s="17">
        <f t="shared" ref="E7:E70" ca="1" si="2">(age+(H7-1))</f>
        <v>60</v>
      </c>
      <c r="F7" s="12">
        <v>0</v>
      </c>
      <c r="G7" s="12">
        <v>1</v>
      </c>
      <c r="H7" s="17">
        <v>1</v>
      </c>
      <c r="I7" s="29">
        <f>IF(AND(H7&lt;=pt,H7&lt;=ppt,F7=0,fq=1),pr,IF(AND(H7&lt;=pt,H7&lt;=ppt,fq=2,MOD(F7,6)=0),pr/fq,IF(AND(H7&lt;=pt,H7&lt;=ppt,fq=12),pr/fq,0)))</f>
        <v>300000</v>
      </c>
      <c r="J7" s="211">
        <f>IFERROR(VLOOKUP(H7,Charges!$T$6:$U$35,2,0)*C7,0)</f>
        <v>0.94499999999999995</v>
      </c>
      <c r="K7" s="29">
        <f t="shared" ref="K7:K70" si="3">ROUND((100%-J7)*I7,Round)</f>
        <v>16500</v>
      </c>
      <c r="L7" s="29">
        <f t="shared" ref="L7:L70" si="4">(I7-(K7+BG7*IF(Model_Type="Pricing_Unit",1,0)))*C7</f>
        <v>280530</v>
      </c>
      <c r="M7" s="147">
        <f t="shared" ref="M7:M70" ca="1" si="5">IF(AND(OR(Option_PW="Y",Option_SPW="Y"),H7&gt;Lock_In_Period,H7&lt;=pt,(W7-IF(option="Single",1/5*pr,2*pr))&gt;0,(age+H7)&gt;=Legal_Age),(W6+L7-IF(option="Single",1/5*pr,2*pr)),0)</f>
        <v>0</v>
      </c>
      <c r="N7" s="148">
        <f ca="1">IF(AND(Option_SPW="Y",H7&gt;=Lock_In_Period,Z6&gt;SPW_Amount_pa+IF(option="Single",1/5*pr,2*pr),H7&gt;=SPW_Start_Year,H7&lt;=SPW_Start_Year+SPW_Duration-1,age+H7&gt;=Legal_Age),IF(AND(F7=0,SPW_Payout_Freq=1),SPW_Amount_pa,IF(AND(SPW_Payout_Freq=2,MOD(F7,6)=0),SPW_Amount_pa/SPW_Payout_Freq,IF(AND(SPW_Payout_Freq=4,MOD(F7,3)=0),SPW_Amount_pa/SPW_Payout_Freq,IF(SPW_Payout_Freq=12,SPW_Amount_pa/SPW_Payout_Freq,0)))),0)+IFERROR(VLOOKUP(H7,Input!$B$68:$C$74,2,0),0)*(F7=0)*(Option_PW="Y")*(Option_SPW="N")*(age+H7&gt;=Legal_Age)</f>
        <v>0</v>
      </c>
      <c r="O7" s="148">
        <f t="shared" ref="O7:O70" ca="1" si="6">IF(N7&lt;=M7,0,1)</f>
        <v>0</v>
      </c>
      <c r="P7" s="14">
        <f ca="1">(MAX(MAX(sa-CF6*Flag_UL_Type,105%*SUM($I$7:I7))-(AD6+L7-N7)*Flag_UL_Type,0)*B7)</f>
        <v>2719470</v>
      </c>
      <c r="Q7" s="213">
        <f ca="1">IF(B7=0,0,ROUND(P7*(_rpm1+(1+_emr1)*VLOOKUP(E7,Tab_Mort_Charge,IF(Gender="M",2,3),0))*Flag_Mort_Rider_Charge*(P7&gt;0),Round))*(0.001*IF(Model_Type="LA_PQIS",0.0833,(1/12)))</f>
        <v>2466.3326674999998</v>
      </c>
      <c r="R7" s="248">
        <f t="shared" ref="R7:R70" ca="1" si="7">IF(AND(B7,ADB_Flag="Y",age&lt;=ADB_MAX_AGE,age&gt;=ADB_MIN_AGE,E7&lt;=age+pt),sa_adb,0)</f>
        <v>0</v>
      </c>
      <c r="S7" s="14">
        <f t="shared" ref="S7:S70" ca="1" si="8">ROUND((adb_rate*(1+adb_emr)+adb_rpm)*R7*(0.001*IF(Model_Type="LA_PQIS",0.0833,(1/12)))*Flag_Mort_Rider_Charge*IF(age+H7-1&lt;=Max_Maturity_Age,1,0),Round)</f>
        <v>0</v>
      </c>
      <c r="T7" s="14">
        <f>IFERROR(IF(WoP_Flag="Y",IF(fq=1,VLOOKUP(ppt*fq-H7,Charges!$AN$41:$AO$59,2,FALSE),IF(fq=2,VLOOKUP(ppt*fq-G7,Charges!$AP$41:$AQ$79,2,FALSE),VLOOKUP(ppt*fq-D7,Charges!$AR$41:$AS$279,2,FALSE)))*pr/fq,0),0)</f>
        <v>0</v>
      </c>
      <c r="U7" s="14">
        <f t="shared" ref="U7:U70" ca="1" si="9">IFERROR(((T7*(VLOOKUP(age_2+H7-1,Tab_Mort_Charge,IF(Gender_2="M",2,3),FALSE)*(1+_emr2)+_rpm2)/IF(Model_Type="LA_PQIS",1000/0.0833,(12*1000))))*Flag_Mort_Rider_Charge*(T7&gt;0),0)</f>
        <v>0</v>
      </c>
      <c r="V7" s="34">
        <f>ROUND(MIN(IF(H7&gt;=7,Charges!$C$12*(1+Charges!$C$14)^((H7-7+1)),VLOOKUP(H7,Charges!$B$7:$C$12,2,0))*pr,Charges!$C$13)*B7,Round)</f>
        <v>450</v>
      </c>
      <c r="W7" s="14">
        <f t="shared" ref="W7:W70" ca="1" si="10">+(AD6+L7-(N7+Q7+S7+U7+V7+BG7*IF(Model_Type="La_PQIS",1,0)+BH7+BK7+BJ7+BI7+BM7*IF(Model_Type="La_PQIS",1,0)))*B7</f>
        <v>277088.72745235002</v>
      </c>
      <c r="X7" s="14">
        <f t="shared" ref="X7:X70" ca="1" si="11">W7*(1+$F$3)</f>
        <v>278871.52466792095</v>
      </c>
      <c r="Y7" s="213">
        <f ca="1">X7*$Y$2</f>
        <v>313.90120055786593</v>
      </c>
      <c r="Z7" s="14">
        <f t="shared" ref="Z7:Z70" ca="1" si="12">X7-(Y7+BL7)</f>
        <v>278501.12125126267</v>
      </c>
      <c r="AA7" s="14">
        <f>IF(AND($H7=pt,$F7=11),SUM($K$7:K7)*VLOOKUP(pt,ROC,2,FALSE),0)</f>
        <v>0</v>
      </c>
      <c r="AB7" s="14">
        <f>IF(AND($H7=pt,$F7=11),SUM($V$7:V7)*VLOOKUP(pt,ROC,2,FALSE),0)</f>
        <v>0</v>
      </c>
      <c r="AC7" s="14">
        <f>IF(AND($H7=pt,$F7=11),SUM($Q$7:Q7)*VLOOKUP(pt,ROC,2,FALSE),0)</f>
        <v>0</v>
      </c>
      <c r="AD7" s="14">
        <f t="shared" ref="AD7:AD70" ca="1" si="13">Z7+AA7+AB7+AC7</f>
        <v>278501.12125126267</v>
      </c>
      <c r="AE7" s="14">
        <f ca="1">(MAX(sa-CF6*Flag_UL_Type,105%*SUM($I$7:I7),Z7)+AU7)*B7</f>
        <v>3000000</v>
      </c>
      <c r="AF7" s="136"/>
      <c r="AG7" s="18">
        <v>1</v>
      </c>
      <c r="AH7" s="30">
        <f t="shared" ref="AH7:AH70" ca="1" si="14">(I7+AJ7)-IF(AG7=pt*12+1,AD6,0)-IF(AG7=pt*12+1,AR6,0)-N7</f>
        <v>300000</v>
      </c>
      <c r="AI7" s="138"/>
      <c r="AJ7" s="50">
        <f>IF(AND(Option_Sys_TopUp&gt;="Y",H7&gt;=sytp,H7&lt;=(dtp+sytp-1),F7=0,H7&lt;=ppt+1),atp,0)+IFERROR(VLOOKUP(H7,Input!$B$55:$C$61,2,0),0)*(F7=0)*(Option_TopUP="Y")*(Option_Sys_TopUp="N")*B7*(pt&gt;=H7+5)</f>
        <v>0</v>
      </c>
      <c r="AK7" s="50">
        <f t="shared" ref="AK7:AK70" si="15">ROUND(allctp*AJ7,0)</f>
        <v>0</v>
      </c>
      <c r="AL7" s="50">
        <f>AJ7-(AK7+BM7*0)</f>
        <v>0</v>
      </c>
      <c r="AM7" s="50">
        <f t="shared" ref="AM7" si="16">AR6+AL7</f>
        <v>0</v>
      </c>
      <c r="AN7" s="50">
        <f ca="1">IF(B7=0,0,AT7*(_rpm1+(1+_emr1)*VLOOKUP(E7,Tab_Mort_Charge,IF(Input!$C$12="M",2,3),0))*(0.001*0.0833)*Flag_Mort_Rider_Charge*(AT7&gt;0))</f>
        <v>0</v>
      </c>
      <c r="AO7" s="50">
        <f t="shared" ref="AO7:AO70" ca="1" si="17">AM7-AN7-BM7*1-BN7*1</f>
        <v>0</v>
      </c>
      <c r="AP7" s="50">
        <f ca="1">(AO7)*(1+$F$3)*B7</f>
        <v>0</v>
      </c>
      <c r="AQ7" s="50">
        <f t="shared" ref="AQ7:AQ70" ca="1" si="18">AP7*$Y$2</f>
        <v>0</v>
      </c>
      <c r="AR7" s="50">
        <f t="shared" ref="AR7:AR70" ca="1" si="19">AP7-(AQ7+BO7)</f>
        <v>0</v>
      </c>
      <c r="AS7" s="50">
        <f t="shared" ref="AS7:AS70" si="20">(AJ7*TOPUP_Cover_Level+AS6)*B7</f>
        <v>0</v>
      </c>
      <c r="AT7" s="155">
        <f>(MAX((MAX(AS7,105%*SUM($AJ$7:AJ7))-AM7*Flag_UL_Type),0)*B7)</f>
        <v>0</v>
      </c>
      <c r="AU7" s="50">
        <f ca="1">(MAX(AS7,AR7,105%*SUM($AJ$7:AJ7))*B7)</f>
        <v>0</v>
      </c>
      <c r="AV7" s="125"/>
      <c r="AW7" s="12">
        <v>1</v>
      </c>
      <c r="AX7" s="14">
        <f t="shared" ref="AX7:AX36" si="21">SUMIF($H$7:$H$367,"="&amp;AW7,$K$7:$K$367)+SUMIF($H$7:$H$367,"="&amp;AW7,$AK$7:$AK$367)</f>
        <v>16500</v>
      </c>
      <c r="AY7" s="14">
        <f t="shared" ref="AY7:AY36" ca="1" si="22">SUMIF($H$7:$H$367,"="&amp;AW7,$Q$7:$Q$367)+SUMIF($H$7:$H$367,"="&amp;AW7,$AN$7:$AN$367)</f>
        <v>29719.967455754551</v>
      </c>
      <c r="AZ7" s="14">
        <f t="shared" ref="AZ7:AZ36" ca="1" si="23">SUMIF($H$7:$H$367,"="&amp;AW7,$S$7:$S$367)</f>
        <v>0</v>
      </c>
      <c r="BA7" s="14">
        <f t="shared" ref="BA7:BA36" ca="1" si="24">SUMIF($H$7:$H$367,"="&amp;AW7,$U$7:$U$367)</f>
        <v>0</v>
      </c>
      <c r="BB7" s="14">
        <f t="shared" ref="BB7:BB36" si="25">SUMIF($H$7:$H$367,"="&amp;AW7,$V$7:$V$367)</f>
        <v>5400</v>
      </c>
      <c r="BC7" s="14">
        <f t="shared" ref="BC7:BC36" ca="1" si="26">SUMIF($H$7:$H$367,"="&amp;AW7,$Y$7:$Y$367)+SUMIF($H$7:$H$367,"="&amp;AW7,$AQ$7:$AQ$367)</f>
        <v>3611.7875538151852</v>
      </c>
      <c r="BD7" s="14">
        <f t="shared" ref="BD7:BD36" ca="1" si="27">SUMIF($H$7:$H$367,"="&amp;AW7,$BP$7:$BP$367)</f>
        <v>9941.7159017225495</v>
      </c>
      <c r="BE7" s="14">
        <f t="shared" ref="BE7:BE36" si="28">SUMIF($H$7:$H$367,"="&amp;AW7,$BY$7:$BY$367)</f>
        <v>9000</v>
      </c>
      <c r="BF7" s="14">
        <f t="shared" ref="BF7:BF36" ca="1" si="29">SUMIF($H$7:$H$367,"="&amp;AW7,$N$7:$N$367)</f>
        <v>0</v>
      </c>
      <c r="BG7" s="51">
        <f t="shared" ref="BG7:BG70" si="30">ROUND(K7*Service_Tax_Rate*Flag_Service_Tax,Round)+ROUND(K7*Cess1_Rate*Flag_Service_Tax,Round)+ROUND(K7*Cess2_Rate*Flag_Service_Tax,Round)</f>
        <v>2970</v>
      </c>
      <c r="BH7" s="51">
        <f t="shared" ref="BH7:BH70" ca="1" si="31">ROUND(Q7*Service_Tax_Rate*Flag_Service_Tax,Round)+ROUND(Q7*Cess1_Rate*Flag_Service_Tax,Round)+ROUND(Q7*Cess2_Rate*Flag_Service_Tax,Round)</f>
        <v>443.93988015000002</v>
      </c>
      <c r="BI7" s="51">
        <f t="shared" ref="BI7:BI70" ca="1" si="32">ROUND(S7*Service_Tax_Rate*Flag_Service_Tax,Round)+ROUND(S7*Cess1_Rate*Flag_Service_Tax,Round)+ROUND(S7*Cess2_Rate*Flag_Service_Tax,Round)</f>
        <v>0</v>
      </c>
      <c r="BJ7" s="51">
        <f t="shared" ref="BJ7:BJ70" ca="1" si="33">ROUND(U7*Service_Tax_Rate*Flag_Service_Tax,Round)+ROUND(U7*Cess1_Rate*Flag_Service_Tax,Round)+ROUND(U7*Cess2_Rate*Flag_Service_Tax,2)</f>
        <v>0</v>
      </c>
      <c r="BK7" s="51">
        <f t="shared" ref="BK7:BK70" si="34">ROUND(V7*Service_Tax_Rate*Flag_Service_Tax,Round)+ROUND(V7*Cess1_Rate*Flag_Service_Tax,Round)+ROUND(V7*Cess2_Rate*Flag_Service_Tax,Round)</f>
        <v>81</v>
      </c>
      <c r="BL7" s="51">
        <f t="shared" ref="BL7:BL70" ca="1" si="35">Y7*Service_Tax_Rate*Flag_Service_Tax+Y7*Cess1_Rate*Flag_Service_Tax+Y7*Cess2_Rate*Flag_Service_Tax</f>
        <v>56.502216100415865</v>
      </c>
      <c r="BM7" s="51">
        <f t="shared" ref="BM7:BM70" si="36">ROUND(AK7*Service_Tax_Rate*Flag_Service_Tax,Round)+ROUND(AK7*Cess1_Rate*Flag_Service_Tax,Round)+ROUND(AK7*Cess2_Rate*Flag_Service_Tax,Round)</f>
        <v>0</v>
      </c>
      <c r="BN7" s="51">
        <f t="shared" ref="BN7:BN70" ca="1" si="37">ROUND(AN7*Service_Tax_Rate*Flag_Service_Tax,Round)+ROUND(AN7*Cess1_Rate*Flag_Service_Tax,Round)+ROUND(AN7*Cess2_Rate*Flag_Service_Tax,Round)</f>
        <v>0</v>
      </c>
      <c r="BO7" s="51">
        <f t="shared" ref="BO7:BO70" ca="1" si="38">AQ7*Service_Tax_Rate*Flag_Service_Tax+AQ7*Cess1_Rate*Flag_Service_Tax+AQ7*Cess2_Rate*Flag_Service_Tax</f>
        <v>0</v>
      </c>
      <c r="BP7" s="51">
        <f t="shared" ref="BP7:BP70" ca="1" si="39">SUM(BG7:BO7)</f>
        <v>3551.4420962504159</v>
      </c>
      <c r="BR7" s="32"/>
      <c r="BS7" s="126"/>
      <c r="BT7" s="16"/>
      <c r="BU7" s="58"/>
      <c r="BW7" s="51">
        <f>IF(Input!$C$13="Offline",VLOOKUP(H7,Charges!$AT$4:$AU$33,2,FALSE)*I7,0)</f>
        <v>9000</v>
      </c>
      <c r="BX7" s="51">
        <f t="shared" ref="BX7:BX70" si="40">AJ7*Commission_TOPUP</f>
        <v>0</v>
      </c>
      <c r="BY7" s="51">
        <f>SUM(BW7:BX7)</f>
        <v>9000</v>
      </c>
      <c r="BZ7" s="151"/>
      <c r="CA7" s="151"/>
      <c r="CB7" s="32"/>
      <c r="CC7" s="16">
        <f ca="1">SUM($N$7:$N7)</f>
        <v>0</v>
      </c>
      <c r="CD7" s="16">
        <f t="shared" ref="CD7:CD70" ca="1" si="41">IF(AND((B7=1)*(H7&gt;Lock_In_Period)),CC7-INDEX($CC$7:$CC$367,D7-24,1),0)*(E7&lt;60)</f>
        <v>0</v>
      </c>
      <c r="CE7" s="16">
        <f t="shared" ref="CE7:CE70" ca="1" si="42">(B7=1)*(H7&gt;Lock_In_Period)*(E7&gt;=60)*IFERROR((CC7-INDEX($CC$7:$CC$367,D7-24,1)),0)</f>
        <v>0</v>
      </c>
      <c r="CF7" s="7">
        <f t="shared" ref="CF7:CF70" ca="1" si="43">IF(E7&lt;60,CD7,CE7)</f>
        <v>0</v>
      </c>
      <c r="CH7" s="7">
        <f t="shared" ref="CH7:CH70" si="44">IF(Z6&gt;(IF(option="SP",1/5*pr,2*pr)),0,1)*(H7&gt;=SPW_Start_Year)*B7</f>
        <v>1</v>
      </c>
    </row>
    <row r="8" spans="1:86" s="7" customFormat="1" x14ac:dyDescent="0.2">
      <c r="B8" s="14">
        <f t="shared" si="0"/>
        <v>1</v>
      </c>
      <c r="C8" s="12">
        <f t="shared" si="1"/>
        <v>1</v>
      </c>
      <c r="D8" s="17">
        <f>D7+1</f>
        <v>2</v>
      </c>
      <c r="E8" s="17">
        <f t="shared" ca="1" si="2"/>
        <v>60</v>
      </c>
      <c r="F8" s="12">
        <f>F7+1</f>
        <v>1</v>
      </c>
      <c r="G8" s="12">
        <v>1</v>
      </c>
      <c r="H8" s="17">
        <v>1</v>
      </c>
      <c r="I8" s="29">
        <f t="shared" ref="I8:I70" si="45">IF(AND(H8&lt;=pt,H8&lt;=ppt,F8=0,fq=1),pr,IF(AND(H8&lt;=pt,H8&lt;=ppt,fq=2,MOD(F8,6)=0),pr/fq,IF(AND(H8&lt;=pt,H8&lt;=ppt,fq=12),pr/fq,0)))</f>
        <v>0</v>
      </c>
      <c r="J8" s="211">
        <f>IFERROR(VLOOKUP(H8,Charges!$T$6:$U$35,2,0)*C8,0)</f>
        <v>0.94499999999999995</v>
      </c>
      <c r="K8" s="29">
        <f t="shared" si="3"/>
        <v>0</v>
      </c>
      <c r="L8" s="29">
        <f t="shared" si="4"/>
        <v>0</v>
      </c>
      <c r="M8" s="147">
        <f t="shared" ca="1" si="5"/>
        <v>0</v>
      </c>
      <c r="N8" s="148">
        <f ca="1">IF(AND(Option_SPW="Y",H8&gt;=Lock_In_Period,Z7&gt;SPW_Amount_pa+IF(option="Single",1/5*pr,2*pr),H8&gt;=SPW_Start_Year,H8&lt;=SPW_Start_Year+SPW_Duration-1,age+H8&gt;=Legal_Age),IF(AND(F8=0,SPW_Payout_Freq=1),SPW_Amount_pa,IF(AND(SPW_Payout_Freq=2,MOD(F8,6)=0),SPW_Amount_pa/SPW_Payout_Freq,IF(AND(SPW_Payout_Freq=4,MOD(F8,3)=0),SPW_Amount_pa/SPW_Payout_Freq,IF(SPW_Payout_Freq=12,SPW_Amount_pa/SPW_Payout_Freq,0)))),0)+IFERROR(VLOOKUP(H8,Input!$B$68:$C$74,2,0),0)*(F8=0)*(Option_PW="Y")*(Option_SPW="N")*(age+H8&gt;=Legal_Age)</f>
        <v>0</v>
      </c>
      <c r="O8" s="148">
        <f t="shared" ca="1" si="6"/>
        <v>0</v>
      </c>
      <c r="P8" s="14">
        <f ca="1">(MAX(MAX(sa-CF7*Flag_UL_Type,105%*SUM($I$7:I8))-(AD7+L8-N8)*Flag_UL_Type,0)*B8)</f>
        <v>2721498.8787487373</v>
      </c>
      <c r="Q8" s="213">
        <f t="shared" ref="Q8:Q70" ca="1" si="46">IF(B8=0,0,ROUND(P8*(_rpm1+(1+_emr1)*VLOOKUP(E8,Tab_Mort_Charge,IF(Gender="M",2,3),0))*Flag_Mort_Rider_Charge*(P8&gt;0),Round))*(0.001*IF(Model_Type="LA_PQIS",0.0833,(1/12)))</f>
        <v>2468.1726914518749</v>
      </c>
      <c r="R8" s="14">
        <f t="shared" ca="1" si="7"/>
        <v>0</v>
      </c>
      <c r="S8" s="14">
        <f t="shared" ca="1" si="8"/>
        <v>0</v>
      </c>
      <c r="T8" s="14">
        <f>IFERROR(IF(WoP_Flag="Y",IF(fq=1,VLOOKUP(ppt*fq-H8,Charges!$AN$41:$AO$59,2,FALSE),IF(fq=2,VLOOKUP(ppt*fq-G8,Charges!$AP$41:$AQ$79,2,FALSE),VLOOKUP(ppt*fq-D8,Charges!$AR$41:$AS$279,2,FALSE)))*pr/fq,0),0)</f>
        <v>0</v>
      </c>
      <c r="U8" s="14">
        <f t="shared" ca="1" si="9"/>
        <v>0</v>
      </c>
      <c r="V8" s="34">
        <f>ROUND(MIN(IF(H8&gt;=7,Charges!$C$12*(1+Charges!$C$14)^((H8-7+1)),VLOOKUP(H8,Charges!$B$7:$C$12,2,0))*pr,Charges!$C$13)*B8,Round)</f>
        <v>450</v>
      </c>
      <c r="W8" s="14">
        <f t="shared" ca="1" si="10"/>
        <v>275057.67747534945</v>
      </c>
      <c r="X8" s="14">
        <f t="shared" ca="1" si="11"/>
        <v>276827.40685421345</v>
      </c>
      <c r="Y8" s="213">
        <f t="shared" ref="Y8:Y71" ca="1" si="47">X8*$Y$2</f>
        <v>311.600316534054</v>
      </c>
      <c r="Z8" s="14">
        <f t="shared" ca="1" si="12"/>
        <v>276459.71848070325</v>
      </c>
      <c r="AA8" s="14">
        <f>IF(AND($H8=pt,$F8=11),SUM($K$7:K8)*VLOOKUP(pt,ROC,2,FALSE),0)</f>
        <v>0</v>
      </c>
      <c r="AB8" s="14">
        <f>IF(AND($H8=pt,$F8=11),SUM($V$7:V8)*VLOOKUP(pt,ROC,2,FALSE),0)</f>
        <v>0</v>
      </c>
      <c r="AC8" s="14">
        <f>IF(AND($H8=pt,$F8=11),SUM($Q$7:Q8)*VLOOKUP(pt,ROC,2,FALSE),0)</f>
        <v>0</v>
      </c>
      <c r="AD8" s="14">
        <f t="shared" ca="1" si="13"/>
        <v>276459.71848070325</v>
      </c>
      <c r="AE8" s="14">
        <f ca="1">(MAX(sa-CF7*Flag_UL_Type,105%*SUM($I$7:I8),Z8)+AU8)*B8</f>
        <v>3000000</v>
      </c>
      <c r="AF8" s="136"/>
      <c r="AG8" s="18">
        <v>2</v>
      </c>
      <c r="AH8" s="30">
        <f t="shared" ca="1" si="14"/>
        <v>0</v>
      </c>
      <c r="AI8" s="138"/>
      <c r="AJ8" s="50">
        <f>IF(AND(Option_Sys_TopUp&gt;="Y",H8&gt;=sytp,H8&lt;=(dtp+sytp-1),F8=0,H8&lt;=ppt+1),atp,0)+IFERROR(VLOOKUP(H8,Input!$B$55:$C$61,2,0),0)*(F8=0)*(Option_TopUP="Y")*(Option_Sys_TopUp="N")*B8*(pt&gt;=H8+5)</f>
        <v>0</v>
      </c>
      <c r="AK8" s="50">
        <f t="shared" si="15"/>
        <v>0</v>
      </c>
      <c r="AL8" s="50">
        <f t="shared" ref="AL8:AL71" si="48">AJ8-(AK8+BM8*0)</f>
        <v>0</v>
      </c>
      <c r="AM8" s="50">
        <f t="shared" ref="AM8:AM71" ca="1" si="49">AR7+AL8</f>
        <v>0</v>
      </c>
      <c r="AN8" s="50">
        <f ca="1">IF(B8=0,0,AT8*(_rpm1+(1+_emr1)*VLOOKUP(E8,Tab_Mort_Charge,IF(Input!$C$12="M",2,3),0))*(0.001*0.0833)*Flag_Mort_Rider_Charge*(AT8&gt;0))</f>
        <v>0</v>
      </c>
      <c r="AO8" s="50">
        <f t="shared" ca="1" si="17"/>
        <v>0</v>
      </c>
      <c r="AP8" s="50">
        <f t="shared" ref="AP8:AP39" ca="1" si="50">(AL8+AR7)*(1+$F$3)*B8</f>
        <v>0</v>
      </c>
      <c r="AQ8" s="50">
        <f t="shared" ca="1" si="18"/>
        <v>0</v>
      </c>
      <c r="AR8" s="50">
        <f t="shared" ca="1" si="19"/>
        <v>0</v>
      </c>
      <c r="AS8" s="50">
        <f t="shared" si="20"/>
        <v>0</v>
      </c>
      <c r="AT8" s="50">
        <f ca="1">(MAX((MAX(AS8,105%*SUM($AJ$7:AJ8))-AM8*Flag_UL_Type),0)*B8)</f>
        <v>0</v>
      </c>
      <c r="AU8" s="50">
        <f ca="1">(MAX(AS8,AR8,105%*SUM($AJ$7:AJ8))*B8)</f>
        <v>0</v>
      </c>
      <c r="AV8" s="125"/>
      <c r="AW8" s="12">
        <f>AW7+1</f>
        <v>2</v>
      </c>
      <c r="AX8" s="14">
        <f t="shared" si="21"/>
        <v>15000</v>
      </c>
      <c r="AY8" s="14">
        <f t="shared" ca="1" si="22"/>
        <v>28776.756650672283</v>
      </c>
      <c r="AZ8" s="14">
        <f t="shared" ca="1" si="23"/>
        <v>0</v>
      </c>
      <c r="BA8" s="14">
        <f t="shared" ca="1" si="24"/>
        <v>0</v>
      </c>
      <c r="BB8" s="14">
        <f t="shared" si="25"/>
        <v>5400</v>
      </c>
      <c r="BC8" s="14">
        <f t="shared" ca="1" si="26"/>
        <v>7214.7751081206789</v>
      </c>
      <c r="BD8" s="14">
        <f t="shared" ca="1" si="27"/>
        <v>10150.475716582732</v>
      </c>
      <c r="BE8" s="14">
        <f t="shared" si="28"/>
        <v>3000</v>
      </c>
      <c r="BF8" s="14">
        <f t="shared" ca="1" si="29"/>
        <v>0</v>
      </c>
      <c r="BG8" s="51">
        <f t="shared" si="30"/>
        <v>0</v>
      </c>
      <c r="BH8" s="51">
        <f t="shared" ca="1" si="31"/>
        <v>444.27108446133701</v>
      </c>
      <c r="BI8" s="51">
        <f t="shared" ca="1" si="32"/>
        <v>0</v>
      </c>
      <c r="BJ8" s="51">
        <f t="shared" ca="1" si="33"/>
        <v>0</v>
      </c>
      <c r="BK8" s="51">
        <f t="shared" si="34"/>
        <v>81</v>
      </c>
      <c r="BL8" s="51">
        <f t="shared" ca="1" si="35"/>
        <v>56.088056976129721</v>
      </c>
      <c r="BM8" s="51">
        <f t="shared" si="36"/>
        <v>0</v>
      </c>
      <c r="BN8" s="51">
        <f t="shared" ca="1" si="37"/>
        <v>0</v>
      </c>
      <c r="BO8" s="51">
        <f t="shared" ca="1" si="38"/>
        <v>0</v>
      </c>
      <c r="BP8" s="51">
        <f t="shared" ca="1" si="39"/>
        <v>581.35914143746675</v>
      </c>
      <c r="BR8" s="32"/>
      <c r="BS8" s="126"/>
      <c r="BT8" s="16"/>
      <c r="BU8" s="58"/>
      <c r="BW8" s="51">
        <f>IF(Input!$C$13="Offline",VLOOKUP(H8,Charges!$AT$4:$AU$33,2,FALSE)*I8,0)</f>
        <v>0</v>
      </c>
      <c r="BX8" s="51">
        <f t="shared" si="40"/>
        <v>0</v>
      </c>
      <c r="BY8" s="51">
        <f t="shared" ref="BY8:BY71" si="51">SUM(BW8:BX8)</f>
        <v>0</v>
      </c>
      <c r="BZ8" s="151"/>
      <c r="CA8" s="151"/>
      <c r="CB8" s="32"/>
      <c r="CC8" s="16">
        <f ca="1">SUM($N$7:$N8)</f>
        <v>0</v>
      </c>
      <c r="CD8" s="16">
        <f t="shared" ca="1" si="41"/>
        <v>0</v>
      </c>
      <c r="CE8" s="16">
        <f t="shared" ca="1" si="42"/>
        <v>0</v>
      </c>
      <c r="CF8" s="7">
        <f t="shared" ca="1" si="43"/>
        <v>0</v>
      </c>
      <c r="CH8" s="7">
        <f t="shared" ca="1" si="44"/>
        <v>1</v>
      </c>
    </row>
    <row r="9" spans="1:86" s="7" customFormat="1" x14ac:dyDescent="0.2">
      <c r="B9" s="14">
        <f t="shared" si="0"/>
        <v>1</v>
      </c>
      <c r="C9" s="12">
        <f t="shared" si="1"/>
        <v>1</v>
      </c>
      <c r="D9" s="17">
        <f t="shared" ref="D9:D72" si="52">D8+1</f>
        <v>3</v>
      </c>
      <c r="E9" s="17">
        <f t="shared" ca="1" si="2"/>
        <v>60</v>
      </c>
      <c r="F9" s="12">
        <f t="shared" ref="F9:F18" si="53">F8+1</f>
        <v>2</v>
      </c>
      <c r="G9" s="12">
        <v>1</v>
      </c>
      <c r="H9" s="17">
        <v>1</v>
      </c>
      <c r="I9" s="29">
        <f t="shared" si="45"/>
        <v>0</v>
      </c>
      <c r="J9" s="211">
        <f>IFERROR(VLOOKUP(H9,Charges!$T$6:$U$35,2,0)*C9,0)</f>
        <v>0.94499999999999995</v>
      </c>
      <c r="K9" s="29">
        <f t="shared" si="3"/>
        <v>0</v>
      </c>
      <c r="L9" s="29">
        <f t="shared" si="4"/>
        <v>0</v>
      </c>
      <c r="M9" s="147">
        <f t="shared" ca="1" si="5"/>
        <v>0</v>
      </c>
      <c r="N9" s="148">
        <f ca="1">IF(AND(Option_SPW="Y",H9&gt;=Lock_In_Period,Z8&gt;SPW_Amount_pa+IF(option="Single",1/5*pr,2*pr),H9&gt;=SPW_Start_Year,H9&lt;=SPW_Start_Year+SPW_Duration-1,age+H9&gt;=Legal_Age),IF(AND(F9=0,SPW_Payout_Freq=1),SPW_Amount_pa,IF(AND(SPW_Payout_Freq=2,MOD(F9,6)=0),SPW_Amount_pa/SPW_Payout_Freq,IF(AND(SPW_Payout_Freq=4,MOD(F9,3)=0),SPW_Amount_pa/SPW_Payout_Freq,IF(SPW_Payout_Freq=12,SPW_Amount_pa/SPW_Payout_Freq,0)))),0)+IFERROR(VLOOKUP(H9,Input!$B$68:$C$74,2,0),0)*(F9=0)*(Option_PW="Y")*(Option_SPW="N")*(age+H9&gt;=Legal_Age)</f>
        <v>0</v>
      </c>
      <c r="O9" s="148">
        <f t="shared" ca="1" si="6"/>
        <v>0</v>
      </c>
      <c r="P9" s="14">
        <f ca="1">(MAX(MAX(sa-CF8*Flag_UL_Type,105%*SUM($I$7:I9))-(AD8+L9-N9)*Flag_UL_Type,0)*B9)</f>
        <v>2723540.2815192966</v>
      </c>
      <c r="Q9" s="213">
        <f t="shared" ca="1" si="46"/>
        <v>2470.024073647875</v>
      </c>
      <c r="R9" s="14">
        <f t="shared" ca="1" si="7"/>
        <v>0</v>
      </c>
      <c r="S9" s="14">
        <f t="shared" ca="1" si="8"/>
        <v>0</v>
      </c>
      <c r="T9" s="14">
        <f>IFERROR(IF(WoP_Flag="Y",IF(fq=1,VLOOKUP(ppt*fq-H9,Charges!$AN$41:$AO$59,2,FALSE),IF(fq=2,VLOOKUP(ppt*fq-G9,Charges!$AP$41:$AQ$79,2,FALSE),VLOOKUP(ppt*fq-D9,Charges!$AR$41:$AS$279,2,FALSE)))*pr/fq,0),0)</f>
        <v>0</v>
      </c>
      <c r="U9" s="14">
        <f t="shared" ca="1" si="9"/>
        <v>0</v>
      </c>
      <c r="V9" s="34">
        <f>ROUND(MIN(IF(H9&gt;=7,Charges!$C$12*(1+Charges!$C$14)^((H9-7+1)),VLOOKUP(H9,Charges!$B$7:$C$12,2,0))*pr,Charges!$C$13)*B9,Round)</f>
        <v>450</v>
      </c>
      <c r="W9" s="14">
        <f t="shared" ca="1" si="10"/>
        <v>273014.09007379878</v>
      </c>
      <c r="X9" s="14">
        <f t="shared" ca="1" si="11"/>
        <v>274770.67094978876</v>
      </c>
      <c r="Y9" s="213">
        <f t="shared" ca="1" si="47"/>
        <v>309.28522943293041</v>
      </c>
      <c r="Z9" s="14">
        <f t="shared" ca="1" si="12"/>
        <v>274405.71437905793</v>
      </c>
      <c r="AA9" s="14">
        <f>IF(AND($H9=pt,$F9=11),SUM($K$7:K9)*VLOOKUP(pt,ROC,2,FALSE),0)</f>
        <v>0</v>
      </c>
      <c r="AB9" s="14">
        <f>IF(AND($H9=pt,$F9=11),SUM($V$7:V9)*VLOOKUP(pt,ROC,2,FALSE),0)</f>
        <v>0</v>
      </c>
      <c r="AC9" s="14">
        <f>IF(AND($H9=pt,$F9=11),SUM($Q$7:Q9)*VLOOKUP(pt,ROC,2,FALSE),0)</f>
        <v>0</v>
      </c>
      <c r="AD9" s="14">
        <f t="shared" ca="1" si="13"/>
        <v>274405.71437905793</v>
      </c>
      <c r="AE9" s="14">
        <f ca="1">(MAX(sa-CF8*Flag_UL_Type,105%*SUM($I$7:I9),Z9)+AU9)*B9</f>
        <v>3000000</v>
      </c>
      <c r="AF9" s="136"/>
      <c r="AG9" s="18">
        <v>3</v>
      </c>
      <c r="AH9" s="30">
        <f t="shared" ca="1" si="14"/>
        <v>0</v>
      </c>
      <c r="AI9" s="138"/>
      <c r="AJ9" s="50">
        <f>IF(AND(Option_Sys_TopUp&gt;="Y",H9&gt;=sytp,H9&lt;=(dtp+sytp-1),F9=0,H9&lt;=ppt+1),atp,0)+IFERROR(VLOOKUP(H9,Input!$B$55:$C$61,2,0),0)*(F9=0)*(Option_TopUP="Y")*(Option_Sys_TopUp="N")*B9*(pt&gt;=H9+5)</f>
        <v>0</v>
      </c>
      <c r="AK9" s="50">
        <f t="shared" si="15"/>
        <v>0</v>
      </c>
      <c r="AL9" s="50">
        <f t="shared" si="48"/>
        <v>0</v>
      </c>
      <c r="AM9" s="50">
        <f t="shared" ca="1" si="49"/>
        <v>0</v>
      </c>
      <c r="AN9" s="50">
        <f ca="1">IF(B9=0,0,AT9*(_rpm1+(1+_emr1)*VLOOKUP(E9,Tab_Mort_Charge,IF(Input!$C$12="M",2,3),0))*(0.001*0.0833)*Flag_Mort_Rider_Charge*(AT9&gt;0))</f>
        <v>0</v>
      </c>
      <c r="AO9" s="50">
        <f t="shared" ca="1" si="17"/>
        <v>0</v>
      </c>
      <c r="AP9" s="50">
        <f t="shared" ca="1" si="50"/>
        <v>0</v>
      </c>
      <c r="AQ9" s="50">
        <f t="shared" ca="1" si="18"/>
        <v>0</v>
      </c>
      <c r="AR9" s="50">
        <f t="shared" ca="1" si="19"/>
        <v>0</v>
      </c>
      <c r="AS9" s="50">
        <f t="shared" si="20"/>
        <v>0</v>
      </c>
      <c r="AT9" s="50">
        <f ca="1">(MAX((MAX(AS9,105%*SUM($AJ$7:AJ9))-AM9*Flag_UL_Type),0)*B9)</f>
        <v>0</v>
      </c>
      <c r="AU9" s="50">
        <f ca="1">(MAX(AS9,AR9,105%*SUM($AJ$7:AJ9))*B9)</f>
        <v>0</v>
      </c>
      <c r="AV9" s="125"/>
      <c r="AW9" s="12">
        <f t="shared" ref="AW9:AW36" si="54">AW8+1</f>
        <v>3</v>
      </c>
      <c r="AX9" s="14">
        <f t="shared" si="21"/>
        <v>10500</v>
      </c>
      <c r="AY9" s="14">
        <f t="shared" ca="1" si="22"/>
        <v>27239.320974471178</v>
      </c>
      <c r="AZ9" s="14">
        <f t="shared" ca="1" si="23"/>
        <v>0</v>
      </c>
      <c r="BA9" s="14">
        <f t="shared" ca="1" si="24"/>
        <v>0</v>
      </c>
      <c r="BB9" s="14">
        <f t="shared" si="25"/>
        <v>5400</v>
      </c>
      <c r="BC9" s="14">
        <f t="shared" ca="1" si="26"/>
        <v>11139.4239026717</v>
      </c>
      <c r="BD9" s="14">
        <f t="shared" ca="1" si="27"/>
        <v>9770.1740778857165</v>
      </c>
      <c r="BE9" s="14">
        <f t="shared" si="28"/>
        <v>3000</v>
      </c>
      <c r="BF9" s="14">
        <f t="shared" ca="1" si="29"/>
        <v>0</v>
      </c>
      <c r="BG9" s="51">
        <f t="shared" si="30"/>
        <v>0</v>
      </c>
      <c r="BH9" s="51">
        <f t="shared" ca="1" si="31"/>
        <v>444.604333256617</v>
      </c>
      <c r="BI9" s="51">
        <f t="shared" ca="1" si="32"/>
        <v>0</v>
      </c>
      <c r="BJ9" s="51">
        <f t="shared" ca="1" si="33"/>
        <v>0</v>
      </c>
      <c r="BK9" s="51">
        <f t="shared" si="34"/>
        <v>81</v>
      </c>
      <c r="BL9" s="51">
        <f t="shared" ca="1" si="35"/>
        <v>55.671341297927469</v>
      </c>
      <c r="BM9" s="51">
        <f t="shared" si="36"/>
        <v>0</v>
      </c>
      <c r="BN9" s="51">
        <f t="shared" ca="1" si="37"/>
        <v>0</v>
      </c>
      <c r="BO9" s="51">
        <f t="shared" ca="1" si="38"/>
        <v>0</v>
      </c>
      <c r="BP9" s="51">
        <f t="shared" ca="1" si="39"/>
        <v>581.27567455454448</v>
      </c>
      <c r="BR9" s="32"/>
      <c r="BS9" s="126"/>
      <c r="BT9" s="16"/>
      <c r="BU9" s="58"/>
      <c r="BW9" s="51">
        <f>IF(Input!$C$13="Offline",VLOOKUP(H9,Charges!$AT$4:$AU$33,2,FALSE)*I9,0)</f>
        <v>0</v>
      </c>
      <c r="BX9" s="51">
        <f t="shared" si="40"/>
        <v>0</v>
      </c>
      <c r="BY9" s="51">
        <f t="shared" si="51"/>
        <v>0</v>
      </c>
      <c r="BZ9" s="151"/>
      <c r="CA9" s="151"/>
      <c r="CB9" s="32"/>
      <c r="CC9" s="16">
        <f ca="1">SUM($N$7:$N9)</f>
        <v>0</v>
      </c>
      <c r="CD9" s="16">
        <f t="shared" ca="1" si="41"/>
        <v>0</v>
      </c>
      <c r="CE9" s="16">
        <f t="shared" ca="1" si="42"/>
        <v>0</v>
      </c>
      <c r="CF9" s="7">
        <f t="shared" ca="1" si="43"/>
        <v>0</v>
      </c>
      <c r="CH9" s="7">
        <f t="shared" ca="1" si="44"/>
        <v>1</v>
      </c>
    </row>
    <row r="10" spans="1:86" s="7" customFormat="1" x14ac:dyDescent="0.2">
      <c r="B10" s="14">
        <f t="shared" si="0"/>
        <v>1</v>
      </c>
      <c r="C10" s="12">
        <f t="shared" si="1"/>
        <v>1</v>
      </c>
      <c r="D10" s="17">
        <f t="shared" si="52"/>
        <v>4</v>
      </c>
      <c r="E10" s="17">
        <f t="shared" ca="1" si="2"/>
        <v>60</v>
      </c>
      <c r="F10" s="12">
        <f t="shared" si="53"/>
        <v>3</v>
      </c>
      <c r="G10" s="12">
        <v>1</v>
      </c>
      <c r="H10" s="17">
        <v>1</v>
      </c>
      <c r="I10" s="29">
        <f t="shared" si="45"/>
        <v>0</v>
      </c>
      <c r="J10" s="211">
        <f>IFERROR(VLOOKUP(H10,Charges!$T$6:$U$35,2,0)*C10,0)</f>
        <v>0.94499999999999995</v>
      </c>
      <c r="K10" s="29">
        <f t="shared" si="3"/>
        <v>0</v>
      </c>
      <c r="L10" s="29">
        <f t="shared" si="4"/>
        <v>0</v>
      </c>
      <c r="M10" s="147">
        <f t="shared" ca="1" si="5"/>
        <v>0</v>
      </c>
      <c r="N10" s="148">
        <f ca="1">IF(AND(Option_SPW="Y",H10&gt;=Lock_In_Period,Z9&gt;SPW_Amount_pa+IF(option="Single",1/5*pr,2*pr),H10&gt;=SPW_Start_Year,H10&lt;=SPW_Start_Year+SPW_Duration-1,age+H10&gt;=Legal_Age),IF(AND(F10=0,SPW_Payout_Freq=1),SPW_Amount_pa,IF(AND(SPW_Payout_Freq=2,MOD(F10,6)=0),SPW_Amount_pa/SPW_Payout_Freq,IF(AND(SPW_Payout_Freq=4,MOD(F10,3)=0),SPW_Amount_pa/SPW_Payout_Freq,IF(SPW_Payout_Freq=12,SPW_Amount_pa/SPW_Payout_Freq,0)))),0)+IFERROR(VLOOKUP(H10,Input!$B$68:$C$74,2,0),0)*(F10=0)*(Option_PW="Y")*(Option_SPW="N")*(age+H10&gt;=Legal_Age)</f>
        <v>0</v>
      </c>
      <c r="O10" s="148">
        <f t="shared" ca="1" si="6"/>
        <v>0</v>
      </c>
      <c r="P10" s="14">
        <f ca="1">(MAX(MAX(sa-CF9*Flag_UL_Type,105%*SUM($I$7:I10))-(AD9+L10-N10)*Flag_UL_Type,0)*B10)</f>
        <v>2725594.2856209422</v>
      </c>
      <c r="Q10" s="213">
        <f t="shared" ca="1" si="46"/>
        <v>2471.8868842010579</v>
      </c>
      <c r="R10" s="14">
        <f t="shared" ca="1" si="7"/>
        <v>0</v>
      </c>
      <c r="S10" s="14">
        <f t="shared" ca="1" si="8"/>
        <v>0</v>
      </c>
      <c r="T10" s="14">
        <f>IFERROR(IF(WoP_Flag="Y",IF(fq=1,VLOOKUP(ppt*fq-H10,Charges!$AN$41:$AO$59,2,FALSE),IF(fq=2,VLOOKUP(ppt*fq-G10,Charges!$AP$41:$AQ$79,2,FALSE),VLOOKUP(ppt*fq-D10,Charges!$AR$41:$AS$279,2,FALSE)))*pr/fq,0),0)</f>
        <v>0</v>
      </c>
      <c r="U10" s="14">
        <f t="shared" ca="1" si="9"/>
        <v>0</v>
      </c>
      <c r="V10" s="34">
        <f>ROUND(MIN(IF(H10&gt;=7,Charges!$C$12*(1+Charges!$C$14)^((H10-7+1)),VLOOKUP(H10,Charges!$B$7:$C$12,2,0))*pr,Charges!$C$13)*B10,Round)</f>
        <v>450</v>
      </c>
      <c r="W10" s="14">
        <f t="shared" ca="1" si="10"/>
        <v>270957.88785570068</v>
      </c>
      <c r="X10" s="14">
        <f t="shared" ca="1" si="11"/>
        <v>272701.23906470719</v>
      </c>
      <c r="Y10" s="213">
        <f t="shared" ca="1" si="47"/>
        <v>306.9558515806259</v>
      </c>
      <c r="Z10" s="14">
        <f t="shared" ca="1" si="12"/>
        <v>272339.03115984204</v>
      </c>
      <c r="AA10" s="14">
        <f>IF(AND($H10=pt,$F10=11),SUM($K$7:K10)*VLOOKUP(pt,ROC,2,FALSE),0)</f>
        <v>0</v>
      </c>
      <c r="AB10" s="14">
        <f>IF(AND($H10=pt,$F10=11),SUM($V$7:V10)*VLOOKUP(pt,ROC,2,FALSE),0)</f>
        <v>0</v>
      </c>
      <c r="AC10" s="14">
        <f>IF(AND($H10=pt,$F10=11),SUM($Q$7:Q10)*VLOOKUP(pt,ROC,2,FALSE),0)</f>
        <v>0</v>
      </c>
      <c r="AD10" s="14">
        <f t="shared" ca="1" si="13"/>
        <v>272339.03115984204</v>
      </c>
      <c r="AE10" s="14">
        <f ca="1">(MAX(sa-CF9*Flag_UL_Type,105%*SUM($I$7:I10),Z10)+AU10)*B10</f>
        <v>3000000</v>
      </c>
      <c r="AF10" s="136"/>
      <c r="AG10" s="18">
        <v>4</v>
      </c>
      <c r="AH10" s="30">
        <f t="shared" ca="1" si="14"/>
        <v>0</v>
      </c>
      <c r="AI10" s="138"/>
      <c r="AJ10" s="50">
        <f>IF(AND(Option_Sys_TopUp&gt;="Y",H10&gt;=sytp,H10&lt;=(dtp+sytp-1),F10=0,H10&lt;=ppt+1),atp,0)+IFERROR(VLOOKUP(H10,Input!$B$55:$C$61,2,0),0)*(F10=0)*(Option_TopUP="Y")*(Option_Sys_TopUp="N")*B10*(pt&gt;=H10+5)</f>
        <v>0</v>
      </c>
      <c r="AK10" s="50">
        <f t="shared" si="15"/>
        <v>0</v>
      </c>
      <c r="AL10" s="50">
        <f t="shared" si="48"/>
        <v>0</v>
      </c>
      <c r="AM10" s="50">
        <f t="shared" ca="1" si="49"/>
        <v>0</v>
      </c>
      <c r="AN10" s="50">
        <f ca="1">IF(B10=0,0,AT10*(_rpm1+(1+_emr1)*VLOOKUP(E10,Tab_Mort_Charge,IF(Input!$C$12="M",2,3),0))*(0.001*0.0833)*Flag_Mort_Rider_Charge*(AT10&gt;0))</f>
        <v>0</v>
      </c>
      <c r="AO10" s="50">
        <f t="shared" ca="1" si="17"/>
        <v>0</v>
      </c>
      <c r="AP10" s="50">
        <f t="shared" ca="1" si="50"/>
        <v>0</v>
      </c>
      <c r="AQ10" s="50">
        <f t="shared" ca="1" si="18"/>
        <v>0</v>
      </c>
      <c r="AR10" s="50">
        <f t="shared" ca="1" si="19"/>
        <v>0</v>
      </c>
      <c r="AS10" s="50">
        <f t="shared" si="20"/>
        <v>0</v>
      </c>
      <c r="AT10" s="50">
        <f ca="1">(MAX((MAX(AS10,105%*SUM($AJ$7:AJ10))-AM10*Flag_UL_Type),0)*B10)</f>
        <v>0</v>
      </c>
      <c r="AU10" s="50">
        <f ca="1">(MAX(AS10,AR10,105%*SUM($AJ$7:AJ10))*B10)</f>
        <v>0</v>
      </c>
      <c r="AV10" s="125"/>
      <c r="AW10" s="12">
        <f t="shared" si="54"/>
        <v>4</v>
      </c>
      <c r="AX10" s="14">
        <f t="shared" si="21"/>
        <v>10500</v>
      </c>
      <c r="AY10" s="14">
        <f t="shared" ca="1" si="22"/>
        <v>25076.319834341062</v>
      </c>
      <c r="AZ10" s="14">
        <f t="shared" ca="1" si="23"/>
        <v>0</v>
      </c>
      <c r="BA10" s="14">
        <f t="shared" ca="1" si="24"/>
        <v>0</v>
      </c>
      <c r="BB10" s="14">
        <f t="shared" si="25"/>
        <v>5400</v>
      </c>
      <c r="BC10" s="14">
        <f t="shared" ca="1" si="26"/>
        <v>15341.79804993914</v>
      </c>
      <c r="BD10" s="14">
        <f t="shared" ca="1" si="27"/>
        <v>10137.261219170437</v>
      </c>
      <c r="BE10" s="14">
        <f t="shared" si="28"/>
        <v>3000</v>
      </c>
      <c r="BF10" s="14">
        <f t="shared" ca="1" si="29"/>
        <v>0</v>
      </c>
      <c r="BG10" s="51">
        <f t="shared" si="30"/>
        <v>0</v>
      </c>
      <c r="BH10" s="51">
        <f t="shared" ca="1" si="31"/>
        <v>444.93963915619003</v>
      </c>
      <c r="BI10" s="51">
        <f t="shared" ca="1" si="32"/>
        <v>0</v>
      </c>
      <c r="BJ10" s="51">
        <f t="shared" ca="1" si="33"/>
        <v>0</v>
      </c>
      <c r="BK10" s="51">
        <f t="shared" si="34"/>
        <v>81</v>
      </c>
      <c r="BL10" s="51">
        <f t="shared" ca="1" si="35"/>
        <v>55.252053284512662</v>
      </c>
      <c r="BM10" s="51">
        <f t="shared" si="36"/>
        <v>0</v>
      </c>
      <c r="BN10" s="51">
        <f t="shared" ca="1" si="37"/>
        <v>0</v>
      </c>
      <c r="BO10" s="51">
        <f t="shared" ca="1" si="38"/>
        <v>0</v>
      </c>
      <c r="BP10" s="51">
        <f t="shared" ca="1" si="39"/>
        <v>581.19169244070258</v>
      </c>
      <c r="BR10" s="32"/>
      <c r="BS10" s="126"/>
      <c r="BT10" s="16"/>
      <c r="BU10" s="58"/>
      <c r="BW10" s="51">
        <f>IF(Input!$C$13="Offline",VLOOKUP(H10,Charges!$AT$4:$AU$33,2,FALSE)*I10,0)</f>
        <v>0</v>
      </c>
      <c r="BX10" s="51">
        <f t="shared" si="40"/>
        <v>0</v>
      </c>
      <c r="BY10" s="51">
        <f t="shared" si="51"/>
        <v>0</v>
      </c>
      <c r="BZ10" s="151"/>
      <c r="CA10" s="151"/>
      <c r="CB10" s="32"/>
      <c r="CC10" s="16">
        <f ca="1">SUM($N$7:$N10)</f>
        <v>0</v>
      </c>
      <c r="CD10" s="16">
        <f t="shared" ca="1" si="41"/>
        <v>0</v>
      </c>
      <c r="CE10" s="16">
        <f t="shared" ca="1" si="42"/>
        <v>0</v>
      </c>
      <c r="CF10" s="7">
        <f t="shared" ca="1" si="43"/>
        <v>0</v>
      </c>
      <c r="CH10" s="7">
        <f t="shared" ca="1" si="44"/>
        <v>1</v>
      </c>
    </row>
    <row r="11" spans="1:86" s="7" customFormat="1" x14ac:dyDescent="0.2">
      <c r="B11" s="14">
        <f t="shared" si="0"/>
        <v>1</v>
      </c>
      <c r="C11" s="12">
        <f t="shared" si="1"/>
        <v>1</v>
      </c>
      <c r="D11" s="17">
        <f t="shared" si="52"/>
        <v>5</v>
      </c>
      <c r="E11" s="17">
        <f t="shared" ca="1" si="2"/>
        <v>60</v>
      </c>
      <c r="F11" s="12">
        <f t="shared" si="53"/>
        <v>4</v>
      </c>
      <c r="G11" s="12">
        <v>1</v>
      </c>
      <c r="H11" s="17">
        <v>1</v>
      </c>
      <c r="I11" s="29">
        <f t="shared" si="45"/>
        <v>0</v>
      </c>
      <c r="J11" s="211">
        <f>IFERROR(VLOOKUP(H11,Charges!$T$6:$U$35,2,0)*C11,0)</f>
        <v>0.94499999999999995</v>
      </c>
      <c r="K11" s="29">
        <f t="shared" si="3"/>
        <v>0</v>
      </c>
      <c r="L11" s="29">
        <f t="shared" si="4"/>
        <v>0</v>
      </c>
      <c r="M11" s="147">
        <f t="shared" ca="1" si="5"/>
        <v>0</v>
      </c>
      <c r="N11" s="148">
        <f ca="1">IF(AND(Option_SPW="Y",H11&gt;=Lock_In_Period,Z10&gt;SPW_Amount_pa+IF(option="Single",1/5*pr,2*pr),H11&gt;=SPW_Start_Year,H11&lt;=SPW_Start_Year+SPW_Duration-1,age+H11&gt;=Legal_Age),IF(AND(F11=0,SPW_Payout_Freq=1),SPW_Amount_pa,IF(AND(SPW_Payout_Freq=2,MOD(F11,6)=0),SPW_Amount_pa/SPW_Payout_Freq,IF(AND(SPW_Payout_Freq=4,MOD(F11,3)=0),SPW_Amount_pa/SPW_Payout_Freq,IF(SPW_Payout_Freq=12,SPW_Amount_pa/SPW_Payout_Freq,0)))),0)+IFERROR(VLOOKUP(H11,Input!$B$68:$C$74,2,0),0)*(F11=0)*(Option_PW="Y")*(Option_SPW="N")*(age+H11&gt;=Legal_Age)</f>
        <v>0</v>
      </c>
      <c r="O11" s="148">
        <f t="shared" ca="1" si="6"/>
        <v>0</v>
      </c>
      <c r="P11" s="14">
        <f ca="1">(MAX(MAX(sa-CF10*Flag_UL_Type,105%*SUM($I$7:I11))-(AD10+L11-N11)*Flag_UL_Type,0)*B11)</f>
        <v>2727660.9688401581</v>
      </c>
      <c r="Q11" s="213">
        <f t="shared" ca="1" si="46"/>
        <v>2473.7611936572835</v>
      </c>
      <c r="R11" s="14">
        <f t="shared" ca="1" si="7"/>
        <v>0</v>
      </c>
      <c r="S11" s="14">
        <f t="shared" ca="1" si="8"/>
        <v>0</v>
      </c>
      <c r="T11" s="14">
        <f>IFERROR(IF(WoP_Flag="Y",IF(fq=1,VLOOKUP(ppt*fq-H11,Charges!$AN$41:$AO$59,2,FALSE),IF(fq=2,VLOOKUP(ppt*fq-G11,Charges!$AP$41:$AQ$79,2,FALSE),VLOOKUP(ppt*fq-D11,Charges!$AR$41:$AS$279,2,FALSE)))*pr/fq,0),0)</f>
        <v>0</v>
      </c>
      <c r="U11" s="14">
        <f t="shared" ca="1" si="9"/>
        <v>0</v>
      </c>
      <c r="V11" s="34">
        <f>ROUND(MIN(IF(H11&gt;=7,Charges!$C$12*(1+Charges!$C$14)^((H11-7+1)),VLOOKUP(H11,Charges!$B$7:$C$12,2,0))*pr,Charges!$C$13)*B11,Round)</f>
        <v>450</v>
      </c>
      <c r="W11" s="14">
        <f t="shared" ca="1" si="10"/>
        <v>268888.99295132642</v>
      </c>
      <c r="X11" s="14">
        <f t="shared" ca="1" si="11"/>
        <v>270619.03282822378</v>
      </c>
      <c r="Y11" s="213">
        <f t="shared" ca="1" si="47"/>
        <v>304.61209476207108</v>
      </c>
      <c r="Z11" s="14">
        <f t="shared" ca="1" si="12"/>
        <v>270259.59055640455</v>
      </c>
      <c r="AA11" s="14">
        <f>IF(AND($H11=pt,$F11=11),SUM($K$7:K11)*VLOOKUP(pt,ROC,2,FALSE),0)</f>
        <v>0</v>
      </c>
      <c r="AB11" s="14">
        <f>IF(AND($H11=pt,$F11=11),SUM($V$7:V11)*VLOOKUP(pt,ROC,2,FALSE),0)</f>
        <v>0</v>
      </c>
      <c r="AC11" s="14">
        <f>IF(AND($H11=pt,$F11=11),SUM($Q$7:Q11)*VLOOKUP(pt,ROC,2,FALSE),0)</f>
        <v>0</v>
      </c>
      <c r="AD11" s="14">
        <f t="shared" ca="1" si="13"/>
        <v>270259.59055640455</v>
      </c>
      <c r="AE11" s="14">
        <f ca="1">(MAX(sa-CF10*Flag_UL_Type,105%*SUM($I$7:I11),Z11)+AU11)*B11</f>
        <v>3000000</v>
      </c>
      <c r="AF11" s="136"/>
      <c r="AG11" s="18">
        <v>5</v>
      </c>
      <c r="AH11" s="30">
        <f t="shared" ca="1" si="14"/>
        <v>0</v>
      </c>
      <c r="AI11" s="138"/>
      <c r="AJ11" s="50">
        <f>IF(AND(Option_Sys_TopUp&gt;="Y",H11&gt;=sytp,H11&lt;=(dtp+sytp-1),F11=0,H11&lt;=ppt+1),atp,0)+IFERROR(VLOOKUP(H11,Input!$B$55:$C$61,2,0),0)*(F11=0)*(Option_TopUP="Y")*(Option_Sys_TopUp="N")*B11*(pt&gt;=H11+5)</f>
        <v>0</v>
      </c>
      <c r="AK11" s="50">
        <f t="shared" si="15"/>
        <v>0</v>
      </c>
      <c r="AL11" s="50">
        <f t="shared" si="48"/>
        <v>0</v>
      </c>
      <c r="AM11" s="50">
        <f t="shared" ca="1" si="49"/>
        <v>0</v>
      </c>
      <c r="AN11" s="50">
        <f ca="1">IF(B11=0,0,AT11*(_rpm1+(1+_emr1)*VLOOKUP(E11,Tab_Mort_Charge,IF(Input!$C$12="M",2,3),0))*(0.001*0.0833)*Flag_Mort_Rider_Charge*(AT11&gt;0))</f>
        <v>0</v>
      </c>
      <c r="AO11" s="50">
        <f t="shared" ca="1" si="17"/>
        <v>0</v>
      </c>
      <c r="AP11" s="50">
        <f t="shared" ca="1" si="50"/>
        <v>0</v>
      </c>
      <c r="AQ11" s="50">
        <f t="shared" ca="1" si="18"/>
        <v>0</v>
      </c>
      <c r="AR11" s="50">
        <f t="shared" ca="1" si="19"/>
        <v>0</v>
      </c>
      <c r="AS11" s="50">
        <f t="shared" si="20"/>
        <v>0</v>
      </c>
      <c r="AT11" s="50">
        <f ca="1">(MAX((MAX(AS11,105%*SUM($AJ$7:AJ11))-AM11*Flag_UL_Type),0)*B11)</f>
        <v>0</v>
      </c>
      <c r="AU11" s="50">
        <f ca="1">(MAX(AS11,AR11,105%*SUM($AJ$7:AJ11))*B11)</f>
        <v>0</v>
      </c>
      <c r="AV11" s="125"/>
      <c r="AW11" s="12">
        <f t="shared" si="54"/>
        <v>5</v>
      </c>
      <c r="AX11" s="14">
        <f t="shared" si="21"/>
        <v>9000.0000000000091</v>
      </c>
      <c r="AY11" s="14">
        <f t="shared" ca="1" si="22"/>
        <v>22141.316168761063</v>
      </c>
      <c r="AZ11" s="14">
        <f t="shared" ca="1" si="23"/>
        <v>0</v>
      </c>
      <c r="BA11" s="14">
        <f t="shared" ca="1" si="24"/>
        <v>0</v>
      </c>
      <c r="BB11" s="14">
        <f t="shared" si="25"/>
        <v>5400</v>
      </c>
      <c r="BC11" s="14">
        <f t="shared" ca="1" si="26"/>
        <v>19875.71182451494</v>
      </c>
      <c r="BD11" s="14">
        <f t="shared" ca="1" si="27"/>
        <v>10155.06503878968</v>
      </c>
      <c r="BE11" s="14">
        <f t="shared" si="28"/>
        <v>3000</v>
      </c>
      <c r="BF11" s="14">
        <f t="shared" ca="1" si="29"/>
        <v>0</v>
      </c>
      <c r="BG11" s="51">
        <f t="shared" si="30"/>
        <v>0</v>
      </c>
      <c r="BH11" s="51">
        <f t="shared" ca="1" si="31"/>
        <v>445.27701485831102</v>
      </c>
      <c r="BI11" s="51">
        <f t="shared" ca="1" si="32"/>
        <v>0</v>
      </c>
      <c r="BJ11" s="51">
        <f t="shared" ca="1" si="33"/>
        <v>0</v>
      </c>
      <c r="BK11" s="51">
        <f t="shared" si="34"/>
        <v>81</v>
      </c>
      <c r="BL11" s="51">
        <f t="shared" ca="1" si="35"/>
        <v>54.83017705717279</v>
      </c>
      <c r="BM11" s="51">
        <f t="shared" si="36"/>
        <v>0</v>
      </c>
      <c r="BN11" s="51">
        <f t="shared" ca="1" si="37"/>
        <v>0</v>
      </c>
      <c r="BO11" s="51">
        <f t="shared" ca="1" si="38"/>
        <v>0</v>
      </c>
      <c r="BP11" s="51">
        <f t="shared" ca="1" si="39"/>
        <v>581.1071919154839</v>
      </c>
      <c r="BR11" s="32"/>
      <c r="BS11" s="126"/>
      <c r="BT11" s="16"/>
      <c r="BU11" s="58"/>
      <c r="BW11" s="51">
        <f>IF(Input!$C$13="Offline",VLOOKUP(H11,Charges!$AT$4:$AU$33,2,FALSE)*I11,0)</f>
        <v>0</v>
      </c>
      <c r="BX11" s="51">
        <f t="shared" si="40"/>
        <v>0</v>
      </c>
      <c r="BY11" s="51">
        <f t="shared" si="51"/>
        <v>0</v>
      </c>
      <c r="BZ11" s="151"/>
      <c r="CA11" s="151"/>
      <c r="CB11" s="32"/>
      <c r="CC11" s="16">
        <f ca="1">SUM($N$7:$N11)</f>
        <v>0</v>
      </c>
      <c r="CD11" s="16">
        <f t="shared" ca="1" si="41"/>
        <v>0</v>
      </c>
      <c r="CE11" s="16">
        <f t="shared" ca="1" si="42"/>
        <v>0</v>
      </c>
      <c r="CF11" s="7">
        <f t="shared" ca="1" si="43"/>
        <v>0</v>
      </c>
      <c r="CH11" s="7">
        <f t="shared" ca="1" si="44"/>
        <v>1</v>
      </c>
    </row>
    <row r="12" spans="1:86" s="7" customFormat="1" x14ac:dyDescent="0.2">
      <c r="B12" s="14">
        <f t="shared" si="0"/>
        <v>1</v>
      </c>
      <c r="C12" s="12">
        <f t="shared" si="1"/>
        <v>1</v>
      </c>
      <c r="D12" s="17">
        <f t="shared" si="52"/>
        <v>6</v>
      </c>
      <c r="E12" s="17">
        <f t="shared" ca="1" si="2"/>
        <v>60</v>
      </c>
      <c r="F12" s="12">
        <f t="shared" si="53"/>
        <v>5</v>
      </c>
      <c r="G12" s="12">
        <v>1</v>
      </c>
      <c r="H12" s="17">
        <v>1</v>
      </c>
      <c r="I12" s="29">
        <f t="shared" si="45"/>
        <v>0</v>
      </c>
      <c r="J12" s="211">
        <f>IFERROR(VLOOKUP(H12,Charges!$T$6:$U$35,2,0)*C12,0)</f>
        <v>0.94499999999999995</v>
      </c>
      <c r="K12" s="29">
        <f t="shared" si="3"/>
        <v>0</v>
      </c>
      <c r="L12" s="29">
        <f t="shared" si="4"/>
        <v>0</v>
      </c>
      <c r="M12" s="147">
        <f t="shared" ca="1" si="5"/>
        <v>0</v>
      </c>
      <c r="N12" s="148">
        <f ca="1">IF(AND(Option_SPW="Y",H12&gt;=Lock_In_Period,Z11&gt;SPW_Amount_pa+IF(option="Single",1/5*pr,2*pr),H12&gt;=SPW_Start_Year,H12&lt;=SPW_Start_Year+SPW_Duration-1,age+H12&gt;=Legal_Age),IF(AND(F12=0,SPW_Payout_Freq=1),SPW_Amount_pa,IF(AND(SPW_Payout_Freq=2,MOD(F12,6)=0),SPW_Amount_pa/SPW_Payout_Freq,IF(AND(SPW_Payout_Freq=4,MOD(F12,3)=0),SPW_Amount_pa/SPW_Payout_Freq,IF(SPW_Payout_Freq=12,SPW_Amount_pa/SPW_Payout_Freq,0)))),0)+IFERROR(VLOOKUP(H12,Input!$B$68:$C$74,2,0),0)*(F12=0)*(Option_PW="Y")*(Option_SPW="N")*(age+H12&gt;=Legal_Age)</f>
        <v>0</v>
      </c>
      <c r="O12" s="148">
        <f t="shared" ca="1" si="6"/>
        <v>0</v>
      </c>
      <c r="P12" s="14">
        <f ca="1">(MAX(MAX(sa-CF11*Flag_UL_Type,105%*SUM($I$7:I12))-(AD11+L12-N12)*Flag_UL_Type,0)*B12)</f>
        <v>2729740.4094435954</v>
      </c>
      <c r="Q12" s="213">
        <f t="shared" ca="1" si="46"/>
        <v>2475.6470729978832</v>
      </c>
      <c r="R12" s="14">
        <f t="shared" ca="1" si="7"/>
        <v>0</v>
      </c>
      <c r="S12" s="14">
        <f t="shared" ca="1" si="8"/>
        <v>0</v>
      </c>
      <c r="T12" s="14">
        <f>IFERROR(IF(WoP_Flag="Y",IF(fq=1,VLOOKUP(ppt*fq-H12,Charges!$AN$41:$AO$59,2,FALSE),IF(fq=2,VLOOKUP(ppt*fq-G12,Charges!$AP$41:$AQ$79,2,FALSE),VLOOKUP(ppt*fq-D12,Charges!$AR$41:$AS$279,2,FALSE)))*pr/fq,0),0)</f>
        <v>0</v>
      </c>
      <c r="U12" s="14">
        <f t="shared" ca="1" si="9"/>
        <v>0</v>
      </c>
      <c r="V12" s="34">
        <f>ROUND(MIN(IF(H12&gt;=7,Charges!$C$12*(1+Charges!$C$14)^((H12-7+1)),VLOOKUP(H12,Charges!$B$7:$C$12,2,0))*pr,Charges!$C$13)*B12,Round)</f>
        <v>450</v>
      </c>
      <c r="W12" s="14">
        <f t="shared" ca="1" si="10"/>
        <v>266807.32701026706</v>
      </c>
      <c r="X12" s="14">
        <f t="shared" ca="1" si="11"/>
        <v>268523.97338582063</v>
      </c>
      <c r="Y12" s="213">
        <f t="shared" ca="1" si="47"/>
        <v>302.25387021765567</v>
      </c>
      <c r="Z12" s="14">
        <f t="shared" ca="1" si="12"/>
        <v>268167.31381896377</v>
      </c>
      <c r="AA12" s="14">
        <f>IF(AND($H12=pt,$F12=11),SUM($K$7:K12)*VLOOKUP(pt,ROC,2,FALSE),0)</f>
        <v>0</v>
      </c>
      <c r="AB12" s="14">
        <f>IF(AND($H12=pt,$F12=11),SUM($V$7:V12)*VLOOKUP(pt,ROC,2,FALSE),0)</f>
        <v>0</v>
      </c>
      <c r="AC12" s="14">
        <f>IF(AND($H12=pt,$F12=11),SUM($Q$7:Q12)*VLOOKUP(pt,ROC,2,FALSE),0)</f>
        <v>0</v>
      </c>
      <c r="AD12" s="14">
        <f t="shared" ca="1" si="13"/>
        <v>268167.31381896377</v>
      </c>
      <c r="AE12" s="14">
        <f ca="1">(MAX(sa-CF11*Flag_UL_Type,105%*SUM($I$7:I12),Z12)+AU12)*B12</f>
        <v>3000000</v>
      </c>
      <c r="AF12" s="136"/>
      <c r="AG12" s="18">
        <v>6</v>
      </c>
      <c r="AH12" s="30">
        <f t="shared" ca="1" si="14"/>
        <v>0</v>
      </c>
      <c r="AI12" s="138"/>
      <c r="AJ12" s="50">
        <f>IF(AND(Option_Sys_TopUp&gt;="Y",H12&gt;=sytp,H12&lt;=(dtp+sytp-1),F12=0,H12&lt;=ppt+1),atp,0)+IFERROR(VLOOKUP(H12,Input!$B$55:$C$61,2,0),0)*(F12=0)*(Option_TopUP="Y")*(Option_Sys_TopUp="N")*B12*(pt&gt;=H12+5)</f>
        <v>0</v>
      </c>
      <c r="AK12" s="50">
        <f t="shared" si="15"/>
        <v>0</v>
      </c>
      <c r="AL12" s="50">
        <f t="shared" si="48"/>
        <v>0</v>
      </c>
      <c r="AM12" s="50">
        <f t="shared" ca="1" si="49"/>
        <v>0</v>
      </c>
      <c r="AN12" s="50">
        <f ca="1">IF(B12=0,0,AT12*(_rpm1+(1+_emr1)*VLOOKUP(E12,Tab_Mort_Charge,IF(Input!$C$12="M",2,3),0))*(0.001*0.0833)*Flag_Mort_Rider_Charge*(AT12&gt;0))</f>
        <v>0</v>
      </c>
      <c r="AO12" s="50">
        <f t="shared" ca="1" si="17"/>
        <v>0</v>
      </c>
      <c r="AP12" s="50">
        <f t="shared" ca="1" si="50"/>
        <v>0</v>
      </c>
      <c r="AQ12" s="50">
        <f t="shared" ca="1" si="18"/>
        <v>0</v>
      </c>
      <c r="AR12" s="50">
        <f t="shared" ca="1" si="19"/>
        <v>0</v>
      </c>
      <c r="AS12" s="50">
        <f t="shared" si="20"/>
        <v>0</v>
      </c>
      <c r="AT12" s="50">
        <f ca="1">(MAX((MAX(AS12,105%*SUM($AJ$7:AJ12))-AM12*Flag_UL_Type),0)*B12)</f>
        <v>0</v>
      </c>
      <c r="AU12" s="50">
        <f ca="1">(MAX(AS12,AR12,105%*SUM($AJ$7:AJ12))*B12)</f>
        <v>0</v>
      </c>
      <c r="AV12" s="125"/>
      <c r="AW12" s="12">
        <f t="shared" si="54"/>
        <v>6</v>
      </c>
      <c r="AX12" s="14">
        <f t="shared" si="21"/>
        <v>6000.00000000001</v>
      </c>
      <c r="AY12" s="14">
        <f t="shared" ca="1" si="22"/>
        <v>18230.545026890279</v>
      </c>
      <c r="AZ12" s="14">
        <f t="shared" ca="1" si="23"/>
        <v>0</v>
      </c>
      <c r="BA12" s="14">
        <f t="shared" ca="1" si="24"/>
        <v>0</v>
      </c>
      <c r="BB12" s="14">
        <f t="shared" si="25"/>
        <v>6000</v>
      </c>
      <c r="BC12" s="14">
        <f t="shared" ca="1" si="26"/>
        <v>24795.983596386395</v>
      </c>
      <c r="BD12" s="14">
        <f t="shared" ca="1" si="27"/>
        <v>9904.775152189799</v>
      </c>
      <c r="BE12" s="14">
        <f t="shared" si="28"/>
        <v>3000</v>
      </c>
      <c r="BF12" s="14">
        <f t="shared" ca="1" si="29"/>
        <v>0</v>
      </c>
      <c r="BG12" s="51">
        <f t="shared" si="30"/>
        <v>0</v>
      </c>
      <c r="BH12" s="51">
        <f t="shared" ca="1" si="31"/>
        <v>445.61647313961902</v>
      </c>
      <c r="BI12" s="51">
        <f t="shared" ca="1" si="32"/>
        <v>0</v>
      </c>
      <c r="BJ12" s="51">
        <f t="shared" ca="1" si="33"/>
        <v>0</v>
      </c>
      <c r="BK12" s="51">
        <f t="shared" si="34"/>
        <v>81</v>
      </c>
      <c r="BL12" s="51">
        <f t="shared" ca="1" si="35"/>
        <v>54.405696639178018</v>
      </c>
      <c r="BM12" s="51">
        <f t="shared" si="36"/>
        <v>0</v>
      </c>
      <c r="BN12" s="51">
        <f t="shared" ca="1" si="37"/>
        <v>0</v>
      </c>
      <c r="BO12" s="51">
        <f t="shared" ca="1" si="38"/>
        <v>0</v>
      </c>
      <c r="BP12" s="51">
        <f t="shared" ca="1" si="39"/>
        <v>581.02216977879709</v>
      </c>
      <c r="BR12" s="32"/>
      <c r="BS12" s="126"/>
      <c r="BT12" s="16"/>
      <c r="BU12" s="58"/>
      <c r="BW12" s="51">
        <f>IF(Input!$C$13="Offline",VLOOKUP(H12,Charges!$AT$4:$AU$33,2,FALSE)*I12,0)</f>
        <v>0</v>
      </c>
      <c r="BX12" s="51">
        <f t="shared" si="40"/>
        <v>0</v>
      </c>
      <c r="BY12" s="51">
        <f t="shared" si="51"/>
        <v>0</v>
      </c>
      <c r="BZ12" s="151"/>
      <c r="CA12" s="151"/>
      <c r="CB12" s="32"/>
      <c r="CC12" s="16">
        <f ca="1">SUM($N$7:$N12)</f>
        <v>0</v>
      </c>
      <c r="CD12" s="16">
        <f t="shared" ca="1" si="41"/>
        <v>0</v>
      </c>
      <c r="CE12" s="16">
        <f t="shared" ca="1" si="42"/>
        <v>0</v>
      </c>
      <c r="CF12" s="7">
        <f t="shared" ca="1" si="43"/>
        <v>0</v>
      </c>
      <c r="CH12" s="7">
        <f t="shared" ca="1" si="44"/>
        <v>1</v>
      </c>
    </row>
    <row r="13" spans="1:86" s="7" customFormat="1" x14ac:dyDescent="0.2">
      <c r="B13" s="14">
        <f t="shared" si="0"/>
        <v>1</v>
      </c>
      <c r="C13" s="12">
        <f t="shared" si="1"/>
        <v>1</v>
      </c>
      <c r="D13" s="17">
        <f t="shared" si="52"/>
        <v>7</v>
      </c>
      <c r="E13" s="17">
        <f t="shared" ca="1" si="2"/>
        <v>60</v>
      </c>
      <c r="F13" s="12">
        <f t="shared" si="53"/>
        <v>6</v>
      </c>
      <c r="G13" s="12">
        <f>G7+1</f>
        <v>2</v>
      </c>
      <c r="H13" s="17">
        <v>1</v>
      </c>
      <c r="I13" s="29">
        <f t="shared" si="45"/>
        <v>0</v>
      </c>
      <c r="J13" s="211">
        <f>IFERROR(VLOOKUP(H13,Charges!$T$6:$U$35,2,0)*C13,0)</f>
        <v>0.94499999999999995</v>
      </c>
      <c r="K13" s="29">
        <f t="shared" si="3"/>
        <v>0</v>
      </c>
      <c r="L13" s="29">
        <f t="shared" si="4"/>
        <v>0</v>
      </c>
      <c r="M13" s="147">
        <f t="shared" ca="1" si="5"/>
        <v>0</v>
      </c>
      <c r="N13" s="148">
        <f ca="1">IF(AND(Option_SPW="Y",H13&gt;=Lock_In_Period,Z12&gt;SPW_Amount_pa+IF(option="Single",1/5*pr,2*pr),H13&gt;=SPW_Start_Year,H13&lt;=SPW_Start_Year+SPW_Duration-1,age+H13&gt;=Legal_Age),IF(AND(F13=0,SPW_Payout_Freq=1),SPW_Amount_pa,IF(AND(SPW_Payout_Freq=2,MOD(F13,6)=0),SPW_Amount_pa/SPW_Payout_Freq,IF(AND(SPW_Payout_Freq=4,MOD(F13,3)=0),SPW_Amount_pa/SPW_Payout_Freq,IF(SPW_Payout_Freq=12,SPW_Amount_pa/SPW_Payout_Freq,0)))),0)+IFERROR(VLOOKUP(H13,Input!$B$68:$C$74,2,0),0)*(F13=0)*(Option_PW="Y")*(Option_SPW="N")*(age+H13&gt;=Legal_Age)</f>
        <v>0</v>
      </c>
      <c r="O13" s="148">
        <f t="shared" ca="1" si="6"/>
        <v>0</v>
      </c>
      <c r="P13" s="14">
        <f ca="1">(MAX(MAX(sa-CF12*Flag_UL_Type,105%*SUM($I$7:I13))-(AD12+L13-N13)*Flag_UL_Type,0)*B13)</f>
        <v>2731832.6861810363</v>
      </c>
      <c r="Q13" s="213">
        <f t="shared" ca="1" si="46"/>
        <v>2477.5445936423498</v>
      </c>
      <c r="R13" s="14">
        <f t="shared" ca="1" si="7"/>
        <v>0</v>
      </c>
      <c r="S13" s="14">
        <f t="shared" ca="1" si="8"/>
        <v>0</v>
      </c>
      <c r="T13" s="14">
        <f>IFERROR(IF(WoP_Flag="Y",IF(fq=1,VLOOKUP(ppt*fq-H13,Charges!$AN$41:$AO$59,2,FALSE),IF(fq=2,VLOOKUP(ppt*fq-G13,Charges!$AP$41:$AQ$79,2,FALSE),VLOOKUP(ppt*fq-D13,Charges!$AR$41:$AS$279,2,FALSE)))*pr/fq,0),0)</f>
        <v>0</v>
      </c>
      <c r="U13" s="14">
        <f t="shared" ca="1" si="9"/>
        <v>0</v>
      </c>
      <c r="V13" s="34">
        <f>ROUND(MIN(IF(H13&gt;=7,Charges!$C$12*(1+Charges!$C$14)^((H13-7+1)),VLOOKUP(H13,Charges!$B$7:$C$12,2,0))*pr,Charges!$C$13)*B13,Round)</f>
        <v>450</v>
      </c>
      <c r="W13" s="14">
        <f t="shared" ca="1" si="10"/>
        <v>264712.81119846582</v>
      </c>
      <c r="X13" s="14">
        <f t="shared" ca="1" si="11"/>
        <v>266415.98139622039</v>
      </c>
      <c r="Y13" s="213">
        <f t="shared" ca="1" si="47"/>
        <v>299.88108863986702</v>
      </c>
      <c r="Z13" s="14">
        <f t="shared" ca="1" si="12"/>
        <v>266062.12171162537</v>
      </c>
      <c r="AA13" s="14">
        <f>IF(AND($H13=pt,$F13=11),SUM($K$7:K13)*VLOOKUP(pt,ROC,2,FALSE),0)</f>
        <v>0</v>
      </c>
      <c r="AB13" s="14">
        <f>IF(AND($H13=pt,$F13=11),SUM($V$7:V13)*VLOOKUP(pt,ROC,2,FALSE),0)</f>
        <v>0</v>
      </c>
      <c r="AC13" s="14">
        <f>IF(AND($H13=pt,$F13=11),SUM($Q$7:Q13)*VLOOKUP(pt,ROC,2,FALSE),0)</f>
        <v>0</v>
      </c>
      <c r="AD13" s="14">
        <f t="shared" ca="1" si="13"/>
        <v>266062.12171162537</v>
      </c>
      <c r="AE13" s="14">
        <f ca="1">(MAX(sa-CF12*Flag_UL_Type,105%*SUM($I$7:I13),Z13)+AU13)*B13</f>
        <v>3000000</v>
      </c>
      <c r="AF13" s="136"/>
      <c r="AG13" s="18">
        <v>7</v>
      </c>
      <c r="AH13" s="30">
        <f t="shared" ca="1" si="14"/>
        <v>0</v>
      </c>
      <c r="AI13" s="138"/>
      <c r="AJ13" s="50">
        <f>IF(AND(Option_Sys_TopUp&gt;="Y",H13&gt;=sytp,H13&lt;=(dtp+sytp-1),F13=0,H13&lt;=ppt+1),atp,0)+IFERROR(VLOOKUP(H13,Input!$B$55:$C$61,2,0),0)*(F13=0)*(Option_TopUP="Y")*(Option_Sys_TopUp="N")*B13*(pt&gt;=H13+5)</f>
        <v>0</v>
      </c>
      <c r="AK13" s="50">
        <f t="shared" si="15"/>
        <v>0</v>
      </c>
      <c r="AL13" s="50">
        <f t="shared" si="48"/>
        <v>0</v>
      </c>
      <c r="AM13" s="50">
        <f t="shared" ca="1" si="49"/>
        <v>0</v>
      </c>
      <c r="AN13" s="50">
        <f ca="1">IF(B13=0,0,AT13*(_rpm1+(1+_emr1)*VLOOKUP(E13,Tab_Mort_Charge,IF(Input!$C$12="M",2,3),0))*(0.001*0.0833)*Flag_Mort_Rider_Charge*(AT13&gt;0))</f>
        <v>0</v>
      </c>
      <c r="AO13" s="50">
        <f t="shared" ca="1" si="17"/>
        <v>0</v>
      </c>
      <c r="AP13" s="50">
        <f t="shared" ca="1" si="50"/>
        <v>0</v>
      </c>
      <c r="AQ13" s="50">
        <f t="shared" ca="1" si="18"/>
        <v>0</v>
      </c>
      <c r="AR13" s="50">
        <f t="shared" ca="1" si="19"/>
        <v>0</v>
      </c>
      <c r="AS13" s="50">
        <f t="shared" si="20"/>
        <v>0</v>
      </c>
      <c r="AT13" s="50">
        <f ca="1">(MAX((MAX(AS13,105%*SUM($AJ$7:AJ13))-AM13*Flag_UL_Type),0)*B13)</f>
        <v>0</v>
      </c>
      <c r="AU13" s="50">
        <f ca="1">(MAX(AS13,AR13,105%*SUM($AJ$7:AJ13))*B13)</f>
        <v>0</v>
      </c>
      <c r="AV13" s="125"/>
      <c r="AW13" s="12">
        <f t="shared" si="54"/>
        <v>7</v>
      </c>
      <c r="AX13" s="14">
        <f t="shared" si="21"/>
        <v>6000.00000000001</v>
      </c>
      <c r="AY13" s="14">
        <f t="shared" ca="1" si="22"/>
        <v>13156.516128276138</v>
      </c>
      <c r="AZ13" s="14">
        <f t="shared" ca="1" si="23"/>
        <v>0</v>
      </c>
      <c r="BA13" s="14">
        <f t="shared" ca="1" si="24"/>
        <v>0</v>
      </c>
      <c r="BB13" s="14">
        <f t="shared" si="25"/>
        <v>6000</v>
      </c>
      <c r="BC13" s="14">
        <f t="shared" ca="1" si="26"/>
        <v>30095.845985704793</v>
      </c>
      <c r="BD13" s="14">
        <f t="shared" ca="1" si="27"/>
        <v>9945.4251805165659</v>
      </c>
      <c r="BE13" s="14">
        <f t="shared" si="28"/>
        <v>1500</v>
      </c>
      <c r="BF13" s="14">
        <f t="shared" ca="1" si="29"/>
        <v>0</v>
      </c>
      <c r="BG13" s="51">
        <f t="shared" si="30"/>
        <v>0</v>
      </c>
      <c r="BH13" s="51">
        <f t="shared" ca="1" si="31"/>
        <v>445.95802685562302</v>
      </c>
      <c r="BI13" s="51">
        <f t="shared" ca="1" si="32"/>
        <v>0</v>
      </c>
      <c r="BJ13" s="51">
        <f t="shared" ca="1" si="33"/>
        <v>0</v>
      </c>
      <c r="BK13" s="51">
        <f t="shared" si="34"/>
        <v>81</v>
      </c>
      <c r="BL13" s="51">
        <f t="shared" ca="1" si="35"/>
        <v>53.978595955176061</v>
      </c>
      <c r="BM13" s="51">
        <f t="shared" si="36"/>
        <v>0</v>
      </c>
      <c r="BN13" s="51">
        <f t="shared" ca="1" si="37"/>
        <v>0</v>
      </c>
      <c r="BO13" s="51">
        <f t="shared" ca="1" si="38"/>
        <v>0</v>
      </c>
      <c r="BP13" s="51">
        <f t="shared" ca="1" si="39"/>
        <v>580.93662281079912</v>
      </c>
      <c r="BR13" s="32"/>
      <c r="BS13" s="126"/>
      <c r="BT13" s="16"/>
      <c r="BU13" s="58"/>
      <c r="BW13" s="51">
        <f>IF(Input!$C$13="Offline",VLOOKUP(H13,Charges!$AT$4:$AU$33,2,FALSE)*I13,0)</f>
        <v>0</v>
      </c>
      <c r="BX13" s="51">
        <f t="shared" si="40"/>
        <v>0</v>
      </c>
      <c r="BY13" s="51">
        <f t="shared" si="51"/>
        <v>0</v>
      </c>
      <c r="BZ13" s="151"/>
      <c r="CA13" s="151"/>
      <c r="CB13" s="32"/>
      <c r="CC13" s="16">
        <f ca="1">SUM($N$7:$N13)</f>
        <v>0</v>
      </c>
      <c r="CD13" s="16">
        <f t="shared" ca="1" si="41"/>
        <v>0</v>
      </c>
      <c r="CE13" s="16">
        <f t="shared" ca="1" si="42"/>
        <v>0</v>
      </c>
      <c r="CF13" s="7">
        <f t="shared" ca="1" si="43"/>
        <v>0</v>
      </c>
      <c r="CH13" s="7">
        <f t="shared" ca="1" si="44"/>
        <v>1</v>
      </c>
    </row>
    <row r="14" spans="1:86" s="7" customFormat="1" x14ac:dyDescent="0.2">
      <c r="B14" s="14">
        <f t="shared" si="0"/>
        <v>1</v>
      </c>
      <c r="C14" s="12">
        <f t="shared" si="1"/>
        <v>1</v>
      </c>
      <c r="D14" s="17">
        <f t="shared" si="52"/>
        <v>8</v>
      </c>
      <c r="E14" s="17">
        <f t="shared" ca="1" si="2"/>
        <v>60</v>
      </c>
      <c r="F14" s="12">
        <f t="shared" si="53"/>
        <v>7</v>
      </c>
      <c r="G14" s="12">
        <f t="shared" ref="G14:G77" si="55">G8+1</f>
        <v>2</v>
      </c>
      <c r="H14" s="17">
        <v>1</v>
      </c>
      <c r="I14" s="29">
        <f t="shared" si="45"/>
        <v>0</v>
      </c>
      <c r="J14" s="211">
        <f>IFERROR(VLOOKUP(H14,Charges!$T$6:$U$35,2,0)*C14,0)</f>
        <v>0.94499999999999995</v>
      </c>
      <c r="K14" s="29">
        <f t="shared" si="3"/>
        <v>0</v>
      </c>
      <c r="L14" s="29">
        <f t="shared" si="4"/>
        <v>0</v>
      </c>
      <c r="M14" s="147">
        <f t="shared" ca="1" si="5"/>
        <v>0</v>
      </c>
      <c r="N14" s="148">
        <f ca="1">IF(AND(Option_SPW="Y",H14&gt;=Lock_In_Period,Z13&gt;SPW_Amount_pa+IF(option="Single",1/5*pr,2*pr),H14&gt;=SPW_Start_Year,H14&lt;=SPW_Start_Year+SPW_Duration-1,age+H14&gt;=Legal_Age),IF(AND(F14=0,SPW_Payout_Freq=1),SPW_Amount_pa,IF(AND(SPW_Payout_Freq=2,MOD(F14,6)=0),SPW_Amount_pa/SPW_Payout_Freq,IF(AND(SPW_Payout_Freq=4,MOD(F14,3)=0),SPW_Amount_pa/SPW_Payout_Freq,IF(SPW_Payout_Freq=12,SPW_Amount_pa/SPW_Payout_Freq,0)))),0)+IFERROR(VLOOKUP(H14,Input!$B$68:$C$74,2,0),0)*(F14=0)*(Option_PW="Y")*(Option_SPW="N")*(age+H14&gt;=Legal_Age)</f>
        <v>0</v>
      </c>
      <c r="O14" s="148">
        <f t="shared" ca="1" si="6"/>
        <v>0</v>
      </c>
      <c r="P14" s="14">
        <f ca="1">(MAX(MAX(sa-CF13*Flag_UL_Type,105%*SUM($I$7:I14))-(AD13+L14-N14)*Flag_UL_Type,0)*B14)</f>
        <v>2733937.8782883747</v>
      </c>
      <c r="Q14" s="213">
        <f t="shared" ca="1" si="46"/>
        <v>2479.4538274510332</v>
      </c>
      <c r="R14" s="14">
        <f t="shared" ca="1" si="7"/>
        <v>0</v>
      </c>
      <c r="S14" s="14">
        <f t="shared" ca="1" si="8"/>
        <v>0</v>
      </c>
      <c r="T14" s="14">
        <f>IFERROR(IF(WoP_Flag="Y",IF(fq=1,VLOOKUP(ppt*fq-H14,Charges!$AN$41:$AO$59,2,FALSE),IF(fq=2,VLOOKUP(ppt*fq-G14,Charges!$AP$41:$AQ$79,2,FALSE),VLOOKUP(ppt*fq-D14,Charges!$AR$41:$AS$279,2,FALSE)))*pr/fq,0),0)</f>
        <v>0</v>
      </c>
      <c r="U14" s="14">
        <f t="shared" ca="1" si="9"/>
        <v>0</v>
      </c>
      <c r="V14" s="34">
        <f>ROUND(MIN(IF(H14&gt;=7,Charges!$C$12*(1+Charges!$C$14)^((H14-7+1)),VLOOKUP(H14,Charges!$B$7:$C$12,2,0))*pr,Charges!$C$13)*B14,Round)</f>
        <v>450</v>
      </c>
      <c r="W14" s="14">
        <f t="shared" ca="1" si="10"/>
        <v>262605.36619523313</v>
      </c>
      <c r="X14" s="14">
        <f t="shared" ca="1" si="11"/>
        <v>264294.97702838172</v>
      </c>
      <c r="Y14" s="213">
        <f t="shared" ca="1" si="47"/>
        <v>297.49366016990814</v>
      </c>
      <c r="Z14" s="14">
        <f t="shared" ca="1" si="12"/>
        <v>263943.93450938124</v>
      </c>
      <c r="AA14" s="14">
        <f>IF(AND($H14=pt,$F14=11),SUM($K$7:K14)*VLOOKUP(pt,ROC,2,FALSE),0)</f>
        <v>0</v>
      </c>
      <c r="AB14" s="14">
        <f>IF(AND($H14=pt,$F14=11),SUM($V$7:V14)*VLOOKUP(pt,ROC,2,FALSE),0)</f>
        <v>0</v>
      </c>
      <c r="AC14" s="14">
        <f>IF(AND($H14=pt,$F14=11),SUM($Q$7:Q14)*VLOOKUP(pt,ROC,2,FALSE),0)</f>
        <v>0</v>
      </c>
      <c r="AD14" s="14">
        <f t="shared" ca="1" si="13"/>
        <v>263943.93450938124</v>
      </c>
      <c r="AE14" s="14">
        <f ca="1">(MAX(sa-CF13*Flag_UL_Type,105%*SUM($I$7:I14),Z14)+AU14)*B14</f>
        <v>3000000</v>
      </c>
      <c r="AF14" s="136"/>
      <c r="AG14" s="18">
        <v>8</v>
      </c>
      <c r="AH14" s="30">
        <f t="shared" ca="1" si="14"/>
        <v>0</v>
      </c>
      <c r="AI14" s="138"/>
      <c r="AJ14" s="50">
        <f>IF(AND(Option_Sys_TopUp&gt;="Y",H14&gt;=sytp,H14&lt;=(dtp+sytp-1),F14=0,H14&lt;=ppt+1),atp,0)+IFERROR(VLOOKUP(H14,Input!$B$55:$C$61,2,0),0)*(F14=0)*(Option_TopUP="Y")*(Option_Sys_TopUp="N")*B14*(pt&gt;=H14+5)</f>
        <v>0</v>
      </c>
      <c r="AK14" s="50">
        <f t="shared" si="15"/>
        <v>0</v>
      </c>
      <c r="AL14" s="50">
        <f t="shared" si="48"/>
        <v>0</v>
      </c>
      <c r="AM14" s="50">
        <f t="shared" ca="1" si="49"/>
        <v>0</v>
      </c>
      <c r="AN14" s="50">
        <f ca="1">IF(B14=0,0,AT14*(_rpm1+(1+_emr1)*VLOOKUP(E14,Tab_Mort_Charge,IF(Input!$C$12="M",2,3),0))*(0.001*0.0833)*Flag_Mort_Rider_Charge*(AT14&gt;0))</f>
        <v>0</v>
      </c>
      <c r="AO14" s="50">
        <f t="shared" ca="1" si="17"/>
        <v>0</v>
      </c>
      <c r="AP14" s="50">
        <f t="shared" ca="1" si="50"/>
        <v>0</v>
      </c>
      <c r="AQ14" s="50">
        <f t="shared" ca="1" si="18"/>
        <v>0</v>
      </c>
      <c r="AR14" s="50">
        <f t="shared" ca="1" si="19"/>
        <v>0</v>
      </c>
      <c r="AS14" s="50">
        <f t="shared" si="20"/>
        <v>0</v>
      </c>
      <c r="AT14" s="50">
        <f ca="1">(MAX((MAX(AS14,105%*SUM($AJ$7:AJ14))-AM14*Flag_UL_Type),0)*B14)</f>
        <v>0</v>
      </c>
      <c r="AU14" s="50">
        <f ca="1">(MAX(AS14,AR14,105%*SUM($AJ$7:AJ14))*B14)</f>
        <v>0</v>
      </c>
      <c r="AV14" s="125"/>
      <c r="AW14" s="12">
        <f t="shared" si="54"/>
        <v>8</v>
      </c>
      <c r="AX14" s="14">
        <f t="shared" si="21"/>
        <v>6000.00000000001</v>
      </c>
      <c r="AY14" s="14">
        <f t="shared" ca="1" si="22"/>
        <v>6602.7006437122927</v>
      </c>
      <c r="AZ14" s="14">
        <f t="shared" ca="1" si="23"/>
        <v>0</v>
      </c>
      <c r="BA14" s="14">
        <f t="shared" ca="1" si="24"/>
        <v>0</v>
      </c>
      <c r="BB14" s="14">
        <f t="shared" si="25"/>
        <v>6000</v>
      </c>
      <c r="BC14" s="14">
        <f t="shared" ca="1" si="26"/>
        <v>35825.724734528078</v>
      </c>
      <c r="BD14" s="14">
        <f t="shared" ca="1" si="27"/>
        <v>9797.1165680832637</v>
      </c>
      <c r="BE14" s="14">
        <f t="shared" si="28"/>
        <v>1500</v>
      </c>
      <c r="BF14" s="14">
        <f t="shared" ca="1" si="29"/>
        <v>0</v>
      </c>
      <c r="BG14" s="51">
        <f t="shared" si="30"/>
        <v>0</v>
      </c>
      <c r="BH14" s="51">
        <f t="shared" ca="1" si="31"/>
        <v>446.301688941186</v>
      </c>
      <c r="BI14" s="51">
        <f t="shared" ca="1" si="32"/>
        <v>0</v>
      </c>
      <c r="BJ14" s="51">
        <f t="shared" ca="1" si="33"/>
        <v>0</v>
      </c>
      <c r="BK14" s="51">
        <f t="shared" si="34"/>
        <v>81</v>
      </c>
      <c r="BL14" s="51">
        <f t="shared" ca="1" si="35"/>
        <v>53.548858830583463</v>
      </c>
      <c r="BM14" s="51">
        <f t="shared" si="36"/>
        <v>0</v>
      </c>
      <c r="BN14" s="51">
        <f t="shared" ca="1" si="37"/>
        <v>0</v>
      </c>
      <c r="BO14" s="51">
        <f t="shared" ca="1" si="38"/>
        <v>0</v>
      </c>
      <c r="BP14" s="51">
        <f t="shared" ca="1" si="39"/>
        <v>580.85054777176947</v>
      </c>
      <c r="BR14" s="32"/>
      <c r="BS14" s="126"/>
      <c r="BT14" s="16"/>
      <c r="BU14" s="58"/>
      <c r="BW14" s="51">
        <f>IF(Input!$C$13="Offline",VLOOKUP(H14,Charges!$AT$4:$AU$33,2,FALSE)*I14,0)</f>
        <v>0</v>
      </c>
      <c r="BX14" s="51">
        <f t="shared" si="40"/>
        <v>0</v>
      </c>
      <c r="BY14" s="51">
        <f t="shared" si="51"/>
        <v>0</v>
      </c>
      <c r="BZ14" s="151"/>
      <c r="CA14" s="151"/>
      <c r="CB14" s="32"/>
      <c r="CC14" s="16">
        <f ca="1">SUM($N$7:$N14)</f>
        <v>0</v>
      </c>
      <c r="CD14" s="16">
        <f t="shared" ca="1" si="41"/>
        <v>0</v>
      </c>
      <c r="CE14" s="16">
        <f t="shared" ca="1" si="42"/>
        <v>0</v>
      </c>
      <c r="CF14" s="7">
        <f t="shared" ca="1" si="43"/>
        <v>0</v>
      </c>
      <c r="CH14" s="7">
        <f t="shared" ca="1" si="44"/>
        <v>1</v>
      </c>
    </row>
    <row r="15" spans="1:86" s="7" customFormat="1" x14ac:dyDescent="0.2">
      <c r="B15" s="14">
        <f t="shared" si="0"/>
        <v>1</v>
      </c>
      <c r="C15" s="12">
        <f t="shared" si="1"/>
        <v>1</v>
      </c>
      <c r="D15" s="17">
        <f t="shared" si="52"/>
        <v>9</v>
      </c>
      <c r="E15" s="17">
        <f t="shared" ca="1" si="2"/>
        <v>60</v>
      </c>
      <c r="F15" s="12">
        <f t="shared" si="53"/>
        <v>8</v>
      </c>
      <c r="G15" s="12">
        <f t="shared" si="55"/>
        <v>2</v>
      </c>
      <c r="H15" s="17">
        <v>1</v>
      </c>
      <c r="I15" s="29">
        <f t="shared" si="45"/>
        <v>0</v>
      </c>
      <c r="J15" s="211">
        <f>IFERROR(VLOOKUP(H15,Charges!$T$6:$U$35,2,0)*C15,0)</f>
        <v>0.94499999999999995</v>
      </c>
      <c r="K15" s="29">
        <f t="shared" si="3"/>
        <v>0</v>
      </c>
      <c r="L15" s="29">
        <f t="shared" si="4"/>
        <v>0</v>
      </c>
      <c r="M15" s="147">
        <f t="shared" ca="1" si="5"/>
        <v>0</v>
      </c>
      <c r="N15" s="148">
        <f ca="1">IF(AND(Option_SPW="Y",H15&gt;=Lock_In_Period,Z14&gt;SPW_Amount_pa+IF(option="Single",1/5*pr,2*pr),H15&gt;=SPW_Start_Year,H15&lt;=SPW_Start_Year+SPW_Duration-1,age+H15&gt;=Legal_Age),IF(AND(F15=0,SPW_Payout_Freq=1),SPW_Amount_pa,IF(AND(SPW_Payout_Freq=2,MOD(F15,6)=0),SPW_Amount_pa/SPW_Payout_Freq,IF(AND(SPW_Payout_Freq=4,MOD(F15,3)=0),SPW_Amount_pa/SPW_Payout_Freq,IF(SPW_Payout_Freq=12,SPW_Amount_pa/SPW_Payout_Freq,0)))),0)+IFERROR(VLOOKUP(H15,Input!$B$68:$C$74,2,0),0)*(F15=0)*(Option_PW="Y")*(Option_SPW="N")*(age+H15&gt;=Legal_Age)</f>
        <v>0</v>
      </c>
      <c r="O15" s="148">
        <f t="shared" ca="1" si="6"/>
        <v>0</v>
      </c>
      <c r="P15" s="14">
        <f ca="1">(MAX(MAX(sa-CF14*Flag_UL_Type,105%*SUM($I$7:I15))-(AD14+L15-N15)*Flag_UL_Type,0)*B15)</f>
        <v>2736056.0654906188</v>
      </c>
      <c r="Q15" s="213">
        <f t="shared" ca="1" si="46"/>
        <v>2481.3748467278665</v>
      </c>
      <c r="R15" s="14">
        <f t="shared" ca="1" si="7"/>
        <v>0</v>
      </c>
      <c r="S15" s="14">
        <f t="shared" ca="1" si="8"/>
        <v>0</v>
      </c>
      <c r="T15" s="14">
        <f>IFERROR(IF(WoP_Flag="Y",IF(fq=1,VLOOKUP(ppt*fq-H15,Charges!$AN$41:$AO$59,2,FALSE),IF(fq=2,VLOOKUP(ppt*fq-G15,Charges!$AP$41:$AQ$79,2,FALSE),VLOOKUP(ppt*fq-D15,Charges!$AR$41:$AS$279,2,FALSE)))*pr/fq,0),0)</f>
        <v>0</v>
      </c>
      <c r="U15" s="14">
        <f t="shared" ca="1" si="9"/>
        <v>0</v>
      </c>
      <c r="V15" s="34">
        <f>ROUND(MIN(IF(H15&gt;=7,Charges!$C$12*(1+Charges!$C$14)^((H15-7+1)),VLOOKUP(H15,Charges!$B$7:$C$12,2,0))*pr,Charges!$C$13)*B15,Round)</f>
        <v>450</v>
      </c>
      <c r="W15" s="14">
        <f t="shared" ca="1" si="10"/>
        <v>260484.91219024235</v>
      </c>
      <c r="X15" s="14">
        <f t="shared" ca="1" si="11"/>
        <v>262160.879958476</v>
      </c>
      <c r="Y15" s="213">
        <f t="shared" ca="1" si="47"/>
        <v>295.09149439429467</v>
      </c>
      <c r="Z15" s="14">
        <f t="shared" ca="1" si="12"/>
        <v>261812.67199509073</v>
      </c>
      <c r="AA15" s="14">
        <f>IF(AND($H15=pt,$F15=11),SUM($K$7:K15)*VLOOKUP(pt,ROC,2,FALSE),0)</f>
        <v>0</v>
      </c>
      <c r="AB15" s="14">
        <f>IF(AND($H15=pt,$F15=11),SUM($V$7:V15)*VLOOKUP(pt,ROC,2,FALSE),0)</f>
        <v>0</v>
      </c>
      <c r="AC15" s="14">
        <f>IF(AND($H15=pt,$F15=11),SUM($Q$7:Q15)*VLOOKUP(pt,ROC,2,FALSE),0)</f>
        <v>0</v>
      </c>
      <c r="AD15" s="14">
        <f t="shared" ca="1" si="13"/>
        <v>261812.67199509073</v>
      </c>
      <c r="AE15" s="14">
        <f ca="1">(MAX(sa-CF14*Flag_UL_Type,105%*SUM($I$7:I15),Z15)+AU15)*B15</f>
        <v>3000000</v>
      </c>
      <c r="AF15" s="136"/>
      <c r="AG15" s="18">
        <v>9</v>
      </c>
      <c r="AH15" s="30">
        <f t="shared" ca="1" si="14"/>
        <v>0</v>
      </c>
      <c r="AI15" s="138"/>
      <c r="AJ15" s="50">
        <f>IF(AND(Option_Sys_TopUp&gt;="Y",H15&gt;=sytp,H15&lt;=(dtp+sytp-1),F15=0,H15&lt;=ppt+1),atp,0)+IFERROR(VLOOKUP(H15,Input!$B$55:$C$61,2,0),0)*(F15=0)*(Option_TopUP="Y")*(Option_Sys_TopUp="N")*B15*(pt&gt;=H15+5)</f>
        <v>0</v>
      </c>
      <c r="AK15" s="50">
        <f t="shared" si="15"/>
        <v>0</v>
      </c>
      <c r="AL15" s="50">
        <f t="shared" si="48"/>
        <v>0</v>
      </c>
      <c r="AM15" s="50">
        <f t="shared" ca="1" si="49"/>
        <v>0</v>
      </c>
      <c r="AN15" s="50">
        <f ca="1">IF(B15=0,0,AT15*(_rpm1+(1+_emr1)*VLOOKUP(E15,Tab_Mort_Charge,IF(Input!$C$12="M",2,3),0))*(0.001*0.0833)*Flag_Mort_Rider_Charge*(AT15&gt;0))</f>
        <v>0</v>
      </c>
      <c r="AO15" s="50">
        <f t="shared" ca="1" si="17"/>
        <v>0</v>
      </c>
      <c r="AP15" s="50">
        <f t="shared" ca="1" si="50"/>
        <v>0</v>
      </c>
      <c r="AQ15" s="50">
        <f t="shared" ca="1" si="18"/>
        <v>0</v>
      </c>
      <c r="AR15" s="50">
        <f t="shared" ca="1" si="19"/>
        <v>0</v>
      </c>
      <c r="AS15" s="50">
        <f t="shared" si="20"/>
        <v>0</v>
      </c>
      <c r="AT15" s="50">
        <f ca="1">(MAX((MAX(AS15,105%*SUM($AJ$7:AJ15))-AM15*Flag_UL_Type),0)*B15)</f>
        <v>0</v>
      </c>
      <c r="AU15" s="50">
        <f ca="1">(MAX(AS15,AR15,105%*SUM($AJ$7:AJ15))*B15)</f>
        <v>0</v>
      </c>
      <c r="AV15" s="125"/>
      <c r="AW15" s="12">
        <f t="shared" si="54"/>
        <v>9</v>
      </c>
      <c r="AX15" s="14">
        <f t="shared" si="21"/>
        <v>6000.00000000001</v>
      </c>
      <c r="AY15" s="14">
        <f t="shared" ca="1" si="22"/>
        <v>0</v>
      </c>
      <c r="AZ15" s="14">
        <f t="shared" ca="1" si="23"/>
        <v>0</v>
      </c>
      <c r="BA15" s="14">
        <f t="shared" ca="1" si="24"/>
        <v>0</v>
      </c>
      <c r="BB15" s="14">
        <f t="shared" si="25"/>
        <v>6000</v>
      </c>
      <c r="BC15" s="14">
        <f t="shared" ca="1" si="26"/>
        <v>42029.310687919031</v>
      </c>
      <c r="BD15" s="14">
        <f t="shared" ca="1" si="27"/>
        <v>9725.2759238254257</v>
      </c>
      <c r="BE15" s="14">
        <f t="shared" si="28"/>
        <v>1500</v>
      </c>
      <c r="BF15" s="14">
        <f t="shared" ca="1" si="29"/>
        <v>0</v>
      </c>
      <c r="BG15" s="51">
        <f t="shared" si="30"/>
        <v>0</v>
      </c>
      <c r="BH15" s="51">
        <f t="shared" ca="1" si="31"/>
        <v>446.647472411016</v>
      </c>
      <c r="BI15" s="51">
        <f t="shared" ca="1" si="32"/>
        <v>0</v>
      </c>
      <c r="BJ15" s="51">
        <f t="shared" ca="1" si="33"/>
        <v>0</v>
      </c>
      <c r="BK15" s="51">
        <f t="shared" si="34"/>
        <v>81</v>
      </c>
      <c r="BL15" s="51">
        <f t="shared" ca="1" si="35"/>
        <v>53.11646899097304</v>
      </c>
      <c r="BM15" s="51">
        <f t="shared" si="36"/>
        <v>0</v>
      </c>
      <c r="BN15" s="51">
        <f t="shared" ca="1" si="37"/>
        <v>0</v>
      </c>
      <c r="BO15" s="51">
        <f t="shared" ca="1" si="38"/>
        <v>0</v>
      </c>
      <c r="BP15" s="51">
        <f t="shared" ca="1" si="39"/>
        <v>580.76394140198909</v>
      </c>
      <c r="BR15" s="32"/>
      <c r="BS15" s="126"/>
      <c r="BT15" s="16"/>
      <c r="BU15" s="58"/>
      <c r="BW15" s="51">
        <f>IF(Input!$C$13="Offline",VLOOKUP(H15,Charges!$AT$4:$AU$33,2,FALSE)*I15,0)</f>
        <v>0</v>
      </c>
      <c r="BX15" s="51">
        <f t="shared" si="40"/>
        <v>0</v>
      </c>
      <c r="BY15" s="51">
        <f t="shared" si="51"/>
        <v>0</v>
      </c>
      <c r="BZ15" s="151"/>
      <c r="CA15" s="151"/>
      <c r="CB15" s="32"/>
      <c r="CC15" s="16">
        <f ca="1">SUM($N$7:$N15)</f>
        <v>0</v>
      </c>
      <c r="CD15" s="16">
        <f t="shared" ca="1" si="41"/>
        <v>0</v>
      </c>
      <c r="CE15" s="16">
        <f t="shared" ca="1" si="42"/>
        <v>0</v>
      </c>
      <c r="CF15" s="7">
        <f t="shared" ca="1" si="43"/>
        <v>0</v>
      </c>
      <c r="CH15" s="7">
        <f t="shared" ca="1" si="44"/>
        <v>1</v>
      </c>
    </row>
    <row r="16" spans="1:86" s="7" customFormat="1" x14ac:dyDescent="0.2">
      <c r="B16" s="14">
        <f t="shared" si="0"/>
        <v>1</v>
      </c>
      <c r="C16" s="12">
        <f t="shared" si="1"/>
        <v>1</v>
      </c>
      <c r="D16" s="17">
        <f t="shared" si="52"/>
        <v>10</v>
      </c>
      <c r="E16" s="17">
        <f t="shared" ca="1" si="2"/>
        <v>60</v>
      </c>
      <c r="F16" s="12">
        <f t="shared" si="53"/>
        <v>9</v>
      </c>
      <c r="G16" s="12">
        <f t="shared" si="55"/>
        <v>2</v>
      </c>
      <c r="H16" s="17">
        <v>1</v>
      </c>
      <c r="I16" s="29">
        <f t="shared" si="45"/>
        <v>0</v>
      </c>
      <c r="J16" s="211">
        <f>IFERROR(VLOOKUP(H16,Charges!$T$6:$U$35,2,0)*C16,0)</f>
        <v>0.94499999999999995</v>
      </c>
      <c r="K16" s="29">
        <f t="shared" si="3"/>
        <v>0</v>
      </c>
      <c r="L16" s="29">
        <f t="shared" si="4"/>
        <v>0</v>
      </c>
      <c r="M16" s="147">
        <f t="shared" ca="1" si="5"/>
        <v>0</v>
      </c>
      <c r="N16" s="148">
        <f ca="1">IF(AND(Option_SPW="Y",H16&gt;=Lock_In_Period,Z15&gt;SPW_Amount_pa+IF(option="Single",1/5*pr,2*pr),H16&gt;=SPW_Start_Year,H16&lt;=SPW_Start_Year+SPW_Duration-1,age+H16&gt;=Legal_Age),IF(AND(F16=0,SPW_Payout_Freq=1),SPW_Amount_pa,IF(AND(SPW_Payout_Freq=2,MOD(F16,6)=0),SPW_Amount_pa/SPW_Payout_Freq,IF(AND(SPW_Payout_Freq=4,MOD(F16,3)=0),SPW_Amount_pa/SPW_Payout_Freq,IF(SPW_Payout_Freq=12,SPW_Amount_pa/SPW_Payout_Freq,0)))),0)+IFERROR(VLOOKUP(H16,Input!$B$68:$C$74,2,0),0)*(F16=0)*(Option_PW="Y")*(Option_SPW="N")*(age+H16&gt;=Legal_Age)</f>
        <v>0</v>
      </c>
      <c r="O16" s="148">
        <f t="shared" ca="1" si="6"/>
        <v>0</v>
      </c>
      <c r="P16" s="14">
        <f ca="1">(MAX(MAX(sa-CF15*Flag_UL_Type,105%*SUM($I$7:I16))-(AD15+L16-N16)*Flag_UL_Type,0)*B16)</f>
        <v>2738187.3280049092</v>
      </c>
      <c r="Q16" s="213">
        <f t="shared" ca="1" si="46"/>
        <v>2483.3077242231166</v>
      </c>
      <c r="R16" s="14">
        <f t="shared" ca="1" si="7"/>
        <v>0</v>
      </c>
      <c r="S16" s="14">
        <f t="shared" ca="1" si="8"/>
        <v>0</v>
      </c>
      <c r="T16" s="14">
        <f>IFERROR(IF(WoP_Flag="Y",IF(fq=1,VLOOKUP(ppt*fq-H16,Charges!$AN$41:$AO$59,2,FALSE),IF(fq=2,VLOOKUP(ppt*fq-G16,Charges!$AP$41:$AQ$79,2,FALSE),VLOOKUP(ppt*fq-D16,Charges!$AR$41:$AS$279,2,FALSE)))*pr/fq,0),0)</f>
        <v>0</v>
      </c>
      <c r="U16" s="14">
        <f t="shared" ca="1" si="9"/>
        <v>0</v>
      </c>
      <c r="V16" s="34">
        <f>ROUND(MIN(IF(H16&gt;=7,Charges!$C$12*(1+Charges!$C$14)^((H16-7+1)),VLOOKUP(H16,Charges!$B$7:$C$12,2,0))*pr,Charges!$C$13)*B16,Round)</f>
        <v>450</v>
      </c>
      <c r="W16" s="14">
        <f t="shared" ca="1" si="10"/>
        <v>258351.36888050745</v>
      </c>
      <c r="X16" s="14">
        <f t="shared" ca="1" si="11"/>
        <v>260013.60936684522</v>
      </c>
      <c r="Y16" s="213">
        <f t="shared" ca="1" si="47"/>
        <v>292.67450034143059</v>
      </c>
      <c r="Z16" s="14">
        <f t="shared" ca="1" si="12"/>
        <v>259668.25345644233</v>
      </c>
      <c r="AA16" s="14">
        <f>IF(AND($H16=pt,$F16=11),SUM($K$7:K16)*VLOOKUP(pt,ROC,2,FALSE),0)</f>
        <v>0</v>
      </c>
      <c r="AB16" s="14">
        <f>IF(AND($H16=pt,$F16=11),SUM($V$7:V16)*VLOOKUP(pt,ROC,2,FALSE),0)</f>
        <v>0</v>
      </c>
      <c r="AC16" s="14">
        <f>IF(AND($H16=pt,$F16=11),SUM($Q$7:Q16)*VLOOKUP(pt,ROC,2,FALSE),0)</f>
        <v>0</v>
      </c>
      <c r="AD16" s="14">
        <f t="shared" ca="1" si="13"/>
        <v>259668.25345644233</v>
      </c>
      <c r="AE16" s="14">
        <f ca="1">(MAX(sa-CF15*Flag_UL_Type,105%*SUM($I$7:I16),Z16)+AU16)*B16</f>
        <v>3000000</v>
      </c>
      <c r="AF16" s="136"/>
      <c r="AG16" s="18">
        <v>10</v>
      </c>
      <c r="AH16" s="30">
        <f t="shared" ca="1" si="14"/>
        <v>0</v>
      </c>
      <c r="AI16" s="138"/>
      <c r="AJ16" s="50">
        <f>IF(AND(Option_Sys_TopUp&gt;="Y",H16&gt;=sytp,H16&lt;=(dtp+sytp-1),F16=0,H16&lt;=ppt+1),atp,0)+IFERROR(VLOOKUP(H16,Input!$B$55:$C$61,2,0),0)*(F16=0)*(Option_TopUP="Y")*(Option_Sys_TopUp="N")*B16*(pt&gt;=H16+5)</f>
        <v>0</v>
      </c>
      <c r="AK16" s="50">
        <f t="shared" si="15"/>
        <v>0</v>
      </c>
      <c r="AL16" s="50">
        <f t="shared" si="48"/>
        <v>0</v>
      </c>
      <c r="AM16" s="50">
        <f t="shared" ca="1" si="49"/>
        <v>0</v>
      </c>
      <c r="AN16" s="50">
        <f ca="1">IF(B16=0,0,AT16*(_rpm1+(1+_emr1)*VLOOKUP(E16,Tab_Mort_Charge,IF(Input!$C$12="M",2,3),0))*(0.001*0.0833)*Flag_Mort_Rider_Charge*(AT16&gt;0))</f>
        <v>0</v>
      </c>
      <c r="AO16" s="50">
        <f t="shared" ca="1" si="17"/>
        <v>0</v>
      </c>
      <c r="AP16" s="50">
        <f t="shared" ca="1" si="50"/>
        <v>0</v>
      </c>
      <c r="AQ16" s="50">
        <f t="shared" ca="1" si="18"/>
        <v>0</v>
      </c>
      <c r="AR16" s="50">
        <f t="shared" ca="1" si="19"/>
        <v>0</v>
      </c>
      <c r="AS16" s="50">
        <f t="shared" si="20"/>
        <v>0</v>
      </c>
      <c r="AT16" s="50">
        <f ca="1">(MAX((MAX(AS16,105%*SUM($AJ$7:AJ16))-AM16*Flag_UL_Type),0)*B16)</f>
        <v>0</v>
      </c>
      <c r="AU16" s="50">
        <f ca="1">(MAX(AS16,AR16,105%*SUM($AJ$7:AJ16))*B16)</f>
        <v>0</v>
      </c>
      <c r="AV16" s="125"/>
      <c r="AW16" s="12">
        <f t="shared" si="54"/>
        <v>10</v>
      </c>
      <c r="AX16" s="14">
        <f t="shared" si="21"/>
        <v>6000.00000000001</v>
      </c>
      <c r="AY16" s="14">
        <f t="shared" ca="1" si="22"/>
        <v>0</v>
      </c>
      <c r="AZ16" s="14">
        <f t="shared" ca="1" si="23"/>
        <v>0</v>
      </c>
      <c r="BA16" s="14">
        <f t="shared" ca="1" si="24"/>
        <v>0</v>
      </c>
      <c r="BB16" s="14">
        <f t="shared" si="25"/>
        <v>6000</v>
      </c>
      <c r="BC16" s="14">
        <f t="shared" ca="1" si="26"/>
        <v>48670.026251794487</v>
      </c>
      <c r="BD16" s="14">
        <f t="shared" ca="1" si="27"/>
        <v>10920.604725323006</v>
      </c>
      <c r="BE16" s="14">
        <f t="shared" si="28"/>
        <v>1500</v>
      </c>
      <c r="BF16" s="14">
        <f t="shared" ca="1" si="29"/>
        <v>0</v>
      </c>
      <c r="BG16" s="51">
        <f t="shared" si="30"/>
        <v>0</v>
      </c>
      <c r="BH16" s="51">
        <f t="shared" ca="1" si="31"/>
        <v>446.99539036016103</v>
      </c>
      <c r="BI16" s="51">
        <f t="shared" ca="1" si="32"/>
        <v>0</v>
      </c>
      <c r="BJ16" s="51">
        <f t="shared" ca="1" si="33"/>
        <v>0</v>
      </c>
      <c r="BK16" s="51">
        <f t="shared" si="34"/>
        <v>81</v>
      </c>
      <c r="BL16" s="51">
        <f t="shared" ca="1" si="35"/>
        <v>52.681410061457505</v>
      </c>
      <c r="BM16" s="51">
        <f t="shared" si="36"/>
        <v>0</v>
      </c>
      <c r="BN16" s="51">
        <f t="shared" ca="1" si="37"/>
        <v>0</v>
      </c>
      <c r="BO16" s="51">
        <f t="shared" ca="1" si="38"/>
        <v>0</v>
      </c>
      <c r="BP16" s="51">
        <f t="shared" ca="1" si="39"/>
        <v>580.67680042161862</v>
      </c>
      <c r="BR16" s="32"/>
      <c r="BS16" s="126"/>
      <c r="BT16" s="16"/>
      <c r="BU16" s="58"/>
      <c r="BW16" s="51">
        <f>IF(Input!$C$13="Offline",VLOOKUP(H16,Charges!$AT$4:$AU$33,2,FALSE)*I16,0)</f>
        <v>0</v>
      </c>
      <c r="BX16" s="51">
        <f t="shared" si="40"/>
        <v>0</v>
      </c>
      <c r="BY16" s="51">
        <f t="shared" si="51"/>
        <v>0</v>
      </c>
      <c r="BZ16" s="151"/>
      <c r="CA16" s="151"/>
      <c r="CB16" s="32"/>
      <c r="CC16" s="16">
        <f ca="1">SUM($N$7:$N16)</f>
        <v>0</v>
      </c>
      <c r="CD16" s="16">
        <f t="shared" ca="1" si="41"/>
        <v>0</v>
      </c>
      <c r="CE16" s="16">
        <f t="shared" ca="1" si="42"/>
        <v>0</v>
      </c>
      <c r="CF16" s="7">
        <f t="shared" ca="1" si="43"/>
        <v>0</v>
      </c>
      <c r="CH16" s="7">
        <f t="shared" ca="1" si="44"/>
        <v>1</v>
      </c>
    </row>
    <row r="17" spans="2:86" s="7" customFormat="1" x14ac:dyDescent="0.2">
      <c r="B17" s="14">
        <f t="shared" si="0"/>
        <v>1</v>
      </c>
      <c r="C17" s="12">
        <f t="shared" si="1"/>
        <v>1</v>
      </c>
      <c r="D17" s="17">
        <f t="shared" si="52"/>
        <v>11</v>
      </c>
      <c r="E17" s="17">
        <f t="shared" ca="1" si="2"/>
        <v>60</v>
      </c>
      <c r="F17" s="12">
        <f>F16+1</f>
        <v>10</v>
      </c>
      <c r="G17" s="12">
        <f t="shared" si="55"/>
        <v>2</v>
      </c>
      <c r="H17" s="17">
        <v>1</v>
      </c>
      <c r="I17" s="29">
        <f t="shared" si="45"/>
        <v>0</v>
      </c>
      <c r="J17" s="211">
        <f>IFERROR(VLOOKUP(H17,Charges!$T$6:$U$35,2,0)*C17,0)</f>
        <v>0.94499999999999995</v>
      </c>
      <c r="K17" s="29">
        <f t="shared" si="3"/>
        <v>0</v>
      </c>
      <c r="L17" s="29">
        <f t="shared" si="4"/>
        <v>0</v>
      </c>
      <c r="M17" s="147">
        <f t="shared" ca="1" si="5"/>
        <v>0</v>
      </c>
      <c r="N17" s="148">
        <f ca="1">IF(AND(Option_SPW="Y",H17&gt;=Lock_In_Period,Z16&gt;SPW_Amount_pa+IF(option="Single",1/5*pr,2*pr),H17&gt;=SPW_Start_Year,H17&lt;=SPW_Start_Year+SPW_Duration-1,age+H17&gt;=Legal_Age),IF(AND(F17=0,SPW_Payout_Freq=1),SPW_Amount_pa,IF(AND(SPW_Payout_Freq=2,MOD(F17,6)=0),SPW_Amount_pa/SPW_Payout_Freq,IF(AND(SPW_Payout_Freq=4,MOD(F17,3)=0),SPW_Amount_pa/SPW_Payout_Freq,IF(SPW_Payout_Freq=12,SPW_Amount_pa/SPW_Payout_Freq,0)))),0)+IFERROR(VLOOKUP(H17,Input!$B$68:$C$74,2,0),0)*(F17=0)*(Option_PW="Y")*(Option_SPW="N")*(age+H17&gt;=Legal_Age)</f>
        <v>0</v>
      </c>
      <c r="O17" s="148">
        <f t="shared" ca="1" si="6"/>
        <v>0</v>
      </c>
      <c r="P17" s="14">
        <f ca="1">(MAX(MAX(sa-CF16*Flag_UL_Type,105%*SUM($I$7:I17))-(AD16+L17-N17)*Flag_UL_Type,0)*B17)</f>
        <v>2740331.7465435578</v>
      </c>
      <c r="Q17" s="213">
        <f t="shared" ca="1" si="46"/>
        <v>2485.2525331361248</v>
      </c>
      <c r="R17" s="14">
        <f t="shared" ca="1" si="7"/>
        <v>0</v>
      </c>
      <c r="S17" s="14">
        <f t="shared" ca="1" si="8"/>
        <v>0</v>
      </c>
      <c r="T17" s="14">
        <f>IFERROR(IF(WoP_Flag="Y",IF(fq=1,VLOOKUP(ppt*fq-H17,Charges!$AN$41:$AO$59,2,FALSE),IF(fq=2,VLOOKUP(ppt*fq-G17,Charges!$AP$41:$AQ$79,2,FALSE),VLOOKUP(ppt*fq-D17,Charges!$AR$41:$AS$279,2,FALSE)))*pr/fq,0),0)</f>
        <v>0</v>
      </c>
      <c r="U17" s="14">
        <f t="shared" ca="1" si="9"/>
        <v>0</v>
      </c>
      <c r="V17" s="34">
        <f>ROUND(MIN(IF(H17&gt;=7,Charges!$C$12*(1+Charges!$C$14)^((H17-7+1)),VLOOKUP(H17,Charges!$B$7:$C$12,2,0))*pr,Charges!$C$13)*B17,Round)</f>
        <v>450</v>
      </c>
      <c r="W17" s="14">
        <f t="shared" ca="1" si="10"/>
        <v>256204.65546734171</v>
      </c>
      <c r="X17" s="14">
        <f t="shared" ca="1" si="11"/>
        <v>257853.08393494165</v>
      </c>
      <c r="Y17" s="213">
        <f t="shared" ca="1" si="47"/>
        <v>290.24258647816356</v>
      </c>
      <c r="Z17" s="14">
        <f t="shared" ca="1" si="12"/>
        <v>257510.59768289741</v>
      </c>
      <c r="AA17" s="14">
        <f>IF(AND($H17=pt,$F17=11),SUM($K$7:K17)*VLOOKUP(pt,ROC,2,FALSE),0)</f>
        <v>0</v>
      </c>
      <c r="AB17" s="14">
        <f>IF(AND($H17=pt,$F17=11),SUM($V$7:V17)*VLOOKUP(pt,ROC,2,FALSE),0)</f>
        <v>0</v>
      </c>
      <c r="AC17" s="14">
        <f>IF(AND($H17=pt,$F17=11),SUM($Q$7:Q17)*VLOOKUP(pt,ROC,2,FALSE),0)</f>
        <v>0</v>
      </c>
      <c r="AD17" s="14">
        <f t="shared" ca="1" si="13"/>
        <v>257510.59768289741</v>
      </c>
      <c r="AE17" s="14">
        <f ca="1">(MAX(sa-CF16*Flag_UL_Type,105%*SUM($I$7:I17),Z17)+AU17)*B17</f>
        <v>3000000</v>
      </c>
      <c r="AF17" s="136"/>
      <c r="AG17" s="18">
        <v>11</v>
      </c>
      <c r="AH17" s="30">
        <f t="shared" ca="1" si="14"/>
        <v>0</v>
      </c>
      <c r="AI17" s="138"/>
      <c r="AJ17" s="50">
        <f>IF(AND(Option_Sys_TopUp&gt;="Y",H17&gt;=sytp,H17&lt;=(dtp+sytp-1),F17=0,H17&lt;=ppt+1),atp,0)+IFERROR(VLOOKUP(H17,Input!$B$55:$C$61,2,0),0)*(F17=0)*(Option_TopUP="Y")*(Option_Sys_TopUp="N")*B17*(pt&gt;=H17+5)</f>
        <v>0</v>
      </c>
      <c r="AK17" s="50">
        <f t="shared" si="15"/>
        <v>0</v>
      </c>
      <c r="AL17" s="50">
        <f t="shared" si="48"/>
        <v>0</v>
      </c>
      <c r="AM17" s="50">
        <f t="shared" ca="1" si="49"/>
        <v>0</v>
      </c>
      <c r="AN17" s="50">
        <f ca="1">IF(B17=0,0,AT17*(_rpm1+(1+_emr1)*VLOOKUP(E17,Tab_Mort_Charge,IF(Input!$C$12="M",2,3),0))*(0.001*0.0833)*Flag_Mort_Rider_Charge*(AT17&gt;0))</f>
        <v>0</v>
      </c>
      <c r="AO17" s="50">
        <f t="shared" ca="1" si="17"/>
        <v>0</v>
      </c>
      <c r="AP17" s="50">
        <f t="shared" ca="1" si="50"/>
        <v>0</v>
      </c>
      <c r="AQ17" s="50">
        <f t="shared" ca="1" si="18"/>
        <v>0</v>
      </c>
      <c r="AR17" s="50">
        <f t="shared" ca="1" si="19"/>
        <v>0</v>
      </c>
      <c r="AS17" s="50">
        <f t="shared" si="20"/>
        <v>0</v>
      </c>
      <c r="AT17" s="50">
        <f ca="1">(MAX((MAX(AS17,105%*SUM($AJ$7:AJ17))-AM17*Flag_UL_Type),0)*B17)</f>
        <v>0</v>
      </c>
      <c r="AU17" s="50">
        <f ca="1">(MAX(AS17,AR17,105%*SUM($AJ$7:AJ17))*B17)</f>
        <v>0</v>
      </c>
      <c r="AV17" s="125"/>
      <c r="AW17" s="12">
        <f t="shared" si="54"/>
        <v>11</v>
      </c>
      <c r="AX17" s="14">
        <f t="shared" si="21"/>
        <v>0</v>
      </c>
      <c r="AY17" s="14">
        <f t="shared" ca="1" si="22"/>
        <v>0</v>
      </c>
      <c r="AZ17" s="14">
        <f t="shared" ca="1" si="23"/>
        <v>0</v>
      </c>
      <c r="BA17" s="14">
        <f t="shared" ca="1" si="24"/>
        <v>0</v>
      </c>
      <c r="BB17" s="14">
        <f t="shared" si="25"/>
        <v>6000</v>
      </c>
      <c r="BC17" s="14">
        <f t="shared" ca="1" si="26"/>
        <v>55827.510723493768</v>
      </c>
      <c r="BD17" s="14">
        <f t="shared" ca="1" si="27"/>
        <v>11128.951930228879</v>
      </c>
      <c r="BE17" s="14">
        <f t="shared" si="28"/>
        <v>0</v>
      </c>
      <c r="BF17" s="14">
        <f t="shared" ca="1" si="29"/>
        <v>0</v>
      </c>
      <c r="BG17" s="51">
        <f t="shared" si="30"/>
        <v>0</v>
      </c>
      <c r="BH17" s="51">
        <f t="shared" ca="1" si="31"/>
        <v>447.34545596450198</v>
      </c>
      <c r="BI17" s="51">
        <f t="shared" ca="1" si="32"/>
        <v>0</v>
      </c>
      <c r="BJ17" s="51">
        <f t="shared" ca="1" si="33"/>
        <v>0</v>
      </c>
      <c r="BK17" s="51">
        <f t="shared" si="34"/>
        <v>81</v>
      </c>
      <c r="BL17" s="51">
        <f t="shared" ca="1" si="35"/>
        <v>52.243665566069438</v>
      </c>
      <c r="BM17" s="51">
        <f t="shared" si="36"/>
        <v>0</v>
      </c>
      <c r="BN17" s="51">
        <f t="shared" ca="1" si="37"/>
        <v>0</v>
      </c>
      <c r="BO17" s="51">
        <f t="shared" ca="1" si="38"/>
        <v>0</v>
      </c>
      <c r="BP17" s="51">
        <f t="shared" ca="1" si="39"/>
        <v>580.58912153057145</v>
      </c>
      <c r="BR17" s="32"/>
      <c r="BS17" s="126"/>
      <c r="BT17" s="16"/>
      <c r="BU17" s="58"/>
      <c r="BW17" s="51">
        <f>IF(Input!$C$13="Offline",VLOOKUP(H17,Charges!$AT$4:$AU$33,2,FALSE)*I17,0)</f>
        <v>0</v>
      </c>
      <c r="BX17" s="51">
        <f t="shared" si="40"/>
        <v>0</v>
      </c>
      <c r="BY17" s="51">
        <f t="shared" si="51"/>
        <v>0</v>
      </c>
      <c r="BZ17" s="151"/>
      <c r="CA17" s="151"/>
      <c r="CB17" s="32"/>
      <c r="CC17" s="16">
        <f ca="1">SUM($N$7:$N17)</f>
        <v>0</v>
      </c>
      <c r="CD17" s="16">
        <f t="shared" ca="1" si="41"/>
        <v>0</v>
      </c>
      <c r="CE17" s="16">
        <f t="shared" ca="1" si="42"/>
        <v>0</v>
      </c>
      <c r="CF17" s="7">
        <f t="shared" ca="1" si="43"/>
        <v>0</v>
      </c>
      <c r="CH17" s="7">
        <f t="shared" ca="1" si="44"/>
        <v>1</v>
      </c>
    </row>
    <row r="18" spans="2:86" s="7" customFormat="1" x14ac:dyDescent="0.2">
      <c r="B18" s="14">
        <f t="shared" si="0"/>
        <v>1</v>
      </c>
      <c r="C18" s="12">
        <f t="shared" si="1"/>
        <v>1</v>
      </c>
      <c r="D18" s="17">
        <f t="shared" si="52"/>
        <v>12</v>
      </c>
      <c r="E18" s="17">
        <f t="shared" ca="1" si="2"/>
        <v>60</v>
      </c>
      <c r="F18" s="12">
        <f t="shared" si="53"/>
        <v>11</v>
      </c>
      <c r="G18" s="12">
        <f t="shared" si="55"/>
        <v>2</v>
      </c>
      <c r="H18" s="17">
        <v>1</v>
      </c>
      <c r="I18" s="29">
        <f t="shared" si="45"/>
        <v>0</v>
      </c>
      <c r="J18" s="211">
        <f>IFERROR(VLOOKUP(H18,Charges!$T$6:$U$35,2,0)*C18,0)</f>
        <v>0.94499999999999995</v>
      </c>
      <c r="K18" s="29">
        <f t="shared" si="3"/>
        <v>0</v>
      </c>
      <c r="L18" s="29">
        <f t="shared" si="4"/>
        <v>0</v>
      </c>
      <c r="M18" s="147">
        <f t="shared" ca="1" si="5"/>
        <v>0</v>
      </c>
      <c r="N18" s="148">
        <f ca="1">IF(AND(Option_SPW="Y",H18&gt;=Lock_In_Period,Z17&gt;SPW_Amount_pa+IF(option="Single",1/5*pr,2*pr),H18&gt;=SPW_Start_Year,H18&lt;=SPW_Start_Year+SPW_Duration-1,age+H18&gt;=Legal_Age),IF(AND(F18=0,SPW_Payout_Freq=1),SPW_Amount_pa,IF(AND(SPW_Payout_Freq=2,MOD(F18,6)=0),SPW_Amount_pa/SPW_Payout_Freq,IF(AND(SPW_Payout_Freq=4,MOD(F18,3)=0),SPW_Amount_pa/SPW_Payout_Freq,IF(SPW_Payout_Freq=12,SPW_Amount_pa/SPW_Payout_Freq,0)))),0)+IFERROR(VLOOKUP(H18,Input!$B$68:$C$74,2,0),0)*(F18=0)*(Option_PW="Y")*(Option_SPW="N")*(age+H18&gt;=Legal_Age)</f>
        <v>0</v>
      </c>
      <c r="O18" s="148">
        <f t="shared" ca="1" si="6"/>
        <v>0</v>
      </c>
      <c r="P18" s="14">
        <f ca="1">(MAX(MAX(sa-CF17*Flag_UL_Type,105%*SUM($I$7:I18))-(AD17+L18-N18)*Flag_UL_Type,0)*B18)</f>
        <v>2742489.4023171025</v>
      </c>
      <c r="Q18" s="213">
        <f t="shared" ca="1" si="46"/>
        <v>2487.2093471180833</v>
      </c>
      <c r="R18" s="14">
        <f t="shared" ca="1" si="7"/>
        <v>0</v>
      </c>
      <c r="S18" s="14">
        <f t="shared" ca="1" si="8"/>
        <v>0</v>
      </c>
      <c r="T18" s="14">
        <f>IFERROR(IF(WoP_Flag="Y",IF(fq=1,VLOOKUP(ppt*fq-H18,Charges!$AN$41:$AO$59,2,FALSE),IF(fq=2,VLOOKUP(ppt*fq-G18,Charges!$AP$41:$AQ$79,2,FALSE),VLOOKUP(ppt*fq-D18,Charges!$AR$41:$AS$279,2,FALSE)))*pr/fq,0),0)</f>
        <v>0</v>
      </c>
      <c r="U18" s="14">
        <f t="shared" ca="1" si="9"/>
        <v>0</v>
      </c>
      <c r="V18" s="34">
        <f>ROUND(MIN(IF(H18&gt;=7,Charges!$C$12*(1+Charges!$C$14)^((H18-7+1)),VLOOKUP(H18,Charges!$B$7:$C$12,2,0))*pr,Charges!$C$13)*B18,Round)</f>
        <v>450</v>
      </c>
      <c r="W18" s="14">
        <f t="shared" ca="1" si="10"/>
        <v>254044.69065329808</v>
      </c>
      <c r="X18" s="14">
        <f t="shared" ca="1" si="11"/>
        <v>255679.22184224791</v>
      </c>
      <c r="Y18" s="213">
        <f t="shared" ca="1" si="47"/>
        <v>287.79566070631796</v>
      </c>
      <c r="Z18" s="14">
        <f t="shared" ca="1" si="12"/>
        <v>255339.62296261446</v>
      </c>
      <c r="AA18" s="14">
        <f>IF(AND($H18=pt,$F18=11),SUM($K$7:K18)*VLOOKUP(pt,ROC,2,FALSE),0)</f>
        <v>0</v>
      </c>
      <c r="AB18" s="14">
        <f>IF(AND($H18=pt,$F18=11),SUM($V$7:V18)*VLOOKUP(pt,ROC,2,FALSE),0)</f>
        <v>0</v>
      </c>
      <c r="AC18" s="14">
        <f>IF(AND($H18=pt,$F18=11),SUM($Q$7:Q18)*VLOOKUP(pt,ROC,2,FALSE),0)</f>
        <v>0</v>
      </c>
      <c r="AD18" s="14">
        <f t="shared" ca="1" si="13"/>
        <v>255339.62296261446</v>
      </c>
      <c r="AE18" s="14">
        <f ca="1">(MAX(sa-CF17*Flag_UL_Type,105%*SUM($I$7:I18),Z18)+AU18)*B18</f>
        <v>3000000</v>
      </c>
      <c r="AF18" s="136"/>
      <c r="AG18" s="18">
        <v>12</v>
      </c>
      <c r="AH18" s="30">
        <f t="shared" ca="1" si="14"/>
        <v>0</v>
      </c>
      <c r="AI18" s="138"/>
      <c r="AJ18" s="50">
        <f>IF(AND(Option_Sys_TopUp&gt;="Y",H18&gt;=sytp,H18&lt;=(dtp+sytp-1),F18=0,H18&lt;=ppt+1),atp,0)+IFERROR(VLOOKUP(H18,Input!$B$55:$C$61,2,0),0)*(F18=0)*(Option_TopUP="Y")*(Option_Sys_TopUp="N")*B18*(pt&gt;=H18+5)</f>
        <v>0</v>
      </c>
      <c r="AK18" s="50">
        <f t="shared" si="15"/>
        <v>0</v>
      </c>
      <c r="AL18" s="50">
        <f t="shared" si="48"/>
        <v>0</v>
      </c>
      <c r="AM18" s="50">
        <f t="shared" ca="1" si="49"/>
        <v>0</v>
      </c>
      <c r="AN18" s="50">
        <f ca="1">IF(B18=0,0,AT18*(_rpm1+(1+_emr1)*VLOOKUP(E18,Tab_Mort_Charge,IF(Input!$C$12="M",2,3),0))*(0.001*0.0833)*Flag_Mort_Rider_Charge*(AT18&gt;0))</f>
        <v>0</v>
      </c>
      <c r="AO18" s="50">
        <f t="shared" ca="1" si="17"/>
        <v>0</v>
      </c>
      <c r="AP18" s="50">
        <f t="shared" ca="1" si="50"/>
        <v>0</v>
      </c>
      <c r="AQ18" s="50">
        <f t="shared" ca="1" si="18"/>
        <v>0</v>
      </c>
      <c r="AR18" s="50">
        <f t="shared" ca="1" si="19"/>
        <v>0</v>
      </c>
      <c r="AS18" s="50">
        <f t="shared" si="20"/>
        <v>0</v>
      </c>
      <c r="AT18" s="50">
        <f ca="1">(MAX((MAX(AS18,105%*SUM($AJ$7:AJ18))-AM18*Flag_UL_Type),0)*B18)</f>
        <v>0</v>
      </c>
      <c r="AU18" s="50">
        <f ca="1">(MAX(AS18,AR18,105%*SUM($AJ$7:AJ18))*B18)</f>
        <v>0</v>
      </c>
      <c r="AV18" s="125"/>
      <c r="AW18" s="12">
        <f t="shared" si="54"/>
        <v>12</v>
      </c>
      <c r="AX18" s="14">
        <f t="shared" si="21"/>
        <v>0</v>
      </c>
      <c r="AY18" s="14">
        <f t="shared" ca="1" si="22"/>
        <v>0</v>
      </c>
      <c r="AZ18" s="14">
        <f t="shared" ca="1" si="23"/>
        <v>0</v>
      </c>
      <c r="BA18" s="14">
        <f t="shared" ca="1" si="24"/>
        <v>0</v>
      </c>
      <c r="BB18" s="14">
        <f t="shared" si="25"/>
        <v>6000</v>
      </c>
      <c r="BC18" s="14">
        <f t="shared" ca="1" si="26"/>
        <v>63435.282796303261</v>
      </c>
      <c r="BD18" s="14">
        <f t="shared" ca="1" si="27"/>
        <v>12498.350903334587</v>
      </c>
      <c r="BE18" s="14">
        <f t="shared" si="28"/>
        <v>0</v>
      </c>
      <c r="BF18" s="14">
        <f t="shared" ca="1" si="29"/>
        <v>0</v>
      </c>
      <c r="BG18" s="51">
        <f t="shared" si="30"/>
        <v>0</v>
      </c>
      <c r="BH18" s="51">
        <f t="shared" ca="1" si="31"/>
        <v>447.69768248125501</v>
      </c>
      <c r="BI18" s="51">
        <f t="shared" ca="1" si="32"/>
        <v>0</v>
      </c>
      <c r="BJ18" s="51">
        <f t="shared" ca="1" si="33"/>
        <v>0</v>
      </c>
      <c r="BK18" s="51">
        <f t="shared" si="34"/>
        <v>81</v>
      </c>
      <c r="BL18" s="51">
        <f t="shared" ca="1" si="35"/>
        <v>51.80321892713723</v>
      </c>
      <c r="BM18" s="51">
        <f t="shared" si="36"/>
        <v>0</v>
      </c>
      <c r="BN18" s="51">
        <f t="shared" ca="1" si="37"/>
        <v>0</v>
      </c>
      <c r="BO18" s="51">
        <f t="shared" ca="1" si="38"/>
        <v>0</v>
      </c>
      <c r="BP18" s="51">
        <f t="shared" ca="1" si="39"/>
        <v>580.50090140839222</v>
      </c>
      <c r="BR18" s="32"/>
      <c r="BS18" s="126"/>
      <c r="BT18" s="16"/>
      <c r="BU18" s="58"/>
      <c r="BW18" s="51">
        <f>IF(Input!$C$13="Offline",VLOOKUP(H18,Charges!$AT$4:$AU$33,2,FALSE)*I18,0)</f>
        <v>0</v>
      </c>
      <c r="BX18" s="51">
        <f t="shared" si="40"/>
        <v>0</v>
      </c>
      <c r="BY18" s="51">
        <f t="shared" si="51"/>
        <v>0</v>
      </c>
      <c r="BZ18" s="151"/>
      <c r="CA18" s="151"/>
      <c r="CB18" s="32"/>
      <c r="CC18" s="16">
        <f ca="1">SUM($N$7:$N18)</f>
        <v>0</v>
      </c>
      <c r="CD18" s="16">
        <f t="shared" ca="1" si="41"/>
        <v>0</v>
      </c>
      <c r="CE18" s="16">
        <f t="shared" ca="1" si="42"/>
        <v>0</v>
      </c>
      <c r="CF18" s="7">
        <f t="shared" ca="1" si="43"/>
        <v>0</v>
      </c>
      <c r="CH18" s="7">
        <f t="shared" ca="1" si="44"/>
        <v>1</v>
      </c>
    </row>
    <row r="19" spans="2:86" s="7" customFormat="1" x14ac:dyDescent="0.2">
      <c r="B19" s="14">
        <f t="shared" si="0"/>
        <v>1</v>
      </c>
      <c r="C19" s="12">
        <f t="shared" si="1"/>
        <v>1</v>
      </c>
      <c r="D19" s="17">
        <f t="shared" si="52"/>
        <v>13</v>
      </c>
      <c r="E19" s="17">
        <f t="shared" ca="1" si="2"/>
        <v>61</v>
      </c>
      <c r="F19" s="12">
        <f>F7</f>
        <v>0</v>
      </c>
      <c r="G19" s="12">
        <f t="shared" si="55"/>
        <v>3</v>
      </c>
      <c r="H19" s="17">
        <f>+H7+1</f>
        <v>2</v>
      </c>
      <c r="I19" s="29">
        <f t="shared" si="45"/>
        <v>300000</v>
      </c>
      <c r="J19" s="211">
        <f>IFERROR(VLOOKUP(H19,Charges!$T$6:$U$35,2,0)*C19,0)</f>
        <v>0.95</v>
      </c>
      <c r="K19" s="29">
        <f t="shared" si="3"/>
        <v>15000</v>
      </c>
      <c r="L19" s="29">
        <f t="shared" si="4"/>
        <v>282300</v>
      </c>
      <c r="M19" s="147">
        <f t="shared" ca="1" si="5"/>
        <v>0</v>
      </c>
      <c r="N19" s="148">
        <f ca="1">IF(AND(Option_SPW="Y",H19&gt;=Lock_In_Period,Z18&gt;SPW_Amount_pa+IF(option="Single",1/5*pr,2*pr),H19&gt;=SPW_Start_Year,H19&lt;=SPW_Start_Year+SPW_Duration-1,age+H19&gt;=Legal_Age),IF(AND(F19=0,SPW_Payout_Freq=1),SPW_Amount_pa,IF(AND(SPW_Payout_Freq=2,MOD(F19,6)=0),SPW_Amount_pa/SPW_Payout_Freq,IF(AND(SPW_Payout_Freq=4,MOD(F19,3)=0),SPW_Amount_pa/SPW_Payout_Freq,IF(SPW_Payout_Freq=12,SPW_Amount_pa/SPW_Payout_Freq,0)))),0)+IFERROR(VLOOKUP(H19,Input!$B$68:$C$74,2,0),0)*(F19=0)*(Option_PW="Y")*(Option_SPW="N")*(age+H19&gt;=Legal_Age)</f>
        <v>0</v>
      </c>
      <c r="O19" s="148">
        <f t="shared" ca="1" si="6"/>
        <v>0</v>
      </c>
      <c r="P19" s="14">
        <f ca="1">(MAX(MAX(sa-CF18*Flag_UL_Type,105%*SUM($I$7:I19))-(AD18+L19-N19)*Flag_UL_Type,0)*B19)</f>
        <v>2462360.3770373855</v>
      </c>
      <c r="Q19" s="213">
        <f t="shared" ca="1" si="46"/>
        <v>2394.6044273292414</v>
      </c>
      <c r="R19" s="14">
        <f t="shared" ca="1" si="7"/>
        <v>0</v>
      </c>
      <c r="S19" s="14">
        <f t="shared" ca="1" si="8"/>
        <v>0</v>
      </c>
      <c r="T19" s="14">
        <f>IFERROR(IF(WoP_Flag="Y",IF(fq=1,VLOOKUP(ppt*fq-H19,Charges!$AN$41:$AO$59,2,FALSE),IF(fq=2,VLOOKUP(ppt*fq-G19,Charges!$AP$41:$AQ$79,2,FALSE),VLOOKUP(ppt*fq-D19,Charges!$AR$41:$AS$279,2,FALSE)))*pr/fq,0),0)</f>
        <v>0</v>
      </c>
      <c r="U19" s="14">
        <f t="shared" ca="1" si="9"/>
        <v>0</v>
      </c>
      <c r="V19" s="34">
        <f>ROUND(MIN(IF(H19&gt;=7,Charges!$C$12*(1+Charges!$C$14)^((H19-7+1)),VLOOKUP(H19,Charges!$B$7:$C$12,2,0))*pr,Charges!$C$13)*B19,Round)</f>
        <v>450</v>
      </c>
      <c r="W19" s="14">
        <f t="shared" ca="1" si="10"/>
        <v>534282.98973836598</v>
      </c>
      <c r="X19" s="14">
        <f t="shared" ca="1" si="11"/>
        <v>537720.5825816053</v>
      </c>
      <c r="Y19" s="213">
        <f t="shared" ca="1" si="47"/>
        <v>605.26486753366726</v>
      </c>
      <c r="Z19" s="14">
        <f t="shared" ca="1" si="12"/>
        <v>537006.37003791553</v>
      </c>
      <c r="AA19" s="14">
        <f>IF(AND($H19=pt,$F19=11),SUM($K$7:K19)*VLOOKUP(pt,ROC,2,FALSE),0)</f>
        <v>0</v>
      </c>
      <c r="AB19" s="14">
        <f>IF(AND($H19=pt,$F19=11),SUM($V$7:V19)*VLOOKUP(pt,ROC,2,FALSE),0)</f>
        <v>0</v>
      </c>
      <c r="AC19" s="14">
        <f>IF(AND($H19=pt,$F19=11),SUM($Q$7:Q19)*VLOOKUP(pt,ROC,2,FALSE),0)</f>
        <v>0</v>
      </c>
      <c r="AD19" s="14">
        <f t="shared" ca="1" si="13"/>
        <v>537006.37003791553</v>
      </c>
      <c r="AE19" s="14">
        <f ca="1">(MAX(sa-CF18*Flag_UL_Type,105%*SUM($I$7:I19),Z19)+AU19)*B19</f>
        <v>3000000</v>
      </c>
      <c r="AF19" s="136"/>
      <c r="AG19" s="18">
        <v>13</v>
      </c>
      <c r="AH19" s="30">
        <f t="shared" ca="1" si="14"/>
        <v>300000</v>
      </c>
      <c r="AI19" s="138"/>
      <c r="AJ19" s="50">
        <f>IF(AND(Option_Sys_TopUp&gt;="Y",H19&gt;=sytp,H19&lt;=(dtp+sytp-1),F19=0,H19&lt;=ppt+1),atp,0)+IFERROR(VLOOKUP(H19,Input!$B$55:$C$61,2,0),0)*(F19=0)*(Option_TopUP="Y")*(Option_Sys_TopUp="N")*B19*(pt&gt;=H19+5)</f>
        <v>0</v>
      </c>
      <c r="AK19" s="50">
        <f t="shared" si="15"/>
        <v>0</v>
      </c>
      <c r="AL19" s="50">
        <f t="shared" si="48"/>
        <v>0</v>
      </c>
      <c r="AM19" s="50">
        <f t="shared" ca="1" si="49"/>
        <v>0</v>
      </c>
      <c r="AN19" s="50">
        <f ca="1">IF(B19=0,0,AT19*(_rpm1+(1+_emr1)*VLOOKUP(E19,Tab_Mort_Charge,IF(Input!$C$12="M",2,3),0))*(0.001*0.0833)*Flag_Mort_Rider_Charge*(AT19&gt;0))</f>
        <v>0</v>
      </c>
      <c r="AO19" s="50">
        <f t="shared" ca="1" si="17"/>
        <v>0</v>
      </c>
      <c r="AP19" s="50">
        <f t="shared" ca="1" si="50"/>
        <v>0</v>
      </c>
      <c r="AQ19" s="50">
        <f t="shared" ca="1" si="18"/>
        <v>0</v>
      </c>
      <c r="AR19" s="50">
        <f t="shared" ca="1" si="19"/>
        <v>0</v>
      </c>
      <c r="AS19" s="50">
        <f t="shared" si="20"/>
        <v>0</v>
      </c>
      <c r="AT19" s="50">
        <f ca="1">(MAX((MAX(AS19,105%*SUM($AJ$7:AJ19))-AM19*Flag_UL_Type),0)*B19)</f>
        <v>0</v>
      </c>
      <c r="AU19" s="50">
        <f ca="1">(MAX(AS19,AR19,105%*SUM($AJ$7:AJ19))*B19)</f>
        <v>0</v>
      </c>
      <c r="AV19" s="125"/>
      <c r="AW19" s="12">
        <f t="shared" si="54"/>
        <v>13</v>
      </c>
      <c r="AX19" s="14">
        <f t="shared" si="21"/>
        <v>0</v>
      </c>
      <c r="AY19" s="14">
        <f t="shared" ca="1" si="22"/>
        <v>0</v>
      </c>
      <c r="AZ19" s="14">
        <f t="shared" ca="1" si="23"/>
        <v>0</v>
      </c>
      <c r="BA19" s="14">
        <f t="shared" ca="1" si="24"/>
        <v>0</v>
      </c>
      <c r="BB19" s="14">
        <f t="shared" si="25"/>
        <v>6000</v>
      </c>
      <c r="BC19" s="14">
        <f t="shared" ca="1" si="26"/>
        <v>71521.670708239442</v>
      </c>
      <c r="BD19" s="14">
        <f t="shared" ca="1" si="27"/>
        <v>13953.900727483098</v>
      </c>
      <c r="BE19" s="14">
        <f t="shared" si="28"/>
        <v>0</v>
      </c>
      <c r="BF19" s="14">
        <f t="shared" ca="1" si="29"/>
        <v>0</v>
      </c>
      <c r="BG19" s="51">
        <f t="shared" si="30"/>
        <v>2700</v>
      </c>
      <c r="BH19" s="51">
        <f t="shared" ca="1" si="31"/>
        <v>431.02879691926302</v>
      </c>
      <c r="BI19" s="51">
        <f t="shared" ca="1" si="32"/>
        <v>0</v>
      </c>
      <c r="BJ19" s="51">
        <f t="shared" ca="1" si="33"/>
        <v>0</v>
      </c>
      <c r="BK19" s="51">
        <f t="shared" si="34"/>
        <v>81</v>
      </c>
      <c r="BL19" s="51">
        <f t="shared" ca="1" si="35"/>
        <v>108.9476761560601</v>
      </c>
      <c r="BM19" s="51">
        <f t="shared" si="36"/>
        <v>0</v>
      </c>
      <c r="BN19" s="51">
        <f t="shared" ca="1" si="37"/>
        <v>0</v>
      </c>
      <c r="BO19" s="51">
        <f t="shared" ca="1" si="38"/>
        <v>0</v>
      </c>
      <c r="BP19" s="51">
        <f t="shared" ca="1" si="39"/>
        <v>3320.9764730753232</v>
      </c>
      <c r="BR19" s="32"/>
      <c r="BS19" s="126"/>
      <c r="BT19" s="16"/>
      <c r="BU19" s="58"/>
      <c r="BW19" s="51">
        <f>IF(Input!$C$13="Offline",VLOOKUP(H19,Charges!$AT$4:$AU$33,2,FALSE)*I19,0)</f>
        <v>3000</v>
      </c>
      <c r="BX19" s="51">
        <f t="shared" si="40"/>
        <v>0</v>
      </c>
      <c r="BY19" s="51">
        <f t="shared" si="51"/>
        <v>3000</v>
      </c>
      <c r="BZ19" s="151"/>
      <c r="CA19" s="151"/>
      <c r="CB19" s="32"/>
      <c r="CC19" s="16">
        <f ca="1">SUM($N$7:$N19)</f>
        <v>0</v>
      </c>
      <c r="CD19" s="16">
        <f t="shared" ca="1" si="41"/>
        <v>0</v>
      </c>
      <c r="CE19" s="16">
        <f t="shared" ca="1" si="42"/>
        <v>0</v>
      </c>
      <c r="CF19" s="7">
        <f t="shared" ca="1" si="43"/>
        <v>0</v>
      </c>
      <c r="CH19" s="7">
        <f t="shared" ca="1" si="44"/>
        <v>1</v>
      </c>
    </row>
    <row r="20" spans="2:86" s="7" customFormat="1" x14ac:dyDescent="0.2">
      <c r="B20" s="14">
        <f t="shared" si="0"/>
        <v>1</v>
      </c>
      <c r="C20" s="12">
        <f t="shared" si="1"/>
        <v>1</v>
      </c>
      <c r="D20" s="17">
        <f t="shared" si="52"/>
        <v>14</v>
      </c>
      <c r="E20" s="17">
        <f t="shared" ca="1" si="2"/>
        <v>61</v>
      </c>
      <c r="F20" s="12">
        <f t="shared" ref="F20:F83" si="56">F8</f>
        <v>1</v>
      </c>
      <c r="G20" s="12">
        <f t="shared" si="55"/>
        <v>3</v>
      </c>
      <c r="H20" s="17">
        <f t="shared" ref="H20:H83" si="57">+H8+1</f>
        <v>2</v>
      </c>
      <c r="I20" s="29">
        <f t="shared" si="45"/>
        <v>0</v>
      </c>
      <c r="J20" s="211">
        <f>IFERROR(VLOOKUP(H20,Charges!$T$6:$U$35,2,0)*C20,0)</f>
        <v>0.95</v>
      </c>
      <c r="K20" s="29">
        <f t="shared" si="3"/>
        <v>0</v>
      </c>
      <c r="L20" s="29">
        <f t="shared" si="4"/>
        <v>0</v>
      </c>
      <c r="M20" s="147">
        <f t="shared" ca="1" si="5"/>
        <v>0</v>
      </c>
      <c r="N20" s="148">
        <f ca="1">IF(AND(Option_SPW="Y",H20&gt;=Lock_In_Period,Z19&gt;SPW_Amount_pa+IF(option="Single",1/5*pr,2*pr),H20&gt;=SPW_Start_Year,H20&lt;=SPW_Start_Year+SPW_Duration-1,age+H20&gt;=Legal_Age),IF(AND(F20=0,SPW_Payout_Freq=1),SPW_Amount_pa,IF(AND(SPW_Payout_Freq=2,MOD(F20,6)=0),SPW_Amount_pa/SPW_Payout_Freq,IF(AND(SPW_Payout_Freq=4,MOD(F20,3)=0),SPW_Amount_pa/SPW_Payout_Freq,IF(SPW_Payout_Freq=12,SPW_Amount_pa/SPW_Payout_Freq,0)))),0)+IFERROR(VLOOKUP(H20,Input!$B$68:$C$74,2,0),0)*(F20=0)*(Option_PW="Y")*(Option_SPW="N")*(age+H20&gt;=Legal_Age)</f>
        <v>0</v>
      </c>
      <c r="O20" s="148">
        <f t="shared" ca="1" si="6"/>
        <v>0</v>
      </c>
      <c r="P20" s="14">
        <f ca="1">(MAX(MAX(sa-CF19*Flag_UL_Type,105%*SUM($I$7:I20))-(AD19+L20-N20)*Flag_UL_Type,0)*B20)</f>
        <v>2462993.6299620843</v>
      </c>
      <c r="Q20" s="213">
        <f t="shared" ca="1" si="46"/>
        <v>2395.2202552442918</v>
      </c>
      <c r="R20" s="14">
        <f t="shared" ca="1" si="7"/>
        <v>0</v>
      </c>
      <c r="S20" s="14">
        <f t="shared" ca="1" si="8"/>
        <v>0</v>
      </c>
      <c r="T20" s="14">
        <f>IFERROR(IF(WoP_Flag="Y",IF(fq=1,VLOOKUP(ppt*fq-H20,Charges!$AN$41:$AO$59,2,FALSE),IF(fq=2,VLOOKUP(ppt*fq-G20,Charges!$AP$41:$AQ$79,2,FALSE),VLOOKUP(ppt*fq-D20,Charges!$AR$41:$AS$279,2,FALSE)))*pr/fq,0),0)</f>
        <v>0</v>
      </c>
      <c r="U20" s="14">
        <f t="shared" ca="1" si="9"/>
        <v>0</v>
      </c>
      <c r="V20" s="34">
        <f>ROUND(MIN(IF(H20&gt;=7,Charges!$C$12*(1+Charges!$C$14)^((H20-7+1)),VLOOKUP(H20,Charges!$B$7:$C$12,2,0))*pr,Charges!$C$13)*B20,Round)</f>
        <v>450</v>
      </c>
      <c r="W20" s="14">
        <f t="shared" ca="1" si="10"/>
        <v>533649.01013672724</v>
      </c>
      <c r="X20" s="14">
        <f t="shared" ca="1" si="11"/>
        <v>537082.52393612044</v>
      </c>
      <c r="Y20" s="213">
        <f t="shared" ca="1" si="47"/>
        <v>604.54666091475019</v>
      </c>
      <c r="Z20" s="14">
        <f t="shared" ca="1" si="12"/>
        <v>536369.15887624107</v>
      </c>
      <c r="AA20" s="14">
        <f>IF(AND($H20=pt,$F20=11),SUM($K$7:K20)*VLOOKUP(pt,ROC,2,FALSE),0)</f>
        <v>0</v>
      </c>
      <c r="AB20" s="14">
        <f>IF(AND($H20=pt,$F20=11),SUM($V$7:V20)*VLOOKUP(pt,ROC,2,FALSE),0)</f>
        <v>0</v>
      </c>
      <c r="AC20" s="14">
        <f>IF(AND($H20=pt,$F20=11),SUM($Q$7:Q20)*VLOOKUP(pt,ROC,2,FALSE),0)</f>
        <v>0</v>
      </c>
      <c r="AD20" s="14">
        <f t="shared" ca="1" si="13"/>
        <v>536369.15887624107</v>
      </c>
      <c r="AE20" s="14">
        <f ca="1">(MAX(sa-CF19*Flag_UL_Type,105%*SUM($I$7:I20),Z20)+AU20)*B20</f>
        <v>3000000</v>
      </c>
      <c r="AF20" s="136"/>
      <c r="AG20" s="18">
        <v>14</v>
      </c>
      <c r="AH20" s="30">
        <f t="shared" ca="1" si="14"/>
        <v>0</v>
      </c>
      <c r="AI20" s="138"/>
      <c r="AJ20" s="50">
        <f>IF(AND(Option_Sys_TopUp&gt;="Y",H20&gt;=sytp,H20&lt;=(dtp+sytp-1),F20=0,H20&lt;=ppt+1),atp,0)+IFERROR(VLOOKUP(H20,Input!$B$55:$C$61,2,0),0)*(F20=0)*(Option_TopUP="Y")*(Option_Sys_TopUp="N")*B20*(pt&gt;=H20+5)</f>
        <v>0</v>
      </c>
      <c r="AK20" s="50">
        <f t="shared" si="15"/>
        <v>0</v>
      </c>
      <c r="AL20" s="50">
        <f t="shared" si="48"/>
        <v>0</v>
      </c>
      <c r="AM20" s="50">
        <f t="shared" ca="1" si="49"/>
        <v>0</v>
      </c>
      <c r="AN20" s="50">
        <f ca="1">IF(B20=0,0,AT20*(_rpm1+(1+_emr1)*VLOOKUP(E20,Tab_Mort_Charge,IF(Input!$C$12="M",2,3),0))*(0.001*0.0833)*Flag_Mort_Rider_Charge*(AT20&gt;0))</f>
        <v>0</v>
      </c>
      <c r="AO20" s="50">
        <f t="shared" ca="1" si="17"/>
        <v>0</v>
      </c>
      <c r="AP20" s="50">
        <f t="shared" ca="1" si="50"/>
        <v>0</v>
      </c>
      <c r="AQ20" s="50">
        <f t="shared" ca="1" si="18"/>
        <v>0</v>
      </c>
      <c r="AR20" s="50">
        <f t="shared" ca="1" si="19"/>
        <v>0</v>
      </c>
      <c r="AS20" s="50">
        <f t="shared" si="20"/>
        <v>0</v>
      </c>
      <c r="AT20" s="50">
        <f ca="1">(MAX((MAX(AS20,105%*SUM($AJ$7:AJ20))-AM20*Flag_UL_Type),0)*B20)</f>
        <v>0</v>
      </c>
      <c r="AU20" s="50">
        <f ca="1">(MAX(AS20,AR20,105%*SUM($AJ$7:AJ20))*B20)</f>
        <v>0</v>
      </c>
      <c r="AV20" s="125"/>
      <c r="AW20" s="12">
        <f t="shared" si="54"/>
        <v>14</v>
      </c>
      <c r="AX20" s="14">
        <f t="shared" si="21"/>
        <v>0</v>
      </c>
      <c r="AY20" s="14">
        <f t="shared" ca="1" si="22"/>
        <v>0</v>
      </c>
      <c r="AZ20" s="14">
        <f t="shared" ca="1" si="23"/>
        <v>0</v>
      </c>
      <c r="BA20" s="14">
        <f t="shared" ca="1" si="24"/>
        <v>0</v>
      </c>
      <c r="BB20" s="14">
        <f t="shared" si="25"/>
        <v>6000</v>
      </c>
      <c r="BC20" s="14">
        <f t="shared" ca="1" si="26"/>
        <v>80116.784867352239</v>
      </c>
      <c r="BD20" s="14">
        <f t="shared" ca="1" si="27"/>
        <v>15501.021276123403</v>
      </c>
      <c r="BE20" s="14">
        <f t="shared" si="28"/>
        <v>0</v>
      </c>
      <c r="BF20" s="14">
        <f t="shared" ca="1" si="29"/>
        <v>0</v>
      </c>
      <c r="BG20" s="51">
        <f t="shared" si="30"/>
        <v>0</v>
      </c>
      <c r="BH20" s="51">
        <f t="shared" ca="1" si="31"/>
        <v>431.13964594397299</v>
      </c>
      <c r="BI20" s="51">
        <f t="shared" ca="1" si="32"/>
        <v>0</v>
      </c>
      <c r="BJ20" s="51">
        <f t="shared" ca="1" si="33"/>
        <v>0</v>
      </c>
      <c r="BK20" s="51">
        <f t="shared" si="34"/>
        <v>81</v>
      </c>
      <c r="BL20" s="51">
        <f t="shared" ca="1" si="35"/>
        <v>108.81839896465503</v>
      </c>
      <c r="BM20" s="51">
        <f t="shared" si="36"/>
        <v>0</v>
      </c>
      <c r="BN20" s="51">
        <f t="shared" ca="1" si="37"/>
        <v>0</v>
      </c>
      <c r="BO20" s="51">
        <f t="shared" ca="1" si="38"/>
        <v>0</v>
      </c>
      <c r="BP20" s="51">
        <f t="shared" ca="1" si="39"/>
        <v>620.95804490862793</v>
      </c>
      <c r="BR20" s="32"/>
      <c r="BS20" s="126"/>
      <c r="BT20" s="16"/>
      <c r="BU20" s="58"/>
      <c r="BW20" s="51">
        <f>IF(Input!$C$13="Offline",VLOOKUP(H20,Charges!$AT$4:$AU$33,2,FALSE)*I20,0)</f>
        <v>0</v>
      </c>
      <c r="BX20" s="51">
        <f t="shared" si="40"/>
        <v>0</v>
      </c>
      <c r="BY20" s="51">
        <f t="shared" si="51"/>
        <v>0</v>
      </c>
      <c r="BZ20" s="151"/>
      <c r="CA20" s="151"/>
      <c r="CB20" s="32"/>
      <c r="CC20" s="16">
        <f ca="1">SUM($N$7:$N20)</f>
        <v>0</v>
      </c>
      <c r="CD20" s="16">
        <f t="shared" ca="1" si="41"/>
        <v>0</v>
      </c>
      <c r="CE20" s="16">
        <f t="shared" ca="1" si="42"/>
        <v>0</v>
      </c>
      <c r="CF20" s="7">
        <f t="shared" ca="1" si="43"/>
        <v>0</v>
      </c>
      <c r="CH20" s="7">
        <f t="shared" ca="1" si="44"/>
        <v>1</v>
      </c>
    </row>
    <row r="21" spans="2:86" s="7" customFormat="1" x14ac:dyDescent="0.2">
      <c r="B21" s="14">
        <f t="shared" si="0"/>
        <v>1</v>
      </c>
      <c r="C21" s="12">
        <f t="shared" si="1"/>
        <v>1</v>
      </c>
      <c r="D21" s="17">
        <f t="shared" si="52"/>
        <v>15</v>
      </c>
      <c r="E21" s="17">
        <f t="shared" ca="1" si="2"/>
        <v>61</v>
      </c>
      <c r="F21" s="12">
        <f t="shared" si="56"/>
        <v>2</v>
      </c>
      <c r="G21" s="12">
        <f t="shared" si="55"/>
        <v>3</v>
      </c>
      <c r="H21" s="17">
        <f t="shared" si="57"/>
        <v>2</v>
      </c>
      <c r="I21" s="29">
        <f t="shared" si="45"/>
        <v>0</v>
      </c>
      <c r="J21" s="211">
        <f>IFERROR(VLOOKUP(H21,Charges!$T$6:$U$35,2,0)*C21,0)</f>
        <v>0.95</v>
      </c>
      <c r="K21" s="29">
        <f t="shared" si="3"/>
        <v>0</v>
      </c>
      <c r="L21" s="29">
        <f t="shared" si="4"/>
        <v>0</v>
      </c>
      <c r="M21" s="147">
        <f t="shared" ca="1" si="5"/>
        <v>0</v>
      </c>
      <c r="N21" s="148">
        <f ca="1">IF(AND(Option_SPW="Y",H21&gt;=Lock_In_Period,Z20&gt;SPW_Amount_pa+IF(option="Single",1/5*pr,2*pr),H21&gt;=SPW_Start_Year,H21&lt;=SPW_Start_Year+SPW_Duration-1,age+H21&gt;=Legal_Age),IF(AND(F21=0,SPW_Payout_Freq=1),SPW_Amount_pa,IF(AND(SPW_Payout_Freq=2,MOD(F21,6)=0),SPW_Amount_pa/SPW_Payout_Freq,IF(AND(SPW_Payout_Freq=4,MOD(F21,3)=0),SPW_Amount_pa/SPW_Payout_Freq,IF(SPW_Payout_Freq=12,SPW_Amount_pa/SPW_Payout_Freq,0)))),0)+IFERROR(VLOOKUP(H21,Input!$B$68:$C$74,2,0),0)*(F21=0)*(Option_PW="Y")*(Option_SPW="N")*(age+H21&gt;=Legal_Age)</f>
        <v>0</v>
      </c>
      <c r="O21" s="148">
        <f t="shared" ca="1" si="6"/>
        <v>0</v>
      </c>
      <c r="P21" s="14">
        <f ca="1">(MAX(MAX(sa-CF20*Flag_UL_Type,105%*SUM($I$7:I21))-(AD20+L21-N21)*Flag_UL_Type,0)*B21)</f>
        <v>2463630.8411237588</v>
      </c>
      <c r="Q21" s="213">
        <f t="shared" ca="1" si="46"/>
        <v>2395.8399324788334</v>
      </c>
      <c r="R21" s="14">
        <f t="shared" ca="1" si="7"/>
        <v>0</v>
      </c>
      <c r="S21" s="14">
        <f t="shared" ca="1" si="8"/>
        <v>0</v>
      </c>
      <c r="T21" s="14">
        <f>IFERROR(IF(WoP_Flag="Y",IF(fq=1,VLOOKUP(ppt*fq-H21,Charges!$AN$41:$AO$59,2,FALSE),IF(fq=2,VLOOKUP(ppt*fq-G21,Charges!$AP$41:$AQ$79,2,FALSE),VLOOKUP(ppt*fq-D21,Charges!$AR$41:$AS$279,2,FALSE)))*pr/fq,0),0)</f>
        <v>0</v>
      </c>
      <c r="U21" s="14">
        <f t="shared" ca="1" si="9"/>
        <v>0</v>
      </c>
      <c r="V21" s="34">
        <f>ROUND(MIN(IF(H21&gt;=7,Charges!$C$12*(1+Charges!$C$14)^((H21-7+1)),VLOOKUP(H21,Charges!$B$7:$C$12,2,0))*pr,Charges!$C$13)*B21,Round)</f>
        <v>450</v>
      </c>
      <c r="W21" s="14">
        <f t="shared" ca="1" si="10"/>
        <v>533011.06775591604</v>
      </c>
      <c r="X21" s="14">
        <f t="shared" ca="1" si="11"/>
        <v>536440.47701482265</v>
      </c>
      <c r="Y21" s="213">
        <f t="shared" ca="1" si="47"/>
        <v>603.82396504377573</v>
      </c>
      <c r="Z21" s="14">
        <f t="shared" ca="1" si="12"/>
        <v>535727.96473607095</v>
      </c>
      <c r="AA21" s="14">
        <f>IF(AND($H21=pt,$F21=11),SUM($K$7:K21)*VLOOKUP(pt,ROC,2,FALSE),0)</f>
        <v>0</v>
      </c>
      <c r="AB21" s="14">
        <f>IF(AND($H21=pt,$F21=11),SUM($V$7:V21)*VLOOKUP(pt,ROC,2,FALSE),0)</f>
        <v>0</v>
      </c>
      <c r="AC21" s="14">
        <f>IF(AND($H21=pt,$F21=11),SUM($Q$7:Q21)*VLOOKUP(pt,ROC,2,FALSE),0)</f>
        <v>0</v>
      </c>
      <c r="AD21" s="14">
        <f t="shared" ca="1" si="13"/>
        <v>535727.96473607095</v>
      </c>
      <c r="AE21" s="14">
        <f ca="1">(MAX(sa-CF20*Flag_UL_Type,105%*SUM($I$7:I21),Z21)+AU21)*B21</f>
        <v>3000000</v>
      </c>
      <c r="AF21" s="136"/>
      <c r="AG21" s="18">
        <v>15</v>
      </c>
      <c r="AH21" s="30">
        <f t="shared" ca="1" si="14"/>
        <v>0</v>
      </c>
      <c r="AI21" s="138"/>
      <c r="AJ21" s="50">
        <f>IF(AND(Option_Sys_TopUp&gt;="Y",H21&gt;=sytp,H21&lt;=(dtp+sytp-1),F21=0,H21&lt;=ppt+1),atp,0)+IFERROR(VLOOKUP(H21,Input!$B$55:$C$61,2,0),0)*(F21=0)*(Option_TopUP="Y")*(Option_Sys_TopUp="N")*B21*(pt&gt;=H21+5)</f>
        <v>0</v>
      </c>
      <c r="AK21" s="50">
        <f t="shared" si="15"/>
        <v>0</v>
      </c>
      <c r="AL21" s="50">
        <f t="shared" si="48"/>
        <v>0</v>
      </c>
      <c r="AM21" s="50">
        <f t="shared" ca="1" si="49"/>
        <v>0</v>
      </c>
      <c r="AN21" s="50">
        <f ca="1">IF(B21=0,0,AT21*(_rpm1+(1+_emr1)*VLOOKUP(E21,Tab_Mort_Charge,IF(Input!$C$12="M",2,3),0))*(0.001*0.0833)*Flag_Mort_Rider_Charge*(AT21&gt;0))</f>
        <v>0</v>
      </c>
      <c r="AO21" s="50">
        <f t="shared" ca="1" si="17"/>
        <v>0</v>
      </c>
      <c r="AP21" s="50">
        <f t="shared" ca="1" si="50"/>
        <v>0</v>
      </c>
      <c r="AQ21" s="50">
        <f t="shared" ca="1" si="18"/>
        <v>0</v>
      </c>
      <c r="AR21" s="50">
        <f t="shared" ca="1" si="19"/>
        <v>0</v>
      </c>
      <c r="AS21" s="50">
        <f t="shared" si="20"/>
        <v>0</v>
      </c>
      <c r="AT21" s="50">
        <f ca="1">(MAX((MAX(AS21,105%*SUM($AJ$7:AJ21))-AM21*Flag_UL_Type),0)*B21)</f>
        <v>0</v>
      </c>
      <c r="AU21" s="50">
        <f ca="1">(MAX(AS21,AR21,105%*SUM($AJ$7:AJ21))*B21)</f>
        <v>0</v>
      </c>
      <c r="AV21" s="125"/>
      <c r="AW21" s="12">
        <f t="shared" si="54"/>
        <v>15</v>
      </c>
      <c r="AX21" s="14">
        <f t="shared" si="21"/>
        <v>0</v>
      </c>
      <c r="AY21" s="14">
        <f t="shared" ca="1" si="22"/>
        <v>0</v>
      </c>
      <c r="AZ21" s="14">
        <f t="shared" ca="1" si="23"/>
        <v>0</v>
      </c>
      <c r="BA21" s="14">
        <f t="shared" ca="1" si="24"/>
        <v>0</v>
      </c>
      <c r="BB21" s="14">
        <f t="shared" si="25"/>
        <v>6000</v>
      </c>
      <c r="BC21" s="14">
        <f t="shared" ca="1" si="26"/>
        <v>89252.629970594702</v>
      </c>
      <c r="BD21" s="14">
        <f t="shared" ca="1" si="27"/>
        <v>17145.473394707045</v>
      </c>
      <c r="BE21" s="14">
        <f t="shared" si="28"/>
        <v>0</v>
      </c>
      <c r="BF21" s="14">
        <f t="shared" ca="1" si="29"/>
        <v>0</v>
      </c>
      <c r="BG21" s="51">
        <f t="shared" si="30"/>
        <v>0</v>
      </c>
      <c r="BH21" s="51">
        <f t="shared" ca="1" si="31"/>
        <v>431.25118784619002</v>
      </c>
      <c r="BI21" s="51">
        <f t="shared" ca="1" si="32"/>
        <v>0</v>
      </c>
      <c r="BJ21" s="51">
        <f t="shared" ca="1" si="33"/>
        <v>0</v>
      </c>
      <c r="BK21" s="51">
        <f t="shared" si="34"/>
        <v>81</v>
      </c>
      <c r="BL21" s="51">
        <f t="shared" ca="1" si="35"/>
        <v>108.68831370787963</v>
      </c>
      <c r="BM21" s="51">
        <f t="shared" si="36"/>
        <v>0</v>
      </c>
      <c r="BN21" s="51">
        <f t="shared" ca="1" si="37"/>
        <v>0</v>
      </c>
      <c r="BO21" s="51">
        <f t="shared" ca="1" si="38"/>
        <v>0</v>
      </c>
      <c r="BP21" s="51">
        <f t="shared" ca="1" si="39"/>
        <v>620.93950155406969</v>
      </c>
      <c r="BR21" s="32"/>
      <c r="BS21" s="126"/>
      <c r="BT21" s="16"/>
      <c r="BU21" s="58"/>
      <c r="BW21" s="51">
        <f>IF(Input!$C$13="Offline",VLOOKUP(H21,Charges!$AT$4:$AU$33,2,FALSE)*I21,0)</f>
        <v>0</v>
      </c>
      <c r="BX21" s="51">
        <f t="shared" si="40"/>
        <v>0</v>
      </c>
      <c r="BY21" s="51">
        <f t="shared" si="51"/>
        <v>0</v>
      </c>
      <c r="BZ21" s="151"/>
      <c r="CA21" s="151"/>
      <c r="CB21" s="32"/>
      <c r="CC21" s="16">
        <f ca="1">SUM($N$7:$N21)</f>
        <v>0</v>
      </c>
      <c r="CD21" s="16">
        <f t="shared" ca="1" si="41"/>
        <v>0</v>
      </c>
      <c r="CE21" s="16">
        <f t="shared" ca="1" si="42"/>
        <v>0</v>
      </c>
      <c r="CF21" s="7">
        <f t="shared" ca="1" si="43"/>
        <v>0</v>
      </c>
      <c r="CH21" s="7">
        <f t="shared" ca="1" si="44"/>
        <v>1</v>
      </c>
    </row>
    <row r="22" spans="2:86" s="7" customFormat="1" x14ac:dyDescent="0.2">
      <c r="B22" s="14">
        <f t="shared" si="0"/>
        <v>1</v>
      </c>
      <c r="C22" s="12">
        <f t="shared" si="1"/>
        <v>1</v>
      </c>
      <c r="D22" s="17">
        <f t="shared" si="52"/>
        <v>16</v>
      </c>
      <c r="E22" s="17">
        <f t="shared" ca="1" si="2"/>
        <v>61</v>
      </c>
      <c r="F22" s="12">
        <f t="shared" si="56"/>
        <v>3</v>
      </c>
      <c r="G22" s="12">
        <f t="shared" si="55"/>
        <v>3</v>
      </c>
      <c r="H22" s="17">
        <f t="shared" si="57"/>
        <v>2</v>
      </c>
      <c r="I22" s="29">
        <f t="shared" si="45"/>
        <v>0</v>
      </c>
      <c r="J22" s="211">
        <f>IFERROR(VLOOKUP(H22,Charges!$T$6:$U$35,2,0)*C22,0)</f>
        <v>0.95</v>
      </c>
      <c r="K22" s="29">
        <f t="shared" si="3"/>
        <v>0</v>
      </c>
      <c r="L22" s="29">
        <f t="shared" si="4"/>
        <v>0</v>
      </c>
      <c r="M22" s="147">
        <f t="shared" ca="1" si="5"/>
        <v>0</v>
      </c>
      <c r="N22" s="148">
        <f ca="1">IF(AND(Option_SPW="Y",H22&gt;=Lock_In_Period,Z21&gt;SPW_Amount_pa+IF(option="Single",1/5*pr,2*pr),H22&gt;=SPW_Start_Year,H22&lt;=SPW_Start_Year+SPW_Duration-1,age+H22&gt;=Legal_Age),IF(AND(F22=0,SPW_Payout_Freq=1),SPW_Amount_pa,IF(AND(SPW_Payout_Freq=2,MOD(F22,6)=0),SPW_Amount_pa/SPW_Payout_Freq,IF(AND(SPW_Payout_Freq=4,MOD(F22,3)=0),SPW_Amount_pa/SPW_Payout_Freq,IF(SPW_Payout_Freq=12,SPW_Amount_pa/SPW_Payout_Freq,0)))),0)+IFERROR(VLOOKUP(H22,Input!$B$68:$C$74,2,0),0)*(F22=0)*(Option_PW="Y")*(Option_SPW="N")*(age+H22&gt;=Legal_Age)</f>
        <v>0</v>
      </c>
      <c r="O22" s="148">
        <f t="shared" ca="1" si="6"/>
        <v>0</v>
      </c>
      <c r="P22" s="14">
        <f ca="1">(MAX(MAX(sa-CF21*Flag_UL_Type,105%*SUM($I$7:I22))-(AD21+L22-N22)*Flag_UL_Type,0)*B22)</f>
        <v>2464272.0352639291</v>
      </c>
      <c r="Q22" s="213">
        <f t="shared" ca="1" si="46"/>
        <v>2396.4634830935834</v>
      </c>
      <c r="R22" s="14">
        <f t="shared" ca="1" si="7"/>
        <v>0</v>
      </c>
      <c r="S22" s="14">
        <f t="shared" ca="1" si="8"/>
        <v>0</v>
      </c>
      <c r="T22" s="14">
        <f>IFERROR(IF(WoP_Flag="Y",IF(fq=1,VLOOKUP(ppt*fq-H22,Charges!$AN$41:$AO$59,2,FALSE),IF(fq=2,VLOOKUP(ppt*fq-G22,Charges!$AP$41:$AQ$79,2,FALSE),VLOOKUP(ppt*fq-D22,Charges!$AR$41:$AS$279,2,FALSE)))*pr/fq,0),0)</f>
        <v>0</v>
      </c>
      <c r="U22" s="14">
        <f t="shared" ca="1" si="9"/>
        <v>0</v>
      </c>
      <c r="V22" s="34">
        <f>ROUND(MIN(IF(H22&gt;=7,Charges!$C$12*(1+Charges!$C$14)^((H22-7+1)),VLOOKUP(H22,Charges!$B$7:$C$12,2,0))*pr,Charges!$C$13)*B22,Round)</f>
        <v>450</v>
      </c>
      <c r="W22" s="14">
        <f t="shared" ca="1" si="10"/>
        <v>532369.13782602048</v>
      </c>
      <c r="X22" s="14">
        <f t="shared" ca="1" si="11"/>
        <v>535794.41688842967</v>
      </c>
      <c r="Y22" s="213">
        <f t="shared" ca="1" si="47"/>
        <v>603.09675186003881</v>
      </c>
      <c r="Z22" s="14">
        <f t="shared" ca="1" si="12"/>
        <v>535082.76272123482</v>
      </c>
      <c r="AA22" s="14">
        <f>IF(AND($H22=pt,$F22=11),SUM($K$7:K22)*VLOOKUP(pt,ROC,2,FALSE),0)</f>
        <v>0</v>
      </c>
      <c r="AB22" s="14">
        <f>IF(AND($H22=pt,$F22=11),SUM($V$7:V22)*VLOOKUP(pt,ROC,2,FALSE),0)</f>
        <v>0</v>
      </c>
      <c r="AC22" s="14">
        <f>IF(AND($H22=pt,$F22=11),SUM($Q$7:Q22)*VLOOKUP(pt,ROC,2,FALSE),0)</f>
        <v>0</v>
      </c>
      <c r="AD22" s="14">
        <f t="shared" ca="1" si="13"/>
        <v>535082.76272123482</v>
      </c>
      <c r="AE22" s="14">
        <f ca="1">(MAX(sa-CF21*Flag_UL_Type,105%*SUM($I$7:I22),Z22)+AU22)*B22</f>
        <v>3000000</v>
      </c>
      <c r="AF22" s="136"/>
      <c r="AG22" s="18">
        <v>16</v>
      </c>
      <c r="AH22" s="30">
        <f t="shared" ca="1" si="14"/>
        <v>0</v>
      </c>
      <c r="AI22" s="138"/>
      <c r="AJ22" s="50">
        <f>IF(AND(Option_Sys_TopUp&gt;="Y",H22&gt;=sytp,H22&lt;=(dtp+sytp-1),F22=0,H22&lt;=ppt+1),atp,0)+IFERROR(VLOOKUP(H22,Input!$B$55:$C$61,2,0),0)*(F22=0)*(Option_TopUP="Y")*(Option_Sys_TopUp="N")*B22*(pt&gt;=H22+5)</f>
        <v>0</v>
      </c>
      <c r="AK22" s="50">
        <f t="shared" si="15"/>
        <v>0</v>
      </c>
      <c r="AL22" s="50">
        <f t="shared" si="48"/>
        <v>0</v>
      </c>
      <c r="AM22" s="50">
        <f t="shared" ca="1" si="49"/>
        <v>0</v>
      </c>
      <c r="AN22" s="50">
        <f ca="1">IF(B22=0,0,AT22*(_rpm1+(1+_emr1)*VLOOKUP(E22,Tab_Mort_Charge,IF(Input!$C$12="M",2,3),0))*(0.001*0.0833)*Flag_Mort_Rider_Charge*(AT22&gt;0))</f>
        <v>0</v>
      </c>
      <c r="AO22" s="50">
        <f t="shared" ca="1" si="17"/>
        <v>0</v>
      </c>
      <c r="AP22" s="50">
        <f t="shared" ca="1" si="50"/>
        <v>0</v>
      </c>
      <c r="AQ22" s="50">
        <f t="shared" ca="1" si="18"/>
        <v>0</v>
      </c>
      <c r="AR22" s="50">
        <f t="shared" ca="1" si="19"/>
        <v>0</v>
      </c>
      <c r="AS22" s="50">
        <f t="shared" si="20"/>
        <v>0</v>
      </c>
      <c r="AT22" s="50">
        <f ca="1">(MAX((MAX(AS22,105%*SUM($AJ$7:AJ22))-AM22*Flag_UL_Type),0)*B22)</f>
        <v>0</v>
      </c>
      <c r="AU22" s="50">
        <f ca="1">(MAX(AS22,AR22,105%*SUM($AJ$7:AJ22))*B22)</f>
        <v>0</v>
      </c>
      <c r="AV22" s="125"/>
      <c r="AW22" s="12">
        <f t="shared" si="54"/>
        <v>16</v>
      </c>
      <c r="AX22" s="14">
        <f t="shared" si="21"/>
        <v>0</v>
      </c>
      <c r="AY22" s="14">
        <f t="shared" si="22"/>
        <v>0</v>
      </c>
      <c r="AZ22" s="14">
        <f t="shared" ca="1" si="23"/>
        <v>0</v>
      </c>
      <c r="BA22" s="14">
        <f t="shared" ca="1" si="24"/>
        <v>0</v>
      </c>
      <c r="BB22" s="14">
        <f t="shared" si="25"/>
        <v>0</v>
      </c>
      <c r="BC22" s="14">
        <f t="shared" ca="1" si="26"/>
        <v>0</v>
      </c>
      <c r="BD22" s="14">
        <f t="shared" ca="1" si="27"/>
        <v>0</v>
      </c>
      <c r="BE22" s="14">
        <f t="shared" si="28"/>
        <v>0</v>
      </c>
      <c r="BF22" s="14">
        <f t="shared" ca="1" si="29"/>
        <v>0</v>
      </c>
      <c r="BG22" s="51">
        <f t="shared" si="30"/>
        <v>0</v>
      </c>
      <c r="BH22" s="51">
        <f t="shared" ca="1" si="31"/>
        <v>431.36342695684499</v>
      </c>
      <c r="BI22" s="51">
        <f t="shared" ca="1" si="32"/>
        <v>0</v>
      </c>
      <c r="BJ22" s="51">
        <f t="shared" ca="1" si="33"/>
        <v>0</v>
      </c>
      <c r="BK22" s="51">
        <f t="shared" si="34"/>
        <v>81</v>
      </c>
      <c r="BL22" s="51">
        <f t="shared" ca="1" si="35"/>
        <v>108.55741533480698</v>
      </c>
      <c r="BM22" s="51">
        <f t="shared" si="36"/>
        <v>0</v>
      </c>
      <c r="BN22" s="51">
        <f t="shared" ca="1" si="37"/>
        <v>0</v>
      </c>
      <c r="BO22" s="51">
        <f t="shared" ca="1" si="38"/>
        <v>0</v>
      </c>
      <c r="BP22" s="51">
        <f t="shared" ca="1" si="39"/>
        <v>620.92084229165187</v>
      </c>
      <c r="BR22" s="32"/>
      <c r="BS22" s="126"/>
      <c r="BT22" s="16"/>
      <c r="BU22" s="58"/>
      <c r="BW22" s="51">
        <f>IF(Input!$C$13="Offline",VLOOKUP(H22,Charges!$AT$4:$AU$33,2,FALSE)*I22,0)</f>
        <v>0</v>
      </c>
      <c r="BX22" s="51">
        <f t="shared" si="40"/>
        <v>0</v>
      </c>
      <c r="BY22" s="51">
        <f t="shared" si="51"/>
        <v>0</v>
      </c>
      <c r="BZ22" s="151"/>
      <c r="CA22" s="151"/>
      <c r="CB22" s="32"/>
      <c r="CC22" s="16">
        <f ca="1">SUM($N$7:$N22)</f>
        <v>0</v>
      </c>
      <c r="CD22" s="16">
        <f t="shared" ca="1" si="41"/>
        <v>0</v>
      </c>
      <c r="CE22" s="16">
        <f t="shared" ca="1" si="42"/>
        <v>0</v>
      </c>
      <c r="CF22" s="7">
        <f t="shared" ca="1" si="43"/>
        <v>0</v>
      </c>
      <c r="CH22" s="7">
        <f t="shared" ca="1" si="44"/>
        <v>1</v>
      </c>
    </row>
    <row r="23" spans="2:86" s="7" customFormat="1" x14ac:dyDescent="0.2">
      <c r="B23" s="14">
        <f t="shared" si="0"/>
        <v>1</v>
      </c>
      <c r="C23" s="12">
        <f t="shared" si="1"/>
        <v>1</v>
      </c>
      <c r="D23" s="17">
        <f t="shared" si="52"/>
        <v>17</v>
      </c>
      <c r="E23" s="17">
        <f t="shared" ca="1" si="2"/>
        <v>61</v>
      </c>
      <c r="F23" s="12">
        <f t="shared" si="56"/>
        <v>4</v>
      </c>
      <c r="G23" s="12">
        <f t="shared" si="55"/>
        <v>3</v>
      </c>
      <c r="H23" s="17">
        <f t="shared" si="57"/>
        <v>2</v>
      </c>
      <c r="I23" s="29">
        <f t="shared" si="45"/>
        <v>0</v>
      </c>
      <c r="J23" s="211">
        <f>IFERROR(VLOOKUP(H23,Charges!$T$6:$U$35,2,0)*C23,0)</f>
        <v>0.95</v>
      </c>
      <c r="K23" s="29">
        <f t="shared" si="3"/>
        <v>0</v>
      </c>
      <c r="L23" s="29">
        <f t="shared" si="4"/>
        <v>0</v>
      </c>
      <c r="M23" s="147">
        <f t="shared" ca="1" si="5"/>
        <v>0</v>
      </c>
      <c r="N23" s="148">
        <f ca="1">IF(AND(Option_SPW="Y",H23&gt;=Lock_In_Period,Z22&gt;SPW_Amount_pa+IF(option="Single",1/5*pr,2*pr),H23&gt;=SPW_Start_Year,H23&lt;=SPW_Start_Year+SPW_Duration-1,age+H23&gt;=Legal_Age),IF(AND(F23=0,SPW_Payout_Freq=1),SPW_Amount_pa,IF(AND(SPW_Payout_Freq=2,MOD(F23,6)=0),SPW_Amount_pa/SPW_Payout_Freq,IF(AND(SPW_Payout_Freq=4,MOD(F23,3)=0),SPW_Amount_pa/SPW_Payout_Freq,IF(SPW_Payout_Freq=12,SPW_Amount_pa/SPW_Payout_Freq,0)))),0)+IFERROR(VLOOKUP(H23,Input!$B$68:$C$74,2,0),0)*(F23=0)*(Option_PW="Y")*(Option_SPW="N")*(age+H23&gt;=Legal_Age)</f>
        <v>0</v>
      </c>
      <c r="O23" s="148">
        <f t="shared" ca="1" si="6"/>
        <v>0</v>
      </c>
      <c r="P23" s="14">
        <f ca="1">(MAX(MAX(sa-CF22*Flag_UL_Type,105%*SUM($I$7:I23))-(AD22+L23-N23)*Flag_UL_Type,0)*B23)</f>
        <v>2464917.2372787651</v>
      </c>
      <c r="Q23" s="213">
        <f t="shared" ca="1" si="46"/>
        <v>2397.0909312996419</v>
      </c>
      <c r="R23" s="14">
        <f t="shared" ca="1" si="7"/>
        <v>0</v>
      </c>
      <c r="S23" s="14">
        <f t="shared" ca="1" si="8"/>
        <v>0</v>
      </c>
      <c r="T23" s="14">
        <f>IFERROR(IF(WoP_Flag="Y",IF(fq=1,VLOOKUP(ppt*fq-H23,Charges!$AN$41:$AO$59,2,FALSE),IF(fq=2,VLOOKUP(ppt*fq-G23,Charges!$AP$41:$AQ$79,2,FALSE),VLOOKUP(ppt*fq-D23,Charges!$AR$41:$AS$279,2,FALSE)))*pr/fq,0),0)</f>
        <v>0</v>
      </c>
      <c r="U23" s="14">
        <f t="shared" ca="1" si="9"/>
        <v>0</v>
      </c>
      <c r="V23" s="34">
        <f>ROUND(MIN(IF(H23&gt;=7,Charges!$C$12*(1+Charges!$C$14)^((H23-7+1)),VLOOKUP(H23,Charges!$B$7:$C$12,2,0))*pr,Charges!$C$13)*B23,Round)</f>
        <v>450</v>
      </c>
      <c r="W23" s="14">
        <f t="shared" ca="1" si="10"/>
        <v>531723.19542230119</v>
      </c>
      <c r="X23" s="14">
        <f t="shared" ca="1" si="11"/>
        <v>535144.31847183546</v>
      </c>
      <c r="Y23" s="213">
        <f t="shared" ca="1" si="47"/>
        <v>602.36499312743717</v>
      </c>
      <c r="Z23" s="14">
        <f t="shared" ca="1" si="12"/>
        <v>534433.52777994506</v>
      </c>
      <c r="AA23" s="14">
        <f>IF(AND($H23=pt,$F23=11),SUM($K$7:K23)*VLOOKUP(pt,ROC,2,FALSE),0)</f>
        <v>0</v>
      </c>
      <c r="AB23" s="14">
        <f>IF(AND($H23=pt,$F23=11),SUM($V$7:V23)*VLOOKUP(pt,ROC,2,FALSE),0)</f>
        <v>0</v>
      </c>
      <c r="AC23" s="14">
        <f>IF(AND($H23=pt,$F23=11),SUM($Q$7:Q23)*VLOOKUP(pt,ROC,2,FALSE),0)</f>
        <v>0</v>
      </c>
      <c r="AD23" s="14">
        <f t="shared" ca="1" si="13"/>
        <v>534433.52777994506</v>
      </c>
      <c r="AE23" s="14">
        <f ca="1">(MAX(sa-CF22*Flag_UL_Type,105%*SUM($I$7:I23),Z23)+AU23)*B23</f>
        <v>3000000</v>
      </c>
      <c r="AF23" s="136"/>
      <c r="AG23" s="18">
        <v>17</v>
      </c>
      <c r="AH23" s="30">
        <f t="shared" ca="1" si="14"/>
        <v>0</v>
      </c>
      <c r="AI23" s="138"/>
      <c r="AJ23" s="50">
        <f>IF(AND(Option_Sys_TopUp&gt;="Y",H23&gt;=sytp,H23&lt;=(dtp+sytp-1),F23=0,H23&lt;=ppt+1),atp,0)+IFERROR(VLOOKUP(H23,Input!$B$55:$C$61,2,0),0)*(F23=0)*(Option_TopUP="Y")*(Option_Sys_TopUp="N")*B23*(pt&gt;=H23+5)</f>
        <v>0</v>
      </c>
      <c r="AK23" s="50">
        <f t="shared" si="15"/>
        <v>0</v>
      </c>
      <c r="AL23" s="50">
        <f t="shared" si="48"/>
        <v>0</v>
      </c>
      <c r="AM23" s="50">
        <f t="shared" ca="1" si="49"/>
        <v>0</v>
      </c>
      <c r="AN23" s="50">
        <f ca="1">IF(B23=0,0,AT23*(_rpm1+(1+_emr1)*VLOOKUP(E23,Tab_Mort_Charge,IF(Input!$C$12="M",2,3),0))*(0.001*0.0833)*Flag_Mort_Rider_Charge*(AT23&gt;0))</f>
        <v>0</v>
      </c>
      <c r="AO23" s="50">
        <f t="shared" ca="1" si="17"/>
        <v>0</v>
      </c>
      <c r="AP23" s="50">
        <f t="shared" ca="1" si="50"/>
        <v>0</v>
      </c>
      <c r="AQ23" s="50">
        <f t="shared" ca="1" si="18"/>
        <v>0</v>
      </c>
      <c r="AR23" s="50">
        <f t="shared" ca="1" si="19"/>
        <v>0</v>
      </c>
      <c r="AS23" s="50">
        <f t="shared" si="20"/>
        <v>0</v>
      </c>
      <c r="AT23" s="50">
        <f ca="1">(MAX((MAX(AS23,105%*SUM($AJ$7:AJ23))-AM23*Flag_UL_Type),0)*B23)</f>
        <v>0</v>
      </c>
      <c r="AU23" s="50">
        <f ca="1">(MAX(AS23,AR23,105%*SUM($AJ$7:AJ23))*B23)</f>
        <v>0</v>
      </c>
      <c r="AV23" s="125"/>
      <c r="AW23" s="12">
        <f t="shared" si="54"/>
        <v>17</v>
      </c>
      <c r="AX23" s="14">
        <f t="shared" si="21"/>
        <v>0</v>
      </c>
      <c r="AY23" s="14">
        <f t="shared" si="22"/>
        <v>0</v>
      </c>
      <c r="AZ23" s="14">
        <f t="shared" ca="1" si="23"/>
        <v>0</v>
      </c>
      <c r="BA23" s="14">
        <f t="shared" ca="1" si="24"/>
        <v>0</v>
      </c>
      <c r="BB23" s="14">
        <f t="shared" si="25"/>
        <v>0</v>
      </c>
      <c r="BC23" s="14">
        <f t="shared" ca="1" si="26"/>
        <v>0</v>
      </c>
      <c r="BD23" s="14">
        <f t="shared" ca="1" si="27"/>
        <v>0</v>
      </c>
      <c r="BE23" s="14">
        <f t="shared" si="28"/>
        <v>0</v>
      </c>
      <c r="BF23" s="14">
        <f t="shared" ca="1" si="29"/>
        <v>0</v>
      </c>
      <c r="BG23" s="51">
        <f t="shared" si="30"/>
        <v>0</v>
      </c>
      <c r="BH23" s="51">
        <f t="shared" ca="1" si="31"/>
        <v>431.47636763393598</v>
      </c>
      <c r="BI23" s="51">
        <f t="shared" ca="1" si="32"/>
        <v>0</v>
      </c>
      <c r="BJ23" s="51">
        <f t="shared" ca="1" si="33"/>
        <v>0</v>
      </c>
      <c r="BK23" s="51">
        <f t="shared" si="34"/>
        <v>81</v>
      </c>
      <c r="BL23" s="51">
        <f t="shared" ca="1" si="35"/>
        <v>108.42569876293869</v>
      </c>
      <c r="BM23" s="51">
        <f t="shared" si="36"/>
        <v>0</v>
      </c>
      <c r="BN23" s="51">
        <f t="shared" ca="1" si="37"/>
        <v>0</v>
      </c>
      <c r="BO23" s="51">
        <f t="shared" ca="1" si="38"/>
        <v>0</v>
      </c>
      <c r="BP23" s="51">
        <f t="shared" ca="1" si="39"/>
        <v>620.90206639687472</v>
      </c>
      <c r="BR23" s="32"/>
      <c r="BS23" s="126"/>
      <c r="BT23" s="16"/>
      <c r="BU23" s="58"/>
      <c r="BW23" s="51">
        <f>IF(Input!$C$13="Offline",VLOOKUP(H23,Charges!$AT$4:$AU$33,2,FALSE)*I23,0)</f>
        <v>0</v>
      </c>
      <c r="BX23" s="51">
        <f t="shared" si="40"/>
        <v>0</v>
      </c>
      <c r="BY23" s="51">
        <f t="shared" si="51"/>
        <v>0</v>
      </c>
      <c r="BZ23" s="151"/>
      <c r="CA23" s="151"/>
      <c r="CB23" s="32"/>
      <c r="CC23" s="16">
        <f ca="1">SUM($N$7:$N23)</f>
        <v>0</v>
      </c>
      <c r="CD23" s="16">
        <f t="shared" ca="1" si="41"/>
        <v>0</v>
      </c>
      <c r="CE23" s="16">
        <f t="shared" ca="1" si="42"/>
        <v>0</v>
      </c>
      <c r="CF23" s="7">
        <f t="shared" ca="1" si="43"/>
        <v>0</v>
      </c>
      <c r="CH23" s="7">
        <f t="shared" ca="1" si="44"/>
        <v>1</v>
      </c>
    </row>
    <row r="24" spans="2:86" s="7" customFormat="1" x14ac:dyDescent="0.2">
      <c r="B24" s="14">
        <f t="shared" si="0"/>
        <v>1</v>
      </c>
      <c r="C24" s="12">
        <f t="shared" si="1"/>
        <v>1</v>
      </c>
      <c r="D24" s="17">
        <f t="shared" si="52"/>
        <v>18</v>
      </c>
      <c r="E24" s="17">
        <f t="shared" ca="1" si="2"/>
        <v>61</v>
      </c>
      <c r="F24" s="12">
        <f t="shared" si="56"/>
        <v>5</v>
      </c>
      <c r="G24" s="12">
        <f t="shared" si="55"/>
        <v>3</v>
      </c>
      <c r="H24" s="17">
        <f t="shared" si="57"/>
        <v>2</v>
      </c>
      <c r="I24" s="29">
        <f t="shared" si="45"/>
        <v>0</v>
      </c>
      <c r="J24" s="211">
        <f>IFERROR(VLOOKUP(H24,Charges!$T$6:$U$35,2,0)*C24,0)</f>
        <v>0.95</v>
      </c>
      <c r="K24" s="29">
        <f t="shared" si="3"/>
        <v>0</v>
      </c>
      <c r="L24" s="29">
        <f t="shared" si="4"/>
        <v>0</v>
      </c>
      <c r="M24" s="147">
        <f t="shared" ca="1" si="5"/>
        <v>0</v>
      </c>
      <c r="N24" s="148">
        <f ca="1">IF(AND(Option_SPW="Y",H24&gt;=Lock_In_Period,Z23&gt;SPW_Amount_pa+IF(option="Single",1/5*pr,2*pr),H24&gt;=SPW_Start_Year,H24&lt;=SPW_Start_Year+SPW_Duration-1,age+H24&gt;=Legal_Age),IF(AND(F24=0,SPW_Payout_Freq=1),SPW_Amount_pa,IF(AND(SPW_Payout_Freq=2,MOD(F24,6)=0),SPW_Amount_pa/SPW_Payout_Freq,IF(AND(SPW_Payout_Freq=4,MOD(F24,3)=0),SPW_Amount_pa/SPW_Payout_Freq,IF(SPW_Payout_Freq=12,SPW_Amount_pa/SPW_Payout_Freq,0)))),0)+IFERROR(VLOOKUP(H24,Input!$B$68:$C$74,2,0),0)*(F24=0)*(Option_PW="Y")*(Option_SPW="N")*(age+H24&gt;=Legal_Age)</f>
        <v>0</v>
      </c>
      <c r="O24" s="148">
        <f t="shared" ca="1" si="6"/>
        <v>0</v>
      </c>
      <c r="P24" s="14">
        <f ca="1">(MAX(MAX(sa-CF23*Flag_UL_Type,105%*SUM($I$7:I24))-(AD23+L24-N24)*Flag_UL_Type,0)*B24)</f>
        <v>2465566.4722200548</v>
      </c>
      <c r="Q24" s="213">
        <f t="shared" ca="1" si="46"/>
        <v>2397.7223014594665</v>
      </c>
      <c r="R24" s="14">
        <f t="shared" ca="1" si="7"/>
        <v>0</v>
      </c>
      <c r="S24" s="14">
        <f t="shared" ca="1" si="8"/>
        <v>0</v>
      </c>
      <c r="T24" s="14">
        <f>IFERROR(IF(WoP_Flag="Y",IF(fq=1,VLOOKUP(ppt*fq-H24,Charges!$AN$41:$AO$59,2,FALSE),IF(fq=2,VLOOKUP(ppt*fq-G24,Charges!$AP$41:$AQ$79,2,FALSE),VLOOKUP(ppt*fq-D24,Charges!$AR$41:$AS$279,2,FALSE)))*pr/fq,0),0)</f>
        <v>0</v>
      </c>
      <c r="U24" s="14">
        <f t="shared" ca="1" si="9"/>
        <v>0</v>
      </c>
      <c r="V24" s="34">
        <f>ROUND(MIN(IF(H24&gt;=7,Charges!$C$12*(1+Charges!$C$14)^((H24-7+1)),VLOOKUP(H24,Charges!$B$7:$C$12,2,0))*pr,Charges!$C$13)*B24,Round)</f>
        <v>450</v>
      </c>
      <c r="W24" s="14">
        <f t="shared" ca="1" si="10"/>
        <v>531073.21546422294</v>
      </c>
      <c r="X24" s="14">
        <f t="shared" ca="1" si="11"/>
        <v>534490.15652313607</v>
      </c>
      <c r="Y24" s="213">
        <f t="shared" ca="1" si="47"/>
        <v>601.62866043337476</v>
      </c>
      <c r="Z24" s="14">
        <f t="shared" ca="1" si="12"/>
        <v>533780.23470382474</v>
      </c>
      <c r="AA24" s="14">
        <f>IF(AND($H24=pt,$F24=11),SUM($K$7:K24)*VLOOKUP(pt,ROC,2,FALSE),0)</f>
        <v>0</v>
      </c>
      <c r="AB24" s="14">
        <f>IF(AND($H24=pt,$F24=11),SUM($V$7:V24)*VLOOKUP(pt,ROC,2,FALSE),0)</f>
        <v>0</v>
      </c>
      <c r="AC24" s="14">
        <f>IF(AND($H24=pt,$F24=11),SUM($Q$7:Q24)*VLOOKUP(pt,ROC,2,FALSE),0)</f>
        <v>0</v>
      </c>
      <c r="AD24" s="14">
        <f t="shared" ca="1" si="13"/>
        <v>533780.23470382474</v>
      </c>
      <c r="AE24" s="14">
        <f ca="1">(MAX(sa-CF23*Flag_UL_Type,105%*SUM($I$7:I24),Z24)+AU24)*B24</f>
        <v>3000000</v>
      </c>
      <c r="AF24" s="136"/>
      <c r="AG24" s="18">
        <v>18</v>
      </c>
      <c r="AH24" s="30">
        <f t="shared" ca="1" si="14"/>
        <v>0</v>
      </c>
      <c r="AI24" s="138"/>
      <c r="AJ24" s="50">
        <f>IF(AND(Option_Sys_TopUp&gt;="Y",H24&gt;=sytp,H24&lt;=(dtp+sytp-1),F24=0,H24&lt;=ppt+1),atp,0)+IFERROR(VLOOKUP(H24,Input!$B$55:$C$61,2,0),0)*(F24=0)*(Option_TopUP="Y")*(Option_Sys_TopUp="N")*B24*(pt&gt;=H24+5)</f>
        <v>0</v>
      </c>
      <c r="AK24" s="50">
        <f t="shared" si="15"/>
        <v>0</v>
      </c>
      <c r="AL24" s="50">
        <f t="shared" si="48"/>
        <v>0</v>
      </c>
      <c r="AM24" s="50">
        <f t="shared" ca="1" si="49"/>
        <v>0</v>
      </c>
      <c r="AN24" s="50">
        <f ca="1">IF(B24=0,0,AT24*(_rpm1+(1+_emr1)*VLOOKUP(E24,Tab_Mort_Charge,IF(Input!$C$12="M",2,3),0))*(0.001*0.0833)*Flag_Mort_Rider_Charge*(AT24&gt;0))</f>
        <v>0</v>
      </c>
      <c r="AO24" s="50">
        <f t="shared" ca="1" si="17"/>
        <v>0</v>
      </c>
      <c r="AP24" s="50">
        <f t="shared" ca="1" si="50"/>
        <v>0</v>
      </c>
      <c r="AQ24" s="50">
        <f t="shared" ca="1" si="18"/>
        <v>0</v>
      </c>
      <c r="AR24" s="50">
        <f t="shared" ca="1" si="19"/>
        <v>0</v>
      </c>
      <c r="AS24" s="50">
        <f t="shared" si="20"/>
        <v>0</v>
      </c>
      <c r="AT24" s="50">
        <f ca="1">(MAX((MAX(AS24,105%*SUM($AJ$7:AJ24))-AM24*Flag_UL_Type),0)*B24)</f>
        <v>0</v>
      </c>
      <c r="AU24" s="50">
        <f ca="1">(MAX(AS24,AR24,105%*SUM($AJ$7:AJ24))*B24)</f>
        <v>0</v>
      </c>
      <c r="AV24" s="125"/>
      <c r="AW24" s="12">
        <f t="shared" si="54"/>
        <v>18</v>
      </c>
      <c r="AX24" s="14">
        <f t="shared" si="21"/>
        <v>0</v>
      </c>
      <c r="AY24" s="14">
        <f t="shared" si="22"/>
        <v>0</v>
      </c>
      <c r="AZ24" s="14">
        <f t="shared" ca="1" si="23"/>
        <v>0</v>
      </c>
      <c r="BA24" s="14">
        <f t="shared" ca="1" si="24"/>
        <v>0</v>
      </c>
      <c r="BB24" s="14">
        <f t="shared" si="25"/>
        <v>0</v>
      </c>
      <c r="BC24" s="14">
        <f t="shared" ca="1" si="26"/>
        <v>0</v>
      </c>
      <c r="BD24" s="14">
        <f t="shared" ca="1" si="27"/>
        <v>0</v>
      </c>
      <c r="BE24" s="14">
        <f t="shared" si="28"/>
        <v>0</v>
      </c>
      <c r="BF24" s="14">
        <f t="shared" ca="1" si="29"/>
        <v>0</v>
      </c>
      <c r="BG24" s="51">
        <f t="shared" si="30"/>
        <v>0</v>
      </c>
      <c r="BH24" s="51">
        <f t="shared" ca="1" si="31"/>
        <v>431.59001426270402</v>
      </c>
      <c r="BI24" s="51">
        <f t="shared" ca="1" si="32"/>
        <v>0</v>
      </c>
      <c r="BJ24" s="51">
        <f t="shared" ca="1" si="33"/>
        <v>0</v>
      </c>
      <c r="BK24" s="51">
        <f t="shared" si="34"/>
        <v>81</v>
      </c>
      <c r="BL24" s="51">
        <f t="shared" ca="1" si="35"/>
        <v>108.29315887800745</v>
      </c>
      <c r="BM24" s="51">
        <f t="shared" si="36"/>
        <v>0</v>
      </c>
      <c r="BN24" s="51">
        <f t="shared" ca="1" si="37"/>
        <v>0</v>
      </c>
      <c r="BO24" s="51">
        <f t="shared" ca="1" si="38"/>
        <v>0</v>
      </c>
      <c r="BP24" s="51">
        <f t="shared" ca="1" si="39"/>
        <v>620.88317314071151</v>
      </c>
      <c r="BR24" s="32"/>
      <c r="BS24" s="126"/>
      <c r="BT24" s="16"/>
      <c r="BU24" s="58"/>
      <c r="BW24" s="51">
        <f>IF(Input!$C$13="Offline",VLOOKUP(H24,Charges!$AT$4:$AU$33,2,FALSE)*I24,0)</f>
        <v>0</v>
      </c>
      <c r="BX24" s="51">
        <f t="shared" si="40"/>
        <v>0</v>
      </c>
      <c r="BY24" s="51">
        <f t="shared" si="51"/>
        <v>0</v>
      </c>
      <c r="BZ24" s="151"/>
      <c r="CA24" s="151"/>
      <c r="CB24" s="32"/>
      <c r="CC24" s="16">
        <f ca="1">SUM($N$7:$N24)</f>
        <v>0</v>
      </c>
      <c r="CD24" s="16">
        <f t="shared" ca="1" si="41"/>
        <v>0</v>
      </c>
      <c r="CE24" s="16">
        <f t="shared" ca="1" si="42"/>
        <v>0</v>
      </c>
      <c r="CF24" s="7">
        <f t="shared" ca="1" si="43"/>
        <v>0</v>
      </c>
      <c r="CH24" s="7">
        <f t="shared" ca="1" si="44"/>
        <v>1</v>
      </c>
    </row>
    <row r="25" spans="2:86" s="7" customFormat="1" x14ac:dyDescent="0.2">
      <c r="B25" s="14">
        <f t="shared" si="0"/>
        <v>1</v>
      </c>
      <c r="C25" s="12">
        <f t="shared" si="1"/>
        <v>1</v>
      </c>
      <c r="D25" s="17">
        <f t="shared" si="52"/>
        <v>19</v>
      </c>
      <c r="E25" s="17">
        <f t="shared" ca="1" si="2"/>
        <v>61</v>
      </c>
      <c r="F25" s="12">
        <f t="shared" si="56"/>
        <v>6</v>
      </c>
      <c r="G25" s="12">
        <f t="shared" si="55"/>
        <v>4</v>
      </c>
      <c r="H25" s="17">
        <f t="shared" si="57"/>
        <v>2</v>
      </c>
      <c r="I25" s="29">
        <f t="shared" si="45"/>
        <v>0</v>
      </c>
      <c r="J25" s="211">
        <f>IFERROR(VLOOKUP(H25,Charges!$T$6:$U$35,2,0)*C25,0)</f>
        <v>0.95</v>
      </c>
      <c r="K25" s="29">
        <f t="shared" si="3"/>
        <v>0</v>
      </c>
      <c r="L25" s="29">
        <f t="shared" si="4"/>
        <v>0</v>
      </c>
      <c r="M25" s="147">
        <f t="shared" ca="1" si="5"/>
        <v>0</v>
      </c>
      <c r="N25" s="148">
        <f ca="1">IF(AND(Option_SPW="Y",H25&gt;=Lock_In_Period,Z24&gt;SPW_Amount_pa+IF(option="Single",1/5*pr,2*pr),H25&gt;=SPW_Start_Year,H25&lt;=SPW_Start_Year+SPW_Duration-1,age+H25&gt;=Legal_Age),IF(AND(F25=0,SPW_Payout_Freq=1),SPW_Amount_pa,IF(AND(SPW_Payout_Freq=2,MOD(F25,6)=0),SPW_Amount_pa/SPW_Payout_Freq,IF(AND(SPW_Payout_Freq=4,MOD(F25,3)=0),SPW_Amount_pa/SPW_Payout_Freq,IF(SPW_Payout_Freq=12,SPW_Amount_pa/SPW_Payout_Freq,0)))),0)+IFERROR(VLOOKUP(H25,Input!$B$68:$C$74,2,0),0)*(F25=0)*(Option_PW="Y")*(Option_SPW="N")*(age+H25&gt;=Legal_Age)</f>
        <v>0</v>
      </c>
      <c r="O25" s="148">
        <f t="shared" ca="1" si="6"/>
        <v>0</v>
      </c>
      <c r="P25" s="14">
        <f ca="1">(MAX(MAX(sa-CF24*Flag_UL_Type,105%*SUM($I$7:I25))-(AD24+L25-N25)*Flag_UL_Type,0)*B25)</f>
        <v>2466219.7652961751</v>
      </c>
      <c r="Q25" s="213">
        <f t="shared" ca="1" si="46"/>
        <v>2398.3576180877749</v>
      </c>
      <c r="R25" s="14">
        <f t="shared" ca="1" si="7"/>
        <v>0</v>
      </c>
      <c r="S25" s="14">
        <f t="shared" ca="1" si="8"/>
        <v>0</v>
      </c>
      <c r="T25" s="14">
        <f>IFERROR(IF(WoP_Flag="Y",IF(fq=1,VLOOKUP(ppt*fq-H25,Charges!$AN$41:$AO$59,2,FALSE),IF(fq=2,VLOOKUP(ppt*fq-G25,Charges!$AP$41:$AQ$79,2,FALSE),VLOOKUP(ppt*fq-D25,Charges!$AR$41:$AS$279,2,FALSE)))*pr/fq,0),0)</f>
        <v>0</v>
      </c>
      <c r="U25" s="14">
        <f t="shared" ca="1" si="9"/>
        <v>0</v>
      </c>
      <c r="V25" s="34">
        <f>ROUND(MIN(IF(H25&gt;=7,Charges!$C$12*(1+Charges!$C$14)^((H25-7+1)),VLOOKUP(H25,Charges!$B$7:$C$12,2,0))*pr,Charges!$C$13)*B25,Round)</f>
        <v>450</v>
      </c>
      <c r="W25" s="14">
        <f t="shared" ca="1" si="10"/>
        <v>530419.17271448113</v>
      </c>
      <c r="X25" s="14">
        <f t="shared" ca="1" si="11"/>
        <v>533831.90564264916</v>
      </c>
      <c r="Y25" s="213">
        <f t="shared" ca="1" si="47"/>
        <v>600.88772518765836</v>
      </c>
      <c r="Z25" s="14">
        <f t="shared" ca="1" si="12"/>
        <v>533122.85812692775</v>
      </c>
      <c r="AA25" s="14">
        <f>IF(AND($H25=pt,$F25=11),SUM($K$7:K25)*VLOOKUP(pt,ROC,2,FALSE),0)</f>
        <v>0</v>
      </c>
      <c r="AB25" s="14">
        <f>IF(AND($H25=pt,$F25=11),SUM($V$7:V25)*VLOOKUP(pt,ROC,2,FALSE),0)</f>
        <v>0</v>
      </c>
      <c r="AC25" s="14">
        <f>IF(AND($H25=pt,$F25=11),SUM($Q$7:Q25)*VLOOKUP(pt,ROC,2,FALSE),0)</f>
        <v>0</v>
      </c>
      <c r="AD25" s="14">
        <f t="shared" ca="1" si="13"/>
        <v>533122.85812692775</v>
      </c>
      <c r="AE25" s="14">
        <f ca="1">(MAX(sa-CF24*Flag_UL_Type,105%*SUM($I$7:I25),Z25)+AU25)*B25</f>
        <v>3000000</v>
      </c>
      <c r="AF25" s="136"/>
      <c r="AG25" s="18">
        <v>19</v>
      </c>
      <c r="AH25" s="30">
        <f t="shared" ca="1" si="14"/>
        <v>0</v>
      </c>
      <c r="AI25" s="138"/>
      <c r="AJ25" s="50">
        <f>IF(AND(Option_Sys_TopUp&gt;="Y",H25&gt;=sytp,H25&lt;=(dtp+sytp-1),F25=0,H25&lt;=ppt+1),atp,0)+IFERROR(VLOOKUP(H25,Input!$B$55:$C$61,2,0),0)*(F25=0)*(Option_TopUP="Y")*(Option_Sys_TopUp="N")*B25*(pt&gt;=H25+5)</f>
        <v>0</v>
      </c>
      <c r="AK25" s="50">
        <f t="shared" si="15"/>
        <v>0</v>
      </c>
      <c r="AL25" s="50">
        <f t="shared" si="48"/>
        <v>0</v>
      </c>
      <c r="AM25" s="50">
        <f t="shared" ca="1" si="49"/>
        <v>0</v>
      </c>
      <c r="AN25" s="50">
        <f ca="1">IF(B25=0,0,AT25*(_rpm1+(1+_emr1)*VLOOKUP(E25,Tab_Mort_Charge,IF(Input!$C$12="M",2,3),0))*(0.001*0.0833)*Flag_Mort_Rider_Charge*(AT25&gt;0))</f>
        <v>0</v>
      </c>
      <c r="AO25" s="50">
        <f t="shared" ca="1" si="17"/>
        <v>0</v>
      </c>
      <c r="AP25" s="50">
        <f t="shared" ca="1" si="50"/>
        <v>0</v>
      </c>
      <c r="AQ25" s="50">
        <f t="shared" ca="1" si="18"/>
        <v>0</v>
      </c>
      <c r="AR25" s="50">
        <f t="shared" ca="1" si="19"/>
        <v>0</v>
      </c>
      <c r="AS25" s="50">
        <f t="shared" si="20"/>
        <v>0</v>
      </c>
      <c r="AT25" s="50">
        <f ca="1">(MAX((MAX(AS25,105%*SUM($AJ$7:AJ25))-AM25*Flag_UL_Type),0)*B25)</f>
        <v>0</v>
      </c>
      <c r="AU25" s="50">
        <f ca="1">(MAX(AS25,AR25,105%*SUM($AJ$7:AJ25))*B25)</f>
        <v>0</v>
      </c>
      <c r="AV25" s="125"/>
      <c r="AW25" s="12">
        <f t="shared" si="54"/>
        <v>19</v>
      </c>
      <c r="AX25" s="14">
        <f t="shared" si="21"/>
        <v>0</v>
      </c>
      <c r="AY25" s="14">
        <f t="shared" si="22"/>
        <v>0</v>
      </c>
      <c r="AZ25" s="14">
        <f t="shared" ca="1" si="23"/>
        <v>0</v>
      </c>
      <c r="BA25" s="14">
        <f t="shared" ca="1" si="24"/>
        <v>0</v>
      </c>
      <c r="BB25" s="14">
        <f t="shared" si="25"/>
        <v>0</v>
      </c>
      <c r="BC25" s="14">
        <f t="shared" ca="1" si="26"/>
        <v>0</v>
      </c>
      <c r="BD25" s="14">
        <f t="shared" ca="1" si="27"/>
        <v>0</v>
      </c>
      <c r="BE25" s="14">
        <f t="shared" si="28"/>
        <v>0</v>
      </c>
      <c r="BF25" s="14">
        <f t="shared" ca="1" si="29"/>
        <v>0</v>
      </c>
      <c r="BG25" s="51">
        <f t="shared" si="30"/>
        <v>0</v>
      </c>
      <c r="BH25" s="51">
        <f t="shared" ca="1" si="31"/>
        <v>431.704371255799</v>
      </c>
      <c r="BI25" s="51">
        <f t="shared" ca="1" si="32"/>
        <v>0</v>
      </c>
      <c r="BJ25" s="51">
        <f t="shared" ca="1" si="33"/>
        <v>0</v>
      </c>
      <c r="BK25" s="51">
        <f t="shared" si="34"/>
        <v>81</v>
      </c>
      <c r="BL25" s="51">
        <f t="shared" ca="1" si="35"/>
        <v>108.15979053377851</v>
      </c>
      <c r="BM25" s="51">
        <f t="shared" si="36"/>
        <v>0</v>
      </c>
      <c r="BN25" s="51">
        <f t="shared" ca="1" si="37"/>
        <v>0</v>
      </c>
      <c r="BO25" s="51">
        <f t="shared" ca="1" si="38"/>
        <v>0</v>
      </c>
      <c r="BP25" s="51">
        <f t="shared" ca="1" si="39"/>
        <v>620.86416178957757</v>
      </c>
      <c r="BR25" s="32"/>
      <c r="BS25" s="126"/>
      <c r="BT25" s="16"/>
      <c r="BU25" s="58"/>
      <c r="BW25" s="51">
        <f>IF(Input!$C$13="Offline",VLOOKUP(H25,Charges!$AT$4:$AU$33,2,FALSE)*I25,0)</f>
        <v>0</v>
      </c>
      <c r="BX25" s="51">
        <f t="shared" si="40"/>
        <v>0</v>
      </c>
      <c r="BY25" s="51">
        <f t="shared" si="51"/>
        <v>0</v>
      </c>
      <c r="BZ25" s="151"/>
      <c r="CA25" s="151"/>
      <c r="CB25" s="32"/>
      <c r="CC25" s="16">
        <f ca="1">SUM($N$7:$N25)</f>
        <v>0</v>
      </c>
      <c r="CD25" s="16">
        <f t="shared" ca="1" si="41"/>
        <v>0</v>
      </c>
      <c r="CE25" s="16">
        <f t="shared" ca="1" si="42"/>
        <v>0</v>
      </c>
      <c r="CF25" s="7">
        <f t="shared" ca="1" si="43"/>
        <v>0</v>
      </c>
      <c r="CH25" s="7">
        <f t="shared" ca="1" si="44"/>
        <v>1</v>
      </c>
    </row>
    <row r="26" spans="2:86" s="7" customFormat="1" x14ac:dyDescent="0.2">
      <c r="B26" s="14">
        <f t="shared" si="0"/>
        <v>1</v>
      </c>
      <c r="C26" s="12">
        <f t="shared" si="1"/>
        <v>1</v>
      </c>
      <c r="D26" s="17">
        <f t="shared" si="52"/>
        <v>20</v>
      </c>
      <c r="E26" s="17">
        <f t="shared" ca="1" si="2"/>
        <v>61</v>
      </c>
      <c r="F26" s="12">
        <f t="shared" si="56"/>
        <v>7</v>
      </c>
      <c r="G26" s="12">
        <f t="shared" si="55"/>
        <v>4</v>
      </c>
      <c r="H26" s="17">
        <f t="shared" si="57"/>
        <v>2</v>
      </c>
      <c r="I26" s="29">
        <f t="shared" si="45"/>
        <v>0</v>
      </c>
      <c r="J26" s="211">
        <f>IFERROR(VLOOKUP(H26,Charges!$T$6:$U$35,2,0)*C26,0)</f>
        <v>0.95</v>
      </c>
      <c r="K26" s="29">
        <f t="shared" si="3"/>
        <v>0</v>
      </c>
      <c r="L26" s="29">
        <f t="shared" si="4"/>
        <v>0</v>
      </c>
      <c r="M26" s="147">
        <f t="shared" ca="1" si="5"/>
        <v>0</v>
      </c>
      <c r="N26" s="148">
        <f ca="1">IF(AND(Option_SPW="Y",H26&gt;=Lock_In_Period,Z25&gt;SPW_Amount_pa+IF(option="Single",1/5*pr,2*pr),H26&gt;=SPW_Start_Year,H26&lt;=SPW_Start_Year+SPW_Duration-1,age+H26&gt;=Legal_Age),IF(AND(F26=0,SPW_Payout_Freq=1),SPW_Amount_pa,IF(AND(SPW_Payout_Freq=2,MOD(F26,6)=0),SPW_Amount_pa/SPW_Payout_Freq,IF(AND(SPW_Payout_Freq=4,MOD(F26,3)=0),SPW_Amount_pa/SPW_Payout_Freq,IF(SPW_Payout_Freq=12,SPW_Amount_pa/SPW_Payout_Freq,0)))),0)+IFERROR(VLOOKUP(H26,Input!$B$68:$C$74,2,0),0)*(F26=0)*(Option_PW="Y")*(Option_SPW="N")*(age+H26&gt;=Legal_Age)</f>
        <v>0</v>
      </c>
      <c r="O26" s="148">
        <f t="shared" ca="1" si="6"/>
        <v>0</v>
      </c>
      <c r="P26" s="14">
        <f ca="1">(MAX(MAX(sa-CF25*Flag_UL_Type,105%*SUM($I$7:I26))-(AD25+L26-N26)*Flag_UL_Type,0)*B26)</f>
        <v>2466877.1418730724</v>
      </c>
      <c r="Q26" s="213">
        <f t="shared" ca="1" si="46"/>
        <v>2398.996905852533</v>
      </c>
      <c r="R26" s="14">
        <f t="shared" ca="1" si="7"/>
        <v>0</v>
      </c>
      <c r="S26" s="14">
        <f t="shared" ca="1" si="8"/>
        <v>0</v>
      </c>
      <c r="T26" s="14">
        <f>IFERROR(IF(WoP_Flag="Y",IF(fq=1,VLOOKUP(ppt*fq-H26,Charges!$AN$41:$AO$59,2,FALSE),IF(fq=2,VLOOKUP(ppt*fq-G26,Charges!$AP$41:$AQ$79,2,FALSE),VLOOKUP(ppt*fq-D26,Charges!$AR$41:$AS$279,2,FALSE)))*pr/fq,0),0)</f>
        <v>0</v>
      </c>
      <c r="U26" s="14">
        <f t="shared" ca="1" si="9"/>
        <v>0</v>
      </c>
      <c r="V26" s="34">
        <f>ROUND(MIN(IF(H26&gt;=7,Charges!$C$12*(1+Charges!$C$14)^((H26-7+1)),VLOOKUP(H26,Charges!$B$7:$C$12,2,0))*pr,Charges!$C$13)*B26,Round)</f>
        <v>450</v>
      </c>
      <c r="W26" s="14">
        <f t="shared" ca="1" si="10"/>
        <v>529761.04177802172</v>
      </c>
      <c r="X26" s="14">
        <f t="shared" ca="1" si="11"/>
        <v>533169.5402719283</v>
      </c>
      <c r="Y26" s="213">
        <f t="shared" ca="1" si="47"/>
        <v>600.14215862138803</v>
      </c>
      <c r="Z26" s="14">
        <f t="shared" ca="1" si="12"/>
        <v>532461.37252475508</v>
      </c>
      <c r="AA26" s="14">
        <f>IF(AND($H26=pt,$F26=11),SUM($K$7:K26)*VLOOKUP(pt,ROC,2,FALSE),0)</f>
        <v>0</v>
      </c>
      <c r="AB26" s="14">
        <f>IF(AND($H26=pt,$F26=11),SUM($V$7:V26)*VLOOKUP(pt,ROC,2,FALSE),0)</f>
        <v>0</v>
      </c>
      <c r="AC26" s="14">
        <f>IF(AND($H26=pt,$F26=11),SUM($Q$7:Q26)*VLOOKUP(pt,ROC,2,FALSE),0)</f>
        <v>0</v>
      </c>
      <c r="AD26" s="14">
        <f t="shared" ca="1" si="13"/>
        <v>532461.37252475508</v>
      </c>
      <c r="AE26" s="14">
        <f ca="1">(MAX(sa-CF25*Flag_UL_Type,105%*SUM($I$7:I26),Z26)+AU26)*B26</f>
        <v>3000000</v>
      </c>
      <c r="AF26" s="136"/>
      <c r="AG26" s="18">
        <v>20</v>
      </c>
      <c r="AH26" s="30">
        <f t="shared" ca="1" si="14"/>
        <v>0</v>
      </c>
      <c r="AI26" s="138"/>
      <c r="AJ26" s="50">
        <f>IF(AND(Option_Sys_TopUp&gt;="Y",H26&gt;=sytp,H26&lt;=(dtp+sytp-1),F26=0,H26&lt;=ppt+1),atp,0)+IFERROR(VLOOKUP(H26,Input!$B$55:$C$61,2,0),0)*(F26=0)*(Option_TopUP="Y")*(Option_Sys_TopUp="N")*B26*(pt&gt;=H26+5)</f>
        <v>0</v>
      </c>
      <c r="AK26" s="50">
        <f t="shared" si="15"/>
        <v>0</v>
      </c>
      <c r="AL26" s="50">
        <f t="shared" si="48"/>
        <v>0</v>
      </c>
      <c r="AM26" s="50">
        <f t="shared" ca="1" si="49"/>
        <v>0</v>
      </c>
      <c r="AN26" s="50">
        <f ca="1">IF(B26=0,0,AT26*(_rpm1+(1+_emr1)*VLOOKUP(E26,Tab_Mort_Charge,IF(Input!$C$12="M",2,3),0))*(0.001*0.0833)*Flag_Mort_Rider_Charge*(AT26&gt;0))</f>
        <v>0</v>
      </c>
      <c r="AO26" s="50">
        <f t="shared" ca="1" si="17"/>
        <v>0</v>
      </c>
      <c r="AP26" s="50">
        <f t="shared" ca="1" si="50"/>
        <v>0</v>
      </c>
      <c r="AQ26" s="50">
        <f t="shared" ca="1" si="18"/>
        <v>0</v>
      </c>
      <c r="AR26" s="50">
        <f t="shared" ca="1" si="19"/>
        <v>0</v>
      </c>
      <c r="AS26" s="50">
        <f t="shared" si="20"/>
        <v>0</v>
      </c>
      <c r="AT26" s="50">
        <f ca="1">(MAX((MAX(AS26,105%*SUM($AJ$7:AJ26))-AM26*Flag_UL_Type),0)*B26)</f>
        <v>0</v>
      </c>
      <c r="AU26" s="50">
        <f ca="1">(MAX(AS26,AR26,105%*SUM($AJ$7:AJ26))*B26)</f>
        <v>0</v>
      </c>
      <c r="AV26" s="125"/>
      <c r="AW26" s="12">
        <f t="shared" si="54"/>
        <v>20</v>
      </c>
      <c r="AX26" s="14">
        <f t="shared" si="21"/>
        <v>0</v>
      </c>
      <c r="AY26" s="14">
        <f t="shared" si="22"/>
        <v>0</v>
      </c>
      <c r="AZ26" s="14">
        <f t="shared" ca="1" si="23"/>
        <v>0</v>
      </c>
      <c r="BA26" s="14">
        <f t="shared" ca="1" si="24"/>
        <v>0</v>
      </c>
      <c r="BB26" s="14">
        <f t="shared" si="25"/>
        <v>0</v>
      </c>
      <c r="BC26" s="14">
        <f t="shared" ca="1" si="26"/>
        <v>0</v>
      </c>
      <c r="BD26" s="14">
        <f t="shared" ca="1" si="27"/>
        <v>0</v>
      </c>
      <c r="BE26" s="14">
        <f t="shared" si="28"/>
        <v>0</v>
      </c>
      <c r="BF26" s="14">
        <f t="shared" ca="1" si="29"/>
        <v>0</v>
      </c>
      <c r="BG26" s="51">
        <f t="shared" si="30"/>
        <v>0</v>
      </c>
      <c r="BH26" s="51">
        <f t="shared" ca="1" si="31"/>
        <v>431.81944305345598</v>
      </c>
      <c r="BI26" s="51">
        <f t="shared" ca="1" si="32"/>
        <v>0</v>
      </c>
      <c r="BJ26" s="51">
        <f t="shared" ca="1" si="33"/>
        <v>0</v>
      </c>
      <c r="BK26" s="51">
        <f t="shared" si="34"/>
        <v>81</v>
      </c>
      <c r="BL26" s="51">
        <f t="shared" ca="1" si="35"/>
        <v>108.02558855184984</v>
      </c>
      <c r="BM26" s="51">
        <f t="shared" si="36"/>
        <v>0</v>
      </c>
      <c r="BN26" s="51">
        <f t="shared" ca="1" si="37"/>
        <v>0</v>
      </c>
      <c r="BO26" s="51">
        <f t="shared" ca="1" si="38"/>
        <v>0</v>
      </c>
      <c r="BP26" s="51">
        <f t="shared" ca="1" si="39"/>
        <v>620.84503160530585</v>
      </c>
      <c r="BR26" s="32"/>
      <c r="BS26" s="126"/>
      <c r="BT26" s="16"/>
      <c r="BU26" s="58"/>
      <c r="BW26" s="51">
        <f>IF(Input!$C$13="Offline",VLOOKUP(H26,Charges!$AT$4:$AU$33,2,FALSE)*I26,0)</f>
        <v>0</v>
      </c>
      <c r="BX26" s="51">
        <f t="shared" si="40"/>
        <v>0</v>
      </c>
      <c r="BY26" s="51">
        <f t="shared" si="51"/>
        <v>0</v>
      </c>
      <c r="BZ26" s="151"/>
      <c r="CA26" s="151"/>
      <c r="CB26" s="32"/>
      <c r="CC26" s="16">
        <f ca="1">SUM($N$7:$N26)</f>
        <v>0</v>
      </c>
      <c r="CD26" s="16">
        <f t="shared" ca="1" si="41"/>
        <v>0</v>
      </c>
      <c r="CE26" s="16">
        <f t="shared" ca="1" si="42"/>
        <v>0</v>
      </c>
      <c r="CF26" s="7">
        <f t="shared" ca="1" si="43"/>
        <v>0</v>
      </c>
      <c r="CH26" s="7">
        <f t="shared" ca="1" si="44"/>
        <v>1</v>
      </c>
    </row>
    <row r="27" spans="2:86" s="7" customFormat="1" x14ac:dyDescent="0.2">
      <c r="B27" s="14">
        <f t="shared" si="0"/>
        <v>1</v>
      </c>
      <c r="C27" s="12">
        <f t="shared" si="1"/>
        <v>1</v>
      </c>
      <c r="D27" s="17">
        <f t="shared" si="52"/>
        <v>21</v>
      </c>
      <c r="E27" s="17">
        <f t="shared" ca="1" si="2"/>
        <v>61</v>
      </c>
      <c r="F27" s="12">
        <f t="shared" si="56"/>
        <v>8</v>
      </c>
      <c r="G27" s="12">
        <f t="shared" si="55"/>
        <v>4</v>
      </c>
      <c r="H27" s="17">
        <f t="shared" si="57"/>
        <v>2</v>
      </c>
      <c r="I27" s="29">
        <f t="shared" si="45"/>
        <v>0</v>
      </c>
      <c r="J27" s="211">
        <f>IFERROR(VLOOKUP(H27,Charges!$T$6:$U$35,2,0)*C27,0)</f>
        <v>0.95</v>
      </c>
      <c r="K27" s="29">
        <f t="shared" si="3"/>
        <v>0</v>
      </c>
      <c r="L27" s="29">
        <f t="shared" si="4"/>
        <v>0</v>
      </c>
      <c r="M27" s="147">
        <f t="shared" ca="1" si="5"/>
        <v>0</v>
      </c>
      <c r="N27" s="148">
        <f ca="1">IF(AND(Option_SPW="Y",H27&gt;=Lock_In_Period,Z26&gt;SPW_Amount_pa+IF(option="Single",1/5*pr,2*pr),H27&gt;=SPW_Start_Year,H27&lt;=SPW_Start_Year+SPW_Duration-1,age+H27&gt;=Legal_Age),IF(AND(F27=0,SPW_Payout_Freq=1),SPW_Amount_pa,IF(AND(SPW_Payout_Freq=2,MOD(F27,6)=0),SPW_Amount_pa/SPW_Payout_Freq,IF(AND(SPW_Payout_Freq=4,MOD(F27,3)=0),SPW_Amount_pa/SPW_Payout_Freq,IF(SPW_Payout_Freq=12,SPW_Amount_pa/SPW_Payout_Freq,0)))),0)+IFERROR(VLOOKUP(H27,Input!$B$68:$C$74,2,0),0)*(F27=0)*(Option_PW="Y")*(Option_SPW="N")*(age+H27&gt;=Legal_Age)</f>
        <v>0</v>
      </c>
      <c r="O27" s="148">
        <f t="shared" ca="1" si="6"/>
        <v>0</v>
      </c>
      <c r="P27" s="14">
        <f ca="1">(MAX(MAX(sa-CF26*Flag_UL_Type,105%*SUM($I$7:I27))-(AD26+L27-N27)*Flag_UL_Type,0)*B27)</f>
        <v>2467538.6274752449</v>
      </c>
      <c r="Q27" s="213">
        <f t="shared" ca="1" si="46"/>
        <v>2399.6401895758831</v>
      </c>
      <c r="R27" s="14">
        <f t="shared" ca="1" si="7"/>
        <v>0</v>
      </c>
      <c r="S27" s="14">
        <f t="shared" ca="1" si="8"/>
        <v>0</v>
      </c>
      <c r="T27" s="14">
        <f>IFERROR(IF(WoP_Flag="Y",IF(fq=1,VLOOKUP(ppt*fq-H27,Charges!$AN$41:$AO$59,2,FALSE),IF(fq=2,VLOOKUP(ppt*fq-G27,Charges!$AP$41:$AQ$79,2,FALSE),VLOOKUP(ppt*fq-D27,Charges!$AR$41:$AS$279,2,FALSE)))*pr/fq,0),0)</f>
        <v>0</v>
      </c>
      <c r="U27" s="14">
        <f t="shared" ca="1" si="9"/>
        <v>0</v>
      </c>
      <c r="V27" s="34">
        <f>ROUND(MIN(IF(H27&gt;=7,Charges!$C$12*(1+Charges!$C$14)^((H27-7+1)),VLOOKUP(H27,Charges!$B$7:$C$12,2,0))*pr,Charges!$C$13)*B27,Round)</f>
        <v>450</v>
      </c>
      <c r="W27" s="14">
        <f t="shared" ca="1" si="10"/>
        <v>529098.7971010555</v>
      </c>
      <c r="X27" s="14">
        <f t="shared" ca="1" si="11"/>
        <v>532503.03469277034</v>
      </c>
      <c r="Y27" s="213">
        <f t="shared" ca="1" si="47"/>
        <v>599.39193178583957</v>
      </c>
      <c r="Z27" s="14">
        <f t="shared" ca="1" si="12"/>
        <v>531795.75221326307</v>
      </c>
      <c r="AA27" s="14">
        <f>IF(AND($H27=pt,$F27=11),SUM($K$7:K27)*VLOOKUP(pt,ROC,2,FALSE),0)</f>
        <v>0</v>
      </c>
      <c r="AB27" s="14">
        <f>IF(AND($H27=pt,$F27=11),SUM($V$7:V27)*VLOOKUP(pt,ROC,2,FALSE),0)</f>
        <v>0</v>
      </c>
      <c r="AC27" s="14">
        <f>IF(AND($H27=pt,$F27=11),SUM($Q$7:Q27)*VLOOKUP(pt,ROC,2,FALSE),0)</f>
        <v>0</v>
      </c>
      <c r="AD27" s="14">
        <f t="shared" ca="1" si="13"/>
        <v>531795.75221326307</v>
      </c>
      <c r="AE27" s="14">
        <f ca="1">(MAX(sa-CF26*Flag_UL_Type,105%*SUM($I$7:I27),Z27)+AU27)*B27</f>
        <v>3000000</v>
      </c>
      <c r="AF27" s="136"/>
      <c r="AG27" s="18">
        <v>21</v>
      </c>
      <c r="AH27" s="30">
        <f t="shared" ca="1" si="14"/>
        <v>0</v>
      </c>
      <c r="AI27" s="138"/>
      <c r="AJ27" s="50">
        <f>IF(AND(Option_Sys_TopUp&gt;="Y",H27&gt;=sytp,H27&lt;=(dtp+sytp-1),F27=0,H27&lt;=ppt+1),atp,0)+IFERROR(VLOOKUP(H27,Input!$B$55:$C$61,2,0),0)*(F27=0)*(Option_TopUP="Y")*(Option_Sys_TopUp="N")*B27*(pt&gt;=H27+5)</f>
        <v>0</v>
      </c>
      <c r="AK27" s="50">
        <f t="shared" si="15"/>
        <v>0</v>
      </c>
      <c r="AL27" s="50">
        <f t="shared" si="48"/>
        <v>0</v>
      </c>
      <c r="AM27" s="50">
        <f t="shared" ca="1" si="49"/>
        <v>0</v>
      </c>
      <c r="AN27" s="50">
        <f ca="1">IF(B27=0,0,AT27*(_rpm1+(1+_emr1)*VLOOKUP(E27,Tab_Mort_Charge,IF(Input!$C$12="M",2,3),0))*(0.001*0.0833)*Flag_Mort_Rider_Charge*(AT27&gt;0))</f>
        <v>0</v>
      </c>
      <c r="AO27" s="50">
        <f t="shared" ca="1" si="17"/>
        <v>0</v>
      </c>
      <c r="AP27" s="50">
        <f t="shared" ca="1" si="50"/>
        <v>0</v>
      </c>
      <c r="AQ27" s="50">
        <f t="shared" ca="1" si="18"/>
        <v>0</v>
      </c>
      <c r="AR27" s="50">
        <f t="shared" ca="1" si="19"/>
        <v>0</v>
      </c>
      <c r="AS27" s="50">
        <f t="shared" si="20"/>
        <v>0</v>
      </c>
      <c r="AT27" s="50">
        <f ca="1">(MAX((MAX(AS27,105%*SUM($AJ$7:AJ27))-AM27*Flag_UL_Type),0)*B27)</f>
        <v>0</v>
      </c>
      <c r="AU27" s="50">
        <f ca="1">(MAX(AS27,AR27,105%*SUM($AJ$7:AJ27))*B27)</f>
        <v>0</v>
      </c>
      <c r="AV27" s="125"/>
      <c r="AW27" s="12">
        <f t="shared" si="54"/>
        <v>21</v>
      </c>
      <c r="AX27" s="14">
        <f t="shared" si="21"/>
        <v>0</v>
      </c>
      <c r="AY27" s="14">
        <f t="shared" si="22"/>
        <v>0</v>
      </c>
      <c r="AZ27" s="14">
        <f t="shared" ca="1" si="23"/>
        <v>0</v>
      </c>
      <c r="BA27" s="14">
        <f t="shared" ca="1" si="24"/>
        <v>0</v>
      </c>
      <c r="BB27" s="14">
        <f t="shared" si="25"/>
        <v>0</v>
      </c>
      <c r="BC27" s="14">
        <f t="shared" ca="1" si="26"/>
        <v>0</v>
      </c>
      <c r="BD27" s="14">
        <f t="shared" ca="1" si="27"/>
        <v>0</v>
      </c>
      <c r="BE27" s="14">
        <f t="shared" si="28"/>
        <v>0</v>
      </c>
      <c r="BF27" s="14">
        <f t="shared" ca="1" si="29"/>
        <v>0</v>
      </c>
      <c r="BG27" s="51">
        <f t="shared" si="30"/>
        <v>0</v>
      </c>
      <c r="BH27" s="51">
        <f t="shared" ca="1" si="31"/>
        <v>431.93523412365897</v>
      </c>
      <c r="BI27" s="51">
        <f t="shared" ca="1" si="32"/>
        <v>0</v>
      </c>
      <c r="BJ27" s="51">
        <f t="shared" ca="1" si="33"/>
        <v>0</v>
      </c>
      <c r="BK27" s="51">
        <f t="shared" si="34"/>
        <v>81</v>
      </c>
      <c r="BL27" s="51">
        <f t="shared" ca="1" si="35"/>
        <v>107.89054772145111</v>
      </c>
      <c r="BM27" s="51">
        <f t="shared" si="36"/>
        <v>0</v>
      </c>
      <c r="BN27" s="51">
        <f t="shared" ca="1" si="37"/>
        <v>0</v>
      </c>
      <c r="BO27" s="51">
        <f t="shared" ca="1" si="38"/>
        <v>0</v>
      </c>
      <c r="BP27" s="51">
        <f t="shared" ca="1" si="39"/>
        <v>620.8257818451101</v>
      </c>
      <c r="BR27" s="32"/>
      <c r="BS27" s="126"/>
      <c r="BT27" s="16"/>
      <c r="BU27" s="58"/>
      <c r="BW27" s="51">
        <f>IF(Input!$C$13="Offline",VLOOKUP(H27,Charges!$AT$4:$AU$33,2,FALSE)*I27,0)</f>
        <v>0</v>
      </c>
      <c r="BX27" s="51">
        <f t="shared" si="40"/>
        <v>0</v>
      </c>
      <c r="BY27" s="51">
        <f t="shared" si="51"/>
        <v>0</v>
      </c>
      <c r="BZ27" s="151"/>
      <c r="CA27" s="151"/>
      <c r="CB27" s="32"/>
      <c r="CC27" s="16">
        <f ca="1">SUM($N$7:$N27)</f>
        <v>0</v>
      </c>
      <c r="CD27" s="16">
        <f t="shared" ca="1" si="41"/>
        <v>0</v>
      </c>
      <c r="CE27" s="16">
        <f t="shared" ca="1" si="42"/>
        <v>0</v>
      </c>
      <c r="CF27" s="7">
        <f t="shared" ca="1" si="43"/>
        <v>0</v>
      </c>
      <c r="CH27" s="7">
        <f t="shared" ca="1" si="44"/>
        <v>1</v>
      </c>
    </row>
    <row r="28" spans="2:86" s="7" customFormat="1" x14ac:dyDescent="0.2">
      <c r="B28" s="14">
        <f t="shared" si="0"/>
        <v>1</v>
      </c>
      <c r="C28" s="12">
        <f t="shared" si="1"/>
        <v>1</v>
      </c>
      <c r="D28" s="17">
        <f t="shared" si="52"/>
        <v>22</v>
      </c>
      <c r="E28" s="17">
        <f t="shared" ca="1" si="2"/>
        <v>61</v>
      </c>
      <c r="F28" s="12">
        <f t="shared" si="56"/>
        <v>9</v>
      </c>
      <c r="G28" s="12">
        <f t="shared" si="55"/>
        <v>4</v>
      </c>
      <c r="H28" s="17">
        <f t="shared" si="57"/>
        <v>2</v>
      </c>
      <c r="I28" s="29">
        <f t="shared" si="45"/>
        <v>0</v>
      </c>
      <c r="J28" s="211">
        <f>IFERROR(VLOOKUP(H28,Charges!$T$6:$U$35,2,0)*C28,0)</f>
        <v>0.95</v>
      </c>
      <c r="K28" s="29">
        <f t="shared" si="3"/>
        <v>0</v>
      </c>
      <c r="L28" s="29">
        <f t="shared" si="4"/>
        <v>0</v>
      </c>
      <c r="M28" s="147">
        <f t="shared" ca="1" si="5"/>
        <v>0</v>
      </c>
      <c r="N28" s="148">
        <f ca="1">IF(AND(Option_SPW="Y",H28&gt;=Lock_In_Period,Z27&gt;SPW_Amount_pa+IF(option="Single",1/5*pr,2*pr),H28&gt;=SPW_Start_Year,H28&lt;=SPW_Start_Year+SPW_Duration-1,age+H28&gt;=Legal_Age),IF(AND(F28=0,SPW_Payout_Freq=1),SPW_Amount_pa,IF(AND(SPW_Payout_Freq=2,MOD(F28,6)=0),SPW_Amount_pa/SPW_Payout_Freq,IF(AND(SPW_Payout_Freq=4,MOD(F28,3)=0),SPW_Amount_pa/SPW_Payout_Freq,IF(SPW_Payout_Freq=12,SPW_Amount_pa/SPW_Payout_Freq,0)))),0)+IFERROR(VLOOKUP(H28,Input!$B$68:$C$74,2,0),0)*(F28=0)*(Option_PW="Y")*(Option_SPW="N")*(age+H28&gt;=Legal_Age)</f>
        <v>0</v>
      </c>
      <c r="O28" s="148">
        <f t="shared" ca="1" si="6"/>
        <v>0</v>
      </c>
      <c r="P28" s="14">
        <f ca="1">(MAX(MAX(sa-CF27*Flag_UL_Type,105%*SUM($I$7:I28))-(AD27+L28-N28)*Flag_UL_Type,0)*B28)</f>
        <v>2468204.247786737</v>
      </c>
      <c r="Q28" s="213">
        <f t="shared" ca="1" si="46"/>
        <v>2400.2874942351414</v>
      </c>
      <c r="R28" s="14">
        <f t="shared" ca="1" si="7"/>
        <v>0</v>
      </c>
      <c r="S28" s="14">
        <f t="shared" ca="1" si="8"/>
        <v>0</v>
      </c>
      <c r="T28" s="14">
        <f>IFERROR(IF(WoP_Flag="Y",IF(fq=1,VLOOKUP(ppt*fq-H28,Charges!$AN$41:$AO$59,2,FALSE),IF(fq=2,VLOOKUP(ppt*fq-G28,Charges!$AP$41:$AQ$79,2,FALSE),VLOOKUP(ppt*fq-D28,Charges!$AR$41:$AS$279,2,FALSE)))*pr/fq,0),0)</f>
        <v>0</v>
      </c>
      <c r="U28" s="14">
        <f t="shared" ca="1" si="9"/>
        <v>0</v>
      </c>
      <c r="V28" s="34">
        <f>ROUND(MIN(IF(H28&gt;=7,Charges!$C$12*(1+Charges!$C$14)^((H28-7+1)),VLOOKUP(H28,Charges!$B$7:$C$12,2,0))*pr,Charges!$C$13)*B28,Round)</f>
        <v>450</v>
      </c>
      <c r="W28" s="14">
        <f t="shared" ca="1" si="10"/>
        <v>528432.4129700656</v>
      </c>
      <c r="X28" s="14">
        <f t="shared" ca="1" si="11"/>
        <v>531832.36302621674</v>
      </c>
      <c r="Y28" s="213">
        <f t="shared" ca="1" si="47"/>
        <v>598.63701555134048</v>
      </c>
      <c r="Z28" s="14">
        <f t="shared" ca="1" si="12"/>
        <v>531125.97134786611</v>
      </c>
      <c r="AA28" s="14">
        <f>IF(AND($H28=pt,$F28=11),SUM($K$7:K28)*VLOOKUP(pt,ROC,2,FALSE),0)</f>
        <v>0</v>
      </c>
      <c r="AB28" s="14">
        <f>IF(AND($H28=pt,$F28=11),SUM($V$7:V28)*VLOOKUP(pt,ROC,2,FALSE),0)</f>
        <v>0</v>
      </c>
      <c r="AC28" s="14">
        <f>IF(AND($H28=pt,$F28=11),SUM($Q$7:Q28)*VLOOKUP(pt,ROC,2,FALSE),0)</f>
        <v>0</v>
      </c>
      <c r="AD28" s="14">
        <f t="shared" ca="1" si="13"/>
        <v>531125.97134786611</v>
      </c>
      <c r="AE28" s="14">
        <f ca="1">(MAX(sa-CF27*Flag_UL_Type,105%*SUM($I$7:I28),Z28)+AU28)*B28</f>
        <v>3000000</v>
      </c>
      <c r="AF28" s="136"/>
      <c r="AG28" s="18">
        <v>22</v>
      </c>
      <c r="AH28" s="30">
        <f t="shared" ca="1" si="14"/>
        <v>0</v>
      </c>
      <c r="AI28" s="138"/>
      <c r="AJ28" s="50">
        <f>IF(AND(Option_Sys_TopUp&gt;="Y",H28&gt;=sytp,H28&lt;=(dtp+sytp-1),F28=0,H28&lt;=ppt+1),atp,0)+IFERROR(VLOOKUP(H28,Input!$B$55:$C$61,2,0),0)*(F28=0)*(Option_TopUP="Y")*(Option_Sys_TopUp="N")*B28*(pt&gt;=H28+5)</f>
        <v>0</v>
      </c>
      <c r="AK28" s="50">
        <f t="shared" si="15"/>
        <v>0</v>
      </c>
      <c r="AL28" s="50">
        <f t="shared" si="48"/>
        <v>0</v>
      </c>
      <c r="AM28" s="50">
        <f t="shared" ca="1" si="49"/>
        <v>0</v>
      </c>
      <c r="AN28" s="50">
        <f ca="1">IF(B28=0,0,AT28*(_rpm1+(1+_emr1)*VLOOKUP(E28,Tab_Mort_Charge,IF(Input!$C$12="M",2,3),0))*(0.001*0.0833)*Flag_Mort_Rider_Charge*(AT28&gt;0))</f>
        <v>0</v>
      </c>
      <c r="AO28" s="50">
        <f t="shared" ca="1" si="17"/>
        <v>0</v>
      </c>
      <c r="AP28" s="50">
        <f t="shared" ca="1" si="50"/>
        <v>0</v>
      </c>
      <c r="AQ28" s="50">
        <f t="shared" ca="1" si="18"/>
        <v>0</v>
      </c>
      <c r="AR28" s="50">
        <f t="shared" ca="1" si="19"/>
        <v>0</v>
      </c>
      <c r="AS28" s="50">
        <f t="shared" si="20"/>
        <v>0</v>
      </c>
      <c r="AT28" s="50">
        <f ca="1">(MAX((MAX(AS28,105%*SUM($AJ$7:AJ28))-AM28*Flag_UL_Type),0)*B28)</f>
        <v>0</v>
      </c>
      <c r="AU28" s="50">
        <f ca="1">(MAX(AS28,AR28,105%*SUM($AJ$7:AJ28))*B28)</f>
        <v>0</v>
      </c>
      <c r="AV28" s="125"/>
      <c r="AW28" s="12">
        <f t="shared" si="54"/>
        <v>22</v>
      </c>
      <c r="AX28" s="14">
        <f t="shared" si="21"/>
        <v>0</v>
      </c>
      <c r="AY28" s="14">
        <f t="shared" si="22"/>
        <v>0</v>
      </c>
      <c r="AZ28" s="14">
        <f t="shared" ca="1" si="23"/>
        <v>0</v>
      </c>
      <c r="BA28" s="14">
        <f t="shared" ca="1" si="24"/>
        <v>0</v>
      </c>
      <c r="BB28" s="14">
        <f t="shared" si="25"/>
        <v>0</v>
      </c>
      <c r="BC28" s="14">
        <f t="shared" ca="1" si="26"/>
        <v>0</v>
      </c>
      <c r="BD28" s="14">
        <f t="shared" ca="1" si="27"/>
        <v>0</v>
      </c>
      <c r="BE28" s="14">
        <f t="shared" si="28"/>
        <v>0</v>
      </c>
      <c r="BF28" s="14">
        <f t="shared" ca="1" si="29"/>
        <v>0</v>
      </c>
      <c r="BG28" s="51">
        <f t="shared" si="30"/>
        <v>0</v>
      </c>
      <c r="BH28" s="51">
        <f t="shared" ca="1" si="31"/>
        <v>432.05174896232501</v>
      </c>
      <c r="BI28" s="51">
        <f t="shared" ca="1" si="32"/>
        <v>0</v>
      </c>
      <c r="BJ28" s="51">
        <f t="shared" ca="1" si="33"/>
        <v>0</v>
      </c>
      <c r="BK28" s="51">
        <f t="shared" si="34"/>
        <v>81</v>
      </c>
      <c r="BL28" s="51">
        <f t="shared" ca="1" si="35"/>
        <v>107.75466279924129</v>
      </c>
      <c r="BM28" s="51">
        <f t="shared" si="36"/>
        <v>0</v>
      </c>
      <c r="BN28" s="51">
        <f t="shared" ca="1" si="37"/>
        <v>0</v>
      </c>
      <c r="BO28" s="51">
        <f t="shared" ca="1" si="38"/>
        <v>0</v>
      </c>
      <c r="BP28" s="51">
        <f t="shared" ca="1" si="39"/>
        <v>620.80641176156632</v>
      </c>
      <c r="BR28" s="32"/>
      <c r="BS28" s="126"/>
      <c r="BT28" s="16"/>
      <c r="BU28" s="58"/>
      <c r="BW28" s="51">
        <f>IF(Input!$C$13="Offline",VLOOKUP(H28,Charges!$AT$4:$AU$33,2,FALSE)*I28,0)</f>
        <v>0</v>
      </c>
      <c r="BX28" s="51">
        <f t="shared" si="40"/>
        <v>0</v>
      </c>
      <c r="BY28" s="51">
        <f t="shared" si="51"/>
        <v>0</v>
      </c>
      <c r="BZ28" s="151"/>
      <c r="CA28" s="151"/>
      <c r="CB28" s="32"/>
      <c r="CC28" s="16">
        <f ca="1">SUM($N$7:$N28)</f>
        <v>0</v>
      </c>
      <c r="CD28" s="16">
        <f t="shared" ca="1" si="41"/>
        <v>0</v>
      </c>
      <c r="CE28" s="16">
        <f t="shared" ca="1" si="42"/>
        <v>0</v>
      </c>
      <c r="CF28" s="7">
        <f t="shared" ca="1" si="43"/>
        <v>0</v>
      </c>
      <c r="CH28" s="7">
        <f t="shared" ca="1" si="44"/>
        <v>1</v>
      </c>
    </row>
    <row r="29" spans="2:86" s="7" customFormat="1" x14ac:dyDescent="0.2">
      <c r="B29" s="14">
        <f t="shared" si="0"/>
        <v>1</v>
      </c>
      <c r="C29" s="12">
        <f t="shared" si="1"/>
        <v>1</v>
      </c>
      <c r="D29" s="17">
        <f t="shared" si="52"/>
        <v>23</v>
      </c>
      <c r="E29" s="17">
        <f t="shared" ca="1" si="2"/>
        <v>61</v>
      </c>
      <c r="F29" s="12">
        <f t="shared" si="56"/>
        <v>10</v>
      </c>
      <c r="G29" s="12">
        <f t="shared" si="55"/>
        <v>4</v>
      </c>
      <c r="H29" s="17">
        <f t="shared" si="57"/>
        <v>2</v>
      </c>
      <c r="I29" s="29">
        <f t="shared" si="45"/>
        <v>0</v>
      </c>
      <c r="J29" s="211">
        <f>IFERROR(VLOOKUP(H29,Charges!$T$6:$U$35,2,0)*C29,0)</f>
        <v>0.95</v>
      </c>
      <c r="K29" s="29">
        <f t="shared" si="3"/>
        <v>0</v>
      </c>
      <c r="L29" s="29">
        <f t="shared" si="4"/>
        <v>0</v>
      </c>
      <c r="M29" s="147">
        <f t="shared" ca="1" si="5"/>
        <v>0</v>
      </c>
      <c r="N29" s="148">
        <f ca="1">IF(AND(Option_SPW="Y",H29&gt;=Lock_In_Period,Z28&gt;SPW_Amount_pa+IF(option="Single",1/5*pr,2*pr),H29&gt;=SPW_Start_Year,H29&lt;=SPW_Start_Year+SPW_Duration-1,age+H29&gt;=Legal_Age),IF(AND(F29=0,SPW_Payout_Freq=1),SPW_Amount_pa,IF(AND(SPW_Payout_Freq=2,MOD(F29,6)=0),SPW_Amount_pa/SPW_Payout_Freq,IF(AND(SPW_Payout_Freq=4,MOD(F29,3)=0),SPW_Amount_pa/SPW_Payout_Freq,IF(SPW_Payout_Freq=12,SPW_Amount_pa/SPW_Payout_Freq,0)))),0)+IFERROR(VLOOKUP(H29,Input!$B$68:$C$74,2,0),0)*(F29=0)*(Option_PW="Y")*(Option_SPW="N")*(age+H29&gt;=Legal_Age)</f>
        <v>0</v>
      </c>
      <c r="O29" s="148">
        <f t="shared" ca="1" si="6"/>
        <v>0</v>
      </c>
      <c r="P29" s="14">
        <f ca="1">(MAX(MAX(sa-CF28*Flag_UL_Type,105%*SUM($I$7:I29))-(AD28+L29-N29)*Flag_UL_Type,0)*B29)</f>
        <v>2468874.0286521339</v>
      </c>
      <c r="Q29" s="213">
        <f t="shared" ca="1" si="46"/>
        <v>2400.9388449637249</v>
      </c>
      <c r="R29" s="14">
        <f t="shared" ca="1" si="7"/>
        <v>0</v>
      </c>
      <c r="S29" s="14">
        <f t="shared" ca="1" si="8"/>
        <v>0</v>
      </c>
      <c r="T29" s="14">
        <f>IFERROR(IF(WoP_Flag="Y",IF(fq=1,VLOOKUP(ppt*fq-H29,Charges!$AN$41:$AO$59,2,FALSE),IF(fq=2,VLOOKUP(ppt*fq-G29,Charges!$AP$41:$AQ$79,2,FALSE),VLOOKUP(ppt*fq-D29,Charges!$AR$41:$AS$279,2,FALSE)))*pr/fq,0),0)</f>
        <v>0</v>
      </c>
      <c r="U29" s="14">
        <f t="shared" ca="1" si="9"/>
        <v>0</v>
      </c>
      <c r="V29" s="34">
        <f>ROUND(MIN(IF(H29&gt;=7,Charges!$C$12*(1+Charges!$C$14)^((H29-7+1)),VLOOKUP(H29,Charges!$B$7:$C$12,2,0))*pr,Charges!$C$13)*B29,Round)</f>
        <v>450</v>
      </c>
      <c r="W29" s="14">
        <f t="shared" ca="1" si="10"/>
        <v>527761.86351080891</v>
      </c>
      <c r="X29" s="14">
        <f t="shared" ca="1" si="11"/>
        <v>531157.49923154898</v>
      </c>
      <c r="Y29" s="213">
        <f t="shared" ca="1" si="47"/>
        <v>597.87738060613947</v>
      </c>
      <c r="Z29" s="14">
        <f t="shared" ca="1" si="12"/>
        <v>530452.00392243371</v>
      </c>
      <c r="AA29" s="14">
        <f>IF(AND($H29=pt,$F29=11),SUM($K$7:K29)*VLOOKUP(pt,ROC,2,FALSE),0)</f>
        <v>0</v>
      </c>
      <c r="AB29" s="14">
        <f>IF(AND($H29=pt,$F29=11),SUM($V$7:V29)*VLOOKUP(pt,ROC,2,FALSE),0)</f>
        <v>0</v>
      </c>
      <c r="AC29" s="14">
        <f>IF(AND($H29=pt,$F29=11),SUM($Q$7:Q29)*VLOOKUP(pt,ROC,2,FALSE),0)</f>
        <v>0</v>
      </c>
      <c r="AD29" s="14">
        <f t="shared" ca="1" si="13"/>
        <v>530452.00392243371</v>
      </c>
      <c r="AE29" s="14">
        <f ca="1">(MAX(sa-CF28*Flag_UL_Type,105%*SUM($I$7:I29),Z29)+AU29)*B29</f>
        <v>3000000</v>
      </c>
      <c r="AF29" s="136"/>
      <c r="AG29" s="18">
        <v>23</v>
      </c>
      <c r="AH29" s="30">
        <f t="shared" ca="1" si="14"/>
        <v>0</v>
      </c>
      <c r="AI29" s="138"/>
      <c r="AJ29" s="50">
        <f>IF(AND(Option_Sys_TopUp&gt;="Y",H29&gt;=sytp,H29&lt;=(dtp+sytp-1),F29=0,H29&lt;=ppt+1),atp,0)+IFERROR(VLOOKUP(H29,Input!$B$55:$C$61,2,0),0)*(F29=0)*(Option_TopUP="Y")*(Option_Sys_TopUp="N")*B29*(pt&gt;=H29+5)</f>
        <v>0</v>
      </c>
      <c r="AK29" s="50">
        <f t="shared" si="15"/>
        <v>0</v>
      </c>
      <c r="AL29" s="50">
        <f t="shared" si="48"/>
        <v>0</v>
      </c>
      <c r="AM29" s="50">
        <f t="shared" ca="1" si="49"/>
        <v>0</v>
      </c>
      <c r="AN29" s="50">
        <f ca="1">IF(B29=0,0,AT29*(_rpm1+(1+_emr1)*VLOOKUP(E29,Tab_Mort_Charge,IF(Input!$C$12="M",2,3),0))*(0.001*0.0833)*Flag_Mort_Rider_Charge*(AT29&gt;0))</f>
        <v>0</v>
      </c>
      <c r="AO29" s="50">
        <f t="shared" ca="1" si="17"/>
        <v>0</v>
      </c>
      <c r="AP29" s="50">
        <f t="shared" ca="1" si="50"/>
        <v>0</v>
      </c>
      <c r="AQ29" s="50">
        <f t="shared" ca="1" si="18"/>
        <v>0</v>
      </c>
      <c r="AR29" s="50">
        <f t="shared" ca="1" si="19"/>
        <v>0</v>
      </c>
      <c r="AS29" s="50">
        <f t="shared" si="20"/>
        <v>0</v>
      </c>
      <c r="AT29" s="50">
        <f ca="1">(MAX((MAX(AS29,105%*SUM($AJ$7:AJ29))-AM29*Flag_UL_Type),0)*B29)</f>
        <v>0</v>
      </c>
      <c r="AU29" s="50">
        <f ca="1">(MAX(AS29,AR29,105%*SUM($AJ$7:AJ29))*B29)</f>
        <v>0</v>
      </c>
      <c r="AV29" s="125"/>
      <c r="AW29" s="12">
        <f t="shared" si="54"/>
        <v>23</v>
      </c>
      <c r="AX29" s="14">
        <f t="shared" si="21"/>
        <v>0</v>
      </c>
      <c r="AY29" s="14">
        <f t="shared" si="22"/>
        <v>0</v>
      </c>
      <c r="AZ29" s="14">
        <f t="shared" ca="1" si="23"/>
        <v>0</v>
      </c>
      <c r="BA29" s="14">
        <f t="shared" ca="1" si="24"/>
        <v>0</v>
      </c>
      <c r="BB29" s="14">
        <f t="shared" si="25"/>
        <v>0</v>
      </c>
      <c r="BC29" s="14">
        <f t="shared" ca="1" si="26"/>
        <v>0</v>
      </c>
      <c r="BD29" s="14">
        <f t="shared" ca="1" si="27"/>
        <v>0</v>
      </c>
      <c r="BE29" s="14">
        <f t="shared" si="28"/>
        <v>0</v>
      </c>
      <c r="BF29" s="14">
        <f t="shared" ca="1" si="29"/>
        <v>0</v>
      </c>
      <c r="BG29" s="51">
        <f t="shared" si="30"/>
        <v>0</v>
      </c>
      <c r="BH29" s="51">
        <f t="shared" ca="1" si="31"/>
        <v>432.16899209347002</v>
      </c>
      <c r="BI29" s="51">
        <f t="shared" ca="1" si="32"/>
        <v>0</v>
      </c>
      <c r="BJ29" s="51">
        <f t="shared" ca="1" si="33"/>
        <v>0</v>
      </c>
      <c r="BK29" s="51">
        <f t="shared" si="34"/>
        <v>81</v>
      </c>
      <c r="BL29" s="51">
        <f t="shared" ca="1" si="35"/>
        <v>107.6179285091051</v>
      </c>
      <c r="BM29" s="51">
        <f t="shared" si="36"/>
        <v>0</v>
      </c>
      <c r="BN29" s="51">
        <f t="shared" ca="1" si="37"/>
        <v>0</v>
      </c>
      <c r="BO29" s="51">
        <f t="shared" ca="1" si="38"/>
        <v>0</v>
      </c>
      <c r="BP29" s="51">
        <f t="shared" ca="1" si="39"/>
        <v>620.78692060257515</v>
      </c>
      <c r="BR29" s="32"/>
      <c r="BS29" s="126"/>
      <c r="BT29" s="16"/>
      <c r="BU29" s="58"/>
      <c r="BW29" s="51">
        <f>IF(Input!$C$13="Offline",VLOOKUP(H29,Charges!$AT$4:$AU$33,2,FALSE)*I29,0)</f>
        <v>0</v>
      </c>
      <c r="BX29" s="51">
        <f t="shared" si="40"/>
        <v>0</v>
      </c>
      <c r="BY29" s="51">
        <f t="shared" si="51"/>
        <v>0</v>
      </c>
      <c r="BZ29" s="151"/>
      <c r="CA29" s="151"/>
      <c r="CB29" s="32"/>
      <c r="CC29" s="16">
        <f ca="1">SUM($N$7:$N29)</f>
        <v>0</v>
      </c>
      <c r="CD29" s="16">
        <f t="shared" ca="1" si="41"/>
        <v>0</v>
      </c>
      <c r="CE29" s="16">
        <f t="shared" ca="1" si="42"/>
        <v>0</v>
      </c>
      <c r="CF29" s="7">
        <f t="shared" ca="1" si="43"/>
        <v>0</v>
      </c>
      <c r="CH29" s="7">
        <f t="shared" ca="1" si="44"/>
        <v>1</v>
      </c>
    </row>
    <row r="30" spans="2:86" s="7" customFormat="1" x14ac:dyDescent="0.2">
      <c r="B30" s="14">
        <f t="shared" si="0"/>
        <v>1</v>
      </c>
      <c r="C30" s="12">
        <f t="shared" si="1"/>
        <v>1</v>
      </c>
      <c r="D30" s="17">
        <f t="shared" si="52"/>
        <v>24</v>
      </c>
      <c r="E30" s="17">
        <f t="shared" ca="1" si="2"/>
        <v>61</v>
      </c>
      <c r="F30" s="12">
        <f t="shared" si="56"/>
        <v>11</v>
      </c>
      <c r="G30" s="12">
        <f t="shared" si="55"/>
        <v>4</v>
      </c>
      <c r="H30" s="17">
        <f t="shared" si="57"/>
        <v>2</v>
      </c>
      <c r="I30" s="29">
        <f t="shared" si="45"/>
        <v>0</v>
      </c>
      <c r="J30" s="211">
        <f>IFERROR(VLOOKUP(H30,Charges!$T$6:$U$35,2,0)*C30,0)</f>
        <v>0.95</v>
      </c>
      <c r="K30" s="29">
        <f t="shared" si="3"/>
        <v>0</v>
      </c>
      <c r="L30" s="29">
        <f t="shared" si="4"/>
        <v>0</v>
      </c>
      <c r="M30" s="147">
        <f t="shared" ca="1" si="5"/>
        <v>0</v>
      </c>
      <c r="N30" s="148">
        <f ca="1">IF(AND(Option_SPW="Y",H30&gt;=Lock_In_Period,Z29&gt;SPW_Amount_pa+IF(option="Single",1/5*pr,2*pr),H30&gt;=SPW_Start_Year,H30&lt;=SPW_Start_Year+SPW_Duration-1,age+H30&gt;=Legal_Age),IF(AND(F30=0,SPW_Payout_Freq=1),SPW_Amount_pa,IF(AND(SPW_Payout_Freq=2,MOD(F30,6)=0),SPW_Amount_pa/SPW_Payout_Freq,IF(AND(SPW_Payout_Freq=4,MOD(F30,3)=0),SPW_Amount_pa/SPW_Payout_Freq,IF(SPW_Payout_Freq=12,SPW_Amount_pa/SPW_Payout_Freq,0)))),0)+IFERROR(VLOOKUP(H30,Input!$B$68:$C$74,2,0),0)*(F30=0)*(Option_PW="Y")*(Option_SPW="N")*(age+H30&gt;=Legal_Age)</f>
        <v>0</v>
      </c>
      <c r="O30" s="148">
        <f t="shared" ca="1" si="6"/>
        <v>0</v>
      </c>
      <c r="P30" s="14">
        <f ca="1">(MAX(MAX(sa-CF29*Flag_UL_Type,105%*SUM($I$7:I30))-(AD29+L30-N30)*Flag_UL_Type,0)*B30)</f>
        <v>2469547.9960775664</v>
      </c>
      <c r="Q30" s="213">
        <f t="shared" ca="1" si="46"/>
        <v>2401.5942670521667</v>
      </c>
      <c r="R30" s="14">
        <f t="shared" ca="1" si="7"/>
        <v>0</v>
      </c>
      <c r="S30" s="14">
        <f t="shared" ca="1" si="8"/>
        <v>0</v>
      </c>
      <c r="T30" s="14">
        <f>IFERROR(IF(WoP_Flag="Y",IF(fq=1,VLOOKUP(ppt*fq-H30,Charges!$AN$41:$AO$59,2,FALSE),IF(fq=2,VLOOKUP(ppt*fq-G30,Charges!$AP$41:$AQ$79,2,FALSE),VLOOKUP(ppt*fq-D30,Charges!$AR$41:$AS$279,2,FALSE)))*pr/fq,0),0)</f>
        <v>0</v>
      </c>
      <c r="U30" s="14">
        <f t="shared" ca="1" si="9"/>
        <v>0</v>
      </c>
      <c r="V30" s="34">
        <f>ROUND(MIN(IF(H30&gt;=7,Charges!$C$12*(1+Charges!$C$14)^((H30-7+1)),VLOOKUP(H30,Charges!$B$7:$C$12,2,0))*pr,Charges!$C$13)*B30,Round)</f>
        <v>450</v>
      </c>
      <c r="W30" s="14">
        <f t="shared" ca="1" si="10"/>
        <v>527087.12268731219</v>
      </c>
      <c r="X30" s="14">
        <f t="shared" ca="1" si="11"/>
        <v>530478.41710527742</v>
      </c>
      <c r="Y30" s="213">
        <f t="shared" ca="1" si="47"/>
        <v>597.11299745526787</v>
      </c>
      <c r="Z30" s="14">
        <f t="shared" ca="1" si="12"/>
        <v>529773.82376828021</v>
      </c>
      <c r="AA30" s="14">
        <f>IF(AND($H30=pt,$F30=11),SUM($K$7:K30)*VLOOKUP(pt,ROC,2,FALSE),0)</f>
        <v>0</v>
      </c>
      <c r="AB30" s="14">
        <f>IF(AND($H30=pt,$F30=11),SUM($V$7:V30)*VLOOKUP(pt,ROC,2,FALSE),0)</f>
        <v>0</v>
      </c>
      <c r="AC30" s="14">
        <f>IF(AND($H30=pt,$F30=11),SUM($Q$7:Q30)*VLOOKUP(pt,ROC,2,FALSE),0)</f>
        <v>0</v>
      </c>
      <c r="AD30" s="14">
        <f t="shared" ca="1" si="13"/>
        <v>529773.82376828021</v>
      </c>
      <c r="AE30" s="14">
        <f ca="1">(MAX(sa-CF29*Flag_UL_Type,105%*SUM($I$7:I30),Z30)+AU30)*B30</f>
        <v>3000000</v>
      </c>
      <c r="AF30" s="136"/>
      <c r="AG30" s="18">
        <v>24</v>
      </c>
      <c r="AH30" s="30">
        <f t="shared" ca="1" si="14"/>
        <v>0</v>
      </c>
      <c r="AI30" s="138"/>
      <c r="AJ30" s="50">
        <f>IF(AND(Option_Sys_TopUp&gt;="Y",H30&gt;=sytp,H30&lt;=(dtp+sytp-1),F30=0,H30&lt;=ppt+1),atp,0)+IFERROR(VLOOKUP(H30,Input!$B$55:$C$61,2,0),0)*(F30=0)*(Option_TopUP="Y")*(Option_Sys_TopUp="N")*B30*(pt&gt;=H30+5)</f>
        <v>0</v>
      </c>
      <c r="AK30" s="50">
        <f t="shared" si="15"/>
        <v>0</v>
      </c>
      <c r="AL30" s="50">
        <f t="shared" si="48"/>
        <v>0</v>
      </c>
      <c r="AM30" s="50">
        <f t="shared" ca="1" si="49"/>
        <v>0</v>
      </c>
      <c r="AN30" s="50">
        <f ca="1">IF(B30=0,0,AT30*(_rpm1+(1+_emr1)*VLOOKUP(E30,Tab_Mort_Charge,IF(Input!$C$12="M",2,3),0))*(0.001*0.0833)*Flag_Mort_Rider_Charge*(AT30&gt;0))</f>
        <v>0</v>
      </c>
      <c r="AO30" s="50">
        <f t="shared" ca="1" si="17"/>
        <v>0</v>
      </c>
      <c r="AP30" s="50">
        <f t="shared" ca="1" si="50"/>
        <v>0</v>
      </c>
      <c r="AQ30" s="50">
        <f t="shared" ca="1" si="18"/>
        <v>0</v>
      </c>
      <c r="AR30" s="50">
        <f t="shared" ca="1" si="19"/>
        <v>0</v>
      </c>
      <c r="AS30" s="50">
        <f t="shared" si="20"/>
        <v>0</v>
      </c>
      <c r="AT30" s="50">
        <f ca="1">(MAX((MAX(AS30,105%*SUM($AJ$7:AJ30))-AM30*Flag_UL_Type),0)*B30)</f>
        <v>0</v>
      </c>
      <c r="AU30" s="50">
        <f ca="1">(MAX(AS30,AR30,105%*SUM($AJ$7:AJ30))*B30)</f>
        <v>0</v>
      </c>
      <c r="AV30" s="125"/>
      <c r="AW30" s="12">
        <f t="shared" si="54"/>
        <v>24</v>
      </c>
      <c r="AX30" s="14">
        <f t="shared" si="21"/>
        <v>0</v>
      </c>
      <c r="AY30" s="14">
        <f t="shared" si="22"/>
        <v>0</v>
      </c>
      <c r="AZ30" s="14">
        <f t="shared" ca="1" si="23"/>
        <v>0</v>
      </c>
      <c r="BA30" s="14">
        <f t="shared" ca="1" si="24"/>
        <v>0</v>
      </c>
      <c r="BB30" s="14">
        <f t="shared" si="25"/>
        <v>0</v>
      </c>
      <c r="BC30" s="14">
        <f t="shared" ca="1" si="26"/>
        <v>0</v>
      </c>
      <c r="BD30" s="14">
        <f t="shared" ca="1" si="27"/>
        <v>0</v>
      </c>
      <c r="BE30" s="14">
        <f t="shared" si="28"/>
        <v>0</v>
      </c>
      <c r="BF30" s="14">
        <f t="shared" ca="1" si="29"/>
        <v>0</v>
      </c>
      <c r="BG30" s="51">
        <f t="shared" si="30"/>
        <v>0</v>
      </c>
      <c r="BH30" s="51">
        <f t="shared" ca="1" si="31"/>
        <v>432.28696806939001</v>
      </c>
      <c r="BI30" s="51">
        <f t="shared" ca="1" si="32"/>
        <v>0</v>
      </c>
      <c r="BJ30" s="51">
        <f t="shared" ca="1" si="33"/>
        <v>0</v>
      </c>
      <c r="BK30" s="51">
        <f t="shared" si="34"/>
        <v>81</v>
      </c>
      <c r="BL30" s="51">
        <f t="shared" ca="1" si="35"/>
        <v>107.48033954194821</v>
      </c>
      <c r="BM30" s="51">
        <f t="shared" si="36"/>
        <v>0</v>
      </c>
      <c r="BN30" s="51">
        <f t="shared" ca="1" si="37"/>
        <v>0</v>
      </c>
      <c r="BO30" s="51">
        <f t="shared" ca="1" si="38"/>
        <v>0</v>
      </c>
      <c r="BP30" s="51">
        <f t="shared" ca="1" si="39"/>
        <v>620.7673076113382</v>
      </c>
      <c r="BR30" s="32"/>
      <c r="BS30" s="126"/>
      <c r="BT30" s="16"/>
      <c r="BU30" s="58"/>
      <c r="BW30" s="51">
        <f>IF(Input!$C$13="Offline",VLOOKUP(H30,Charges!$AT$4:$AU$33,2,FALSE)*I30,0)</f>
        <v>0</v>
      </c>
      <c r="BX30" s="51">
        <f t="shared" si="40"/>
        <v>0</v>
      </c>
      <c r="BY30" s="51">
        <f t="shared" si="51"/>
        <v>0</v>
      </c>
      <c r="BZ30" s="151"/>
      <c r="CA30" s="151"/>
      <c r="CB30" s="32"/>
      <c r="CC30" s="16">
        <f ca="1">SUM($N$7:$N30)</f>
        <v>0</v>
      </c>
      <c r="CD30" s="16">
        <f t="shared" ca="1" si="41"/>
        <v>0</v>
      </c>
      <c r="CE30" s="16">
        <f t="shared" ca="1" si="42"/>
        <v>0</v>
      </c>
      <c r="CF30" s="7">
        <f t="shared" ca="1" si="43"/>
        <v>0</v>
      </c>
      <c r="CH30" s="7">
        <f t="shared" ca="1" si="44"/>
        <v>1</v>
      </c>
    </row>
    <row r="31" spans="2:86" s="7" customFormat="1" x14ac:dyDescent="0.2">
      <c r="B31" s="14">
        <f t="shared" si="0"/>
        <v>1</v>
      </c>
      <c r="C31" s="12">
        <f t="shared" si="1"/>
        <v>1</v>
      </c>
      <c r="D31" s="17">
        <f t="shared" si="52"/>
        <v>25</v>
      </c>
      <c r="E31" s="17">
        <f t="shared" ca="1" si="2"/>
        <v>62</v>
      </c>
      <c r="F31" s="12">
        <f t="shared" si="56"/>
        <v>0</v>
      </c>
      <c r="G31" s="12">
        <f t="shared" si="55"/>
        <v>5</v>
      </c>
      <c r="H31" s="17">
        <f t="shared" si="57"/>
        <v>3</v>
      </c>
      <c r="I31" s="29">
        <f t="shared" si="45"/>
        <v>300000</v>
      </c>
      <c r="J31" s="211">
        <f>IFERROR(VLOOKUP(H31,Charges!$T$6:$U$35,2,0)*C31,0)</f>
        <v>0.96499999999999997</v>
      </c>
      <c r="K31" s="29">
        <f t="shared" si="3"/>
        <v>10500</v>
      </c>
      <c r="L31" s="29">
        <f t="shared" si="4"/>
        <v>287610</v>
      </c>
      <c r="M31" s="147">
        <f t="shared" ca="1" si="5"/>
        <v>0</v>
      </c>
      <c r="N31" s="148">
        <f ca="1">IF(AND(Option_SPW="Y",H31&gt;=Lock_In_Period,Z30&gt;SPW_Amount_pa+IF(option="Single",1/5*pr,2*pr),H31&gt;=SPW_Start_Year,H31&lt;=SPW_Start_Year+SPW_Duration-1,age+H31&gt;=Legal_Age),IF(AND(F31=0,SPW_Payout_Freq=1),SPW_Amount_pa,IF(AND(SPW_Payout_Freq=2,MOD(F31,6)=0),SPW_Amount_pa/SPW_Payout_Freq,IF(AND(SPW_Payout_Freq=4,MOD(F31,3)=0),SPW_Amount_pa/SPW_Payout_Freq,IF(SPW_Payout_Freq=12,SPW_Amount_pa/SPW_Payout_Freq,0)))),0)+IFERROR(VLOOKUP(H31,Input!$B$68:$C$74,2,0),0)*(F31=0)*(Option_PW="Y")*(Option_SPW="N")*(age+H31&gt;=Legal_Age)</f>
        <v>0</v>
      </c>
      <c r="O31" s="148">
        <f t="shared" ca="1" si="6"/>
        <v>0</v>
      </c>
      <c r="P31" s="14">
        <f ca="1">(MAX(MAX(sa-CF30*Flag_UL_Type,105%*SUM($I$7:I31))-(AD30+L31-N31)*Flag_UL_Type,0)*B31)</f>
        <v>2182616.1762317196</v>
      </c>
      <c r="Q31" s="213">
        <f t="shared" ca="1" si="46"/>
        <v>2275.4137406578416</v>
      </c>
      <c r="R31" s="14">
        <f t="shared" ca="1" si="7"/>
        <v>0</v>
      </c>
      <c r="S31" s="14">
        <f t="shared" ca="1" si="8"/>
        <v>0</v>
      </c>
      <c r="T31" s="14">
        <f>IFERROR(IF(WoP_Flag="Y",IF(fq=1,VLOOKUP(ppt*fq-H31,Charges!$AN$41:$AO$59,2,FALSE),IF(fq=2,VLOOKUP(ppt*fq-G31,Charges!$AP$41:$AQ$79,2,FALSE),VLOOKUP(ppt*fq-D31,Charges!$AR$41:$AS$279,2,FALSE)))*pr/fq,0),0)</f>
        <v>0</v>
      </c>
      <c r="U31" s="14">
        <f t="shared" ca="1" si="9"/>
        <v>0</v>
      </c>
      <c r="V31" s="34">
        <f>ROUND(MIN(IF(H31&gt;=7,Charges!$C$12*(1+Charges!$C$14)^((H31-7+1)),VLOOKUP(H31,Charges!$B$7:$C$12,2,0))*pr,Charges!$C$13)*B31,Round)</f>
        <v>450</v>
      </c>
      <c r="W31" s="14">
        <f t="shared" ca="1" si="10"/>
        <v>814167.83555430395</v>
      </c>
      <c r="X31" s="14">
        <f t="shared" ca="1" si="11"/>
        <v>819406.2159228567</v>
      </c>
      <c r="Y31" s="213">
        <f t="shared" ca="1" si="47"/>
        <v>922.33366324887538</v>
      </c>
      <c r="Z31" s="14">
        <f t="shared" ca="1" si="12"/>
        <v>818317.86220022303</v>
      </c>
      <c r="AA31" s="14">
        <f>IF(AND($H31=pt,$F31=11),SUM($K$7:K31)*VLOOKUP(pt,ROC,2,FALSE),0)</f>
        <v>0</v>
      </c>
      <c r="AB31" s="14">
        <f>IF(AND($H31=pt,$F31=11),SUM($V$7:V31)*VLOOKUP(pt,ROC,2,FALSE),0)</f>
        <v>0</v>
      </c>
      <c r="AC31" s="14">
        <f>IF(AND($H31=pt,$F31=11),SUM($Q$7:Q31)*VLOOKUP(pt,ROC,2,FALSE),0)</f>
        <v>0</v>
      </c>
      <c r="AD31" s="14">
        <f t="shared" ca="1" si="13"/>
        <v>818317.86220022303</v>
      </c>
      <c r="AE31" s="14">
        <f ca="1">(MAX(sa-CF30*Flag_UL_Type,105%*SUM($I$7:I31),Z31)+AU31)*B31</f>
        <v>3000000</v>
      </c>
      <c r="AF31" s="136"/>
      <c r="AG31" s="18">
        <v>25</v>
      </c>
      <c r="AH31" s="30">
        <f t="shared" ca="1" si="14"/>
        <v>300000</v>
      </c>
      <c r="AI31" s="138"/>
      <c r="AJ31" s="50">
        <f>IF(AND(Option_Sys_TopUp&gt;="Y",H31&gt;=sytp,H31&lt;=(dtp+sytp-1),F31=0,H31&lt;=ppt+1),atp,0)+IFERROR(VLOOKUP(H31,Input!$B$55:$C$61,2,0),0)*(F31=0)*(Option_TopUP="Y")*(Option_Sys_TopUp="N")*B31*(pt&gt;=H31+5)</f>
        <v>0</v>
      </c>
      <c r="AK31" s="50">
        <f t="shared" si="15"/>
        <v>0</v>
      </c>
      <c r="AL31" s="50">
        <f t="shared" si="48"/>
        <v>0</v>
      </c>
      <c r="AM31" s="50">
        <f t="shared" ca="1" si="49"/>
        <v>0</v>
      </c>
      <c r="AN31" s="50">
        <f ca="1">IF(B31=0,0,AT31*(_rpm1+(1+_emr1)*VLOOKUP(E31,Tab_Mort_Charge,IF(Input!$C$12="M",2,3),0))*(0.001*0.0833)*Flag_Mort_Rider_Charge*(AT31&gt;0))</f>
        <v>0</v>
      </c>
      <c r="AO31" s="50">
        <f t="shared" ca="1" si="17"/>
        <v>0</v>
      </c>
      <c r="AP31" s="50">
        <f t="shared" ca="1" si="50"/>
        <v>0</v>
      </c>
      <c r="AQ31" s="50">
        <f t="shared" ca="1" si="18"/>
        <v>0</v>
      </c>
      <c r="AR31" s="50">
        <f t="shared" ca="1" si="19"/>
        <v>0</v>
      </c>
      <c r="AS31" s="50">
        <f t="shared" si="20"/>
        <v>0</v>
      </c>
      <c r="AT31" s="50">
        <f ca="1">(MAX((MAX(AS31,105%*SUM($AJ$7:AJ31))-AM31*Flag_UL_Type),0)*B31)</f>
        <v>0</v>
      </c>
      <c r="AU31" s="50">
        <f ca="1">(MAX(AS31,AR31,105%*SUM($AJ$7:AJ31))*B31)</f>
        <v>0</v>
      </c>
      <c r="AV31" s="125"/>
      <c r="AW31" s="12">
        <f t="shared" si="54"/>
        <v>25</v>
      </c>
      <c r="AX31" s="14">
        <f t="shared" si="21"/>
        <v>0</v>
      </c>
      <c r="AY31" s="14">
        <f t="shared" si="22"/>
        <v>0</v>
      </c>
      <c r="AZ31" s="14">
        <f t="shared" ca="1" si="23"/>
        <v>0</v>
      </c>
      <c r="BA31" s="14">
        <f t="shared" ca="1" si="24"/>
        <v>0</v>
      </c>
      <c r="BB31" s="14">
        <f t="shared" si="25"/>
        <v>0</v>
      </c>
      <c r="BC31" s="14">
        <f t="shared" ca="1" si="26"/>
        <v>0</v>
      </c>
      <c r="BD31" s="14">
        <f t="shared" ca="1" si="27"/>
        <v>0</v>
      </c>
      <c r="BE31" s="14">
        <f t="shared" si="28"/>
        <v>0</v>
      </c>
      <c r="BF31" s="14">
        <f t="shared" ca="1" si="29"/>
        <v>0</v>
      </c>
      <c r="BG31" s="51">
        <f t="shared" si="30"/>
        <v>1890</v>
      </c>
      <c r="BH31" s="51">
        <f t="shared" ca="1" si="31"/>
        <v>409.57447331841098</v>
      </c>
      <c r="BI31" s="51">
        <f t="shared" ca="1" si="32"/>
        <v>0</v>
      </c>
      <c r="BJ31" s="51">
        <f t="shared" ca="1" si="33"/>
        <v>0</v>
      </c>
      <c r="BK31" s="51">
        <f t="shared" si="34"/>
        <v>81</v>
      </c>
      <c r="BL31" s="51">
        <f t="shared" ca="1" si="35"/>
        <v>166.02005938479758</v>
      </c>
      <c r="BM31" s="51">
        <f t="shared" si="36"/>
        <v>0</v>
      </c>
      <c r="BN31" s="51">
        <f t="shared" ca="1" si="37"/>
        <v>0</v>
      </c>
      <c r="BO31" s="51">
        <f t="shared" ca="1" si="38"/>
        <v>0</v>
      </c>
      <c r="BP31" s="51">
        <f t="shared" ca="1" si="39"/>
        <v>2546.5945327032086</v>
      </c>
      <c r="BR31" s="32"/>
      <c r="BS31" s="126"/>
      <c r="BT31" s="16"/>
      <c r="BU31" s="58"/>
      <c r="BW31" s="51">
        <f>IF(Input!$C$13="Offline",VLOOKUP(H31,Charges!$AT$4:$AU$33,2,FALSE)*I31,0)</f>
        <v>3000</v>
      </c>
      <c r="BX31" s="51">
        <f t="shared" si="40"/>
        <v>0</v>
      </c>
      <c r="BY31" s="51">
        <f t="shared" si="51"/>
        <v>3000</v>
      </c>
      <c r="BZ31" s="151"/>
      <c r="CA31" s="151"/>
      <c r="CB31" s="32"/>
      <c r="CC31" s="16">
        <f ca="1">SUM($N$7:$N31)</f>
        <v>0</v>
      </c>
      <c r="CD31" s="16">
        <f t="shared" ca="1" si="41"/>
        <v>0</v>
      </c>
      <c r="CE31" s="16">
        <f t="shared" ca="1" si="42"/>
        <v>0</v>
      </c>
      <c r="CF31" s="7">
        <f t="shared" ca="1" si="43"/>
        <v>0</v>
      </c>
      <c r="CH31" s="7">
        <f t="shared" ca="1" si="44"/>
        <v>1</v>
      </c>
    </row>
    <row r="32" spans="2:86" s="7" customFormat="1" x14ac:dyDescent="0.2">
      <c r="B32" s="14">
        <f t="shared" si="0"/>
        <v>1</v>
      </c>
      <c r="C32" s="12">
        <f t="shared" si="1"/>
        <v>1</v>
      </c>
      <c r="D32" s="17">
        <f t="shared" si="52"/>
        <v>26</v>
      </c>
      <c r="E32" s="17">
        <f t="shared" ca="1" si="2"/>
        <v>62</v>
      </c>
      <c r="F32" s="12">
        <f t="shared" si="56"/>
        <v>1</v>
      </c>
      <c r="G32" s="12">
        <f t="shared" si="55"/>
        <v>5</v>
      </c>
      <c r="H32" s="17">
        <f t="shared" si="57"/>
        <v>3</v>
      </c>
      <c r="I32" s="29">
        <f t="shared" si="45"/>
        <v>0</v>
      </c>
      <c r="J32" s="211">
        <f>IFERROR(VLOOKUP(H32,Charges!$T$6:$U$35,2,0)*C32,0)</f>
        <v>0.96499999999999997</v>
      </c>
      <c r="K32" s="29">
        <f t="shared" si="3"/>
        <v>0</v>
      </c>
      <c r="L32" s="29">
        <f t="shared" si="4"/>
        <v>0</v>
      </c>
      <c r="M32" s="147">
        <f t="shared" ca="1" si="5"/>
        <v>0</v>
      </c>
      <c r="N32" s="148">
        <f ca="1">IF(AND(Option_SPW="Y",H32&gt;=Lock_In_Period,Z31&gt;SPW_Amount_pa+IF(option="Single",1/5*pr,2*pr),H32&gt;=SPW_Start_Year,H32&lt;=SPW_Start_Year+SPW_Duration-1,age+H32&gt;=Legal_Age),IF(AND(F32=0,SPW_Payout_Freq=1),SPW_Amount_pa,IF(AND(SPW_Payout_Freq=2,MOD(F32,6)=0),SPW_Amount_pa/SPW_Payout_Freq,IF(AND(SPW_Payout_Freq=4,MOD(F32,3)=0),SPW_Amount_pa/SPW_Payout_Freq,IF(SPW_Payout_Freq=12,SPW_Amount_pa/SPW_Payout_Freq,0)))),0)+IFERROR(VLOOKUP(H32,Input!$B$68:$C$74,2,0),0)*(F32=0)*(Option_PW="Y")*(Option_SPW="N")*(age+H32&gt;=Legal_Age)</f>
        <v>0</v>
      </c>
      <c r="O32" s="148">
        <f t="shared" ca="1" si="6"/>
        <v>0</v>
      </c>
      <c r="P32" s="14">
        <f ca="1">(MAX(MAX(sa-CF31*Flag_UL_Type,105%*SUM($I$7:I32))-(AD31+L32-N32)*Flag_UL_Type,0)*B32)</f>
        <v>2181682.1377997771</v>
      </c>
      <c r="Q32" s="213">
        <f t="shared" ca="1" si="46"/>
        <v>2274.4399900252333</v>
      </c>
      <c r="R32" s="14">
        <f t="shared" ca="1" si="7"/>
        <v>0</v>
      </c>
      <c r="S32" s="14">
        <f t="shared" ca="1" si="8"/>
        <v>0</v>
      </c>
      <c r="T32" s="14">
        <f>IFERROR(IF(WoP_Flag="Y",IF(fq=1,VLOOKUP(ppt*fq-H32,Charges!$AN$41:$AO$59,2,FALSE),IF(fq=2,VLOOKUP(ppt*fq-G32,Charges!$AP$41:$AQ$79,2,FALSE),VLOOKUP(ppt*fq-D32,Charges!$AR$41:$AS$279,2,FALSE)))*pr/fq,0),0)</f>
        <v>0</v>
      </c>
      <c r="U32" s="14">
        <f t="shared" ca="1" si="9"/>
        <v>0</v>
      </c>
      <c r="V32" s="34">
        <f>ROUND(MIN(IF(H32&gt;=7,Charges!$C$12*(1+Charges!$C$14)^((H32-7+1)),VLOOKUP(H32,Charges!$B$7:$C$12,2,0))*pr,Charges!$C$13)*B32,Round)</f>
        <v>450</v>
      </c>
      <c r="W32" s="14">
        <f t="shared" ca="1" si="10"/>
        <v>815103.02301199327</v>
      </c>
      <c r="X32" s="14">
        <f t="shared" ca="1" si="11"/>
        <v>820347.4204048072</v>
      </c>
      <c r="Y32" s="213">
        <f t="shared" ca="1" si="47"/>
        <v>923.39309453074088</v>
      </c>
      <c r="Z32" s="14">
        <f t="shared" ca="1" si="12"/>
        <v>819257.8165532609</v>
      </c>
      <c r="AA32" s="14">
        <f>IF(AND($H32=pt,$F32=11),SUM($K$7:K32)*VLOOKUP(pt,ROC,2,FALSE),0)</f>
        <v>0</v>
      </c>
      <c r="AB32" s="14">
        <f>IF(AND($H32=pt,$F32=11),SUM($V$7:V32)*VLOOKUP(pt,ROC,2,FALSE),0)</f>
        <v>0</v>
      </c>
      <c r="AC32" s="14">
        <f>IF(AND($H32=pt,$F32=11),SUM($Q$7:Q32)*VLOOKUP(pt,ROC,2,FALSE),0)</f>
        <v>0</v>
      </c>
      <c r="AD32" s="14">
        <f t="shared" ca="1" si="13"/>
        <v>819257.8165532609</v>
      </c>
      <c r="AE32" s="14">
        <f ca="1">(MAX(sa-CF31*Flag_UL_Type,105%*SUM($I$7:I32),Z32)+AU32)*B32</f>
        <v>3000000</v>
      </c>
      <c r="AF32" s="136"/>
      <c r="AG32" s="18">
        <v>26</v>
      </c>
      <c r="AH32" s="30">
        <f t="shared" ca="1" si="14"/>
        <v>0</v>
      </c>
      <c r="AI32" s="138"/>
      <c r="AJ32" s="50">
        <f>IF(AND(Option_Sys_TopUp&gt;="Y",H32&gt;=sytp,H32&lt;=(dtp+sytp-1),F32=0,H32&lt;=ppt+1),atp,0)+IFERROR(VLOOKUP(H32,Input!$B$55:$C$61,2,0),0)*(F32=0)*(Option_TopUP="Y")*(Option_Sys_TopUp="N")*B32*(pt&gt;=H32+5)</f>
        <v>0</v>
      </c>
      <c r="AK32" s="50">
        <f t="shared" si="15"/>
        <v>0</v>
      </c>
      <c r="AL32" s="50">
        <f t="shared" si="48"/>
        <v>0</v>
      </c>
      <c r="AM32" s="50">
        <f t="shared" ca="1" si="49"/>
        <v>0</v>
      </c>
      <c r="AN32" s="50">
        <f ca="1">IF(B32=0,0,AT32*(_rpm1+(1+_emr1)*VLOOKUP(E32,Tab_Mort_Charge,IF(Input!$C$12="M",2,3),0))*(0.001*0.0833)*Flag_Mort_Rider_Charge*(AT32&gt;0))</f>
        <v>0</v>
      </c>
      <c r="AO32" s="50">
        <f t="shared" ca="1" si="17"/>
        <v>0</v>
      </c>
      <c r="AP32" s="50">
        <f t="shared" ca="1" si="50"/>
        <v>0</v>
      </c>
      <c r="AQ32" s="50">
        <f t="shared" ca="1" si="18"/>
        <v>0</v>
      </c>
      <c r="AR32" s="50">
        <f t="shared" ca="1" si="19"/>
        <v>0</v>
      </c>
      <c r="AS32" s="50">
        <f t="shared" si="20"/>
        <v>0</v>
      </c>
      <c r="AT32" s="50">
        <f ca="1">(MAX((MAX(AS32,105%*SUM($AJ$7:AJ32))-AM32*Flag_UL_Type),0)*B32)</f>
        <v>0</v>
      </c>
      <c r="AU32" s="50">
        <f ca="1">(MAX(AS32,AR32,105%*SUM($AJ$7:AJ32))*B32)</f>
        <v>0</v>
      </c>
      <c r="AV32" s="125"/>
      <c r="AW32" s="12">
        <f t="shared" si="54"/>
        <v>26</v>
      </c>
      <c r="AX32" s="14">
        <f t="shared" si="21"/>
        <v>0</v>
      </c>
      <c r="AY32" s="14">
        <f t="shared" si="22"/>
        <v>0</v>
      </c>
      <c r="AZ32" s="14">
        <f t="shared" ca="1" si="23"/>
        <v>0</v>
      </c>
      <c r="BA32" s="14">
        <f t="shared" ca="1" si="24"/>
        <v>0</v>
      </c>
      <c r="BB32" s="14">
        <f t="shared" si="25"/>
        <v>0</v>
      </c>
      <c r="BC32" s="14">
        <f t="shared" ca="1" si="26"/>
        <v>0</v>
      </c>
      <c r="BD32" s="14">
        <f t="shared" ca="1" si="27"/>
        <v>0</v>
      </c>
      <c r="BE32" s="14">
        <f t="shared" si="28"/>
        <v>0</v>
      </c>
      <c r="BF32" s="14">
        <f t="shared" ca="1" si="29"/>
        <v>0</v>
      </c>
      <c r="BG32" s="51">
        <f t="shared" si="30"/>
        <v>0</v>
      </c>
      <c r="BH32" s="51">
        <f t="shared" ca="1" si="31"/>
        <v>409.39919820454202</v>
      </c>
      <c r="BI32" s="51">
        <f t="shared" ca="1" si="32"/>
        <v>0</v>
      </c>
      <c r="BJ32" s="51">
        <f t="shared" ca="1" si="33"/>
        <v>0</v>
      </c>
      <c r="BK32" s="51">
        <f t="shared" si="34"/>
        <v>81</v>
      </c>
      <c r="BL32" s="51">
        <f t="shared" ca="1" si="35"/>
        <v>166.21075701553335</v>
      </c>
      <c r="BM32" s="51">
        <f t="shared" si="36"/>
        <v>0</v>
      </c>
      <c r="BN32" s="51">
        <f t="shared" ca="1" si="37"/>
        <v>0</v>
      </c>
      <c r="BO32" s="51">
        <f t="shared" ca="1" si="38"/>
        <v>0</v>
      </c>
      <c r="BP32" s="51">
        <f t="shared" ca="1" si="39"/>
        <v>656.60995522007534</v>
      </c>
      <c r="BR32" s="32"/>
      <c r="BS32" s="126"/>
      <c r="BT32" s="16"/>
      <c r="BU32" s="58"/>
      <c r="BW32" s="51">
        <f>IF(Input!$C$13="Offline",VLOOKUP(H32,Charges!$AT$4:$AU$33,2,FALSE)*I32,0)</f>
        <v>0</v>
      </c>
      <c r="BX32" s="51">
        <f t="shared" si="40"/>
        <v>0</v>
      </c>
      <c r="BY32" s="51">
        <f t="shared" si="51"/>
        <v>0</v>
      </c>
      <c r="BZ32" s="151"/>
      <c r="CA32" s="151"/>
      <c r="CB32" s="32"/>
      <c r="CC32" s="16">
        <f ca="1">SUM($N$7:$N32)</f>
        <v>0</v>
      </c>
      <c r="CD32" s="16">
        <f t="shared" ca="1" si="41"/>
        <v>0</v>
      </c>
      <c r="CE32" s="16">
        <f t="shared" ca="1" si="42"/>
        <v>0</v>
      </c>
      <c r="CF32" s="7">
        <f t="shared" ca="1" si="43"/>
        <v>0</v>
      </c>
      <c r="CH32" s="7">
        <f t="shared" ca="1" si="44"/>
        <v>0</v>
      </c>
    </row>
    <row r="33" spans="2:86" s="7" customFormat="1" x14ac:dyDescent="0.2">
      <c r="B33" s="14">
        <f t="shared" si="0"/>
        <v>1</v>
      </c>
      <c r="C33" s="12">
        <f t="shared" si="1"/>
        <v>1</v>
      </c>
      <c r="D33" s="17">
        <f t="shared" si="52"/>
        <v>27</v>
      </c>
      <c r="E33" s="17">
        <f t="shared" ca="1" si="2"/>
        <v>62</v>
      </c>
      <c r="F33" s="12">
        <f t="shared" si="56"/>
        <v>2</v>
      </c>
      <c r="G33" s="12">
        <f t="shared" si="55"/>
        <v>5</v>
      </c>
      <c r="H33" s="17">
        <f t="shared" si="57"/>
        <v>3</v>
      </c>
      <c r="I33" s="29">
        <f t="shared" si="45"/>
        <v>0</v>
      </c>
      <c r="J33" s="211">
        <f>IFERROR(VLOOKUP(H33,Charges!$T$6:$U$35,2,0)*C33,0)</f>
        <v>0.96499999999999997</v>
      </c>
      <c r="K33" s="29">
        <f t="shared" si="3"/>
        <v>0</v>
      </c>
      <c r="L33" s="29">
        <f t="shared" si="4"/>
        <v>0</v>
      </c>
      <c r="M33" s="147">
        <f t="shared" ca="1" si="5"/>
        <v>0</v>
      </c>
      <c r="N33" s="148">
        <f ca="1">IF(AND(Option_SPW="Y",H33&gt;=Lock_In_Period,Z32&gt;SPW_Amount_pa+IF(option="Single",1/5*pr,2*pr),H33&gt;=SPW_Start_Year,H33&lt;=SPW_Start_Year+SPW_Duration-1,age+H33&gt;=Legal_Age),IF(AND(F33=0,SPW_Payout_Freq=1),SPW_Amount_pa,IF(AND(SPW_Payout_Freq=2,MOD(F33,6)=0),SPW_Amount_pa/SPW_Payout_Freq,IF(AND(SPW_Payout_Freq=4,MOD(F33,3)=0),SPW_Amount_pa/SPW_Payout_Freq,IF(SPW_Payout_Freq=12,SPW_Amount_pa/SPW_Payout_Freq,0)))),0)+IFERROR(VLOOKUP(H33,Input!$B$68:$C$74,2,0),0)*(F33=0)*(Option_PW="Y")*(Option_SPW="N")*(age+H33&gt;=Legal_Age)</f>
        <v>0</v>
      </c>
      <c r="O33" s="148">
        <f t="shared" ca="1" si="6"/>
        <v>0</v>
      </c>
      <c r="P33" s="14">
        <f ca="1">(MAX(MAX(sa-CF32*Flag_UL_Type,105%*SUM($I$7:I33))-(AD32+L33-N33)*Flag_UL_Type,0)*B33)</f>
        <v>2180742.1834467389</v>
      </c>
      <c r="Q33" s="213">
        <f t="shared" ca="1" si="46"/>
        <v>2273.4600719462833</v>
      </c>
      <c r="R33" s="14">
        <f t="shared" ca="1" si="7"/>
        <v>0</v>
      </c>
      <c r="S33" s="14">
        <f t="shared" ca="1" si="8"/>
        <v>0</v>
      </c>
      <c r="T33" s="14">
        <f>IFERROR(IF(WoP_Flag="Y",IF(fq=1,VLOOKUP(ppt*fq-H33,Charges!$AN$41:$AO$59,2,FALSE),IF(fq=2,VLOOKUP(ppt*fq-G33,Charges!$AP$41:$AQ$79,2,FALSE),VLOOKUP(ppt*fq-D33,Charges!$AR$41:$AS$279,2,FALSE)))*pr/fq,0),0)</f>
        <v>0</v>
      </c>
      <c r="U33" s="14">
        <f t="shared" ca="1" si="9"/>
        <v>0</v>
      </c>
      <c r="V33" s="34">
        <f>ROUND(MIN(IF(H33&gt;=7,Charges!$C$12*(1+Charges!$C$14)^((H33-7+1)),VLOOKUP(H33,Charges!$B$7:$C$12,2,0))*pr,Charges!$C$13)*B33,Round)</f>
        <v>450</v>
      </c>
      <c r="W33" s="14">
        <f t="shared" ca="1" si="10"/>
        <v>816044.13366836426</v>
      </c>
      <c r="X33" s="14">
        <f t="shared" ca="1" si="11"/>
        <v>821294.58619547822</v>
      </c>
      <c r="Y33" s="213">
        <f t="shared" ca="1" si="47"/>
        <v>924.45923593464727</v>
      </c>
      <c r="Z33" s="14">
        <f t="shared" ca="1" si="12"/>
        <v>820203.7242970753</v>
      </c>
      <c r="AA33" s="14">
        <f>IF(AND($H33=pt,$F33=11),SUM($K$7:K33)*VLOOKUP(pt,ROC,2,FALSE),0)</f>
        <v>0</v>
      </c>
      <c r="AB33" s="14">
        <f>IF(AND($H33=pt,$F33=11),SUM($V$7:V33)*VLOOKUP(pt,ROC,2,FALSE),0)</f>
        <v>0</v>
      </c>
      <c r="AC33" s="14">
        <f>IF(AND($H33=pt,$F33=11),SUM($Q$7:Q33)*VLOOKUP(pt,ROC,2,FALSE),0)</f>
        <v>0</v>
      </c>
      <c r="AD33" s="14">
        <f t="shared" ca="1" si="13"/>
        <v>820203.7242970753</v>
      </c>
      <c r="AE33" s="14">
        <f ca="1">(MAX(sa-CF32*Flag_UL_Type,105%*SUM($I$7:I33),Z33)+AU33)*B33</f>
        <v>3000000</v>
      </c>
      <c r="AF33" s="136"/>
      <c r="AG33" s="18">
        <v>27</v>
      </c>
      <c r="AH33" s="30">
        <f t="shared" ca="1" si="14"/>
        <v>0</v>
      </c>
      <c r="AI33" s="138"/>
      <c r="AJ33" s="50">
        <f>IF(AND(Option_Sys_TopUp&gt;="Y",H33&gt;=sytp,H33&lt;=(dtp+sytp-1),F33=0,H33&lt;=ppt+1),atp,0)+IFERROR(VLOOKUP(H33,Input!$B$55:$C$61,2,0),0)*(F33=0)*(Option_TopUP="Y")*(Option_Sys_TopUp="N")*B33*(pt&gt;=H33+5)</f>
        <v>0</v>
      </c>
      <c r="AK33" s="50">
        <f t="shared" si="15"/>
        <v>0</v>
      </c>
      <c r="AL33" s="50">
        <f t="shared" si="48"/>
        <v>0</v>
      </c>
      <c r="AM33" s="50">
        <f t="shared" ca="1" si="49"/>
        <v>0</v>
      </c>
      <c r="AN33" s="50">
        <f ca="1">IF(B33=0,0,AT33*(_rpm1+(1+_emr1)*VLOOKUP(E33,Tab_Mort_Charge,IF(Input!$C$12="M",2,3),0))*(0.001*0.0833)*Flag_Mort_Rider_Charge*(AT33&gt;0))</f>
        <v>0</v>
      </c>
      <c r="AO33" s="50">
        <f t="shared" ca="1" si="17"/>
        <v>0</v>
      </c>
      <c r="AP33" s="50">
        <f t="shared" ca="1" si="50"/>
        <v>0</v>
      </c>
      <c r="AQ33" s="50">
        <f t="shared" ca="1" si="18"/>
        <v>0</v>
      </c>
      <c r="AR33" s="50">
        <f t="shared" ca="1" si="19"/>
        <v>0</v>
      </c>
      <c r="AS33" s="50">
        <f t="shared" si="20"/>
        <v>0</v>
      </c>
      <c r="AT33" s="50">
        <f ca="1">(MAX((MAX(AS33,105%*SUM($AJ$7:AJ33))-AM33*Flag_UL_Type),0)*B33)</f>
        <v>0</v>
      </c>
      <c r="AU33" s="50">
        <f ca="1">(MAX(AS33,AR33,105%*SUM($AJ$7:AJ33))*B33)</f>
        <v>0</v>
      </c>
      <c r="AV33" s="125"/>
      <c r="AW33" s="12">
        <f t="shared" si="54"/>
        <v>27</v>
      </c>
      <c r="AX33" s="14">
        <f t="shared" si="21"/>
        <v>0</v>
      </c>
      <c r="AY33" s="14">
        <f t="shared" si="22"/>
        <v>0</v>
      </c>
      <c r="AZ33" s="14">
        <f t="shared" ca="1" si="23"/>
        <v>0</v>
      </c>
      <c r="BA33" s="14">
        <f t="shared" ca="1" si="24"/>
        <v>0</v>
      </c>
      <c r="BB33" s="14">
        <f t="shared" si="25"/>
        <v>0</v>
      </c>
      <c r="BC33" s="14">
        <f t="shared" ca="1" si="26"/>
        <v>0</v>
      </c>
      <c r="BD33" s="14">
        <f t="shared" ca="1" si="27"/>
        <v>0</v>
      </c>
      <c r="BE33" s="14">
        <f t="shared" si="28"/>
        <v>0</v>
      </c>
      <c r="BF33" s="14">
        <f t="shared" ca="1" si="29"/>
        <v>0</v>
      </c>
      <c r="BG33" s="51">
        <f t="shared" si="30"/>
        <v>0</v>
      </c>
      <c r="BH33" s="51">
        <f t="shared" ca="1" si="31"/>
        <v>409.22281295033099</v>
      </c>
      <c r="BI33" s="51">
        <f t="shared" ca="1" si="32"/>
        <v>0</v>
      </c>
      <c r="BJ33" s="51">
        <f t="shared" ca="1" si="33"/>
        <v>0</v>
      </c>
      <c r="BK33" s="51">
        <f t="shared" si="34"/>
        <v>81</v>
      </c>
      <c r="BL33" s="51">
        <f t="shared" ca="1" si="35"/>
        <v>166.40266246823651</v>
      </c>
      <c r="BM33" s="51">
        <f t="shared" si="36"/>
        <v>0</v>
      </c>
      <c r="BN33" s="51">
        <f t="shared" ca="1" si="37"/>
        <v>0</v>
      </c>
      <c r="BO33" s="51">
        <f t="shared" ca="1" si="38"/>
        <v>0</v>
      </c>
      <c r="BP33" s="51">
        <f t="shared" ca="1" si="39"/>
        <v>656.62547541856748</v>
      </c>
      <c r="BR33" s="32"/>
      <c r="BS33" s="126"/>
      <c r="BT33" s="16"/>
      <c r="BU33" s="58"/>
      <c r="BW33" s="51">
        <f>IF(Input!$C$13="Offline",VLOOKUP(H33,Charges!$AT$4:$AU$33,2,FALSE)*I33,0)</f>
        <v>0</v>
      </c>
      <c r="BX33" s="51">
        <f t="shared" si="40"/>
        <v>0</v>
      </c>
      <c r="BY33" s="51">
        <f t="shared" si="51"/>
        <v>0</v>
      </c>
      <c r="BZ33" s="151"/>
      <c r="CA33" s="151"/>
      <c r="CB33" s="32"/>
      <c r="CC33" s="16">
        <f ca="1">SUM($N$7:$N33)</f>
        <v>0</v>
      </c>
      <c r="CD33" s="16">
        <f t="shared" ca="1" si="41"/>
        <v>0</v>
      </c>
      <c r="CE33" s="16">
        <f t="shared" ca="1" si="42"/>
        <v>0</v>
      </c>
      <c r="CF33" s="7">
        <f t="shared" ca="1" si="43"/>
        <v>0</v>
      </c>
      <c r="CH33" s="7">
        <f t="shared" ca="1" si="44"/>
        <v>0</v>
      </c>
    </row>
    <row r="34" spans="2:86" s="7" customFormat="1" x14ac:dyDescent="0.2">
      <c r="B34" s="14">
        <f t="shared" si="0"/>
        <v>1</v>
      </c>
      <c r="C34" s="12">
        <f t="shared" si="1"/>
        <v>1</v>
      </c>
      <c r="D34" s="17">
        <f t="shared" si="52"/>
        <v>28</v>
      </c>
      <c r="E34" s="17">
        <f t="shared" ca="1" si="2"/>
        <v>62</v>
      </c>
      <c r="F34" s="12">
        <f t="shared" si="56"/>
        <v>3</v>
      </c>
      <c r="G34" s="12">
        <f t="shared" si="55"/>
        <v>5</v>
      </c>
      <c r="H34" s="17">
        <f t="shared" si="57"/>
        <v>3</v>
      </c>
      <c r="I34" s="29">
        <f t="shared" si="45"/>
        <v>0</v>
      </c>
      <c r="J34" s="211">
        <f>IFERROR(VLOOKUP(H34,Charges!$T$6:$U$35,2,0)*C34,0)</f>
        <v>0.96499999999999997</v>
      </c>
      <c r="K34" s="29">
        <f t="shared" si="3"/>
        <v>0</v>
      </c>
      <c r="L34" s="29">
        <f t="shared" si="4"/>
        <v>0</v>
      </c>
      <c r="M34" s="147">
        <f t="shared" ca="1" si="5"/>
        <v>0</v>
      </c>
      <c r="N34" s="148">
        <f ca="1">IF(AND(Option_SPW="Y",H34&gt;=Lock_In_Period,Z33&gt;SPW_Amount_pa+IF(option="Single",1/5*pr,2*pr),H34&gt;=SPW_Start_Year,H34&lt;=SPW_Start_Year+SPW_Duration-1,age+H34&gt;=Legal_Age),IF(AND(F34=0,SPW_Payout_Freq=1),SPW_Amount_pa,IF(AND(SPW_Payout_Freq=2,MOD(F34,6)=0),SPW_Amount_pa/SPW_Payout_Freq,IF(AND(SPW_Payout_Freq=4,MOD(F34,3)=0),SPW_Amount_pa/SPW_Payout_Freq,IF(SPW_Payout_Freq=12,SPW_Amount_pa/SPW_Payout_Freq,0)))),0)+IFERROR(VLOOKUP(H34,Input!$B$68:$C$74,2,0),0)*(F34=0)*(Option_PW="Y")*(Option_SPW="N")*(age+H34&gt;=Legal_Age)</f>
        <v>0</v>
      </c>
      <c r="O34" s="148">
        <f t="shared" ca="1" si="6"/>
        <v>0</v>
      </c>
      <c r="P34" s="14">
        <f ca="1">(MAX(MAX(sa-CF33*Flag_UL_Type,105%*SUM($I$7:I34))-(AD33+L34-N34)*Flag_UL_Type,0)*B34)</f>
        <v>2179796.2757029245</v>
      </c>
      <c r="Q34" s="213">
        <f t="shared" ca="1" si="46"/>
        <v>2272.4739473582249</v>
      </c>
      <c r="R34" s="14">
        <f t="shared" ca="1" si="7"/>
        <v>0</v>
      </c>
      <c r="S34" s="14">
        <f t="shared" ca="1" si="8"/>
        <v>0</v>
      </c>
      <c r="T34" s="14">
        <f>IFERROR(IF(WoP_Flag="Y",IF(fq=1,VLOOKUP(ppt*fq-H34,Charges!$AN$41:$AO$59,2,FALSE),IF(fq=2,VLOOKUP(ppt*fq-G34,Charges!$AP$41:$AQ$79,2,FALSE),VLOOKUP(ppt*fq-D34,Charges!$AR$41:$AS$279,2,FALSE)))*pr/fq,0),0)</f>
        <v>0</v>
      </c>
      <c r="U34" s="14">
        <f t="shared" ca="1" si="9"/>
        <v>0</v>
      </c>
      <c r="V34" s="34">
        <f>ROUND(MIN(IF(H34&gt;=7,Charges!$C$12*(1+Charges!$C$14)^((H34-7+1)),VLOOKUP(H34,Charges!$B$7:$C$12,2,0))*pr,Charges!$C$13)*B34,Round)</f>
        <v>450</v>
      </c>
      <c r="W34" s="14">
        <f t="shared" ca="1" si="10"/>
        <v>816991.20503919257</v>
      </c>
      <c r="X34" s="14">
        <f t="shared" ca="1" si="11"/>
        <v>822247.75105202268</v>
      </c>
      <c r="Y34" s="213">
        <f t="shared" ca="1" si="47"/>
        <v>925.53212996050797</v>
      </c>
      <c r="Z34" s="14">
        <f t="shared" ca="1" si="12"/>
        <v>821155.6231386693</v>
      </c>
      <c r="AA34" s="14">
        <f>IF(AND($H34=pt,$F34=11),SUM($K$7:K34)*VLOOKUP(pt,ROC,2,FALSE),0)</f>
        <v>0</v>
      </c>
      <c r="AB34" s="14">
        <f>IF(AND($H34=pt,$F34=11),SUM($V$7:V34)*VLOOKUP(pt,ROC,2,FALSE),0)</f>
        <v>0</v>
      </c>
      <c r="AC34" s="14">
        <f>IF(AND($H34=pt,$F34=11),SUM($Q$7:Q34)*VLOOKUP(pt,ROC,2,FALSE),0)</f>
        <v>0</v>
      </c>
      <c r="AD34" s="14">
        <f t="shared" ca="1" si="13"/>
        <v>821155.6231386693</v>
      </c>
      <c r="AE34" s="14">
        <f ca="1">(MAX(sa-CF33*Flag_UL_Type,105%*SUM($I$7:I34),Z34)+AU34)*B34</f>
        <v>3000000</v>
      </c>
      <c r="AF34" s="136"/>
      <c r="AG34" s="18">
        <v>28</v>
      </c>
      <c r="AH34" s="30">
        <f t="shared" ca="1" si="14"/>
        <v>0</v>
      </c>
      <c r="AI34" s="138"/>
      <c r="AJ34" s="50">
        <f>IF(AND(Option_Sys_TopUp&gt;="Y",H34&gt;=sytp,H34&lt;=(dtp+sytp-1),F34=0,H34&lt;=ppt+1),atp,0)+IFERROR(VLOOKUP(H34,Input!$B$55:$C$61,2,0),0)*(F34=0)*(Option_TopUP="Y")*(Option_Sys_TopUp="N")*B34*(pt&gt;=H34+5)</f>
        <v>0</v>
      </c>
      <c r="AK34" s="50">
        <f t="shared" si="15"/>
        <v>0</v>
      </c>
      <c r="AL34" s="50">
        <f t="shared" si="48"/>
        <v>0</v>
      </c>
      <c r="AM34" s="50">
        <f t="shared" ca="1" si="49"/>
        <v>0</v>
      </c>
      <c r="AN34" s="50">
        <f ca="1">IF(B34=0,0,AT34*(_rpm1+(1+_emr1)*VLOOKUP(E34,Tab_Mort_Charge,IF(Input!$C$12="M",2,3),0))*(0.001*0.0833)*Flag_Mort_Rider_Charge*(AT34&gt;0))</f>
        <v>0</v>
      </c>
      <c r="AO34" s="50">
        <f t="shared" ca="1" si="17"/>
        <v>0</v>
      </c>
      <c r="AP34" s="50">
        <f t="shared" ca="1" si="50"/>
        <v>0</v>
      </c>
      <c r="AQ34" s="50">
        <f t="shared" ca="1" si="18"/>
        <v>0</v>
      </c>
      <c r="AR34" s="50">
        <f t="shared" ca="1" si="19"/>
        <v>0</v>
      </c>
      <c r="AS34" s="50">
        <f t="shared" si="20"/>
        <v>0</v>
      </c>
      <c r="AT34" s="50">
        <f ca="1">(MAX((MAX(AS34,105%*SUM($AJ$7:AJ34))-AM34*Flag_UL_Type),0)*B34)</f>
        <v>0</v>
      </c>
      <c r="AU34" s="50">
        <f ca="1">(MAX(AS34,AR34,105%*SUM($AJ$7:AJ34))*B34)</f>
        <v>0</v>
      </c>
      <c r="AV34" s="125"/>
      <c r="AW34" s="12">
        <f t="shared" si="54"/>
        <v>28</v>
      </c>
      <c r="AX34" s="14">
        <f t="shared" si="21"/>
        <v>0</v>
      </c>
      <c r="AY34" s="14">
        <f t="shared" si="22"/>
        <v>0</v>
      </c>
      <c r="AZ34" s="14">
        <f t="shared" ca="1" si="23"/>
        <v>0</v>
      </c>
      <c r="BA34" s="14">
        <f t="shared" ca="1" si="24"/>
        <v>0</v>
      </c>
      <c r="BB34" s="14">
        <f t="shared" si="25"/>
        <v>0</v>
      </c>
      <c r="BC34" s="14">
        <f t="shared" ca="1" si="26"/>
        <v>0</v>
      </c>
      <c r="BD34" s="14">
        <f t="shared" ca="1" si="27"/>
        <v>0</v>
      </c>
      <c r="BE34" s="14">
        <f t="shared" si="28"/>
        <v>0</v>
      </c>
      <c r="BF34" s="14">
        <f t="shared" ca="1" si="29"/>
        <v>0</v>
      </c>
      <c r="BG34" s="51">
        <f t="shared" si="30"/>
        <v>0</v>
      </c>
      <c r="BH34" s="51">
        <f t="shared" ca="1" si="31"/>
        <v>409.04531052447999</v>
      </c>
      <c r="BI34" s="51">
        <f t="shared" ca="1" si="32"/>
        <v>0</v>
      </c>
      <c r="BJ34" s="51">
        <f t="shared" ca="1" si="33"/>
        <v>0</v>
      </c>
      <c r="BK34" s="51">
        <f t="shared" si="34"/>
        <v>81</v>
      </c>
      <c r="BL34" s="51">
        <f t="shared" ca="1" si="35"/>
        <v>166.59578339289143</v>
      </c>
      <c r="BM34" s="51">
        <f t="shared" si="36"/>
        <v>0</v>
      </c>
      <c r="BN34" s="51">
        <f t="shared" ca="1" si="37"/>
        <v>0</v>
      </c>
      <c r="BO34" s="51">
        <f t="shared" ca="1" si="38"/>
        <v>0</v>
      </c>
      <c r="BP34" s="51">
        <f t="shared" ca="1" si="39"/>
        <v>656.64109391737145</v>
      </c>
      <c r="BR34" s="32"/>
      <c r="BS34" s="126"/>
      <c r="BT34" s="16"/>
      <c r="BU34" s="58"/>
      <c r="BW34" s="51">
        <f>IF(Input!$C$13="Offline",VLOOKUP(H34,Charges!$AT$4:$AU$33,2,FALSE)*I34,0)</f>
        <v>0</v>
      </c>
      <c r="BX34" s="51">
        <f t="shared" si="40"/>
        <v>0</v>
      </c>
      <c r="BY34" s="51">
        <f t="shared" si="51"/>
        <v>0</v>
      </c>
      <c r="BZ34" s="151"/>
      <c r="CA34" s="151"/>
      <c r="CB34" s="32"/>
      <c r="CC34" s="16">
        <f ca="1">SUM($N$7:$N34)</f>
        <v>0</v>
      </c>
      <c r="CD34" s="16">
        <f t="shared" ca="1" si="41"/>
        <v>0</v>
      </c>
      <c r="CE34" s="16">
        <f t="shared" ca="1" si="42"/>
        <v>0</v>
      </c>
      <c r="CF34" s="7">
        <f t="shared" ca="1" si="43"/>
        <v>0</v>
      </c>
      <c r="CH34" s="7">
        <f t="shared" ca="1" si="44"/>
        <v>0</v>
      </c>
    </row>
    <row r="35" spans="2:86" s="7" customFormat="1" x14ac:dyDescent="0.2">
      <c r="B35" s="14">
        <f t="shared" si="0"/>
        <v>1</v>
      </c>
      <c r="C35" s="12">
        <f t="shared" si="1"/>
        <v>1</v>
      </c>
      <c r="D35" s="17">
        <f t="shared" si="52"/>
        <v>29</v>
      </c>
      <c r="E35" s="17">
        <f t="shared" ca="1" si="2"/>
        <v>62</v>
      </c>
      <c r="F35" s="12">
        <f t="shared" si="56"/>
        <v>4</v>
      </c>
      <c r="G35" s="12">
        <f t="shared" si="55"/>
        <v>5</v>
      </c>
      <c r="H35" s="17">
        <f t="shared" si="57"/>
        <v>3</v>
      </c>
      <c r="I35" s="29">
        <f t="shared" si="45"/>
        <v>0</v>
      </c>
      <c r="J35" s="211">
        <f>IFERROR(VLOOKUP(H35,Charges!$T$6:$U$35,2,0)*C35,0)</f>
        <v>0.96499999999999997</v>
      </c>
      <c r="K35" s="29">
        <f t="shared" si="3"/>
        <v>0</v>
      </c>
      <c r="L35" s="29">
        <f t="shared" si="4"/>
        <v>0</v>
      </c>
      <c r="M35" s="147">
        <f t="shared" ca="1" si="5"/>
        <v>0</v>
      </c>
      <c r="N35" s="148">
        <f ca="1">IF(AND(Option_SPW="Y",H35&gt;=Lock_In_Period,Z34&gt;SPW_Amount_pa+IF(option="Single",1/5*pr,2*pr),H35&gt;=SPW_Start_Year,H35&lt;=SPW_Start_Year+SPW_Duration-1,age+H35&gt;=Legal_Age),IF(AND(F35=0,SPW_Payout_Freq=1),SPW_Amount_pa,IF(AND(SPW_Payout_Freq=2,MOD(F35,6)=0),SPW_Amount_pa/SPW_Payout_Freq,IF(AND(SPW_Payout_Freq=4,MOD(F35,3)=0),SPW_Amount_pa/SPW_Payout_Freq,IF(SPW_Payout_Freq=12,SPW_Amount_pa/SPW_Payout_Freq,0)))),0)+IFERROR(VLOOKUP(H35,Input!$B$68:$C$74,2,0),0)*(F35=0)*(Option_PW="Y")*(Option_SPW="N")*(age+H35&gt;=Legal_Age)</f>
        <v>0</v>
      </c>
      <c r="O35" s="148">
        <f t="shared" ca="1" si="6"/>
        <v>0</v>
      </c>
      <c r="P35" s="14">
        <f ca="1">(MAX(MAX(sa-CF34*Flag_UL_Type,105%*SUM($I$7:I35))-(AD34+L35-N35)*Flag_UL_Type,0)*B35)</f>
        <v>2178844.3768613306</v>
      </c>
      <c r="Q35" s="213">
        <f t="shared" ca="1" si="46"/>
        <v>2271.4815769508832</v>
      </c>
      <c r="R35" s="14">
        <f t="shared" ca="1" si="7"/>
        <v>0</v>
      </c>
      <c r="S35" s="14">
        <f t="shared" ca="1" si="8"/>
        <v>0</v>
      </c>
      <c r="T35" s="14">
        <f>IFERROR(IF(WoP_Flag="Y",IF(fq=1,VLOOKUP(ppt*fq-H35,Charges!$AN$41:$AO$59,2,FALSE),IF(fq=2,VLOOKUP(ppt*fq-G35,Charges!$AP$41:$AQ$79,2,FALSE),VLOOKUP(ppt*fq-D35,Charges!$AR$41:$AS$279,2,FALSE)))*pr/fq,0),0)</f>
        <v>0</v>
      </c>
      <c r="U35" s="14">
        <f t="shared" ca="1" si="9"/>
        <v>0</v>
      </c>
      <c r="V35" s="34">
        <f>ROUND(MIN(IF(H35&gt;=7,Charges!$C$12*(1+Charges!$C$14)^((H35-7+1)),VLOOKUP(H35,Charges!$B$7:$C$12,2,0))*pr,Charges!$C$13)*B35,Round)</f>
        <v>450</v>
      </c>
      <c r="W35" s="14">
        <f t="shared" ca="1" si="10"/>
        <v>817944.2748778672</v>
      </c>
      <c r="X35" s="14">
        <f t="shared" ca="1" si="11"/>
        <v>823206.95297073631</v>
      </c>
      <c r="Y35" s="213">
        <f t="shared" ca="1" si="47"/>
        <v>926.61181937741833</v>
      </c>
      <c r="Z35" s="14">
        <f t="shared" ca="1" si="12"/>
        <v>822113.55102387094</v>
      </c>
      <c r="AA35" s="14">
        <f>IF(AND($H35=pt,$F35=11),SUM($K$7:K35)*VLOOKUP(pt,ROC,2,FALSE),0)</f>
        <v>0</v>
      </c>
      <c r="AB35" s="14">
        <f>IF(AND($H35=pt,$F35=11),SUM($V$7:V35)*VLOOKUP(pt,ROC,2,FALSE),0)</f>
        <v>0</v>
      </c>
      <c r="AC35" s="14">
        <f>IF(AND($H35=pt,$F35=11),SUM($Q$7:Q35)*VLOOKUP(pt,ROC,2,FALSE),0)</f>
        <v>0</v>
      </c>
      <c r="AD35" s="14">
        <f t="shared" ca="1" si="13"/>
        <v>822113.55102387094</v>
      </c>
      <c r="AE35" s="14">
        <f ca="1">(MAX(sa-CF34*Flag_UL_Type,105%*SUM($I$7:I35),Z35)+AU35)*B35</f>
        <v>3000000</v>
      </c>
      <c r="AF35" s="136"/>
      <c r="AG35" s="18">
        <v>29</v>
      </c>
      <c r="AH35" s="30">
        <f t="shared" ca="1" si="14"/>
        <v>0</v>
      </c>
      <c r="AI35" s="138"/>
      <c r="AJ35" s="50">
        <f>IF(AND(Option_Sys_TopUp&gt;="Y",H35&gt;=sytp,H35&lt;=(dtp+sytp-1),F35=0,H35&lt;=ppt+1),atp,0)+IFERROR(VLOOKUP(H35,Input!$B$55:$C$61,2,0),0)*(F35=0)*(Option_TopUP="Y")*(Option_Sys_TopUp="N")*B35*(pt&gt;=H35+5)</f>
        <v>0</v>
      </c>
      <c r="AK35" s="50">
        <f t="shared" si="15"/>
        <v>0</v>
      </c>
      <c r="AL35" s="50">
        <f t="shared" si="48"/>
        <v>0</v>
      </c>
      <c r="AM35" s="50">
        <f t="shared" ca="1" si="49"/>
        <v>0</v>
      </c>
      <c r="AN35" s="50">
        <f ca="1">IF(B35=0,0,AT35*(_rpm1+(1+_emr1)*VLOOKUP(E35,Tab_Mort_Charge,IF(Input!$C$12="M",2,3),0))*(0.001*0.0833)*Flag_Mort_Rider_Charge*(AT35&gt;0))</f>
        <v>0</v>
      </c>
      <c r="AO35" s="50">
        <f t="shared" ca="1" si="17"/>
        <v>0</v>
      </c>
      <c r="AP35" s="50">
        <f t="shared" ca="1" si="50"/>
        <v>0</v>
      </c>
      <c r="AQ35" s="50">
        <f t="shared" ca="1" si="18"/>
        <v>0</v>
      </c>
      <c r="AR35" s="50">
        <f t="shared" ca="1" si="19"/>
        <v>0</v>
      </c>
      <c r="AS35" s="50">
        <f t="shared" si="20"/>
        <v>0</v>
      </c>
      <c r="AT35" s="50">
        <f ca="1">(MAX((MAX(AS35,105%*SUM($AJ$7:AJ35))-AM35*Flag_UL_Type),0)*B35)</f>
        <v>0</v>
      </c>
      <c r="AU35" s="50">
        <f ca="1">(MAX(AS35,AR35,105%*SUM($AJ$7:AJ35))*B35)</f>
        <v>0</v>
      </c>
      <c r="AV35" s="125"/>
      <c r="AW35" s="12">
        <f t="shared" si="54"/>
        <v>29</v>
      </c>
      <c r="AX35" s="14">
        <f t="shared" si="21"/>
        <v>0</v>
      </c>
      <c r="AY35" s="14">
        <f t="shared" si="22"/>
        <v>0</v>
      </c>
      <c r="AZ35" s="14">
        <f t="shared" ca="1" si="23"/>
        <v>0</v>
      </c>
      <c r="BA35" s="14">
        <f t="shared" ca="1" si="24"/>
        <v>0</v>
      </c>
      <c r="BB35" s="14">
        <f t="shared" si="25"/>
        <v>0</v>
      </c>
      <c r="BC35" s="14">
        <f t="shared" ca="1" si="26"/>
        <v>0</v>
      </c>
      <c r="BD35" s="14">
        <f t="shared" ca="1" si="27"/>
        <v>0</v>
      </c>
      <c r="BE35" s="14">
        <f t="shared" si="28"/>
        <v>0</v>
      </c>
      <c r="BF35" s="14">
        <f t="shared" ca="1" si="29"/>
        <v>0</v>
      </c>
      <c r="BG35" s="51">
        <f t="shared" si="30"/>
        <v>0</v>
      </c>
      <c r="BH35" s="51">
        <f t="shared" ca="1" si="31"/>
        <v>408.866683851159</v>
      </c>
      <c r="BI35" s="51">
        <f t="shared" ca="1" si="32"/>
        <v>0</v>
      </c>
      <c r="BJ35" s="51">
        <f t="shared" ca="1" si="33"/>
        <v>0</v>
      </c>
      <c r="BK35" s="51">
        <f t="shared" si="34"/>
        <v>81</v>
      </c>
      <c r="BL35" s="51">
        <f t="shared" ca="1" si="35"/>
        <v>166.79012748793528</v>
      </c>
      <c r="BM35" s="51">
        <f t="shared" si="36"/>
        <v>0</v>
      </c>
      <c r="BN35" s="51">
        <f t="shared" ca="1" si="37"/>
        <v>0</v>
      </c>
      <c r="BO35" s="51">
        <f t="shared" ca="1" si="38"/>
        <v>0</v>
      </c>
      <c r="BP35" s="51">
        <f t="shared" ca="1" si="39"/>
        <v>656.65681133909425</v>
      </c>
      <c r="BR35" s="32"/>
      <c r="BS35" s="126"/>
      <c r="BT35" s="16"/>
      <c r="BU35" s="58"/>
      <c r="BW35" s="51">
        <f>IF(Input!$C$13="Offline",VLOOKUP(H35,Charges!$AT$4:$AU$33,2,FALSE)*I35,0)</f>
        <v>0</v>
      </c>
      <c r="BX35" s="51">
        <f t="shared" si="40"/>
        <v>0</v>
      </c>
      <c r="BY35" s="51">
        <f t="shared" si="51"/>
        <v>0</v>
      </c>
      <c r="BZ35" s="151"/>
      <c r="CA35" s="151"/>
      <c r="CB35" s="32"/>
      <c r="CC35" s="16">
        <f ca="1">SUM($N$7:$N35)</f>
        <v>0</v>
      </c>
      <c r="CD35" s="16">
        <f t="shared" ca="1" si="41"/>
        <v>0</v>
      </c>
      <c r="CE35" s="16">
        <f t="shared" ca="1" si="42"/>
        <v>0</v>
      </c>
      <c r="CF35" s="7">
        <f t="shared" ca="1" si="43"/>
        <v>0</v>
      </c>
      <c r="CH35" s="7">
        <f t="shared" ca="1" si="44"/>
        <v>0</v>
      </c>
    </row>
    <row r="36" spans="2:86" s="7" customFormat="1" x14ac:dyDescent="0.2">
      <c r="B36" s="14">
        <f t="shared" si="0"/>
        <v>1</v>
      </c>
      <c r="C36" s="12">
        <f t="shared" si="1"/>
        <v>1</v>
      </c>
      <c r="D36" s="17">
        <f t="shared" si="52"/>
        <v>30</v>
      </c>
      <c r="E36" s="17">
        <f t="shared" ca="1" si="2"/>
        <v>62</v>
      </c>
      <c r="F36" s="12">
        <f t="shared" si="56"/>
        <v>5</v>
      </c>
      <c r="G36" s="12">
        <f t="shared" si="55"/>
        <v>5</v>
      </c>
      <c r="H36" s="17">
        <f t="shared" si="57"/>
        <v>3</v>
      </c>
      <c r="I36" s="29">
        <f t="shared" si="45"/>
        <v>0</v>
      </c>
      <c r="J36" s="211">
        <f>IFERROR(VLOOKUP(H36,Charges!$T$6:$U$35,2,0)*C36,0)</f>
        <v>0.96499999999999997</v>
      </c>
      <c r="K36" s="29">
        <f t="shared" si="3"/>
        <v>0</v>
      </c>
      <c r="L36" s="29">
        <f t="shared" si="4"/>
        <v>0</v>
      </c>
      <c r="M36" s="147">
        <f t="shared" ca="1" si="5"/>
        <v>0</v>
      </c>
      <c r="N36" s="148">
        <f ca="1">IF(AND(Option_SPW="Y",H36&gt;=Lock_In_Period,Z35&gt;SPW_Amount_pa+IF(option="Single",1/5*pr,2*pr),H36&gt;=SPW_Start_Year,H36&lt;=SPW_Start_Year+SPW_Duration-1,age+H36&gt;=Legal_Age),IF(AND(F36=0,SPW_Payout_Freq=1),SPW_Amount_pa,IF(AND(SPW_Payout_Freq=2,MOD(F36,6)=0),SPW_Amount_pa/SPW_Payout_Freq,IF(AND(SPW_Payout_Freq=4,MOD(F36,3)=0),SPW_Amount_pa/SPW_Payout_Freq,IF(SPW_Payout_Freq=12,SPW_Amount_pa/SPW_Payout_Freq,0)))),0)+IFERROR(VLOOKUP(H36,Input!$B$68:$C$74,2,0),0)*(F36=0)*(Option_PW="Y")*(Option_SPW="N")*(age+H36&gt;=Legal_Age)</f>
        <v>0</v>
      </c>
      <c r="O36" s="148">
        <f t="shared" ca="1" si="6"/>
        <v>0</v>
      </c>
      <c r="P36" s="14">
        <f ca="1">(MAX(MAX(sa-CF35*Flag_UL_Type,105%*SUM($I$7:I36))-(AD35+L36-N36)*Flag_UL_Type,0)*B36)</f>
        <v>2177886.4489761293</v>
      </c>
      <c r="Q36" s="213">
        <f t="shared" ca="1" si="46"/>
        <v>2270.4829211650999</v>
      </c>
      <c r="R36" s="14">
        <f t="shared" ca="1" si="7"/>
        <v>0</v>
      </c>
      <c r="S36" s="14">
        <f t="shared" ca="1" si="8"/>
        <v>0</v>
      </c>
      <c r="T36" s="14">
        <f>IFERROR(IF(WoP_Flag="Y",IF(fq=1,VLOOKUP(ppt*fq-H36,Charges!$AN$41:$AO$59,2,FALSE),IF(fq=2,VLOOKUP(ppt*fq-G36,Charges!$AP$41:$AQ$79,2,FALSE),VLOOKUP(ppt*fq-D36,Charges!$AR$41:$AS$279,2,FALSE)))*pr/fq,0),0)</f>
        <v>0</v>
      </c>
      <c r="U36" s="14">
        <f t="shared" ca="1" si="9"/>
        <v>0</v>
      </c>
      <c r="V36" s="34">
        <f>ROUND(MIN(IF(H36&gt;=7,Charges!$C$12*(1+Charges!$C$14)^((H36-7+1)),VLOOKUP(H36,Charges!$B$7:$C$12,2,0))*pr,Charges!$C$13)*B36,Round)</f>
        <v>450</v>
      </c>
      <c r="W36" s="14">
        <f t="shared" ca="1" si="10"/>
        <v>818903.38117689616</v>
      </c>
      <c r="X36" s="14">
        <f t="shared" ca="1" si="11"/>
        <v>824172.23018857196</v>
      </c>
      <c r="Y36" s="213">
        <f t="shared" ca="1" si="47"/>
        <v>927.69834722536041</v>
      </c>
      <c r="Z36" s="14">
        <f t="shared" ca="1" si="12"/>
        <v>823077.54613884608</v>
      </c>
      <c r="AA36" s="14">
        <f>IF(AND($H36=pt,$F36=11),SUM($K$7:K36)*VLOOKUP(pt,ROC,2,FALSE),0)</f>
        <v>0</v>
      </c>
      <c r="AB36" s="14">
        <f>IF(AND($H36=pt,$F36=11),SUM($V$7:V36)*VLOOKUP(pt,ROC,2,FALSE),0)</f>
        <v>0</v>
      </c>
      <c r="AC36" s="14">
        <f>IF(AND($H36=pt,$F36=11),SUM($Q$7:Q36)*VLOOKUP(pt,ROC,2,FALSE),0)</f>
        <v>0</v>
      </c>
      <c r="AD36" s="14">
        <f t="shared" ca="1" si="13"/>
        <v>823077.54613884608</v>
      </c>
      <c r="AE36" s="14">
        <f ca="1">(MAX(sa-CF35*Flag_UL_Type,105%*SUM($I$7:I36),Z36)+AU36)*B36</f>
        <v>3000000</v>
      </c>
      <c r="AF36" s="136"/>
      <c r="AG36" s="18">
        <v>30</v>
      </c>
      <c r="AH36" s="30">
        <f t="shared" ca="1" si="14"/>
        <v>0</v>
      </c>
      <c r="AI36" s="138"/>
      <c r="AJ36" s="50">
        <f>IF(AND(Option_Sys_TopUp&gt;="Y",H36&gt;=sytp,H36&lt;=(dtp+sytp-1),F36=0,H36&lt;=ppt+1),atp,0)+IFERROR(VLOOKUP(H36,Input!$B$55:$C$61,2,0),0)*(F36=0)*(Option_TopUP="Y")*(Option_Sys_TopUp="N")*B36*(pt&gt;=H36+5)</f>
        <v>0</v>
      </c>
      <c r="AK36" s="50">
        <f t="shared" si="15"/>
        <v>0</v>
      </c>
      <c r="AL36" s="50">
        <f t="shared" si="48"/>
        <v>0</v>
      </c>
      <c r="AM36" s="50">
        <f t="shared" ca="1" si="49"/>
        <v>0</v>
      </c>
      <c r="AN36" s="50">
        <f ca="1">IF(B36=0,0,AT36*(_rpm1+(1+_emr1)*VLOOKUP(E36,Tab_Mort_Charge,IF(Input!$C$12="M",2,3),0))*(0.001*0.0833)*Flag_Mort_Rider_Charge*(AT36&gt;0))</f>
        <v>0</v>
      </c>
      <c r="AO36" s="50">
        <f t="shared" ca="1" si="17"/>
        <v>0</v>
      </c>
      <c r="AP36" s="50">
        <f t="shared" ca="1" si="50"/>
        <v>0</v>
      </c>
      <c r="AQ36" s="50">
        <f t="shared" ca="1" si="18"/>
        <v>0</v>
      </c>
      <c r="AR36" s="50">
        <f t="shared" ca="1" si="19"/>
        <v>0</v>
      </c>
      <c r="AS36" s="50">
        <f t="shared" si="20"/>
        <v>0</v>
      </c>
      <c r="AT36" s="50">
        <f ca="1">(MAX((MAX(AS36,105%*SUM($AJ$7:AJ36))-AM36*Flag_UL_Type),0)*B36)</f>
        <v>0</v>
      </c>
      <c r="AU36" s="50">
        <f ca="1">(MAX(AS36,AR36,105%*SUM($AJ$7:AJ36))*B36)</f>
        <v>0</v>
      </c>
      <c r="AV36" s="125"/>
      <c r="AW36" s="12">
        <f t="shared" si="54"/>
        <v>30</v>
      </c>
      <c r="AX36" s="14">
        <f t="shared" si="21"/>
        <v>0</v>
      </c>
      <c r="AY36" s="14">
        <f t="shared" si="22"/>
        <v>0</v>
      </c>
      <c r="AZ36" s="14">
        <f t="shared" ca="1" si="23"/>
        <v>0</v>
      </c>
      <c r="BA36" s="14">
        <f t="shared" ca="1" si="24"/>
        <v>0</v>
      </c>
      <c r="BB36" s="14">
        <f t="shared" si="25"/>
        <v>0</v>
      </c>
      <c r="BC36" s="14">
        <f t="shared" ca="1" si="26"/>
        <v>0</v>
      </c>
      <c r="BD36" s="14">
        <f t="shared" ca="1" si="27"/>
        <v>0</v>
      </c>
      <c r="BE36" s="14">
        <f t="shared" si="28"/>
        <v>0</v>
      </c>
      <c r="BF36" s="14">
        <f t="shared" ca="1" si="29"/>
        <v>0</v>
      </c>
      <c r="BG36" s="51">
        <f t="shared" si="30"/>
        <v>0</v>
      </c>
      <c r="BH36" s="51">
        <f t="shared" ca="1" si="31"/>
        <v>408.68692580971799</v>
      </c>
      <c r="BI36" s="51">
        <f t="shared" ca="1" si="32"/>
        <v>0</v>
      </c>
      <c r="BJ36" s="51">
        <f t="shared" ca="1" si="33"/>
        <v>0</v>
      </c>
      <c r="BK36" s="51">
        <f t="shared" si="34"/>
        <v>81</v>
      </c>
      <c r="BL36" s="51">
        <f t="shared" ca="1" si="35"/>
        <v>166.98570250056486</v>
      </c>
      <c r="BM36" s="51">
        <f t="shared" si="36"/>
        <v>0</v>
      </c>
      <c r="BN36" s="51">
        <f t="shared" ca="1" si="37"/>
        <v>0</v>
      </c>
      <c r="BO36" s="51">
        <f t="shared" ca="1" si="38"/>
        <v>0</v>
      </c>
      <c r="BP36" s="51">
        <f t="shared" ca="1" si="39"/>
        <v>656.67262831028279</v>
      </c>
      <c r="BR36" s="32"/>
      <c r="BS36" s="126"/>
      <c r="BT36" s="16"/>
      <c r="BU36" s="58"/>
      <c r="BW36" s="51">
        <f>IF(Input!$C$13="Offline",VLOOKUP(H36,Charges!$AT$4:$AU$33,2,FALSE)*I36,0)</f>
        <v>0</v>
      </c>
      <c r="BX36" s="51">
        <f t="shared" si="40"/>
        <v>0</v>
      </c>
      <c r="BY36" s="51">
        <f t="shared" si="51"/>
        <v>0</v>
      </c>
      <c r="BZ36" s="151"/>
      <c r="CA36" s="151"/>
      <c r="CB36" s="32"/>
      <c r="CC36" s="16">
        <f ca="1">SUM($N$7:$N36)</f>
        <v>0</v>
      </c>
      <c r="CD36" s="16">
        <f t="shared" ca="1" si="41"/>
        <v>0</v>
      </c>
      <c r="CE36" s="16">
        <f t="shared" ca="1" si="42"/>
        <v>0</v>
      </c>
      <c r="CF36" s="7">
        <f t="shared" ca="1" si="43"/>
        <v>0</v>
      </c>
      <c r="CH36" s="7">
        <f t="shared" ca="1" si="44"/>
        <v>0</v>
      </c>
    </row>
    <row r="37" spans="2:86" s="7" customFormat="1" x14ac:dyDescent="0.2">
      <c r="B37" s="14">
        <f t="shared" si="0"/>
        <v>1</v>
      </c>
      <c r="C37" s="12">
        <f t="shared" si="1"/>
        <v>1</v>
      </c>
      <c r="D37" s="17">
        <f t="shared" si="52"/>
        <v>31</v>
      </c>
      <c r="E37" s="17">
        <f t="shared" ca="1" si="2"/>
        <v>62</v>
      </c>
      <c r="F37" s="12">
        <f t="shared" si="56"/>
        <v>6</v>
      </c>
      <c r="G37" s="12">
        <f t="shared" si="55"/>
        <v>6</v>
      </c>
      <c r="H37" s="17">
        <f t="shared" si="57"/>
        <v>3</v>
      </c>
      <c r="I37" s="29">
        <f t="shared" si="45"/>
        <v>0</v>
      </c>
      <c r="J37" s="211">
        <f>IFERROR(VLOOKUP(H37,Charges!$T$6:$U$35,2,0)*C37,0)</f>
        <v>0.96499999999999997</v>
      </c>
      <c r="K37" s="29">
        <f t="shared" si="3"/>
        <v>0</v>
      </c>
      <c r="L37" s="29">
        <f t="shared" si="4"/>
        <v>0</v>
      </c>
      <c r="M37" s="147">
        <f t="shared" ca="1" si="5"/>
        <v>0</v>
      </c>
      <c r="N37" s="148">
        <f ca="1">IF(AND(Option_SPW="Y",H37&gt;=Lock_In_Period,Z36&gt;SPW_Amount_pa+IF(option="Single",1/5*pr,2*pr),H37&gt;=SPW_Start_Year,H37&lt;=SPW_Start_Year+SPW_Duration-1,age+H37&gt;=Legal_Age),IF(AND(F37=0,SPW_Payout_Freq=1),SPW_Amount_pa,IF(AND(SPW_Payout_Freq=2,MOD(F37,6)=0),SPW_Amount_pa/SPW_Payout_Freq,IF(AND(SPW_Payout_Freq=4,MOD(F37,3)=0),SPW_Amount_pa/SPW_Payout_Freq,IF(SPW_Payout_Freq=12,SPW_Amount_pa/SPW_Payout_Freq,0)))),0)+IFERROR(VLOOKUP(H37,Input!$B$68:$C$74,2,0),0)*(F37=0)*(Option_PW="Y")*(Option_SPW="N")*(age+H37&gt;=Legal_Age)</f>
        <v>0</v>
      </c>
      <c r="O37" s="148">
        <f t="shared" ca="1" si="6"/>
        <v>0</v>
      </c>
      <c r="P37" s="14">
        <f ca="1">(MAX(MAX(sa-CF36*Flag_UL_Type,105%*SUM($I$7:I37))-(AD36+L37-N37)*Flag_UL_Type,0)*B37)</f>
        <v>2176922.4538611537</v>
      </c>
      <c r="Q37" s="213">
        <f t="shared" ca="1" si="46"/>
        <v>2269.4779401911501</v>
      </c>
      <c r="R37" s="14">
        <f t="shared" ca="1" si="7"/>
        <v>0</v>
      </c>
      <c r="S37" s="14">
        <f t="shared" ca="1" si="8"/>
        <v>0</v>
      </c>
      <c r="T37" s="14">
        <f>IFERROR(IF(WoP_Flag="Y",IF(fq=1,VLOOKUP(ppt*fq-H37,Charges!$AN$41:$AO$59,2,FALSE),IF(fq=2,VLOOKUP(ppt*fq-G37,Charges!$AP$41:$AQ$79,2,FALSE),VLOOKUP(ppt*fq-D37,Charges!$AR$41:$AS$279,2,FALSE)))*pr/fq,0),0)</f>
        <v>0</v>
      </c>
      <c r="U37" s="14">
        <f t="shared" ca="1" si="9"/>
        <v>0</v>
      </c>
      <c r="V37" s="34">
        <f>ROUND(MIN(IF(H37&gt;=7,Charges!$C$12*(1+Charges!$C$14)^((H37-7+1)),VLOOKUP(H37,Charges!$B$7:$C$12,2,0))*pr,Charges!$C$13)*B37,Round)</f>
        <v>450</v>
      </c>
      <c r="W37" s="14">
        <f t="shared" ca="1" si="10"/>
        <v>819868.56216942053</v>
      </c>
      <c r="X37" s="14">
        <f t="shared" ca="1" si="11"/>
        <v>825143.62118466385</v>
      </c>
      <c r="Y37" s="213">
        <f t="shared" ca="1" si="47"/>
        <v>928.79175681691856</v>
      </c>
      <c r="Z37" s="14">
        <f t="shared" ca="1" si="12"/>
        <v>824047.64691161993</v>
      </c>
      <c r="AA37" s="14">
        <f>IF(AND($H37=pt,$F37=11),SUM($K$7:K37)*VLOOKUP(pt,ROC,2,FALSE),0)</f>
        <v>0</v>
      </c>
      <c r="AB37" s="14">
        <f>IF(AND($H37=pt,$F37=11),SUM($V$7:V37)*VLOOKUP(pt,ROC,2,FALSE),0)</f>
        <v>0</v>
      </c>
      <c r="AC37" s="14">
        <f>IF(AND($H37=pt,$F37=11),SUM($Q$7:Q37)*VLOOKUP(pt,ROC,2,FALSE),0)</f>
        <v>0</v>
      </c>
      <c r="AD37" s="14">
        <f t="shared" ca="1" si="13"/>
        <v>824047.64691161993</v>
      </c>
      <c r="AE37" s="14">
        <f ca="1">(MAX(sa-CF36*Flag_UL_Type,105%*SUM($I$7:I37),Z37)+AU37)*B37</f>
        <v>3000000</v>
      </c>
      <c r="AF37" s="136"/>
      <c r="AG37" s="18">
        <v>31</v>
      </c>
      <c r="AH37" s="30">
        <f t="shared" ca="1" si="14"/>
        <v>0</v>
      </c>
      <c r="AI37" s="138"/>
      <c r="AJ37" s="50">
        <f>IF(AND(Option_Sys_TopUp&gt;="Y",H37&gt;=sytp,H37&lt;=(dtp+sytp-1),F37=0,H37&lt;=ppt+1),atp,0)+IFERROR(VLOOKUP(H37,Input!$B$55:$C$61,2,0),0)*(F37=0)*(Option_TopUP="Y")*(Option_Sys_TopUp="N")*B37*(pt&gt;=H37+5)</f>
        <v>0</v>
      </c>
      <c r="AK37" s="50">
        <f t="shared" si="15"/>
        <v>0</v>
      </c>
      <c r="AL37" s="50">
        <f t="shared" si="48"/>
        <v>0</v>
      </c>
      <c r="AM37" s="50">
        <f t="shared" ca="1" si="49"/>
        <v>0</v>
      </c>
      <c r="AN37" s="50">
        <f ca="1">IF(B37=0,0,AT37*(_rpm1+(1+_emr1)*VLOOKUP(E37,Tab_Mort_Charge,IF(Input!$C$12="M",2,3),0))*(0.001*0.0833)*Flag_Mort_Rider_Charge*(AT37&gt;0))</f>
        <v>0</v>
      </c>
      <c r="AO37" s="50">
        <f t="shared" ca="1" si="17"/>
        <v>0</v>
      </c>
      <c r="AP37" s="50">
        <f t="shared" ca="1" si="50"/>
        <v>0</v>
      </c>
      <c r="AQ37" s="50">
        <f t="shared" ca="1" si="18"/>
        <v>0</v>
      </c>
      <c r="AR37" s="50">
        <f t="shared" ca="1" si="19"/>
        <v>0</v>
      </c>
      <c r="AS37" s="50">
        <f t="shared" si="20"/>
        <v>0</v>
      </c>
      <c r="AT37" s="50">
        <f ca="1">(MAX((MAX(AS37,105%*SUM($AJ$7:AJ37))-AM37*Flag_UL_Type),0)*B37)</f>
        <v>0</v>
      </c>
      <c r="AU37" s="50">
        <f ca="1">(MAX(AS37,AR37,105%*SUM($AJ$7:AJ37))*B37)</f>
        <v>0</v>
      </c>
      <c r="AV37" s="125"/>
      <c r="AW37" s="13"/>
      <c r="AX37" s="13"/>
      <c r="AY37" s="13"/>
      <c r="AZ37" s="13"/>
      <c r="BA37" s="13"/>
      <c r="BG37" s="51">
        <f t="shared" si="30"/>
        <v>0</v>
      </c>
      <c r="BH37" s="51">
        <f t="shared" ca="1" si="31"/>
        <v>408.50602923440698</v>
      </c>
      <c r="BI37" s="51">
        <f t="shared" ca="1" si="32"/>
        <v>0</v>
      </c>
      <c r="BJ37" s="51">
        <f t="shared" ca="1" si="33"/>
        <v>0</v>
      </c>
      <c r="BK37" s="51">
        <f t="shared" si="34"/>
        <v>81</v>
      </c>
      <c r="BL37" s="51">
        <f t="shared" ca="1" si="35"/>
        <v>167.18251622704534</v>
      </c>
      <c r="BM37" s="51">
        <f t="shared" si="36"/>
        <v>0</v>
      </c>
      <c r="BN37" s="51">
        <f t="shared" ca="1" si="37"/>
        <v>0</v>
      </c>
      <c r="BO37" s="51">
        <f t="shared" ca="1" si="38"/>
        <v>0</v>
      </c>
      <c r="BP37" s="51">
        <f t="shared" ca="1" si="39"/>
        <v>656.68854546145235</v>
      </c>
      <c r="BR37" s="32"/>
      <c r="BS37" s="126"/>
      <c r="BT37" s="16"/>
      <c r="BU37" s="58"/>
      <c r="BW37" s="51">
        <f>IF(Input!$C$13="Offline",VLOOKUP(H37,Charges!$AT$4:$AU$33,2,FALSE)*I37,0)</f>
        <v>0</v>
      </c>
      <c r="BX37" s="51">
        <f t="shared" si="40"/>
        <v>0</v>
      </c>
      <c r="BY37" s="51">
        <f t="shared" si="51"/>
        <v>0</v>
      </c>
      <c r="BZ37" s="151"/>
      <c r="CA37" s="151"/>
      <c r="CB37" s="32"/>
      <c r="CC37" s="16">
        <f ca="1">SUM($N$7:$N37)</f>
        <v>0</v>
      </c>
      <c r="CD37" s="16">
        <f t="shared" ca="1" si="41"/>
        <v>0</v>
      </c>
      <c r="CE37" s="16">
        <f t="shared" ca="1" si="42"/>
        <v>0</v>
      </c>
      <c r="CF37" s="7">
        <f t="shared" ca="1" si="43"/>
        <v>0</v>
      </c>
      <c r="CH37" s="7">
        <f t="shared" ca="1" si="44"/>
        <v>0</v>
      </c>
    </row>
    <row r="38" spans="2:86" s="7" customFormat="1" x14ac:dyDescent="0.2">
      <c r="B38" s="14">
        <f t="shared" si="0"/>
        <v>1</v>
      </c>
      <c r="C38" s="12">
        <f t="shared" si="1"/>
        <v>1</v>
      </c>
      <c r="D38" s="17">
        <f t="shared" si="52"/>
        <v>32</v>
      </c>
      <c r="E38" s="17">
        <f t="shared" ca="1" si="2"/>
        <v>62</v>
      </c>
      <c r="F38" s="12">
        <f t="shared" si="56"/>
        <v>7</v>
      </c>
      <c r="G38" s="12">
        <f t="shared" si="55"/>
        <v>6</v>
      </c>
      <c r="H38" s="17">
        <f t="shared" si="57"/>
        <v>3</v>
      </c>
      <c r="I38" s="29">
        <f t="shared" si="45"/>
        <v>0</v>
      </c>
      <c r="J38" s="211">
        <f>IFERROR(VLOOKUP(H38,Charges!$T$6:$U$35,2,0)*C38,0)</f>
        <v>0.96499999999999997</v>
      </c>
      <c r="K38" s="29">
        <f t="shared" si="3"/>
        <v>0</v>
      </c>
      <c r="L38" s="29">
        <f t="shared" si="4"/>
        <v>0</v>
      </c>
      <c r="M38" s="147">
        <f t="shared" ca="1" si="5"/>
        <v>0</v>
      </c>
      <c r="N38" s="148">
        <f ca="1">IF(AND(Option_SPW="Y",H38&gt;=Lock_In_Period,Z37&gt;SPW_Amount_pa+IF(option="Single",1/5*pr,2*pr),H38&gt;=SPW_Start_Year,H38&lt;=SPW_Start_Year+SPW_Duration-1,age+H38&gt;=Legal_Age),IF(AND(F38=0,SPW_Payout_Freq=1),SPW_Amount_pa,IF(AND(SPW_Payout_Freq=2,MOD(F38,6)=0),SPW_Amount_pa/SPW_Payout_Freq,IF(AND(SPW_Payout_Freq=4,MOD(F38,3)=0),SPW_Amount_pa/SPW_Payout_Freq,IF(SPW_Payout_Freq=12,SPW_Amount_pa/SPW_Payout_Freq,0)))),0)+IFERROR(VLOOKUP(H38,Input!$B$68:$C$74,2,0),0)*(F38=0)*(Option_PW="Y")*(Option_SPW="N")*(age+H38&gt;=Legal_Age)</f>
        <v>0</v>
      </c>
      <c r="O38" s="148">
        <f t="shared" ca="1" si="6"/>
        <v>0</v>
      </c>
      <c r="P38" s="14">
        <f ca="1">(MAX(MAX(sa-CF37*Flag_UL_Type,105%*SUM($I$7:I38))-(AD37+L38-N38)*Flag_UL_Type,0)*B38)</f>
        <v>2175952.3530883798</v>
      </c>
      <c r="Q38" s="213">
        <f t="shared" ca="1" si="46"/>
        <v>2268.4665939671831</v>
      </c>
      <c r="R38" s="14">
        <f t="shared" ca="1" si="7"/>
        <v>0</v>
      </c>
      <c r="S38" s="14">
        <f t="shared" ca="1" si="8"/>
        <v>0</v>
      </c>
      <c r="T38" s="14">
        <f>IFERROR(IF(WoP_Flag="Y",IF(fq=1,VLOOKUP(ppt*fq-H38,Charges!$AN$41:$AO$59,2,FALSE),IF(fq=2,VLOOKUP(ppt*fq-G38,Charges!$AP$41:$AQ$79,2,FALSE),VLOOKUP(ppt*fq-D38,Charges!$AR$41:$AS$279,2,FALSE)))*pr/fq,0),0)</f>
        <v>0</v>
      </c>
      <c r="U38" s="14">
        <f t="shared" ca="1" si="9"/>
        <v>0</v>
      </c>
      <c r="V38" s="34">
        <f>ROUND(MIN(IF(H38&gt;=7,Charges!$C$12*(1+Charges!$C$14)^((H38-7+1)),VLOOKUP(H38,Charges!$B$7:$C$12,2,0))*pr,Charges!$C$13)*B38,Round)</f>
        <v>450</v>
      </c>
      <c r="W38" s="14">
        <f t="shared" ca="1" si="10"/>
        <v>820839.85633073864</v>
      </c>
      <c r="X38" s="14">
        <f t="shared" ca="1" si="11"/>
        <v>826121.16468186153</v>
      </c>
      <c r="Y38" s="213">
        <f t="shared" ca="1" si="47"/>
        <v>929.89209173900599</v>
      </c>
      <c r="Z38" s="14">
        <f t="shared" ca="1" si="12"/>
        <v>825023.89201360953</v>
      </c>
      <c r="AA38" s="14">
        <f>IF(AND($H38=pt,$F38=11),SUM($K$7:K38)*VLOOKUP(pt,ROC,2,FALSE),0)</f>
        <v>0</v>
      </c>
      <c r="AB38" s="14">
        <f>IF(AND($H38=pt,$F38=11),SUM($V$7:V38)*VLOOKUP(pt,ROC,2,FALSE),0)</f>
        <v>0</v>
      </c>
      <c r="AC38" s="14">
        <f>IF(AND($H38=pt,$F38=11),SUM($Q$7:Q38)*VLOOKUP(pt,ROC,2,FALSE),0)</f>
        <v>0</v>
      </c>
      <c r="AD38" s="14">
        <f t="shared" ca="1" si="13"/>
        <v>825023.89201360953</v>
      </c>
      <c r="AE38" s="14">
        <f ca="1">(MAX(sa-CF37*Flag_UL_Type,105%*SUM($I$7:I38),Z38)+AU38)*B38</f>
        <v>3000000</v>
      </c>
      <c r="AF38" s="136"/>
      <c r="AG38" s="18">
        <v>32</v>
      </c>
      <c r="AH38" s="30">
        <f t="shared" ca="1" si="14"/>
        <v>0</v>
      </c>
      <c r="AI38" s="138"/>
      <c r="AJ38" s="50">
        <f>IF(AND(Option_Sys_TopUp&gt;="Y",H38&gt;=sytp,H38&lt;=(dtp+sytp-1),F38=0,H38&lt;=ppt+1),atp,0)+IFERROR(VLOOKUP(H38,Input!$B$55:$C$61,2,0),0)*(F38=0)*(Option_TopUP="Y")*(Option_Sys_TopUp="N")*B38*(pt&gt;=H38+5)</f>
        <v>0</v>
      </c>
      <c r="AK38" s="50">
        <f t="shared" si="15"/>
        <v>0</v>
      </c>
      <c r="AL38" s="50">
        <f t="shared" si="48"/>
        <v>0</v>
      </c>
      <c r="AM38" s="50">
        <f t="shared" ca="1" si="49"/>
        <v>0</v>
      </c>
      <c r="AN38" s="50">
        <f ca="1">IF(B38=0,0,AT38*(_rpm1+(1+_emr1)*VLOOKUP(E38,Tab_Mort_Charge,IF(Input!$C$12="M",2,3),0))*(0.001*0.0833)*Flag_Mort_Rider_Charge*(AT38&gt;0))</f>
        <v>0</v>
      </c>
      <c r="AO38" s="50">
        <f t="shared" ca="1" si="17"/>
        <v>0</v>
      </c>
      <c r="AP38" s="50">
        <f t="shared" ca="1" si="50"/>
        <v>0</v>
      </c>
      <c r="AQ38" s="50">
        <f t="shared" ca="1" si="18"/>
        <v>0</v>
      </c>
      <c r="AR38" s="50">
        <f t="shared" ca="1" si="19"/>
        <v>0</v>
      </c>
      <c r="AS38" s="50">
        <f t="shared" si="20"/>
        <v>0</v>
      </c>
      <c r="AT38" s="50">
        <f ca="1">(MAX((MAX(AS38,105%*SUM($AJ$7:AJ38))-AM38*Flag_UL_Type),0)*B38)</f>
        <v>0</v>
      </c>
      <c r="AU38" s="50">
        <f ca="1">(MAX(AS38,AR38,105%*SUM($AJ$7:AJ38))*B38)</f>
        <v>0</v>
      </c>
      <c r="AV38" s="125"/>
      <c r="AW38" s="13"/>
      <c r="AX38" s="13"/>
      <c r="AY38" s="13"/>
      <c r="AZ38" s="13"/>
      <c r="BA38" s="13"/>
      <c r="BG38" s="51">
        <f t="shared" si="30"/>
        <v>0</v>
      </c>
      <c r="BH38" s="51">
        <f t="shared" ca="1" si="31"/>
        <v>408.32398691409298</v>
      </c>
      <c r="BI38" s="51">
        <f t="shared" ca="1" si="32"/>
        <v>0</v>
      </c>
      <c r="BJ38" s="51">
        <f t="shared" ca="1" si="33"/>
        <v>0</v>
      </c>
      <c r="BK38" s="51">
        <f t="shared" si="34"/>
        <v>81</v>
      </c>
      <c r="BL38" s="51">
        <f t="shared" ca="1" si="35"/>
        <v>167.38057651302108</v>
      </c>
      <c r="BM38" s="51">
        <f t="shared" si="36"/>
        <v>0</v>
      </c>
      <c r="BN38" s="51">
        <f t="shared" ca="1" si="37"/>
        <v>0</v>
      </c>
      <c r="BO38" s="51">
        <f t="shared" ca="1" si="38"/>
        <v>0</v>
      </c>
      <c r="BP38" s="51">
        <f t="shared" ca="1" si="39"/>
        <v>656.70456342711407</v>
      </c>
      <c r="BR38" s="32"/>
      <c r="BS38" s="126"/>
      <c r="BT38" s="16"/>
      <c r="BU38" s="58"/>
      <c r="BW38" s="51">
        <f>IF(Input!$C$13="Offline",VLOOKUP(H38,Charges!$AT$4:$AU$33,2,FALSE)*I38,0)</f>
        <v>0</v>
      </c>
      <c r="BX38" s="51">
        <f t="shared" si="40"/>
        <v>0</v>
      </c>
      <c r="BY38" s="51">
        <f t="shared" si="51"/>
        <v>0</v>
      </c>
      <c r="BZ38" s="151"/>
      <c r="CA38" s="151"/>
      <c r="CB38" s="32"/>
      <c r="CC38" s="16">
        <f ca="1">SUM($N$7:$N38)</f>
        <v>0</v>
      </c>
      <c r="CD38" s="16">
        <f t="shared" ca="1" si="41"/>
        <v>0</v>
      </c>
      <c r="CE38" s="16">
        <f t="shared" ca="1" si="42"/>
        <v>0</v>
      </c>
      <c r="CF38" s="7">
        <f t="shared" ca="1" si="43"/>
        <v>0</v>
      </c>
      <c r="CH38" s="7">
        <f t="shared" ca="1" si="44"/>
        <v>0</v>
      </c>
    </row>
    <row r="39" spans="2:86" s="7" customFormat="1" x14ac:dyDescent="0.2">
      <c r="B39" s="14">
        <f t="shared" si="0"/>
        <v>1</v>
      </c>
      <c r="C39" s="12">
        <f t="shared" si="1"/>
        <v>1</v>
      </c>
      <c r="D39" s="17">
        <f t="shared" si="52"/>
        <v>33</v>
      </c>
      <c r="E39" s="17">
        <f t="shared" ca="1" si="2"/>
        <v>62</v>
      </c>
      <c r="F39" s="12">
        <f t="shared" si="56"/>
        <v>8</v>
      </c>
      <c r="G39" s="12">
        <f t="shared" si="55"/>
        <v>6</v>
      </c>
      <c r="H39" s="17">
        <f t="shared" si="57"/>
        <v>3</v>
      </c>
      <c r="I39" s="29">
        <f t="shared" si="45"/>
        <v>0</v>
      </c>
      <c r="J39" s="211">
        <f>IFERROR(VLOOKUP(H39,Charges!$T$6:$U$35,2,0)*C39,0)</f>
        <v>0.96499999999999997</v>
      </c>
      <c r="K39" s="29">
        <f t="shared" si="3"/>
        <v>0</v>
      </c>
      <c r="L39" s="29">
        <f t="shared" si="4"/>
        <v>0</v>
      </c>
      <c r="M39" s="147">
        <f t="shared" ca="1" si="5"/>
        <v>0</v>
      </c>
      <c r="N39" s="148">
        <f ca="1">IF(AND(Option_SPW="Y",H39&gt;=Lock_In_Period,Z38&gt;SPW_Amount_pa+IF(option="Single",1/5*pr,2*pr),H39&gt;=SPW_Start_Year,H39&lt;=SPW_Start_Year+SPW_Duration-1,age+H39&gt;=Legal_Age),IF(AND(F39=0,SPW_Payout_Freq=1),SPW_Amount_pa,IF(AND(SPW_Payout_Freq=2,MOD(F39,6)=0),SPW_Amount_pa/SPW_Payout_Freq,IF(AND(SPW_Payout_Freq=4,MOD(F39,3)=0),SPW_Amount_pa/SPW_Payout_Freq,IF(SPW_Payout_Freq=12,SPW_Amount_pa/SPW_Payout_Freq,0)))),0)+IFERROR(VLOOKUP(H39,Input!$B$68:$C$74,2,0),0)*(F39=0)*(Option_PW="Y")*(Option_SPW="N")*(age+H39&gt;=Legal_Age)</f>
        <v>0</v>
      </c>
      <c r="O39" s="148">
        <f t="shared" ca="1" si="6"/>
        <v>0</v>
      </c>
      <c r="P39" s="14">
        <f ca="1">(MAX(MAX(sa-CF38*Flag_UL_Type,105%*SUM($I$7:I39))-(AD38+L39-N39)*Flag_UL_Type,0)*B39)</f>
        <v>2174976.1079863906</v>
      </c>
      <c r="Q39" s="213">
        <f t="shared" ca="1" si="46"/>
        <v>2267.4488421776082</v>
      </c>
      <c r="R39" s="14">
        <f t="shared" ca="1" si="7"/>
        <v>0</v>
      </c>
      <c r="S39" s="14">
        <f t="shared" ca="1" si="8"/>
        <v>0</v>
      </c>
      <c r="T39" s="14">
        <f>IFERROR(IF(WoP_Flag="Y",IF(fq=1,VLOOKUP(ppt*fq-H39,Charges!$AN$41:$AO$59,2,FALSE),IF(fq=2,VLOOKUP(ppt*fq-G39,Charges!$AP$41:$AQ$79,2,FALSE),VLOOKUP(ppt*fq-D39,Charges!$AR$41:$AS$279,2,FALSE)))*pr/fq,0),0)</f>
        <v>0</v>
      </c>
      <c r="U39" s="14">
        <f t="shared" ca="1" si="9"/>
        <v>0</v>
      </c>
      <c r="V39" s="34">
        <f>ROUND(MIN(IF(H39&gt;=7,Charges!$C$12*(1+Charges!$C$14)^((H39-7+1)),VLOOKUP(H39,Charges!$B$7:$C$12,2,0))*pr,Charges!$C$13)*B39,Round)</f>
        <v>450</v>
      </c>
      <c r="W39" s="14">
        <f t="shared" ca="1" si="10"/>
        <v>821817.30237983994</v>
      </c>
      <c r="X39" s="14">
        <f t="shared" ca="1" si="11"/>
        <v>827104.8996482736</v>
      </c>
      <c r="Y39" s="213">
        <f t="shared" ca="1" si="47"/>
        <v>930.99939585460265</v>
      </c>
      <c r="Z39" s="14">
        <f t="shared" ca="1" si="12"/>
        <v>826006.32036116521</v>
      </c>
      <c r="AA39" s="14">
        <f>IF(AND($H39=pt,$F39=11),SUM($K$7:K39)*VLOOKUP(pt,ROC,2,FALSE),0)</f>
        <v>0</v>
      </c>
      <c r="AB39" s="14">
        <f>IF(AND($H39=pt,$F39=11),SUM($V$7:V39)*VLOOKUP(pt,ROC,2,FALSE),0)</f>
        <v>0</v>
      </c>
      <c r="AC39" s="14">
        <f>IF(AND($H39=pt,$F39=11),SUM($Q$7:Q39)*VLOOKUP(pt,ROC,2,FALSE),0)</f>
        <v>0</v>
      </c>
      <c r="AD39" s="14">
        <f t="shared" ca="1" si="13"/>
        <v>826006.32036116521</v>
      </c>
      <c r="AE39" s="14">
        <f ca="1">(MAX(sa-CF38*Flag_UL_Type,105%*SUM($I$7:I39),Z39)+AU39)*B39</f>
        <v>3000000</v>
      </c>
      <c r="AF39" s="136"/>
      <c r="AG39" s="18">
        <v>33</v>
      </c>
      <c r="AH39" s="30">
        <f t="shared" ca="1" si="14"/>
        <v>0</v>
      </c>
      <c r="AI39" s="138"/>
      <c r="AJ39" s="50">
        <f>IF(AND(Option_Sys_TopUp&gt;="Y",H39&gt;=sytp,H39&lt;=(dtp+sytp-1),F39=0,H39&lt;=ppt+1),atp,0)+IFERROR(VLOOKUP(H39,Input!$B$55:$C$61,2,0),0)*(F39=0)*(Option_TopUP="Y")*(Option_Sys_TopUp="N")*B39*(pt&gt;=H39+5)</f>
        <v>0</v>
      </c>
      <c r="AK39" s="50">
        <f t="shared" si="15"/>
        <v>0</v>
      </c>
      <c r="AL39" s="50">
        <f t="shared" si="48"/>
        <v>0</v>
      </c>
      <c r="AM39" s="50">
        <f t="shared" ca="1" si="49"/>
        <v>0</v>
      </c>
      <c r="AN39" s="50">
        <f ca="1">IF(B39=0,0,AT39*(_rpm1+(1+_emr1)*VLOOKUP(E39,Tab_Mort_Charge,IF(Input!$C$12="M",2,3),0))*(0.001*0.0833)*Flag_Mort_Rider_Charge*(AT39&gt;0))</f>
        <v>0</v>
      </c>
      <c r="AO39" s="50">
        <f t="shared" ca="1" si="17"/>
        <v>0</v>
      </c>
      <c r="AP39" s="50">
        <f t="shared" ca="1" si="50"/>
        <v>0</v>
      </c>
      <c r="AQ39" s="50">
        <f t="shared" ca="1" si="18"/>
        <v>0</v>
      </c>
      <c r="AR39" s="50">
        <f t="shared" ca="1" si="19"/>
        <v>0</v>
      </c>
      <c r="AS39" s="50">
        <f t="shared" si="20"/>
        <v>0</v>
      </c>
      <c r="AT39" s="50">
        <f ca="1">(MAX((MAX(AS39,105%*SUM($AJ$7:AJ39))-AM39*Flag_UL_Type),0)*B39)</f>
        <v>0</v>
      </c>
      <c r="AU39" s="50">
        <f ca="1">(MAX(AS39,AR39,105%*SUM($AJ$7:AJ39))*B39)</f>
        <v>0</v>
      </c>
      <c r="AV39" s="125"/>
      <c r="AW39" s="13"/>
      <c r="AX39" s="13"/>
      <c r="AY39" s="13"/>
      <c r="AZ39" s="13"/>
      <c r="BA39" s="13"/>
      <c r="BG39" s="51">
        <f t="shared" si="30"/>
        <v>0</v>
      </c>
      <c r="BH39" s="51">
        <f t="shared" ca="1" si="31"/>
        <v>408.14079159196899</v>
      </c>
      <c r="BI39" s="51">
        <f t="shared" ca="1" si="32"/>
        <v>0</v>
      </c>
      <c r="BJ39" s="51">
        <f t="shared" ca="1" si="33"/>
        <v>0</v>
      </c>
      <c r="BK39" s="51">
        <f t="shared" si="34"/>
        <v>81</v>
      </c>
      <c r="BL39" s="51">
        <f t="shared" ca="1" si="35"/>
        <v>167.57989125382846</v>
      </c>
      <c r="BM39" s="51">
        <f t="shared" si="36"/>
        <v>0</v>
      </c>
      <c r="BN39" s="51">
        <f t="shared" ca="1" si="37"/>
        <v>0</v>
      </c>
      <c r="BO39" s="51">
        <f t="shared" ca="1" si="38"/>
        <v>0</v>
      </c>
      <c r="BP39" s="51">
        <f t="shared" ca="1" si="39"/>
        <v>656.72068284579746</v>
      </c>
      <c r="BR39" s="32"/>
      <c r="BS39" s="126"/>
      <c r="BT39" s="16"/>
      <c r="BU39" s="58"/>
      <c r="BW39" s="51">
        <f>IF(Input!$C$13="Offline",VLOOKUP(H39,Charges!$AT$4:$AU$33,2,FALSE)*I39,0)</f>
        <v>0</v>
      </c>
      <c r="BX39" s="51">
        <f t="shared" si="40"/>
        <v>0</v>
      </c>
      <c r="BY39" s="51">
        <f t="shared" si="51"/>
        <v>0</v>
      </c>
      <c r="BZ39" s="151"/>
      <c r="CA39" s="151"/>
      <c r="CB39" s="32"/>
      <c r="CC39" s="16">
        <f ca="1">SUM($N$7:$N39)</f>
        <v>0</v>
      </c>
      <c r="CD39" s="16">
        <f t="shared" ca="1" si="41"/>
        <v>0</v>
      </c>
      <c r="CE39" s="16">
        <f t="shared" ca="1" si="42"/>
        <v>0</v>
      </c>
      <c r="CF39" s="7">
        <f t="shared" ca="1" si="43"/>
        <v>0</v>
      </c>
      <c r="CH39" s="7">
        <f t="shared" ca="1" si="44"/>
        <v>0</v>
      </c>
    </row>
    <row r="40" spans="2:86" s="7" customFormat="1" x14ac:dyDescent="0.2">
      <c r="B40" s="14">
        <f t="shared" si="0"/>
        <v>1</v>
      </c>
      <c r="C40" s="12">
        <f t="shared" si="1"/>
        <v>1</v>
      </c>
      <c r="D40" s="17">
        <f t="shared" si="52"/>
        <v>34</v>
      </c>
      <c r="E40" s="17">
        <f t="shared" ca="1" si="2"/>
        <v>62</v>
      </c>
      <c r="F40" s="12">
        <f t="shared" si="56"/>
        <v>9</v>
      </c>
      <c r="G40" s="12">
        <f t="shared" si="55"/>
        <v>6</v>
      </c>
      <c r="H40" s="17">
        <f t="shared" si="57"/>
        <v>3</v>
      </c>
      <c r="I40" s="29">
        <f t="shared" si="45"/>
        <v>0</v>
      </c>
      <c r="J40" s="211">
        <f>IFERROR(VLOOKUP(H40,Charges!$T$6:$U$35,2,0)*C40,0)</f>
        <v>0.96499999999999997</v>
      </c>
      <c r="K40" s="29">
        <f t="shared" si="3"/>
        <v>0</v>
      </c>
      <c r="L40" s="29">
        <f t="shared" si="4"/>
        <v>0</v>
      </c>
      <c r="M40" s="147">
        <f t="shared" ca="1" si="5"/>
        <v>0</v>
      </c>
      <c r="N40" s="148">
        <f ca="1">IF(AND(Option_SPW="Y",H40&gt;=Lock_In_Period,Z39&gt;SPW_Amount_pa+IF(option="Single",1/5*pr,2*pr),H40&gt;=SPW_Start_Year,H40&lt;=SPW_Start_Year+SPW_Duration-1,age+H40&gt;=Legal_Age),IF(AND(F40=0,SPW_Payout_Freq=1),SPW_Amount_pa,IF(AND(SPW_Payout_Freq=2,MOD(F40,6)=0),SPW_Amount_pa/SPW_Payout_Freq,IF(AND(SPW_Payout_Freq=4,MOD(F40,3)=0),SPW_Amount_pa/SPW_Payout_Freq,IF(SPW_Payout_Freq=12,SPW_Amount_pa/SPW_Payout_Freq,0)))),0)+IFERROR(VLOOKUP(H40,Input!$B$68:$C$74,2,0),0)*(F40=0)*(Option_PW="Y")*(Option_SPW="N")*(age+H40&gt;=Legal_Age)</f>
        <v>0</v>
      </c>
      <c r="O40" s="148">
        <f t="shared" ca="1" si="6"/>
        <v>0</v>
      </c>
      <c r="P40" s="14">
        <f ca="1">(MAX(MAX(sa-CF39*Flag_UL_Type,105%*SUM($I$7:I40))-(AD39+L40-N40)*Flag_UL_Type,0)*B40)</f>
        <v>2173993.6796388347</v>
      </c>
      <c r="Q40" s="213">
        <f t="shared" ca="1" si="46"/>
        <v>2266.424644251475</v>
      </c>
      <c r="R40" s="14">
        <f t="shared" ca="1" si="7"/>
        <v>0</v>
      </c>
      <c r="S40" s="14">
        <f t="shared" ca="1" si="8"/>
        <v>0</v>
      </c>
      <c r="T40" s="14">
        <f>IFERROR(IF(WoP_Flag="Y",IF(fq=1,VLOOKUP(ppt*fq-H40,Charges!$AN$41:$AO$59,2,FALSE),IF(fq=2,VLOOKUP(ppt*fq-G40,Charges!$AP$41:$AQ$79,2,FALSE),VLOOKUP(ppt*fq-D40,Charges!$AR$41:$AS$279,2,FALSE)))*pr/fq,0),0)</f>
        <v>0</v>
      </c>
      <c r="U40" s="14">
        <f t="shared" ca="1" si="9"/>
        <v>0</v>
      </c>
      <c r="V40" s="34">
        <f>ROUND(MIN(IF(H40&gt;=7,Charges!$C$12*(1+Charges!$C$14)^((H40-7+1)),VLOOKUP(H40,Charges!$B$7:$C$12,2,0))*pr,Charges!$C$13)*B40,Round)</f>
        <v>450</v>
      </c>
      <c r="W40" s="14">
        <f t="shared" ca="1" si="10"/>
        <v>822800.93928094849</v>
      </c>
      <c r="X40" s="14">
        <f t="shared" ca="1" si="11"/>
        <v>828094.86529882124</v>
      </c>
      <c r="Y40" s="213">
        <f t="shared" ca="1" si="47"/>
        <v>932.11371330450368</v>
      </c>
      <c r="Z40" s="14">
        <f t="shared" ca="1" si="12"/>
        <v>826994.97111712198</v>
      </c>
      <c r="AA40" s="14">
        <f>IF(AND($H40=pt,$F40=11),SUM($K$7:K40)*VLOOKUP(pt,ROC,2,FALSE),0)</f>
        <v>0</v>
      </c>
      <c r="AB40" s="14">
        <f>IF(AND($H40=pt,$F40=11),SUM($V$7:V40)*VLOOKUP(pt,ROC,2,FALSE),0)</f>
        <v>0</v>
      </c>
      <c r="AC40" s="14">
        <f>IF(AND($H40=pt,$F40=11),SUM($Q$7:Q40)*VLOOKUP(pt,ROC,2,FALSE),0)</f>
        <v>0</v>
      </c>
      <c r="AD40" s="14">
        <f t="shared" ca="1" si="13"/>
        <v>826994.97111712198</v>
      </c>
      <c r="AE40" s="14">
        <f ca="1">(MAX(sa-CF39*Flag_UL_Type,105%*SUM($I$7:I40),Z40)+AU40)*B40</f>
        <v>3000000</v>
      </c>
      <c r="AF40" s="136"/>
      <c r="AG40" s="18">
        <v>34</v>
      </c>
      <c r="AH40" s="30">
        <f t="shared" ca="1" si="14"/>
        <v>0</v>
      </c>
      <c r="AI40" s="138"/>
      <c r="AJ40" s="50">
        <f>IF(AND(Option_Sys_TopUp&gt;="Y",H40&gt;=sytp,H40&lt;=(dtp+sytp-1),F40=0,H40&lt;=ppt+1),atp,0)+IFERROR(VLOOKUP(H40,Input!$B$55:$C$61,2,0),0)*(F40=0)*(Option_TopUP="Y")*(Option_Sys_TopUp="N")*B40*(pt&gt;=H40+5)</f>
        <v>0</v>
      </c>
      <c r="AK40" s="50">
        <f t="shared" si="15"/>
        <v>0</v>
      </c>
      <c r="AL40" s="50">
        <f t="shared" si="48"/>
        <v>0</v>
      </c>
      <c r="AM40" s="50">
        <f t="shared" ca="1" si="49"/>
        <v>0</v>
      </c>
      <c r="AN40" s="50">
        <f ca="1">IF(B40=0,0,AT40*(_rpm1+(1+_emr1)*VLOOKUP(E40,Tab_Mort_Charge,IF(Input!$C$12="M",2,3),0))*(0.001*0.0833)*Flag_Mort_Rider_Charge*(AT40&gt;0))</f>
        <v>0</v>
      </c>
      <c r="AO40" s="50">
        <f t="shared" ca="1" si="17"/>
        <v>0</v>
      </c>
      <c r="AP40" s="50">
        <f t="shared" ref="AP40:AP71" ca="1" si="58">(AL40+AR39)*(1+$F$3)*B40</f>
        <v>0</v>
      </c>
      <c r="AQ40" s="50">
        <f t="shared" ca="1" si="18"/>
        <v>0</v>
      </c>
      <c r="AR40" s="50">
        <f t="shared" ca="1" si="19"/>
        <v>0</v>
      </c>
      <c r="AS40" s="50">
        <f t="shared" si="20"/>
        <v>0</v>
      </c>
      <c r="AT40" s="50">
        <f ca="1">(MAX((MAX(AS40,105%*SUM($AJ$7:AJ40))-AM40*Flag_UL_Type),0)*B40)</f>
        <v>0</v>
      </c>
      <c r="AU40" s="50">
        <f ca="1">(MAX(AS40,AR40,105%*SUM($AJ$7:AJ40))*B40)</f>
        <v>0</v>
      </c>
      <c r="AV40" s="125"/>
      <c r="AW40" s="13"/>
      <c r="AX40" s="13"/>
      <c r="AY40" s="13"/>
      <c r="AZ40" s="13"/>
      <c r="BA40" s="13"/>
      <c r="BG40" s="51">
        <f t="shared" si="30"/>
        <v>0</v>
      </c>
      <c r="BH40" s="51">
        <f t="shared" ca="1" si="31"/>
        <v>407.95643596526497</v>
      </c>
      <c r="BI40" s="51">
        <f t="shared" ca="1" si="32"/>
        <v>0</v>
      </c>
      <c r="BJ40" s="51">
        <f t="shared" ca="1" si="33"/>
        <v>0</v>
      </c>
      <c r="BK40" s="51">
        <f t="shared" si="34"/>
        <v>81</v>
      </c>
      <c r="BL40" s="51">
        <f t="shared" ca="1" si="35"/>
        <v>167.78046839481067</v>
      </c>
      <c r="BM40" s="51">
        <f t="shared" si="36"/>
        <v>0</v>
      </c>
      <c r="BN40" s="51">
        <f t="shared" ca="1" si="37"/>
        <v>0</v>
      </c>
      <c r="BO40" s="51">
        <f t="shared" ca="1" si="38"/>
        <v>0</v>
      </c>
      <c r="BP40" s="51">
        <f t="shared" ca="1" si="39"/>
        <v>656.73690436007564</v>
      </c>
      <c r="BR40" s="32"/>
      <c r="BS40" s="126"/>
      <c r="BT40" s="16"/>
      <c r="BU40" s="58"/>
      <c r="BW40" s="51">
        <f>IF(Input!$C$13="Offline",VLOOKUP(H40,Charges!$AT$4:$AU$33,2,FALSE)*I40,0)</f>
        <v>0</v>
      </c>
      <c r="BX40" s="51">
        <f t="shared" si="40"/>
        <v>0</v>
      </c>
      <c r="BY40" s="51">
        <f t="shared" si="51"/>
        <v>0</v>
      </c>
      <c r="BZ40" s="151"/>
      <c r="CA40" s="151"/>
      <c r="CB40" s="32"/>
      <c r="CC40" s="16">
        <f ca="1">SUM($N$7:$N40)</f>
        <v>0</v>
      </c>
      <c r="CD40" s="16">
        <f t="shared" ca="1" si="41"/>
        <v>0</v>
      </c>
      <c r="CE40" s="16">
        <f t="shared" ca="1" si="42"/>
        <v>0</v>
      </c>
      <c r="CF40" s="7">
        <f t="shared" ca="1" si="43"/>
        <v>0</v>
      </c>
      <c r="CH40" s="7">
        <f t="shared" ca="1" si="44"/>
        <v>0</v>
      </c>
    </row>
    <row r="41" spans="2:86" s="7" customFormat="1" x14ac:dyDescent="0.2">
      <c r="B41" s="14">
        <f t="shared" si="0"/>
        <v>1</v>
      </c>
      <c r="C41" s="12">
        <f t="shared" si="1"/>
        <v>1</v>
      </c>
      <c r="D41" s="17">
        <f t="shared" si="52"/>
        <v>35</v>
      </c>
      <c r="E41" s="17">
        <f t="shared" ca="1" si="2"/>
        <v>62</v>
      </c>
      <c r="F41" s="12">
        <f t="shared" si="56"/>
        <v>10</v>
      </c>
      <c r="G41" s="12">
        <f t="shared" si="55"/>
        <v>6</v>
      </c>
      <c r="H41" s="17">
        <f t="shared" si="57"/>
        <v>3</v>
      </c>
      <c r="I41" s="29">
        <f t="shared" si="45"/>
        <v>0</v>
      </c>
      <c r="J41" s="211">
        <f>IFERROR(VLOOKUP(H41,Charges!$T$6:$U$35,2,0)*C41,0)</f>
        <v>0.96499999999999997</v>
      </c>
      <c r="K41" s="29">
        <f t="shared" si="3"/>
        <v>0</v>
      </c>
      <c r="L41" s="29">
        <f t="shared" si="4"/>
        <v>0</v>
      </c>
      <c r="M41" s="147">
        <f t="shared" ca="1" si="5"/>
        <v>0</v>
      </c>
      <c r="N41" s="148">
        <f ca="1">IF(AND(Option_SPW="Y",H41&gt;=Lock_In_Period,Z40&gt;SPW_Amount_pa+IF(option="Single",1/5*pr,2*pr),H41&gt;=SPW_Start_Year,H41&lt;=SPW_Start_Year+SPW_Duration-1,age+H41&gt;=Legal_Age),IF(AND(F41=0,SPW_Payout_Freq=1),SPW_Amount_pa,IF(AND(SPW_Payout_Freq=2,MOD(F41,6)=0),SPW_Amount_pa/SPW_Payout_Freq,IF(AND(SPW_Payout_Freq=4,MOD(F41,3)=0),SPW_Amount_pa/SPW_Payout_Freq,IF(SPW_Payout_Freq=12,SPW_Amount_pa/SPW_Payout_Freq,0)))),0)+IFERROR(VLOOKUP(H41,Input!$B$68:$C$74,2,0),0)*(F41=0)*(Option_PW="Y")*(Option_SPW="N")*(age+H41&gt;=Legal_Age)</f>
        <v>0</v>
      </c>
      <c r="O41" s="148">
        <f t="shared" ca="1" si="6"/>
        <v>0</v>
      </c>
      <c r="P41" s="14">
        <f ca="1">(MAX(MAX(sa-CF40*Flag_UL_Type,105%*SUM($I$7:I41))-(AD40+L41-N41)*Flag_UL_Type,0)*B41)</f>
        <v>2173005.0288828779</v>
      </c>
      <c r="Q41" s="213">
        <f t="shared" ca="1" si="46"/>
        <v>2265.3939593608834</v>
      </c>
      <c r="R41" s="14">
        <f t="shared" ca="1" si="7"/>
        <v>0</v>
      </c>
      <c r="S41" s="14">
        <f t="shared" ca="1" si="8"/>
        <v>0</v>
      </c>
      <c r="T41" s="14">
        <f>IFERROR(IF(WoP_Flag="Y",IF(fq=1,VLOOKUP(ppt*fq-H41,Charges!$AN$41:$AO$59,2,FALSE),IF(fq=2,VLOOKUP(ppt*fq-G41,Charges!$AP$41:$AQ$79,2,FALSE),VLOOKUP(ppt*fq-D41,Charges!$AR$41:$AS$279,2,FALSE)))*pr/fq,0),0)</f>
        <v>0</v>
      </c>
      <c r="U41" s="14">
        <f t="shared" ca="1" si="9"/>
        <v>0</v>
      </c>
      <c r="V41" s="34">
        <f>ROUND(MIN(IF(H41&gt;=7,Charges!$C$12*(1+Charges!$C$14)^((H41-7+1)),VLOOKUP(H41,Charges!$B$7:$C$12,2,0))*pr,Charges!$C$13)*B41,Round)</f>
        <v>450</v>
      </c>
      <c r="W41" s="14">
        <f t="shared" ca="1" si="10"/>
        <v>823790.80624507612</v>
      </c>
      <c r="X41" s="14">
        <f t="shared" ca="1" si="11"/>
        <v>829091.10109680099</v>
      </c>
      <c r="Y41" s="213">
        <f t="shared" ca="1" si="47"/>
        <v>933.23508850907842</v>
      </c>
      <c r="Z41" s="14">
        <f t="shared" ca="1" si="12"/>
        <v>827989.88369236025</v>
      </c>
      <c r="AA41" s="14">
        <f>IF(AND($H41=pt,$F41=11),SUM($K$7:K41)*VLOOKUP(pt,ROC,2,FALSE),0)</f>
        <v>0</v>
      </c>
      <c r="AB41" s="14">
        <f>IF(AND($H41=pt,$F41=11),SUM($V$7:V41)*VLOOKUP(pt,ROC,2,FALSE),0)</f>
        <v>0</v>
      </c>
      <c r="AC41" s="14">
        <f>IF(AND($H41=pt,$F41=11),SUM($Q$7:Q41)*VLOOKUP(pt,ROC,2,FALSE),0)</f>
        <v>0</v>
      </c>
      <c r="AD41" s="14">
        <f t="shared" ca="1" si="13"/>
        <v>827989.88369236025</v>
      </c>
      <c r="AE41" s="14">
        <f ca="1">(MAX(sa-CF40*Flag_UL_Type,105%*SUM($I$7:I41),Z41)+AU41)*B41</f>
        <v>3000000</v>
      </c>
      <c r="AF41" s="136"/>
      <c r="AG41" s="18">
        <v>35</v>
      </c>
      <c r="AH41" s="30">
        <f t="shared" ca="1" si="14"/>
        <v>0</v>
      </c>
      <c r="AI41" s="138"/>
      <c r="AJ41" s="50">
        <f>IF(AND(Option_Sys_TopUp&gt;="Y",H41&gt;=sytp,H41&lt;=(dtp+sytp-1),F41=0,H41&lt;=ppt+1),atp,0)+IFERROR(VLOOKUP(H41,Input!$B$55:$C$61,2,0),0)*(F41=0)*(Option_TopUP="Y")*(Option_Sys_TopUp="N")*B41*(pt&gt;=H41+5)</f>
        <v>0</v>
      </c>
      <c r="AK41" s="50">
        <f t="shared" si="15"/>
        <v>0</v>
      </c>
      <c r="AL41" s="50">
        <f t="shared" si="48"/>
        <v>0</v>
      </c>
      <c r="AM41" s="50">
        <f t="shared" ca="1" si="49"/>
        <v>0</v>
      </c>
      <c r="AN41" s="50">
        <f ca="1">IF(B41=0,0,AT41*(_rpm1+(1+_emr1)*VLOOKUP(E41,Tab_Mort_Charge,IF(Input!$C$12="M",2,3),0))*(0.001*0.0833)*Flag_Mort_Rider_Charge*(AT41&gt;0))</f>
        <v>0</v>
      </c>
      <c r="AO41" s="50">
        <f t="shared" ca="1" si="17"/>
        <v>0</v>
      </c>
      <c r="AP41" s="50">
        <f t="shared" ca="1" si="58"/>
        <v>0</v>
      </c>
      <c r="AQ41" s="50">
        <f t="shared" ca="1" si="18"/>
        <v>0</v>
      </c>
      <c r="AR41" s="50">
        <f t="shared" ca="1" si="19"/>
        <v>0</v>
      </c>
      <c r="AS41" s="50">
        <f t="shared" si="20"/>
        <v>0</v>
      </c>
      <c r="AT41" s="50">
        <f ca="1">(MAX((MAX(AS41,105%*SUM($AJ$7:AJ41))-AM41*Flag_UL_Type),0)*B41)</f>
        <v>0</v>
      </c>
      <c r="AU41" s="50">
        <f ca="1">(MAX(AS41,AR41,105%*SUM($AJ$7:AJ41))*B41)</f>
        <v>0</v>
      </c>
      <c r="AV41" s="125"/>
      <c r="AW41" s="13"/>
      <c r="AX41" s="13"/>
      <c r="AY41" s="13"/>
      <c r="AZ41" s="13"/>
      <c r="BA41" s="13"/>
      <c r="BG41" s="51">
        <f t="shared" si="30"/>
        <v>0</v>
      </c>
      <c r="BH41" s="51">
        <f t="shared" ca="1" si="31"/>
        <v>407.770912684959</v>
      </c>
      <c r="BI41" s="51">
        <f t="shared" ca="1" si="32"/>
        <v>0</v>
      </c>
      <c r="BJ41" s="51">
        <f t="shared" ca="1" si="33"/>
        <v>0</v>
      </c>
      <c r="BK41" s="51">
        <f t="shared" si="34"/>
        <v>81</v>
      </c>
      <c r="BL41" s="51">
        <f t="shared" ca="1" si="35"/>
        <v>167.9823159316341</v>
      </c>
      <c r="BM41" s="51">
        <f t="shared" si="36"/>
        <v>0</v>
      </c>
      <c r="BN41" s="51">
        <f t="shared" ca="1" si="37"/>
        <v>0</v>
      </c>
      <c r="BO41" s="51">
        <f t="shared" ca="1" si="38"/>
        <v>0</v>
      </c>
      <c r="BP41" s="51">
        <f t="shared" ca="1" si="39"/>
        <v>656.75322861659311</v>
      </c>
      <c r="BR41" s="32"/>
      <c r="BS41" s="126"/>
      <c r="BT41" s="16"/>
      <c r="BU41" s="58"/>
      <c r="BW41" s="51">
        <f>IF(Input!$C$13="Offline",VLOOKUP(H41,Charges!$AT$4:$AU$33,2,FALSE)*I41,0)</f>
        <v>0</v>
      </c>
      <c r="BX41" s="51">
        <f t="shared" si="40"/>
        <v>0</v>
      </c>
      <c r="BY41" s="51">
        <f t="shared" si="51"/>
        <v>0</v>
      </c>
      <c r="BZ41" s="151"/>
      <c r="CA41" s="151"/>
      <c r="CB41" s="32"/>
      <c r="CC41" s="16">
        <f ca="1">SUM($N$7:$N41)</f>
        <v>0</v>
      </c>
      <c r="CD41" s="16">
        <f t="shared" ca="1" si="41"/>
        <v>0</v>
      </c>
      <c r="CE41" s="16">
        <f t="shared" ca="1" si="42"/>
        <v>0</v>
      </c>
      <c r="CF41" s="7">
        <f t="shared" ca="1" si="43"/>
        <v>0</v>
      </c>
      <c r="CH41" s="7">
        <f t="shared" ca="1" si="44"/>
        <v>0</v>
      </c>
    </row>
    <row r="42" spans="2:86" s="7" customFormat="1" x14ac:dyDescent="0.2">
      <c r="B42" s="14">
        <f t="shared" si="0"/>
        <v>1</v>
      </c>
      <c r="C42" s="12">
        <f t="shared" si="1"/>
        <v>1</v>
      </c>
      <c r="D42" s="17">
        <f t="shared" si="52"/>
        <v>36</v>
      </c>
      <c r="E42" s="17">
        <f t="shared" ca="1" si="2"/>
        <v>62</v>
      </c>
      <c r="F42" s="12">
        <f t="shared" si="56"/>
        <v>11</v>
      </c>
      <c r="G42" s="12">
        <f t="shared" si="55"/>
        <v>6</v>
      </c>
      <c r="H42" s="17">
        <f t="shared" si="57"/>
        <v>3</v>
      </c>
      <c r="I42" s="29">
        <f t="shared" si="45"/>
        <v>0</v>
      </c>
      <c r="J42" s="211">
        <f>IFERROR(VLOOKUP(H42,Charges!$T$6:$U$35,2,0)*C42,0)</f>
        <v>0.96499999999999997</v>
      </c>
      <c r="K42" s="29">
        <f t="shared" si="3"/>
        <v>0</v>
      </c>
      <c r="L42" s="29">
        <f t="shared" si="4"/>
        <v>0</v>
      </c>
      <c r="M42" s="147">
        <f t="shared" ca="1" si="5"/>
        <v>0</v>
      </c>
      <c r="N42" s="148">
        <f ca="1">IF(AND(Option_SPW="Y",H42&gt;=Lock_In_Period,Z41&gt;SPW_Amount_pa+IF(option="Single",1/5*pr,2*pr),H42&gt;=SPW_Start_Year,H42&lt;=SPW_Start_Year+SPW_Duration-1,age+H42&gt;=Legal_Age),IF(AND(F42=0,SPW_Payout_Freq=1),SPW_Amount_pa,IF(AND(SPW_Payout_Freq=2,MOD(F42,6)=0),SPW_Amount_pa/SPW_Payout_Freq,IF(AND(SPW_Payout_Freq=4,MOD(F42,3)=0),SPW_Amount_pa/SPW_Payout_Freq,IF(SPW_Payout_Freq=12,SPW_Amount_pa/SPW_Payout_Freq,0)))),0)+IFERROR(VLOOKUP(H42,Input!$B$68:$C$74,2,0),0)*(F42=0)*(Option_PW="Y")*(Option_SPW="N")*(age+H42&gt;=Legal_Age)</f>
        <v>0</v>
      </c>
      <c r="O42" s="148">
        <f t="shared" ca="1" si="6"/>
        <v>0</v>
      </c>
      <c r="P42" s="14">
        <f ca="1">(MAX(MAX(sa-CF41*Flag_UL_Type,105%*SUM($I$7:I42))-(AD41+L42-N42)*Flag_UL_Type,0)*B42)</f>
        <v>2172010.1163076395</v>
      </c>
      <c r="Q42" s="213">
        <f t="shared" ca="1" si="46"/>
        <v>2264.3567464193166</v>
      </c>
      <c r="R42" s="14">
        <f t="shared" ca="1" si="7"/>
        <v>0</v>
      </c>
      <c r="S42" s="14">
        <f t="shared" ca="1" si="8"/>
        <v>0</v>
      </c>
      <c r="T42" s="14">
        <f>IFERROR(IF(WoP_Flag="Y",IF(fq=1,VLOOKUP(ppt*fq-H42,Charges!$AN$41:$AO$59,2,FALSE),IF(fq=2,VLOOKUP(ppt*fq-G42,Charges!$AP$41:$AQ$79,2,FALSE),VLOOKUP(ppt*fq-D42,Charges!$AR$41:$AS$279,2,FALSE)))*pr/fq,0),0)</f>
        <v>0</v>
      </c>
      <c r="U42" s="14">
        <f t="shared" ca="1" si="9"/>
        <v>0</v>
      </c>
      <c r="V42" s="34">
        <f>ROUND(MIN(IF(H42&gt;=7,Charges!$C$12*(1+Charges!$C$14)^((H42-7+1)),VLOOKUP(H42,Charges!$B$7:$C$12,2,0))*pr,Charges!$C$13)*B42,Round)</f>
        <v>450</v>
      </c>
      <c r="W42" s="14">
        <f t="shared" ca="1" si="10"/>
        <v>824786.94273158547</v>
      </c>
      <c r="X42" s="14">
        <f t="shared" ca="1" si="11"/>
        <v>830093.64675545821</v>
      </c>
      <c r="Y42" s="213">
        <f t="shared" ca="1" si="47"/>
        <v>934.36356617004185</v>
      </c>
      <c r="Z42" s="14">
        <f t="shared" ca="1" si="12"/>
        <v>828991.09774737759</v>
      </c>
      <c r="AA42" s="14">
        <f>IF(AND($H42=pt,$F42=11),SUM($K$7:K42)*VLOOKUP(pt,ROC,2,FALSE),0)</f>
        <v>0</v>
      </c>
      <c r="AB42" s="14">
        <f>IF(AND($H42=pt,$F42=11),SUM($V$7:V42)*VLOOKUP(pt,ROC,2,FALSE),0)</f>
        <v>0</v>
      </c>
      <c r="AC42" s="14">
        <f>IF(AND($H42=pt,$F42=11),SUM($Q$7:Q42)*VLOOKUP(pt,ROC,2,FALSE),0)</f>
        <v>0</v>
      </c>
      <c r="AD42" s="14">
        <f t="shared" ca="1" si="13"/>
        <v>828991.09774737759</v>
      </c>
      <c r="AE42" s="14">
        <f ca="1">(MAX(sa-CF41*Flag_UL_Type,105%*SUM($I$7:I42),Z42)+AU42)*B42</f>
        <v>3000000</v>
      </c>
      <c r="AF42" s="136"/>
      <c r="AG42" s="18">
        <v>36</v>
      </c>
      <c r="AH42" s="30">
        <f t="shared" ca="1" si="14"/>
        <v>0</v>
      </c>
      <c r="AI42" s="138"/>
      <c r="AJ42" s="50">
        <f>IF(AND(Option_Sys_TopUp&gt;="Y",H42&gt;=sytp,H42&lt;=(dtp+sytp-1),F42=0,H42&lt;=ppt+1),atp,0)+IFERROR(VLOOKUP(H42,Input!$B$55:$C$61,2,0),0)*(F42=0)*(Option_TopUP="Y")*(Option_Sys_TopUp="N")*B42*(pt&gt;=H42+5)</f>
        <v>0</v>
      </c>
      <c r="AK42" s="50">
        <f t="shared" si="15"/>
        <v>0</v>
      </c>
      <c r="AL42" s="50">
        <f t="shared" si="48"/>
        <v>0</v>
      </c>
      <c r="AM42" s="50">
        <f t="shared" ca="1" si="49"/>
        <v>0</v>
      </c>
      <c r="AN42" s="50">
        <f ca="1">IF(B42=0,0,AT42*(_rpm1+(1+_emr1)*VLOOKUP(E42,Tab_Mort_Charge,IF(Input!$C$12="M",2,3),0))*(0.001*0.0833)*Flag_Mort_Rider_Charge*(AT42&gt;0))</f>
        <v>0</v>
      </c>
      <c r="AO42" s="50">
        <f t="shared" ca="1" si="17"/>
        <v>0</v>
      </c>
      <c r="AP42" s="50">
        <f t="shared" ca="1" si="58"/>
        <v>0</v>
      </c>
      <c r="AQ42" s="50">
        <f t="shared" ca="1" si="18"/>
        <v>0</v>
      </c>
      <c r="AR42" s="50">
        <f t="shared" ca="1" si="19"/>
        <v>0</v>
      </c>
      <c r="AS42" s="50">
        <f t="shared" si="20"/>
        <v>0</v>
      </c>
      <c r="AT42" s="50">
        <f ca="1">(MAX((MAX(AS42,105%*SUM($AJ$7:AJ42))-AM42*Flag_UL_Type),0)*B42)</f>
        <v>0</v>
      </c>
      <c r="AU42" s="50">
        <f ca="1">(MAX(AS42,AR42,105%*SUM($AJ$7:AJ42))*B42)</f>
        <v>0</v>
      </c>
      <c r="AV42" s="125"/>
      <c r="AW42" s="13"/>
      <c r="AX42" s="13"/>
      <c r="AY42" s="13"/>
      <c r="AZ42" s="13"/>
      <c r="BA42" s="13"/>
      <c r="BG42" s="51">
        <f t="shared" si="30"/>
        <v>0</v>
      </c>
      <c r="BH42" s="51">
        <f t="shared" ca="1" si="31"/>
        <v>407.584214355477</v>
      </c>
      <c r="BI42" s="51">
        <f t="shared" ca="1" si="32"/>
        <v>0</v>
      </c>
      <c r="BJ42" s="51">
        <f t="shared" ca="1" si="33"/>
        <v>0</v>
      </c>
      <c r="BK42" s="51">
        <f t="shared" si="34"/>
        <v>81</v>
      </c>
      <c r="BL42" s="51">
        <f t="shared" ca="1" si="35"/>
        <v>168.18544191060752</v>
      </c>
      <c r="BM42" s="51">
        <f t="shared" si="36"/>
        <v>0</v>
      </c>
      <c r="BN42" s="51">
        <f t="shared" ca="1" si="37"/>
        <v>0</v>
      </c>
      <c r="BO42" s="51">
        <f t="shared" ca="1" si="38"/>
        <v>0</v>
      </c>
      <c r="BP42" s="51">
        <f t="shared" ca="1" si="39"/>
        <v>656.76965626608455</v>
      </c>
      <c r="BR42" s="32"/>
      <c r="BS42" s="126"/>
      <c r="BT42" s="16"/>
      <c r="BU42" s="58"/>
      <c r="BW42" s="51">
        <f>IF(Input!$C$13="Offline",VLOOKUP(H42,Charges!$AT$4:$AU$33,2,FALSE)*I42,0)</f>
        <v>0</v>
      </c>
      <c r="BX42" s="51">
        <f t="shared" si="40"/>
        <v>0</v>
      </c>
      <c r="BY42" s="51">
        <f t="shared" si="51"/>
        <v>0</v>
      </c>
      <c r="BZ42" s="151"/>
      <c r="CA42" s="151"/>
      <c r="CB42" s="32"/>
      <c r="CC42" s="16">
        <f ca="1">SUM($N$7:$N42)</f>
        <v>0</v>
      </c>
      <c r="CD42" s="16">
        <f t="shared" ca="1" si="41"/>
        <v>0</v>
      </c>
      <c r="CE42" s="16">
        <f t="shared" ca="1" si="42"/>
        <v>0</v>
      </c>
      <c r="CF42" s="7">
        <f t="shared" ca="1" si="43"/>
        <v>0</v>
      </c>
      <c r="CH42" s="7">
        <f t="shared" ca="1" si="44"/>
        <v>0</v>
      </c>
    </row>
    <row r="43" spans="2:86" s="7" customFormat="1" x14ac:dyDescent="0.2">
      <c r="B43" s="14">
        <f t="shared" si="0"/>
        <v>1</v>
      </c>
      <c r="C43" s="12">
        <f t="shared" si="1"/>
        <v>1</v>
      </c>
      <c r="D43" s="17">
        <f t="shared" si="52"/>
        <v>37</v>
      </c>
      <c r="E43" s="17">
        <f t="shared" ca="1" si="2"/>
        <v>63</v>
      </c>
      <c r="F43" s="12">
        <f t="shared" si="56"/>
        <v>0</v>
      </c>
      <c r="G43" s="12">
        <f t="shared" si="55"/>
        <v>7</v>
      </c>
      <c r="H43" s="17">
        <f t="shared" si="57"/>
        <v>4</v>
      </c>
      <c r="I43" s="29">
        <f t="shared" si="45"/>
        <v>300000</v>
      </c>
      <c r="J43" s="211">
        <f>IFERROR(VLOOKUP(H43,Charges!$T$6:$U$35,2,0)*C43,0)</f>
        <v>0.96499999999999997</v>
      </c>
      <c r="K43" s="29">
        <f t="shared" si="3"/>
        <v>10500</v>
      </c>
      <c r="L43" s="29">
        <f t="shared" si="4"/>
        <v>287610</v>
      </c>
      <c r="M43" s="147">
        <f t="shared" ca="1" si="5"/>
        <v>0</v>
      </c>
      <c r="N43" s="148">
        <f ca="1">IF(AND(Option_SPW="Y",H43&gt;=Lock_In_Period,Z42&gt;SPW_Amount_pa+IF(option="Single",1/5*pr,2*pr),H43&gt;=SPW_Start_Year,H43&lt;=SPW_Start_Year+SPW_Duration-1,age+H43&gt;=Legal_Age),IF(AND(F43=0,SPW_Payout_Freq=1),SPW_Amount_pa,IF(AND(SPW_Payout_Freq=2,MOD(F43,6)=0),SPW_Amount_pa/SPW_Payout_Freq,IF(AND(SPW_Payout_Freq=4,MOD(F43,3)=0),SPW_Amount_pa/SPW_Payout_Freq,IF(SPW_Payout_Freq=12,SPW_Amount_pa/SPW_Payout_Freq,0)))),0)+IFERROR(VLOOKUP(H43,Input!$B$68:$C$74,2,0),0)*(F43=0)*(Option_PW="Y")*(Option_SPW="N")*(age+H43&gt;=Legal_Age)</f>
        <v>0</v>
      </c>
      <c r="O43" s="148">
        <f t="shared" ca="1" si="6"/>
        <v>0</v>
      </c>
      <c r="P43" s="14">
        <f ca="1">(MAX(MAX(sa-CF42*Flag_UL_Type,105%*SUM($I$7:I43))-(AD42+L43-N43)*Flag_UL_Type,0)*B43)</f>
        <v>1883398.9022526224</v>
      </c>
      <c r="Q43" s="213">
        <f t="shared" ca="1" si="46"/>
        <v>2106.4090272701833</v>
      </c>
      <c r="R43" s="14">
        <f t="shared" ca="1" si="7"/>
        <v>0</v>
      </c>
      <c r="S43" s="14">
        <f t="shared" ca="1" si="8"/>
        <v>0</v>
      </c>
      <c r="T43" s="14">
        <f>IFERROR(IF(WoP_Flag="Y",IF(fq=1,VLOOKUP(ppt*fq-H43,Charges!$AN$41:$AO$59,2,FALSE),IF(fq=2,VLOOKUP(ppt*fq-G43,Charges!$AP$41:$AQ$79,2,FALSE),VLOOKUP(ppt*fq-D43,Charges!$AR$41:$AS$279,2,FALSE)))*pr/fq,0),0)</f>
        <v>0</v>
      </c>
      <c r="U43" s="14">
        <f t="shared" ca="1" si="9"/>
        <v>0</v>
      </c>
      <c r="V43" s="34">
        <f>ROUND(MIN(IF(H43&gt;=7,Charges!$C$12*(1+Charges!$C$14)^((H43-7+1)),VLOOKUP(H43,Charges!$B$7:$C$12,2,0))*pr,Charges!$C$13)*B43,Round)</f>
        <v>450</v>
      </c>
      <c r="W43" s="14">
        <f t="shared" ca="1" si="10"/>
        <v>1113584.5350951988</v>
      </c>
      <c r="X43" s="14">
        <f t="shared" ca="1" si="11"/>
        <v>1120749.3715240355</v>
      </c>
      <c r="Y43" s="213">
        <f t="shared" ca="1" si="47"/>
        <v>1261.5292065577362</v>
      </c>
      <c r="Z43" s="14">
        <f t="shared" ca="1" si="12"/>
        <v>1119260.7670602973</v>
      </c>
      <c r="AA43" s="14">
        <f>IF(AND($H43=pt,$F43=11),SUM($K$7:K43)*VLOOKUP(pt,ROC,2,FALSE),0)</f>
        <v>0</v>
      </c>
      <c r="AB43" s="14">
        <f>IF(AND($H43=pt,$F43=11),SUM($V$7:V43)*VLOOKUP(pt,ROC,2,FALSE),0)</f>
        <v>0</v>
      </c>
      <c r="AC43" s="14">
        <f>IF(AND($H43=pt,$F43=11),SUM($Q$7:Q43)*VLOOKUP(pt,ROC,2,FALSE),0)</f>
        <v>0</v>
      </c>
      <c r="AD43" s="14">
        <f t="shared" ca="1" si="13"/>
        <v>1119260.7670602973</v>
      </c>
      <c r="AE43" s="14">
        <f ca="1">(MAX(sa-CF42*Flag_UL_Type,105%*SUM($I$7:I43),Z43)+AU43)*B43</f>
        <v>3000000</v>
      </c>
      <c r="AF43" s="136"/>
      <c r="AG43" s="18">
        <v>37</v>
      </c>
      <c r="AH43" s="30">
        <f t="shared" ca="1" si="14"/>
        <v>300000</v>
      </c>
      <c r="AI43" s="138"/>
      <c r="AJ43" s="50">
        <f>IF(AND(Option_Sys_TopUp&gt;="Y",H43&gt;=sytp,H43&lt;=(dtp+sytp-1),F43=0,H43&lt;=ppt+1),atp,0)+IFERROR(VLOOKUP(H43,Input!$B$55:$C$61,2,0),0)*(F43=0)*(Option_TopUP="Y")*(Option_Sys_TopUp="N")*B43*(pt&gt;=H43+5)</f>
        <v>0</v>
      </c>
      <c r="AK43" s="50">
        <f t="shared" si="15"/>
        <v>0</v>
      </c>
      <c r="AL43" s="50">
        <f t="shared" si="48"/>
        <v>0</v>
      </c>
      <c r="AM43" s="50">
        <f t="shared" ca="1" si="49"/>
        <v>0</v>
      </c>
      <c r="AN43" s="50">
        <f ca="1">IF(B43=0,0,AT43*(_rpm1+(1+_emr1)*VLOOKUP(E43,Tab_Mort_Charge,IF(Input!$C$12="M",2,3),0))*(0.001*0.0833)*Flag_Mort_Rider_Charge*(AT43&gt;0))</f>
        <v>0</v>
      </c>
      <c r="AO43" s="50">
        <f t="shared" ca="1" si="17"/>
        <v>0</v>
      </c>
      <c r="AP43" s="50">
        <f t="shared" ca="1" si="58"/>
        <v>0</v>
      </c>
      <c r="AQ43" s="50">
        <f t="shared" ca="1" si="18"/>
        <v>0</v>
      </c>
      <c r="AR43" s="50">
        <f t="shared" ca="1" si="19"/>
        <v>0</v>
      </c>
      <c r="AS43" s="50">
        <f t="shared" si="20"/>
        <v>0</v>
      </c>
      <c r="AT43" s="50">
        <f ca="1">(MAX((MAX(AS43,105%*SUM($AJ$7:AJ43))-AM43*Flag_UL_Type),0)*B43)</f>
        <v>0</v>
      </c>
      <c r="AU43" s="50">
        <f ca="1">(MAX(AS43,AR43,105%*SUM($AJ$7:AJ43))*B43)</f>
        <v>0</v>
      </c>
      <c r="AV43" s="125"/>
      <c r="AW43" s="13"/>
      <c r="AX43" s="13"/>
      <c r="AY43" s="13"/>
      <c r="AZ43" s="13"/>
      <c r="BA43" s="13"/>
      <c r="BG43" s="51">
        <f t="shared" si="30"/>
        <v>1890</v>
      </c>
      <c r="BH43" s="51">
        <f t="shared" ca="1" si="31"/>
        <v>379.15362490863299</v>
      </c>
      <c r="BI43" s="51">
        <f t="shared" ca="1" si="32"/>
        <v>0</v>
      </c>
      <c r="BJ43" s="51">
        <f t="shared" ca="1" si="33"/>
        <v>0</v>
      </c>
      <c r="BK43" s="51">
        <f t="shared" si="34"/>
        <v>81</v>
      </c>
      <c r="BL43" s="51">
        <f t="shared" ca="1" si="35"/>
        <v>227.0752571803925</v>
      </c>
      <c r="BM43" s="51">
        <f t="shared" si="36"/>
        <v>0</v>
      </c>
      <c r="BN43" s="51">
        <f t="shared" ca="1" si="37"/>
        <v>0</v>
      </c>
      <c r="BO43" s="51">
        <f t="shared" ca="1" si="38"/>
        <v>0</v>
      </c>
      <c r="BP43" s="51">
        <f t="shared" ca="1" si="39"/>
        <v>2577.2288820890253</v>
      </c>
      <c r="BR43" s="32"/>
      <c r="BS43" s="126"/>
      <c r="BT43" s="16"/>
      <c r="BU43" s="58"/>
      <c r="BW43" s="51">
        <f>IF(Input!$C$13="Offline",VLOOKUP(H43,Charges!$AT$4:$AU$33,2,FALSE)*I43,0)</f>
        <v>3000</v>
      </c>
      <c r="BX43" s="51">
        <f t="shared" si="40"/>
        <v>0</v>
      </c>
      <c r="BY43" s="51">
        <f t="shared" si="51"/>
        <v>3000</v>
      </c>
      <c r="BZ43" s="151"/>
      <c r="CA43" s="151"/>
      <c r="CB43" s="32"/>
      <c r="CC43" s="16">
        <f ca="1">SUM($N$7:$N43)</f>
        <v>0</v>
      </c>
      <c r="CD43" s="16">
        <f t="shared" ca="1" si="41"/>
        <v>0</v>
      </c>
      <c r="CE43" s="16">
        <f t="shared" ca="1" si="42"/>
        <v>0</v>
      </c>
      <c r="CF43" s="7">
        <f t="shared" ca="1" si="43"/>
        <v>0</v>
      </c>
      <c r="CH43" s="7">
        <f t="shared" ca="1" si="44"/>
        <v>0</v>
      </c>
    </row>
    <row r="44" spans="2:86" s="7" customFormat="1" x14ac:dyDescent="0.2">
      <c r="B44" s="14">
        <f t="shared" si="0"/>
        <v>1</v>
      </c>
      <c r="C44" s="12">
        <f t="shared" si="1"/>
        <v>1</v>
      </c>
      <c r="D44" s="17">
        <f t="shared" si="52"/>
        <v>38</v>
      </c>
      <c r="E44" s="17">
        <f t="shared" ca="1" si="2"/>
        <v>63</v>
      </c>
      <c r="F44" s="12">
        <f t="shared" si="56"/>
        <v>1</v>
      </c>
      <c r="G44" s="12">
        <f t="shared" si="55"/>
        <v>7</v>
      </c>
      <c r="H44" s="17">
        <f t="shared" si="57"/>
        <v>4</v>
      </c>
      <c r="I44" s="29">
        <f t="shared" si="45"/>
        <v>0</v>
      </c>
      <c r="J44" s="211">
        <f>IFERROR(VLOOKUP(H44,Charges!$T$6:$U$35,2,0)*C44,0)</f>
        <v>0.96499999999999997</v>
      </c>
      <c r="K44" s="29">
        <f t="shared" si="3"/>
        <v>0</v>
      </c>
      <c r="L44" s="29">
        <f t="shared" si="4"/>
        <v>0</v>
      </c>
      <c r="M44" s="147">
        <f t="shared" ca="1" si="5"/>
        <v>0</v>
      </c>
      <c r="N44" s="148">
        <f ca="1">IF(AND(Option_SPW="Y",H44&gt;=Lock_In_Period,Z43&gt;SPW_Amount_pa+IF(option="Single",1/5*pr,2*pr),H44&gt;=SPW_Start_Year,H44&lt;=SPW_Start_Year+SPW_Duration-1,age+H44&gt;=Legal_Age),IF(AND(F44=0,SPW_Payout_Freq=1),SPW_Amount_pa,IF(AND(SPW_Payout_Freq=2,MOD(F44,6)=0),SPW_Amount_pa/SPW_Payout_Freq,IF(AND(SPW_Payout_Freq=4,MOD(F44,3)=0),SPW_Amount_pa/SPW_Payout_Freq,IF(SPW_Payout_Freq=12,SPW_Amount_pa/SPW_Payout_Freq,0)))),0)+IFERROR(VLOOKUP(H44,Input!$B$68:$C$74,2,0),0)*(F44=0)*(Option_PW="Y")*(Option_SPW="N")*(age+H44&gt;=Legal_Age)</f>
        <v>0</v>
      </c>
      <c r="O44" s="148">
        <f t="shared" ca="1" si="6"/>
        <v>0</v>
      </c>
      <c r="P44" s="14">
        <f ca="1">(MAX(MAX(sa-CF43*Flag_UL_Type,105%*SUM($I$7:I44))-(AD43+L44-N44)*Flag_UL_Type,0)*B44)</f>
        <v>1880739.2329397027</v>
      </c>
      <c r="Q44" s="213">
        <f t="shared" ca="1" si="46"/>
        <v>2103.4344309467083</v>
      </c>
      <c r="R44" s="14">
        <f t="shared" ca="1" si="7"/>
        <v>0</v>
      </c>
      <c r="S44" s="14">
        <f t="shared" ca="1" si="8"/>
        <v>0</v>
      </c>
      <c r="T44" s="14">
        <f>IFERROR(IF(WoP_Flag="Y",IF(fq=1,VLOOKUP(ppt*fq-H44,Charges!$AN$41:$AO$59,2,FALSE),IF(fq=2,VLOOKUP(ppt*fq-G44,Charges!$AP$41:$AQ$79,2,FALSE),VLOOKUP(ppt*fq-D44,Charges!$AR$41:$AS$279,2,FALSE)))*pr/fq,0),0)</f>
        <v>0</v>
      </c>
      <c r="U44" s="14">
        <f t="shared" ca="1" si="9"/>
        <v>0</v>
      </c>
      <c r="V44" s="34">
        <f>ROUND(MIN(IF(H44&gt;=7,Charges!$C$12*(1+Charges!$C$14)^((H44-7+1)),VLOOKUP(H44,Charges!$B$7:$C$12,2,0))*pr,Charges!$C$13)*B44,Round)</f>
        <v>450</v>
      </c>
      <c r="W44" s="14">
        <f t="shared" ca="1" si="10"/>
        <v>1116247.7144317802</v>
      </c>
      <c r="X44" s="14">
        <f t="shared" ca="1" si="11"/>
        <v>1123429.6858366567</v>
      </c>
      <c r="Y44" s="213">
        <f t="shared" ca="1" si="47"/>
        <v>1264.5462011454988</v>
      </c>
      <c r="Z44" s="14">
        <f t="shared" ca="1" si="12"/>
        <v>1121937.5213193051</v>
      </c>
      <c r="AA44" s="14">
        <f>IF(AND($H44=pt,$F44=11),SUM($K$7:K44)*VLOOKUP(pt,ROC,2,FALSE),0)</f>
        <v>0</v>
      </c>
      <c r="AB44" s="14">
        <f>IF(AND($H44=pt,$F44=11),SUM($V$7:V44)*VLOOKUP(pt,ROC,2,FALSE),0)</f>
        <v>0</v>
      </c>
      <c r="AC44" s="14">
        <f>IF(AND($H44=pt,$F44=11),SUM($Q$7:Q44)*VLOOKUP(pt,ROC,2,FALSE),0)</f>
        <v>0</v>
      </c>
      <c r="AD44" s="14">
        <f t="shared" ca="1" si="13"/>
        <v>1121937.5213193051</v>
      </c>
      <c r="AE44" s="14">
        <f ca="1">(MAX(sa-CF43*Flag_UL_Type,105%*SUM($I$7:I44),Z44)+AU44)*B44</f>
        <v>3000000</v>
      </c>
      <c r="AF44" s="136"/>
      <c r="AG44" s="18">
        <v>38</v>
      </c>
      <c r="AH44" s="30">
        <f t="shared" ca="1" si="14"/>
        <v>0</v>
      </c>
      <c r="AI44" s="138"/>
      <c r="AJ44" s="50">
        <f>IF(AND(Option_Sys_TopUp&gt;="Y",H44&gt;=sytp,H44&lt;=(dtp+sytp-1),F44=0,H44&lt;=ppt+1),atp,0)+IFERROR(VLOOKUP(H44,Input!$B$55:$C$61,2,0),0)*(F44=0)*(Option_TopUP="Y")*(Option_Sys_TopUp="N")*B44*(pt&gt;=H44+5)</f>
        <v>0</v>
      </c>
      <c r="AK44" s="50">
        <f t="shared" si="15"/>
        <v>0</v>
      </c>
      <c r="AL44" s="50">
        <f t="shared" si="48"/>
        <v>0</v>
      </c>
      <c r="AM44" s="50">
        <f t="shared" ca="1" si="49"/>
        <v>0</v>
      </c>
      <c r="AN44" s="50">
        <f ca="1">IF(B44=0,0,AT44*(_rpm1+(1+_emr1)*VLOOKUP(E44,Tab_Mort_Charge,IF(Input!$C$12="M",2,3),0))*(0.001*0.0833)*Flag_Mort_Rider_Charge*(AT44&gt;0))</f>
        <v>0</v>
      </c>
      <c r="AO44" s="50">
        <f t="shared" ca="1" si="17"/>
        <v>0</v>
      </c>
      <c r="AP44" s="50">
        <f t="shared" ca="1" si="58"/>
        <v>0</v>
      </c>
      <c r="AQ44" s="50">
        <f t="shared" ca="1" si="18"/>
        <v>0</v>
      </c>
      <c r="AR44" s="50">
        <f t="shared" ca="1" si="19"/>
        <v>0</v>
      </c>
      <c r="AS44" s="50">
        <f t="shared" si="20"/>
        <v>0</v>
      </c>
      <c r="AT44" s="50">
        <f ca="1">(MAX((MAX(AS44,105%*SUM($AJ$7:AJ44))-AM44*Flag_UL_Type),0)*B44)</f>
        <v>0</v>
      </c>
      <c r="AU44" s="50">
        <f ca="1">(MAX(AS44,AR44,105%*SUM($AJ$7:AJ44))*B44)</f>
        <v>0</v>
      </c>
      <c r="AV44" s="125"/>
      <c r="AW44" s="13"/>
      <c r="AX44" s="13"/>
      <c r="AY44" s="13"/>
      <c r="AZ44" s="13"/>
      <c r="BA44" s="13"/>
      <c r="BG44" s="51">
        <f t="shared" si="30"/>
        <v>0</v>
      </c>
      <c r="BH44" s="51">
        <f t="shared" ca="1" si="31"/>
        <v>378.61819757040701</v>
      </c>
      <c r="BI44" s="51">
        <f t="shared" ca="1" si="32"/>
        <v>0</v>
      </c>
      <c r="BJ44" s="51">
        <f t="shared" ca="1" si="33"/>
        <v>0</v>
      </c>
      <c r="BK44" s="51">
        <f t="shared" si="34"/>
        <v>81</v>
      </c>
      <c r="BL44" s="51">
        <f t="shared" ca="1" si="35"/>
        <v>227.61831620618977</v>
      </c>
      <c r="BM44" s="51">
        <f t="shared" si="36"/>
        <v>0</v>
      </c>
      <c r="BN44" s="51">
        <f t="shared" ca="1" si="37"/>
        <v>0</v>
      </c>
      <c r="BO44" s="51">
        <f t="shared" ca="1" si="38"/>
        <v>0</v>
      </c>
      <c r="BP44" s="51">
        <f t="shared" ca="1" si="39"/>
        <v>687.23651377659678</v>
      </c>
      <c r="BR44" s="32"/>
      <c r="BS44" s="126"/>
      <c r="BT44" s="16"/>
      <c r="BU44" s="58"/>
      <c r="BW44" s="51">
        <f>IF(Input!$C$13="Offline",VLOOKUP(H44,Charges!$AT$4:$AU$33,2,FALSE)*I44,0)</f>
        <v>0</v>
      </c>
      <c r="BX44" s="51">
        <f t="shared" si="40"/>
        <v>0</v>
      </c>
      <c r="BY44" s="51">
        <f t="shared" si="51"/>
        <v>0</v>
      </c>
      <c r="BZ44" s="151"/>
      <c r="CA44" s="151"/>
      <c r="CB44" s="32"/>
      <c r="CC44" s="16">
        <f ca="1">SUM($N$7:$N44)</f>
        <v>0</v>
      </c>
      <c r="CD44" s="16">
        <f t="shared" ca="1" si="41"/>
        <v>0</v>
      </c>
      <c r="CE44" s="16">
        <f t="shared" ca="1" si="42"/>
        <v>0</v>
      </c>
      <c r="CF44" s="7">
        <f t="shared" ca="1" si="43"/>
        <v>0</v>
      </c>
      <c r="CH44" s="7">
        <f t="shared" ca="1" si="44"/>
        <v>0</v>
      </c>
    </row>
    <row r="45" spans="2:86" s="7" customFormat="1" x14ac:dyDescent="0.2">
      <c r="B45" s="14">
        <f t="shared" si="0"/>
        <v>1</v>
      </c>
      <c r="C45" s="12">
        <f t="shared" si="1"/>
        <v>1</v>
      </c>
      <c r="D45" s="17">
        <f t="shared" si="52"/>
        <v>39</v>
      </c>
      <c r="E45" s="17">
        <f t="shared" ca="1" si="2"/>
        <v>63</v>
      </c>
      <c r="F45" s="12">
        <f t="shared" si="56"/>
        <v>2</v>
      </c>
      <c r="G45" s="12">
        <f t="shared" si="55"/>
        <v>7</v>
      </c>
      <c r="H45" s="17">
        <f t="shared" si="57"/>
        <v>4</v>
      </c>
      <c r="I45" s="29">
        <f t="shared" si="45"/>
        <v>0</v>
      </c>
      <c r="J45" s="211">
        <f>IFERROR(VLOOKUP(H45,Charges!$T$6:$U$35,2,0)*C45,0)</f>
        <v>0.96499999999999997</v>
      </c>
      <c r="K45" s="29">
        <f t="shared" si="3"/>
        <v>0</v>
      </c>
      <c r="L45" s="29">
        <f t="shared" si="4"/>
        <v>0</v>
      </c>
      <c r="M45" s="147">
        <f t="shared" ca="1" si="5"/>
        <v>0</v>
      </c>
      <c r="N45" s="148">
        <f ca="1">IF(AND(Option_SPW="Y",H45&gt;=Lock_In_Period,Z44&gt;SPW_Amount_pa+IF(option="Single",1/5*pr,2*pr),H45&gt;=SPW_Start_Year,H45&lt;=SPW_Start_Year+SPW_Duration-1,age+H45&gt;=Legal_Age),IF(AND(F45=0,SPW_Payout_Freq=1),SPW_Amount_pa,IF(AND(SPW_Payout_Freq=2,MOD(F45,6)=0),SPW_Amount_pa/SPW_Payout_Freq,IF(AND(SPW_Payout_Freq=4,MOD(F45,3)=0),SPW_Amount_pa/SPW_Payout_Freq,IF(SPW_Payout_Freq=12,SPW_Amount_pa/SPW_Payout_Freq,0)))),0)+IFERROR(VLOOKUP(H45,Input!$B$68:$C$74,2,0),0)*(F45=0)*(Option_PW="Y")*(Option_SPW="N")*(age+H45&gt;=Legal_Age)</f>
        <v>0</v>
      </c>
      <c r="O45" s="148">
        <f t="shared" ca="1" si="6"/>
        <v>0</v>
      </c>
      <c r="P45" s="14">
        <f ca="1">(MAX(MAX(sa-CF44*Flag_UL_Type,105%*SUM($I$7:I45))-(AD44+L45-N45)*Flag_UL_Type,0)*B45)</f>
        <v>1878062.4786806949</v>
      </c>
      <c r="Q45" s="213">
        <f t="shared" ca="1" si="46"/>
        <v>2100.4407266771418</v>
      </c>
      <c r="R45" s="14">
        <f t="shared" ca="1" si="7"/>
        <v>0</v>
      </c>
      <c r="S45" s="14">
        <f t="shared" ca="1" si="8"/>
        <v>0</v>
      </c>
      <c r="T45" s="14">
        <f>IFERROR(IF(WoP_Flag="Y",IF(fq=1,VLOOKUP(ppt*fq-H45,Charges!$AN$41:$AO$59,2,FALSE),IF(fq=2,VLOOKUP(ppt*fq-G45,Charges!$AP$41:$AQ$79,2,FALSE),VLOOKUP(ppt*fq-D45,Charges!$AR$41:$AS$279,2,FALSE)))*pr/fq,0),0)</f>
        <v>0</v>
      </c>
      <c r="U45" s="14">
        <f t="shared" ca="1" si="9"/>
        <v>0</v>
      </c>
      <c r="V45" s="34">
        <f>ROUND(MIN(IF(H45&gt;=7,Charges!$C$12*(1+Charges!$C$14)^((H45-7+1)),VLOOKUP(H45,Charges!$B$7:$C$12,2,0))*pr,Charges!$C$13)*B45,Round)</f>
        <v>450</v>
      </c>
      <c r="W45" s="14">
        <f t="shared" ca="1" si="10"/>
        <v>1118928.0012618261</v>
      </c>
      <c r="X45" s="14">
        <f t="shared" ca="1" si="11"/>
        <v>1126127.2177128708</v>
      </c>
      <c r="Y45" s="213">
        <f t="shared" ca="1" si="47"/>
        <v>1267.5825760335231</v>
      </c>
      <c r="Z45" s="14">
        <f t="shared" ca="1" si="12"/>
        <v>1124631.4702731513</v>
      </c>
      <c r="AA45" s="14">
        <f>IF(AND($H45=pt,$F45=11),SUM($K$7:K45)*VLOOKUP(pt,ROC,2,FALSE),0)</f>
        <v>0</v>
      </c>
      <c r="AB45" s="14">
        <f>IF(AND($H45=pt,$F45=11),SUM($V$7:V45)*VLOOKUP(pt,ROC,2,FALSE),0)</f>
        <v>0</v>
      </c>
      <c r="AC45" s="14">
        <f>IF(AND($H45=pt,$F45=11),SUM($Q$7:Q45)*VLOOKUP(pt,ROC,2,FALSE),0)</f>
        <v>0</v>
      </c>
      <c r="AD45" s="14">
        <f t="shared" ca="1" si="13"/>
        <v>1124631.4702731513</v>
      </c>
      <c r="AE45" s="14">
        <f ca="1">(MAX(sa-CF44*Flag_UL_Type,105%*SUM($I$7:I45),Z45)+AU45)*B45</f>
        <v>3000000</v>
      </c>
      <c r="AF45" s="136"/>
      <c r="AG45" s="18">
        <v>39</v>
      </c>
      <c r="AH45" s="30">
        <f t="shared" ca="1" si="14"/>
        <v>0</v>
      </c>
      <c r="AI45" s="138"/>
      <c r="AJ45" s="50">
        <f>IF(AND(Option_Sys_TopUp&gt;="Y",H45&gt;=sytp,H45&lt;=(dtp+sytp-1),F45=0,H45&lt;=ppt+1),atp,0)+IFERROR(VLOOKUP(H45,Input!$B$55:$C$61,2,0),0)*(F45=0)*(Option_TopUP="Y")*(Option_Sys_TopUp="N")*B45*(pt&gt;=H45+5)</f>
        <v>0</v>
      </c>
      <c r="AK45" s="50">
        <f t="shared" si="15"/>
        <v>0</v>
      </c>
      <c r="AL45" s="50">
        <f t="shared" si="48"/>
        <v>0</v>
      </c>
      <c r="AM45" s="50">
        <f t="shared" ca="1" si="49"/>
        <v>0</v>
      </c>
      <c r="AN45" s="50">
        <f ca="1">IF(B45=0,0,AT45*(_rpm1+(1+_emr1)*VLOOKUP(E45,Tab_Mort_Charge,IF(Input!$C$12="M",2,3),0))*(0.001*0.0833)*Flag_Mort_Rider_Charge*(AT45&gt;0))</f>
        <v>0</v>
      </c>
      <c r="AO45" s="50">
        <f t="shared" ca="1" si="17"/>
        <v>0</v>
      </c>
      <c r="AP45" s="50">
        <f t="shared" ca="1" si="58"/>
        <v>0</v>
      </c>
      <c r="AQ45" s="50">
        <f t="shared" ca="1" si="18"/>
        <v>0</v>
      </c>
      <c r="AR45" s="50">
        <f t="shared" ca="1" si="19"/>
        <v>0</v>
      </c>
      <c r="AS45" s="50">
        <f t="shared" si="20"/>
        <v>0</v>
      </c>
      <c r="AT45" s="50">
        <f ca="1">(MAX((MAX(AS45,105%*SUM($AJ$7:AJ45))-AM45*Flag_UL_Type),0)*B45)</f>
        <v>0</v>
      </c>
      <c r="AU45" s="50">
        <f ca="1">(MAX(AS45,AR45,105%*SUM($AJ$7:AJ45))*B45)</f>
        <v>0</v>
      </c>
      <c r="AV45" s="125"/>
      <c r="AW45" s="13"/>
      <c r="AX45" s="13"/>
      <c r="AY45" s="13"/>
      <c r="AZ45" s="13"/>
      <c r="BA45" s="13"/>
      <c r="BG45" s="51">
        <f t="shared" si="30"/>
        <v>0</v>
      </c>
      <c r="BH45" s="51">
        <f t="shared" ca="1" si="31"/>
        <v>378.07933080188599</v>
      </c>
      <c r="BI45" s="51">
        <f t="shared" ca="1" si="32"/>
        <v>0</v>
      </c>
      <c r="BJ45" s="51">
        <f t="shared" ca="1" si="33"/>
        <v>0</v>
      </c>
      <c r="BK45" s="51">
        <f t="shared" si="34"/>
        <v>81</v>
      </c>
      <c r="BL45" s="51">
        <f t="shared" ca="1" si="35"/>
        <v>228.16486368603415</v>
      </c>
      <c r="BM45" s="51">
        <f t="shared" si="36"/>
        <v>0</v>
      </c>
      <c r="BN45" s="51">
        <f t="shared" ca="1" si="37"/>
        <v>0</v>
      </c>
      <c r="BO45" s="51">
        <f t="shared" ca="1" si="38"/>
        <v>0</v>
      </c>
      <c r="BP45" s="51">
        <f t="shared" ca="1" si="39"/>
        <v>687.24419448792014</v>
      </c>
      <c r="BR45" s="32"/>
      <c r="BS45" s="126"/>
      <c r="BT45" s="16"/>
      <c r="BU45" s="58"/>
      <c r="BW45" s="51">
        <f>IF(Input!$C$13="Offline",VLOOKUP(H45,Charges!$AT$4:$AU$33,2,FALSE)*I45,0)</f>
        <v>0</v>
      </c>
      <c r="BX45" s="51">
        <f t="shared" si="40"/>
        <v>0</v>
      </c>
      <c r="BY45" s="51">
        <f t="shared" si="51"/>
        <v>0</v>
      </c>
      <c r="BZ45" s="151"/>
      <c r="CA45" s="151"/>
      <c r="CB45" s="32"/>
      <c r="CC45" s="16">
        <f ca="1">SUM($N$7:$N45)</f>
        <v>0</v>
      </c>
      <c r="CD45" s="16">
        <f t="shared" ca="1" si="41"/>
        <v>0</v>
      </c>
      <c r="CE45" s="16">
        <f t="shared" ca="1" si="42"/>
        <v>0</v>
      </c>
      <c r="CF45" s="7">
        <f t="shared" ca="1" si="43"/>
        <v>0</v>
      </c>
      <c r="CH45" s="7">
        <f t="shared" ca="1" si="44"/>
        <v>0</v>
      </c>
    </row>
    <row r="46" spans="2:86" s="7" customFormat="1" x14ac:dyDescent="0.2">
      <c r="B46" s="14">
        <f t="shared" si="0"/>
        <v>1</v>
      </c>
      <c r="C46" s="12">
        <f t="shared" si="1"/>
        <v>1</v>
      </c>
      <c r="D46" s="17">
        <f t="shared" si="52"/>
        <v>40</v>
      </c>
      <c r="E46" s="17">
        <f t="shared" ca="1" si="2"/>
        <v>63</v>
      </c>
      <c r="F46" s="12">
        <f t="shared" si="56"/>
        <v>3</v>
      </c>
      <c r="G46" s="12">
        <f t="shared" si="55"/>
        <v>7</v>
      </c>
      <c r="H46" s="17">
        <f t="shared" si="57"/>
        <v>4</v>
      </c>
      <c r="I46" s="29">
        <f t="shared" si="45"/>
        <v>0</v>
      </c>
      <c r="J46" s="211">
        <f>IFERROR(VLOOKUP(H46,Charges!$T$6:$U$35,2,0)*C46,0)</f>
        <v>0.96499999999999997</v>
      </c>
      <c r="K46" s="29">
        <f t="shared" si="3"/>
        <v>0</v>
      </c>
      <c r="L46" s="29">
        <f t="shared" si="4"/>
        <v>0</v>
      </c>
      <c r="M46" s="147">
        <f t="shared" ca="1" si="5"/>
        <v>0</v>
      </c>
      <c r="N46" s="148">
        <f ca="1">IF(AND(Option_SPW="Y",H46&gt;=Lock_In_Period,Z45&gt;SPW_Amount_pa+IF(option="Single",1/5*pr,2*pr),H46&gt;=SPW_Start_Year,H46&lt;=SPW_Start_Year+SPW_Duration-1,age+H46&gt;=Legal_Age),IF(AND(F46=0,SPW_Payout_Freq=1),SPW_Amount_pa,IF(AND(SPW_Payout_Freq=2,MOD(F46,6)=0),SPW_Amount_pa/SPW_Payout_Freq,IF(AND(SPW_Payout_Freq=4,MOD(F46,3)=0),SPW_Amount_pa/SPW_Payout_Freq,IF(SPW_Payout_Freq=12,SPW_Amount_pa/SPW_Payout_Freq,0)))),0)+IFERROR(VLOOKUP(H46,Input!$B$68:$C$74,2,0),0)*(F46=0)*(Option_PW="Y")*(Option_SPW="N")*(age+H46&gt;=Legal_Age)</f>
        <v>0</v>
      </c>
      <c r="O46" s="148">
        <f t="shared" ca="1" si="6"/>
        <v>0</v>
      </c>
      <c r="P46" s="14">
        <f ca="1">(MAX(MAX(sa-CF45*Flag_UL_Type,105%*SUM($I$7:I46))-(AD45+L46-N46)*Flag_UL_Type,0)*B46)</f>
        <v>1875368.5297268487</v>
      </c>
      <c r="Q46" s="213">
        <f t="shared" ca="1" si="46"/>
        <v>2097.4277917175918</v>
      </c>
      <c r="R46" s="14">
        <f t="shared" ca="1" si="7"/>
        <v>0</v>
      </c>
      <c r="S46" s="14">
        <f t="shared" ca="1" si="8"/>
        <v>0</v>
      </c>
      <c r="T46" s="14">
        <f>IFERROR(IF(WoP_Flag="Y",IF(fq=1,VLOOKUP(ppt*fq-H46,Charges!$AN$41:$AO$59,2,FALSE),IF(fq=2,VLOOKUP(ppt*fq-G46,Charges!$AP$41:$AQ$79,2,FALSE),VLOOKUP(ppt*fq-D46,Charges!$AR$41:$AS$279,2,FALSE)))*pr/fq,0),0)</f>
        <v>0</v>
      </c>
      <c r="U46" s="14">
        <f t="shared" ca="1" si="9"/>
        <v>0</v>
      </c>
      <c r="V46" s="34">
        <f>ROUND(MIN(IF(H46&gt;=7,Charges!$C$12*(1+Charges!$C$14)^((H46-7+1)),VLOOKUP(H46,Charges!$B$7:$C$12,2,0))*pr,Charges!$C$13)*B46,Round)</f>
        <v>450</v>
      </c>
      <c r="W46" s="14">
        <f t="shared" ca="1" si="10"/>
        <v>1121625.5054789246</v>
      </c>
      <c r="X46" s="14">
        <f t="shared" ca="1" si="11"/>
        <v>1128842.0777533238</v>
      </c>
      <c r="Y46" s="213">
        <f t="shared" ca="1" si="47"/>
        <v>1270.6384557152496</v>
      </c>
      <c r="Z46" s="14">
        <f t="shared" ca="1" si="12"/>
        <v>1127342.7243755797</v>
      </c>
      <c r="AA46" s="14">
        <f>IF(AND($H46=pt,$F46=11),SUM($K$7:K46)*VLOOKUP(pt,ROC,2,FALSE),0)</f>
        <v>0</v>
      </c>
      <c r="AB46" s="14">
        <f>IF(AND($H46=pt,$F46=11),SUM($V$7:V46)*VLOOKUP(pt,ROC,2,FALSE),0)</f>
        <v>0</v>
      </c>
      <c r="AC46" s="14">
        <f>IF(AND($H46=pt,$F46=11),SUM($Q$7:Q46)*VLOOKUP(pt,ROC,2,FALSE),0)</f>
        <v>0</v>
      </c>
      <c r="AD46" s="14">
        <f t="shared" ca="1" si="13"/>
        <v>1127342.7243755797</v>
      </c>
      <c r="AE46" s="14">
        <f ca="1">(MAX(sa-CF45*Flag_UL_Type,105%*SUM($I$7:I46),Z46)+AU46)*B46</f>
        <v>3000000</v>
      </c>
      <c r="AF46" s="136"/>
      <c r="AG46" s="18">
        <v>40</v>
      </c>
      <c r="AH46" s="30">
        <f t="shared" ca="1" si="14"/>
        <v>0</v>
      </c>
      <c r="AI46" s="138"/>
      <c r="AJ46" s="50">
        <f>IF(AND(Option_Sys_TopUp&gt;="Y",H46&gt;=sytp,H46&lt;=(dtp+sytp-1),F46=0,H46&lt;=ppt+1),atp,0)+IFERROR(VLOOKUP(H46,Input!$B$55:$C$61,2,0),0)*(F46=0)*(Option_TopUP="Y")*(Option_Sys_TopUp="N")*B46*(pt&gt;=H46+5)</f>
        <v>0</v>
      </c>
      <c r="AK46" s="50">
        <f t="shared" si="15"/>
        <v>0</v>
      </c>
      <c r="AL46" s="50">
        <f t="shared" si="48"/>
        <v>0</v>
      </c>
      <c r="AM46" s="50">
        <f t="shared" ca="1" si="49"/>
        <v>0</v>
      </c>
      <c r="AN46" s="50">
        <f ca="1">IF(B46=0,0,AT46*(_rpm1+(1+_emr1)*VLOOKUP(E46,Tab_Mort_Charge,IF(Input!$C$12="M",2,3),0))*(0.001*0.0833)*Flag_Mort_Rider_Charge*(AT46&gt;0))</f>
        <v>0</v>
      </c>
      <c r="AO46" s="50">
        <f t="shared" ca="1" si="17"/>
        <v>0</v>
      </c>
      <c r="AP46" s="50">
        <f t="shared" ca="1" si="58"/>
        <v>0</v>
      </c>
      <c r="AQ46" s="50">
        <f t="shared" ca="1" si="18"/>
        <v>0</v>
      </c>
      <c r="AR46" s="50">
        <f t="shared" ca="1" si="19"/>
        <v>0</v>
      </c>
      <c r="AS46" s="50">
        <f t="shared" si="20"/>
        <v>0</v>
      </c>
      <c r="AT46" s="50">
        <f ca="1">(MAX((MAX(AS46,105%*SUM($AJ$7:AJ46))-AM46*Flag_UL_Type),0)*B46)</f>
        <v>0</v>
      </c>
      <c r="AU46" s="50">
        <f ca="1">(MAX(AS46,AR46,105%*SUM($AJ$7:AJ46))*B46)</f>
        <v>0</v>
      </c>
      <c r="AV46" s="125"/>
      <c r="AW46" s="13"/>
      <c r="AX46" s="13"/>
      <c r="AY46" s="13"/>
      <c r="AZ46" s="13"/>
      <c r="BA46" s="13"/>
      <c r="BG46" s="51">
        <f t="shared" si="30"/>
        <v>0</v>
      </c>
      <c r="BH46" s="51">
        <f t="shared" ca="1" si="31"/>
        <v>377.537002509167</v>
      </c>
      <c r="BI46" s="51">
        <f t="shared" ca="1" si="32"/>
        <v>0</v>
      </c>
      <c r="BJ46" s="51">
        <f t="shared" ca="1" si="33"/>
        <v>0</v>
      </c>
      <c r="BK46" s="51">
        <f t="shared" si="34"/>
        <v>81</v>
      </c>
      <c r="BL46" s="51">
        <f t="shared" ca="1" si="35"/>
        <v>228.71492202874492</v>
      </c>
      <c r="BM46" s="51">
        <f t="shared" si="36"/>
        <v>0</v>
      </c>
      <c r="BN46" s="51">
        <f t="shared" ca="1" si="37"/>
        <v>0</v>
      </c>
      <c r="BO46" s="51">
        <f t="shared" ca="1" si="38"/>
        <v>0</v>
      </c>
      <c r="BP46" s="51">
        <f t="shared" ca="1" si="39"/>
        <v>687.25192453791192</v>
      </c>
      <c r="BR46" s="32"/>
      <c r="BS46" s="126"/>
      <c r="BT46" s="16"/>
      <c r="BU46" s="58"/>
      <c r="BW46" s="51">
        <f>IF(Input!$C$13="Offline",VLOOKUP(H46,Charges!$AT$4:$AU$33,2,FALSE)*I46,0)</f>
        <v>0</v>
      </c>
      <c r="BX46" s="51">
        <f t="shared" si="40"/>
        <v>0</v>
      </c>
      <c r="BY46" s="51">
        <f t="shared" si="51"/>
        <v>0</v>
      </c>
      <c r="BZ46" s="151"/>
      <c r="CA46" s="151"/>
      <c r="CB46" s="32"/>
      <c r="CC46" s="16">
        <f ca="1">SUM($N$7:$N46)</f>
        <v>0</v>
      </c>
      <c r="CD46" s="16">
        <f t="shared" ca="1" si="41"/>
        <v>0</v>
      </c>
      <c r="CE46" s="16">
        <f t="shared" ca="1" si="42"/>
        <v>0</v>
      </c>
      <c r="CF46" s="7">
        <f t="shared" ca="1" si="43"/>
        <v>0</v>
      </c>
      <c r="CH46" s="7">
        <f t="shared" ca="1" si="44"/>
        <v>0</v>
      </c>
    </row>
    <row r="47" spans="2:86" s="7" customFormat="1" x14ac:dyDescent="0.2">
      <c r="B47" s="14">
        <f t="shared" si="0"/>
        <v>1</v>
      </c>
      <c r="C47" s="12">
        <f t="shared" si="1"/>
        <v>1</v>
      </c>
      <c r="D47" s="17">
        <f t="shared" si="52"/>
        <v>41</v>
      </c>
      <c r="E47" s="17">
        <f t="shared" ca="1" si="2"/>
        <v>63</v>
      </c>
      <c r="F47" s="12">
        <f t="shared" si="56"/>
        <v>4</v>
      </c>
      <c r="G47" s="12">
        <f t="shared" si="55"/>
        <v>7</v>
      </c>
      <c r="H47" s="17">
        <f t="shared" si="57"/>
        <v>4</v>
      </c>
      <c r="I47" s="29">
        <f t="shared" si="45"/>
        <v>0</v>
      </c>
      <c r="J47" s="211">
        <f>IFERROR(VLOOKUP(H47,Charges!$T$6:$U$35,2,0)*C47,0)</f>
        <v>0.96499999999999997</v>
      </c>
      <c r="K47" s="29">
        <f t="shared" si="3"/>
        <v>0</v>
      </c>
      <c r="L47" s="29">
        <f t="shared" si="4"/>
        <v>0</v>
      </c>
      <c r="M47" s="147">
        <f t="shared" ca="1" si="5"/>
        <v>0</v>
      </c>
      <c r="N47" s="148">
        <f ca="1">IF(AND(Option_SPW="Y",H47&gt;=Lock_In_Period,Z46&gt;SPW_Amount_pa+IF(option="Single",1/5*pr,2*pr),H47&gt;=SPW_Start_Year,H47&lt;=SPW_Start_Year+SPW_Duration-1,age+H47&gt;=Legal_Age),IF(AND(F47=0,SPW_Payout_Freq=1),SPW_Amount_pa,IF(AND(SPW_Payout_Freq=2,MOD(F47,6)=0),SPW_Amount_pa/SPW_Payout_Freq,IF(AND(SPW_Payout_Freq=4,MOD(F47,3)=0),SPW_Amount_pa/SPW_Payout_Freq,IF(SPW_Payout_Freq=12,SPW_Amount_pa/SPW_Payout_Freq,0)))),0)+IFERROR(VLOOKUP(H47,Input!$B$68:$C$74,2,0),0)*(F47=0)*(Option_PW="Y")*(Option_SPW="N")*(age+H47&gt;=Legal_Age)</f>
        <v>0</v>
      </c>
      <c r="O47" s="148">
        <f t="shared" ca="1" si="6"/>
        <v>0</v>
      </c>
      <c r="P47" s="14">
        <f ca="1">(MAX(MAX(sa-CF46*Flag_UL_Type,105%*SUM($I$7:I47))-(AD46+L47-N47)*Flag_UL_Type,0)*B47)</f>
        <v>1872657.2756244203</v>
      </c>
      <c r="Q47" s="213">
        <f t="shared" ca="1" si="46"/>
        <v>2094.3955025356499</v>
      </c>
      <c r="R47" s="14">
        <f t="shared" ca="1" si="7"/>
        <v>0</v>
      </c>
      <c r="S47" s="14">
        <f t="shared" ca="1" si="8"/>
        <v>0</v>
      </c>
      <c r="T47" s="14">
        <f>IFERROR(IF(WoP_Flag="Y",IF(fq=1,VLOOKUP(ppt*fq-H47,Charges!$AN$41:$AO$59,2,FALSE),IF(fq=2,VLOOKUP(ppt*fq-G47,Charges!$AP$41:$AQ$79,2,FALSE),VLOOKUP(ppt*fq-D47,Charges!$AR$41:$AS$279,2,FALSE)))*pr/fq,0),0)</f>
        <v>0</v>
      </c>
      <c r="U47" s="14">
        <f t="shared" ca="1" si="9"/>
        <v>0</v>
      </c>
      <c r="V47" s="34">
        <f>ROUND(MIN(IF(H47&gt;=7,Charges!$C$12*(1+Charges!$C$14)^((H47-7+1)),VLOOKUP(H47,Charges!$B$7:$C$12,2,0))*pr,Charges!$C$13)*B47,Round)</f>
        <v>450</v>
      </c>
      <c r="W47" s="14">
        <f t="shared" ca="1" si="10"/>
        <v>1124340.3376825876</v>
      </c>
      <c r="X47" s="14">
        <f t="shared" ca="1" si="11"/>
        <v>1131574.3772691288</v>
      </c>
      <c r="Y47" s="213">
        <f t="shared" ca="1" si="47"/>
        <v>1273.713965483829</v>
      </c>
      <c r="Z47" s="14">
        <f t="shared" ca="1" si="12"/>
        <v>1130071.3947898578</v>
      </c>
      <c r="AA47" s="14">
        <f>IF(AND($H47=pt,$F47=11),SUM($K$7:K47)*VLOOKUP(pt,ROC,2,FALSE),0)</f>
        <v>0</v>
      </c>
      <c r="AB47" s="14">
        <f>IF(AND($H47=pt,$F47=11),SUM($V$7:V47)*VLOOKUP(pt,ROC,2,FALSE),0)</f>
        <v>0</v>
      </c>
      <c r="AC47" s="14">
        <f>IF(AND($H47=pt,$F47=11),SUM($Q$7:Q47)*VLOOKUP(pt,ROC,2,FALSE),0)</f>
        <v>0</v>
      </c>
      <c r="AD47" s="14">
        <f t="shared" ca="1" si="13"/>
        <v>1130071.3947898578</v>
      </c>
      <c r="AE47" s="14">
        <f ca="1">(MAX(sa-CF46*Flag_UL_Type,105%*SUM($I$7:I47),Z47)+AU47)*B47</f>
        <v>3000000</v>
      </c>
      <c r="AF47" s="136"/>
      <c r="AG47" s="18">
        <v>41</v>
      </c>
      <c r="AH47" s="30">
        <f t="shared" ca="1" si="14"/>
        <v>0</v>
      </c>
      <c r="AI47" s="138"/>
      <c r="AJ47" s="50">
        <f>IF(AND(Option_Sys_TopUp&gt;="Y",H47&gt;=sytp,H47&lt;=(dtp+sytp-1),F47=0,H47&lt;=ppt+1),atp,0)+IFERROR(VLOOKUP(H47,Input!$B$55:$C$61,2,0),0)*(F47=0)*(Option_TopUP="Y")*(Option_Sys_TopUp="N")*B47*(pt&gt;=H47+5)</f>
        <v>0</v>
      </c>
      <c r="AK47" s="50">
        <f t="shared" si="15"/>
        <v>0</v>
      </c>
      <c r="AL47" s="50">
        <f t="shared" si="48"/>
        <v>0</v>
      </c>
      <c r="AM47" s="50">
        <f t="shared" ca="1" si="49"/>
        <v>0</v>
      </c>
      <c r="AN47" s="50">
        <f ca="1">IF(B47=0,0,AT47*(_rpm1+(1+_emr1)*VLOOKUP(E47,Tab_Mort_Charge,IF(Input!$C$12="M",2,3),0))*(0.001*0.0833)*Flag_Mort_Rider_Charge*(AT47&gt;0))</f>
        <v>0</v>
      </c>
      <c r="AO47" s="50">
        <f t="shared" ca="1" si="17"/>
        <v>0</v>
      </c>
      <c r="AP47" s="50">
        <f t="shared" ca="1" si="58"/>
        <v>0</v>
      </c>
      <c r="AQ47" s="50">
        <f t="shared" ca="1" si="18"/>
        <v>0</v>
      </c>
      <c r="AR47" s="50">
        <f t="shared" ca="1" si="19"/>
        <v>0</v>
      </c>
      <c r="AS47" s="50">
        <f t="shared" si="20"/>
        <v>0</v>
      </c>
      <c r="AT47" s="50">
        <f ca="1">(MAX((MAX(AS47,105%*SUM($AJ$7:AJ47))-AM47*Flag_UL_Type),0)*B47)</f>
        <v>0</v>
      </c>
      <c r="AU47" s="50">
        <f ca="1">(MAX(AS47,AR47,105%*SUM($AJ$7:AJ47))*B47)</f>
        <v>0</v>
      </c>
      <c r="AV47" s="125"/>
      <c r="AW47" s="13"/>
      <c r="AX47" s="13"/>
      <c r="AY47" s="13"/>
      <c r="AZ47" s="13"/>
      <c r="BA47" s="13"/>
      <c r="BG47" s="51">
        <f t="shared" si="30"/>
        <v>0</v>
      </c>
      <c r="BH47" s="51">
        <f t="shared" ca="1" si="31"/>
        <v>376.99119045641697</v>
      </c>
      <c r="BI47" s="51">
        <f t="shared" ca="1" si="32"/>
        <v>0</v>
      </c>
      <c r="BJ47" s="51">
        <f t="shared" ca="1" si="33"/>
        <v>0</v>
      </c>
      <c r="BK47" s="51">
        <f t="shared" si="34"/>
        <v>81</v>
      </c>
      <c r="BL47" s="51">
        <f t="shared" ca="1" si="35"/>
        <v>229.26851378708923</v>
      </c>
      <c r="BM47" s="51">
        <f t="shared" si="36"/>
        <v>0</v>
      </c>
      <c r="BN47" s="51">
        <f t="shared" ca="1" si="37"/>
        <v>0</v>
      </c>
      <c r="BO47" s="51">
        <f t="shared" ca="1" si="38"/>
        <v>0</v>
      </c>
      <c r="BP47" s="51">
        <f t="shared" ca="1" si="39"/>
        <v>687.25970424350623</v>
      </c>
      <c r="BR47" s="32"/>
      <c r="BS47" s="126"/>
      <c r="BT47" s="16"/>
      <c r="BU47" s="58"/>
      <c r="BW47" s="51">
        <f>IF(Input!$C$13="Offline",VLOOKUP(H47,Charges!$AT$4:$AU$33,2,FALSE)*I47,0)</f>
        <v>0</v>
      </c>
      <c r="BX47" s="51">
        <f t="shared" si="40"/>
        <v>0</v>
      </c>
      <c r="BY47" s="51">
        <f t="shared" si="51"/>
        <v>0</v>
      </c>
      <c r="BZ47" s="151"/>
      <c r="CA47" s="151"/>
      <c r="CB47" s="32"/>
      <c r="CC47" s="16">
        <f ca="1">SUM($N$7:$N47)</f>
        <v>0</v>
      </c>
      <c r="CD47" s="16">
        <f t="shared" ca="1" si="41"/>
        <v>0</v>
      </c>
      <c r="CE47" s="16">
        <f t="shared" ca="1" si="42"/>
        <v>0</v>
      </c>
      <c r="CF47" s="7">
        <f t="shared" ca="1" si="43"/>
        <v>0</v>
      </c>
      <c r="CH47" s="7">
        <f t="shared" ca="1" si="44"/>
        <v>0</v>
      </c>
    </row>
    <row r="48" spans="2:86" s="7" customFormat="1" x14ac:dyDescent="0.2">
      <c r="B48" s="14">
        <f t="shared" si="0"/>
        <v>1</v>
      </c>
      <c r="C48" s="12">
        <f t="shared" si="1"/>
        <v>1</v>
      </c>
      <c r="D48" s="17">
        <f t="shared" si="52"/>
        <v>42</v>
      </c>
      <c r="E48" s="17">
        <f t="shared" ca="1" si="2"/>
        <v>63</v>
      </c>
      <c r="F48" s="12">
        <f t="shared" si="56"/>
        <v>5</v>
      </c>
      <c r="G48" s="12">
        <f t="shared" si="55"/>
        <v>7</v>
      </c>
      <c r="H48" s="17">
        <f t="shared" si="57"/>
        <v>4</v>
      </c>
      <c r="I48" s="29">
        <f t="shared" si="45"/>
        <v>0</v>
      </c>
      <c r="J48" s="211">
        <f>IFERROR(VLOOKUP(H48,Charges!$T$6:$U$35,2,0)*C48,0)</f>
        <v>0.96499999999999997</v>
      </c>
      <c r="K48" s="29">
        <f t="shared" si="3"/>
        <v>0</v>
      </c>
      <c r="L48" s="29">
        <f t="shared" si="4"/>
        <v>0</v>
      </c>
      <c r="M48" s="147">
        <f t="shared" ca="1" si="5"/>
        <v>0</v>
      </c>
      <c r="N48" s="148">
        <f ca="1">IF(AND(Option_SPW="Y",H48&gt;=Lock_In_Period,Z47&gt;SPW_Amount_pa+IF(option="Single",1/5*pr,2*pr),H48&gt;=SPW_Start_Year,H48&lt;=SPW_Start_Year+SPW_Duration-1,age+H48&gt;=Legal_Age),IF(AND(F48=0,SPW_Payout_Freq=1),SPW_Amount_pa,IF(AND(SPW_Payout_Freq=2,MOD(F48,6)=0),SPW_Amount_pa/SPW_Payout_Freq,IF(AND(SPW_Payout_Freq=4,MOD(F48,3)=0),SPW_Amount_pa/SPW_Payout_Freq,IF(SPW_Payout_Freq=12,SPW_Amount_pa/SPW_Payout_Freq,0)))),0)+IFERROR(VLOOKUP(H48,Input!$B$68:$C$74,2,0),0)*(F48=0)*(Option_PW="Y")*(Option_SPW="N")*(age+H48&gt;=Legal_Age)</f>
        <v>0</v>
      </c>
      <c r="O48" s="148">
        <f t="shared" ca="1" si="6"/>
        <v>0</v>
      </c>
      <c r="P48" s="14">
        <f ca="1">(MAX(MAX(sa-CF47*Flag_UL_Type,105%*SUM($I$7:I48))-(AD47+L48-N48)*Flag_UL_Type,0)*B48)</f>
        <v>1869928.6052101422</v>
      </c>
      <c r="Q48" s="213">
        <f t="shared" ca="1" si="46"/>
        <v>2091.3437348053999</v>
      </c>
      <c r="R48" s="14">
        <f t="shared" ca="1" si="7"/>
        <v>0</v>
      </c>
      <c r="S48" s="14">
        <f t="shared" ca="1" si="8"/>
        <v>0</v>
      </c>
      <c r="T48" s="14">
        <f>IFERROR(IF(WoP_Flag="Y",IF(fq=1,VLOOKUP(ppt*fq-H48,Charges!$AN$41:$AO$59,2,FALSE),IF(fq=2,VLOOKUP(ppt*fq-G48,Charges!$AP$41:$AQ$79,2,FALSE),VLOOKUP(ppt*fq-D48,Charges!$AR$41:$AS$279,2,FALSE)))*pr/fq,0),0)</f>
        <v>0</v>
      </c>
      <c r="U48" s="14">
        <f t="shared" ca="1" si="9"/>
        <v>0</v>
      </c>
      <c r="V48" s="34">
        <f>ROUND(MIN(IF(H48&gt;=7,Charges!$C$12*(1+Charges!$C$14)^((H48-7+1)),VLOOKUP(H48,Charges!$B$7:$C$12,2,0))*pr,Charges!$C$13)*B48,Round)</f>
        <v>450</v>
      </c>
      <c r="W48" s="14">
        <f t="shared" ca="1" si="10"/>
        <v>1127072.6091827874</v>
      </c>
      <c r="X48" s="14">
        <f t="shared" ca="1" si="11"/>
        <v>1134324.2282864295</v>
      </c>
      <c r="Y48" s="213">
        <f t="shared" ca="1" si="47"/>
        <v>1276.80923143726</v>
      </c>
      <c r="Z48" s="14">
        <f t="shared" ca="1" si="12"/>
        <v>1132817.5933933335</v>
      </c>
      <c r="AA48" s="14">
        <f>IF(AND($H48=pt,$F48=11),SUM($K$7:K48)*VLOOKUP(pt,ROC,2,FALSE),0)</f>
        <v>0</v>
      </c>
      <c r="AB48" s="14">
        <f>IF(AND($H48=pt,$F48=11),SUM($V$7:V48)*VLOOKUP(pt,ROC,2,FALSE),0)</f>
        <v>0</v>
      </c>
      <c r="AC48" s="14">
        <f>IF(AND($H48=pt,$F48=11),SUM($Q$7:Q48)*VLOOKUP(pt,ROC,2,FALSE),0)</f>
        <v>0</v>
      </c>
      <c r="AD48" s="14">
        <f t="shared" ca="1" si="13"/>
        <v>1132817.5933933335</v>
      </c>
      <c r="AE48" s="14">
        <f ca="1">(MAX(sa-CF47*Flag_UL_Type,105%*SUM($I$7:I48),Z48)+AU48)*B48</f>
        <v>3000000</v>
      </c>
      <c r="AF48" s="136"/>
      <c r="AG48" s="18">
        <v>42</v>
      </c>
      <c r="AH48" s="30">
        <f t="shared" ca="1" si="14"/>
        <v>0</v>
      </c>
      <c r="AI48" s="138"/>
      <c r="AJ48" s="50">
        <f>IF(AND(Option_Sys_TopUp&gt;="Y",H48&gt;=sytp,H48&lt;=(dtp+sytp-1),F48=0,H48&lt;=ppt+1),atp,0)+IFERROR(VLOOKUP(H48,Input!$B$55:$C$61,2,0),0)*(F48=0)*(Option_TopUP="Y")*(Option_Sys_TopUp="N")*B48*(pt&gt;=H48+5)</f>
        <v>0</v>
      </c>
      <c r="AK48" s="50">
        <f t="shared" si="15"/>
        <v>0</v>
      </c>
      <c r="AL48" s="50">
        <f t="shared" si="48"/>
        <v>0</v>
      </c>
      <c r="AM48" s="50">
        <f t="shared" ca="1" si="49"/>
        <v>0</v>
      </c>
      <c r="AN48" s="50">
        <f ca="1">IF(B48=0,0,AT48*(_rpm1+(1+_emr1)*VLOOKUP(E48,Tab_Mort_Charge,IF(Input!$C$12="M",2,3),0))*(0.001*0.0833)*Flag_Mort_Rider_Charge*(AT48&gt;0))</f>
        <v>0</v>
      </c>
      <c r="AO48" s="50">
        <f t="shared" ca="1" si="17"/>
        <v>0</v>
      </c>
      <c r="AP48" s="50">
        <f t="shared" ca="1" si="58"/>
        <v>0</v>
      </c>
      <c r="AQ48" s="50">
        <f t="shared" ca="1" si="18"/>
        <v>0</v>
      </c>
      <c r="AR48" s="50">
        <f t="shared" ca="1" si="19"/>
        <v>0</v>
      </c>
      <c r="AS48" s="50">
        <f t="shared" si="20"/>
        <v>0</v>
      </c>
      <c r="AT48" s="50">
        <f ca="1">(MAX((MAX(AS48,105%*SUM($AJ$7:AJ48))-AM48*Flag_UL_Type),0)*B48)</f>
        <v>0</v>
      </c>
      <c r="AU48" s="50">
        <f ca="1">(MAX(AS48,AR48,105%*SUM($AJ$7:AJ48))*B48)</f>
        <v>0</v>
      </c>
      <c r="AV48" s="125"/>
      <c r="AW48" s="13"/>
      <c r="AX48" s="13"/>
      <c r="AY48" s="13"/>
      <c r="AZ48" s="13"/>
      <c r="BA48" s="13"/>
      <c r="BG48" s="51">
        <f t="shared" si="30"/>
        <v>0</v>
      </c>
      <c r="BH48" s="51">
        <f t="shared" ca="1" si="31"/>
        <v>376.44187226497201</v>
      </c>
      <c r="BI48" s="51">
        <f t="shared" ca="1" si="32"/>
        <v>0</v>
      </c>
      <c r="BJ48" s="51">
        <f t="shared" ca="1" si="33"/>
        <v>0</v>
      </c>
      <c r="BK48" s="51">
        <f t="shared" si="34"/>
        <v>81</v>
      </c>
      <c r="BL48" s="51">
        <f t="shared" ca="1" si="35"/>
        <v>229.82566165870679</v>
      </c>
      <c r="BM48" s="51">
        <f t="shared" si="36"/>
        <v>0</v>
      </c>
      <c r="BN48" s="51">
        <f t="shared" ca="1" si="37"/>
        <v>0</v>
      </c>
      <c r="BO48" s="51">
        <f t="shared" ca="1" si="38"/>
        <v>0</v>
      </c>
      <c r="BP48" s="51">
        <f t="shared" ca="1" si="39"/>
        <v>687.2675339236788</v>
      </c>
      <c r="BR48" s="32"/>
      <c r="BS48" s="126"/>
      <c r="BT48" s="16"/>
      <c r="BU48" s="58"/>
      <c r="BW48" s="51">
        <f>IF(Input!$C$13="Offline",VLOOKUP(H48,Charges!$AT$4:$AU$33,2,FALSE)*I48,0)</f>
        <v>0</v>
      </c>
      <c r="BX48" s="51">
        <f t="shared" si="40"/>
        <v>0</v>
      </c>
      <c r="BY48" s="51">
        <f t="shared" si="51"/>
        <v>0</v>
      </c>
      <c r="BZ48" s="151"/>
      <c r="CA48" s="151"/>
      <c r="CB48" s="32"/>
      <c r="CC48" s="16">
        <f ca="1">SUM($N$7:$N48)</f>
        <v>0</v>
      </c>
      <c r="CD48" s="16">
        <f t="shared" ca="1" si="41"/>
        <v>0</v>
      </c>
      <c r="CE48" s="16">
        <f t="shared" ca="1" si="42"/>
        <v>0</v>
      </c>
      <c r="CF48" s="7">
        <f t="shared" ca="1" si="43"/>
        <v>0</v>
      </c>
      <c r="CH48" s="7">
        <f t="shared" ca="1" si="44"/>
        <v>0</v>
      </c>
    </row>
    <row r="49" spans="2:86" s="7" customFormat="1" x14ac:dyDescent="0.2">
      <c r="B49" s="14">
        <f t="shared" si="0"/>
        <v>1</v>
      </c>
      <c r="C49" s="12">
        <f t="shared" si="1"/>
        <v>1</v>
      </c>
      <c r="D49" s="17">
        <f t="shared" si="52"/>
        <v>43</v>
      </c>
      <c r="E49" s="17">
        <f t="shared" ca="1" si="2"/>
        <v>63</v>
      </c>
      <c r="F49" s="12">
        <f t="shared" si="56"/>
        <v>6</v>
      </c>
      <c r="G49" s="12">
        <f t="shared" si="55"/>
        <v>8</v>
      </c>
      <c r="H49" s="17">
        <f t="shared" si="57"/>
        <v>4</v>
      </c>
      <c r="I49" s="29">
        <f t="shared" si="45"/>
        <v>0</v>
      </c>
      <c r="J49" s="211">
        <f>IFERROR(VLOOKUP(H49,Charges!$T$6:$U$35,2,0)*C49,0)</f>
        <v>0.96499999999999997</v>
      </c>
      <c r="K49" s="29">
        <f t="shared" si="3"/>
        <v>0</v>
      </c>
      <c r="L49" s="29">
        <f t="shared" si="4"/>
        <v>0</v>
      </c>
      <c r="M49" s="147">
        <f t="shared" ca="1" si="5"/>
        <v>0</v>
      </c>
      <c r="N49" s="148">
        <f ca="1">IF(AND(Option_SPW="Y",H49&gt;=Lock_In_Period,Z48&gt;SPW_Amount_pa+IF(option="Single",1/5*pr,2*pr),H49&gt;=SPW_Start_Year,H49&lt;=SPW_Start_Year+SPW_Duration-1,age+H49&gt;=Legal_Age),IF(AND(F49=0,SPW_Payout_Freq=1),SPW_Amount_pa,IF(AND(SPW_Payout_Freq=2,MOD(F49,6)=0),SPW_Amount_pa/SPW_Payout_Freq,IF(AND(SPW_Payout_Freq=4,MOD(F49,3)=0),SPW_Amount_pa/SPW_Payout_Freq,IF(SPW_Payout_Freq=12,SPW_Amount_pa/SPW_Payout_Freq,0)))),0)+IFERROR(VLOOKUP(H49,Input!$B$68:$C$74,2,0),0)*(F49=0)*(Option_PW="Y")*(Option_SPW="N")*(age+H49&gt;=Legal_Age)</f>
        <v>0</v>
      </c>
      <c r="O49" s="148">
        <f t="shared" ca="1" si="6"/>
        <v>0</v>
      </c>
      <c r="P49" s="14">
        <f ca="1">(MAX(MAX(sa-CF48*Flag_UL_Type,105%*SUM($I$7:I49))-(AD48+L49-N49)*Flag_UL_Type,0)*B49)</f>
        <v>1867182.4066066665</v>
      </c>
      <c r="Q49" s="213">
        <f t="shared" ca="1" si="46"/>
        <v>2088.2723634022832</v>
      </c>
      <c r="R49" s="14">
        <f t="shared" ca="1" si="7"/>
        <v>0</v>
      </c>
      <c r="S49" s="14">
        <f t="shared" ca="1" si="8"/>
        <v>0</v>
      </c>
      <c r="T49" s="14">
        <f>IFERROR(IF(WoP_Flag="Y",IF(fq=1,VLOOKUP(ppt*fq-H49,Charges!$AN$41:$AO$59,2,FALSE),IF(fq=2,VLOOKUP(ppt*fq-G49,Charges!$AP$41:$AQ$79,2,FALSE),VLOOKUP(ppt*fq-D49,Charges!$AR$41:$AS$279,2,FALSE)))*pr/fq,0),0)</f>
        <v>0</v>
      </c>
      <c r="U49" s="14">
        <f t="shared" ca="1" si="9"/>
        <v>0</v>
      </c>
      <c r="V49" s="34">
        <f>ROUND(MIN(IF(H49&gt;=7,Charges!$C$12*(1+Charges!$C$14)^((H49-7+1)),VLOOKUP(H49,Charges!$B$7:$C$12,2,0))*pr,Charges!$C$13)*B49,Round)</f>
        <v>450</v>
      </c>
      <c r="W49" s="14">
        <f t="shared" ca="1" si="10"/>
        <v>1129822.4320045188</v>
      </c>
      <c r="X49" s="14">
        <f t="shared" ca="1" si="11"/>
        <v>1137091.7435509933</v>
      </c>
      <c r="Y49" s="213">
        <f t="shared" ca="1" si="47"/>
        <v>1279.9243804835573</v>
      </c>
      <c r="Z49" s="14">
        <f t="shared" ca="1" si="12"/>
        <v>1135581.4327820227</v>
      </c>
      <c r="AA49" s="14">
        <f>IF(AND($H49=pt,$F49=11),SUM($K$7:K49)*VLOOKUP(pt,ROC,2,FALSE),0)</f>
        <v>0</v>
      </c>
      <c r="AB49" s="14">
        <f>IF(AND($H49=pt,$F49=11),SUM($V$7:V49)*VLOOKUP(pt,ROC,2,FALSE),0)</f>
        <v>0</v>
      </c>
      <c r="AC49" s="14">
        <f>IF(AND($H49=pt,$F49=11),SUM($Q$7:Q49)*VLOOKUP(pt,ROC,2,FALSE),0)</f>
        <v>0</v>
      </c>
      <c r="AD49" s="14">
        <f t="shared" ca="1" si="13"/>
        <v>1135581.4327820227</v>
      </c>
      <c r="AE49" s="14">
        <f ca="1">(MAX(sa-CF48*Flag_UL_Type,105%*SUM($I$7:I49),Z49)+AU49)*B49</f>
        <v>3000000</v>
      </c>
      <c r="AF49" s="136"/>
      <c r="AG49" s="18">
        <v>43</v>
      </c>
      <c r="AH49" s="30">
        <f t="shared" ca="1" si="14"/>
        <v>0</v>
      </c>
      <c r="AI49" s="138"/>
      <c r="AJ49" s="50">
        <f>IF(AND(Option_Sys_TopUp&gt;="Y",H49&gt;=sytp,H49&lt;=(dtp+sytp-1),F49=0,H49&lt;=ppt+1),atp,0)+IFERROR(VLOOKUP(H49,Input!$B$55:$C$61,2,0),0)*(F49=0)*(Option_TopUP="Y")*(Option_Sys_TopUp="N")*B49*(pt&gt;=H49+5)</f>
        <v>0</v>
      </c>
      <c r="AK49" s="50">
        <f t="shared" si="15"/>
        <v>0</v>
      </c>
      <c r="AL49" s="50">
        <f t="shared" si="48"/>
        <v>0</v>
      </c>
      <c r="AM49" s="50">
        <f t="shared" ca="1" si="49"/>
        <v>0</v>
      </c>
      <c r="AN49" s="50">
        <f ca="1">IF(B49=0,0,AT49*(_rpm1+(1+_emr1)*VLOOKUP(E49,Tab_Mort_Charge,IF(Input!$C$12="M",2,3),0))*(0.001*0.0833)*Flag_Mort_Rider_Charge*(AT49&gt;0))</f>
        <v>0</v>
      </c>
      <c r="AO49" s="50">
        <f t="shared" ca="1" si="17"/>
        <v>0</v>
      </c>
      <c r="AP49" s="50">
        <f t="shared" ca="1" si="58"/>
        <v>0</v>
      </c>
      <c r="AQ49" s="50">
        <f t="shared" ca="1" si="18"/>
        <v>0</v>
      </c>
      <c r="AR49" s="50">
        <f t="shared" ca="1" si="19"/>
        <v>0</v>
      </c>
      <c r="AS49" s="50">
        <f t="shared" si="20"/>
        <v>0</v>
      </c>
      <c r="AT49" s="50">
        <f ca="1">(MAX((MAX(AS49,105%*SUM($AJ$7:AJ49))-AM49*Flag_UL_Type),0)*B49)</f>
        <v>0</v>
      </c>
      <c r="AU49" s="50">
        <f ca="1">(MAX(AS49,AR49,105%*SUM($AJ$7:AJ49))*B49)</f>
        <v>0</v>
      </c>
      <c r="AV49" s="125"/>
      <c r="AW49" s="13"/>
      <c r="AX49" s="13"/>
      <c r="AY49" s="13"/>
      <c r="AZ49" s="13"/>
      <c r="BA49" s="13"/>
      <c r="BG49" s="51">
        <f t="shared" si="30"/>
        <v>0</v>
      </c>
      <c r="BH49" s="51">
        <f t="shared" ca="1" si="31"/>
        <v>375.889025412411</v>
      </c>
      <c r="BI49" s="51">
        <f t="shared" ca="1" si="32"/>
        <v>0</v>
      </c>
      <c r="BJ49" s="51">
        <f t="shared" ca="1" si="33"/>
        <v>0</v>
      </c>
      <c r="BK49" s="51">
        <f t="shared" si="34"/>
        <v>81</v>
      </c>
      <c r="BL49" s="51">
        <f t="shared" ca="1" si="35"/>
        <v>230.38638848704031</v>
      </c>
      <c r="BM49" s="51">
        <f t="shared" si="36"/>
        <v>0</v>
      </c>
      <c r="BN49" s="51">
        <f t="shared" ca="1" si="37"/>
        <v>0</v>
      </c>
      <c r="BO49" s="51">
        <f t="shared" ca="1" si="38"/>
        <v>0</v>
      </c>
      <c r="BP49" s="51">
        <f t="shared" ca="1" si="39"/>
        <v>687.27541389945134</v>
      </c>
      <c r="BR49" s="32"/>
      <c r="BS49" s="126"/>
      <c r="BT49" s="16"/>
      <c r="BU49" s="58"/>
      <c r="BW49" s="51">
        <f>IF(Input!$C$13="Offline",VLOOKUP(H49,Charges!$AT$4:$AU$33,2,FALSE)*I49,0)</f>
        <v>0</v>
      </c>
      <c r="BX49" s="51">
        <f t="shared" si="40"/>
        <v>0</v>
      </c>
      <c r="BY49" s="51">
        <f t="shared" si="51"/>
        <v>0</v>
      </c>
      <c r="BZ49" s="151"/>
      <c r="CA49" s="151"/>
      <c r="CB49" s="32"/>
      <c r="CC49" s="16">
        <f ca="1">SUM($N$7:$N49)</f>
        <v>0</v>
      </c>
      <c r="CD49" s="16">
        <f t="shared" ca="1" si="41"/>
        <v>0</v>
      </c>
      <c r="CE49" s="16">
        <f t="shared" ca="1" si="42"/>
        <v>0</v>
      </c>
      <c r="CF49" s="7">
        <f t="shared" ca="1" si="43"/>
        <v>0</v>
      </c>
      <c r="CH49" s="7">
        <f t="shared" ca="1" si="44"/>
        <v>0</v>
      </c>
    </row>
    <row r="50" spans="2:86" s="7" customFormat="1" x14ac:dyDescent="0.2">
      <c r="B50" s="14">
        <f t="shared" si="0"/>
        <v>1</v>
      </c>
      <c r="C50" s="12">
        <f t="shared" si="1"/>
        <v>1</v>
      </c>
      <c r="D50" s="17">
        <f t="shared" si="52"/>
        <v>44</v>
      </c>
      <c r="E50" s="17">
        <f t="shared" ca="1" si="2"/>
        <v>63</v>
      </c>
      <c r="F50" s="12">
        <f t="shared" si="56"/>
        <v>7</v>
      </c>
      <c r="G50" s="12">
        <f t="shared" si="55"/>
        <v>8</v>
      </c>
      <c r="H50" s="17">
        <f t="shared" si="57"/>
        <v>4</v>
      </c>
      <c r="I50" s="29">
        <f t="shared" si="45"/>
        <v>0</v>
      </c>
      <c r="J50" s="211">
        <f>IFERROR(VLOOKUP(H50,Charges!$T$6:$U$35,2,0)*C50,0)</f>
        <v>0.96499999999999997</v>
      </c>
      <c r="K50" s="29">
        <f t="shared" si="3"/>
        <v>0</v>
      </c>
      <c r="L50" s="29">
        <f t="shared" si="4"/>
        <v>0</v>
      </c>
      <c r="M50" s="147">
        <f t="shared" ca="1" si="5"/>
        <v>0</v>
      </c>
      <c r="N50" s="148">
        <f ca="1">IF(AND(Option_SPW="Y",H50&gt;=Lock_In_Period,Z49&gt;SPW_Amount_pa+IF(option="Single",1/5*pr,2*pr),H50&gt;=SPW_Start_Year,H50&lt;=SPW_Start_Year+SPW_Duration-1,age+H50&gt;=Legal_Age),IF(AND(F50=0,SPW_Payout_Freq=1),SPW_Amount_pa,IF(AND(SPW_Payout_Freq=2,MOD(F50,6)=0),SPW_Amount_pa/SPW_Payout_Freq,IF(AND(SPW_Payout_Freq=4,MOD(F50,3)=0),SPW_Amount_pa/SPW_Payout_Freq,IF(SPW_Payout_Freq=12,SPW_Amount_pa/SPW_Payout_Freq,0)))),0)+IFERROR(VLOOKUP(H50,Input!$B$68:$C$74,2,0),0)*(F50=0)*(Option_PW="Y")*(Option_SPW="N")*(age+H50&gt;=Legal_Age)</f>
        <v>0</v>
      </c>
      <c r="O50" s="148">
        <f t="shared" ca="1" si="6"/>
        <v>0</v>
      </c>
      <c r="P50" s="14">
        <f ca="1">(MAX(MAX(sa-CF49*Flag_UL_Type,105%*SUM($I$7:I50))-(AD49+L50-N50)*Flag_UL_Type,0)*B50)</f>
        <v>1864418.5672179773</v>
      </c>
      <c r="Q50" s="213">
        <f t="shared" ca="1" si="46"/>
        <v>2085.1812623979749</v>
      </c>
      <c r="R50" s="14">
        <f t="shared" ca="1" si="7"/>
        <v>0</v>
      </c>
      <c r="S50" s="14">
        <f t="shared" ca="1" si="8"/>
        <v>0</v>
      </c>
      <c r="T50" s="14">
        <f>IFERROR(IF(WoP_Flag="Y",IF(fq=1,VLOOKUP(ppt*fq-H50,Charges!$AN$41:$AO$59,2,FALSE),IF(fq=2,VLOOKUP(ppt*fq-G50,Charges!$AP$41:$AQ$79,2,FALSE),VLOOKUP(ppt*fq-D50,Charges!$AR$41:$AS$279,2,FALSE)))*pr/fq,0),0)</f>
        <v>0</v>
      </c>
      <c r="U50" s="14">
        <f t="shared" ca="1" si="9"/>
        <v>0</v>
      </c>
      <c r="V50" s="34">
        <f>ROUND(MIN(IF(H50&gt;=7,Charges!$C$12*(1+Charges!$C$14)^((H50-7+1)),VLOOKUP(H50,Charges!$B$7:$C$12,2,0))*pr,Charges!$C$13)*B50,Round)</f>
        <v>450</v>
      </c>
      <c r="W50" s="14">
        <f t="shared" ca="1" si="10"/>
        <v>1132589.9188923931</v>
      </c>
      <c r="X50" s="14">
        <f t="shared" ca="1" si="11"/>
        <v>1139877.036532833</v>
      </c>
      <c r="Y50" s="213">
        <f t="shared" ca="1" si="47"/>
        <v>1283.0595403459565</v>
      </c>
      <c r="Z50" s="14">
        <f t="shared" ca="1" si="12"/>
        <v>1138363.0262752248</v>
      </c>
      <c r="AA50" s="14">
        <f>IF(AND($H50=pt,$F50=11),SUM($K$7:K50)*VLOOKUP(pt,ROC,2,FALSE),0)</f>
        <v>0</v>
      </c>
      <c r="AB50" s="14">
        <f>IF(AND($H50=pt,$F50=11),SUM($V$7:V50)*VLOOKUP(pt,ROC,2,FALSE),0)</f>
        <v>0</v>
      </c>
      <c r="AC50" s="14">
        <f>IF(AND($H50=pt,$F50=11),SUM($Q$7:Q50)*VLOOKUP(pt,ROC,2,FALSE),0)</f>
        <v>0</v>
      </c>
      <c r="AD50" s="14">
        <f t="shared" ca="1" si="13"/>
        <v>1138363.0262752248</v>
      </c>
      <c r="AE50" s="14">
        <f ca="1">(MAX(sa-CF49*Flag_UL_Type,105%*SUM($I$7:I50),Z50)+AU50)*B50</f>
        <v>3000000</v>
      </c>
      <c r="AF50" s="136"/>
      <c r="AG50" s="18">
        <v>44</v>
      </c>
      <c r="AH50" s="30">
        <f t="shared" ca="1" si="14"/>
        <v>0</v>
      </c>
      <c r="AI50" s="138"/>
      <c r="AJ50" s="50">
        <f>IF(AND(Option_Sys_TopUp&gt;="Y",H50&gt;=sytp,H50&lt;=(dtp+sytp-1),F50=0,H50&lt;=ppt+1),atp,0)+IFERROR(VLOOKUP(H50,Input!$B$55:$C$61,2,0),0)*(F50=0)*(Option_TopUP="Y")*(Option_Sys_TopUp="N")*B50*(pt&gt;=H50+5)</f>
        <v>0</v>
      </c>
      <c r="AK50" s="50">
        <f t="shared" si="15"/>
        <v>0</v>
      </c>
      <c r="AL50" s="50">
        <f t="shared" si="48"/>
        <v>0</v>
      </c>
      <c r="AM50" s="50">
        <f t="shared" ca="1" si="49"/>
        <v>0</v>
      </c>
      <c r="AN50" s="50">
        <f ca="1">IF(B50=0,0,AT50*(_rpm1+(1+_emr1)*VLOOKUP(E50,Tab_Mort_Charge,IF(Input!$C$12="M",2,3),0))*(0.001*0.0833)*Flag_Mort_Rider_Charge*(AT50&gt;0))</f>
        <v>0</v>
      </c>
      <c r="AO50" s="50">
        <f t="shared" ca="1" si="17"/>
        <v>0</v>
      </c>
      <c r="AP50" s="50">
        <f t="shared" ca="1" si="58"/>
        <v>0</v>
      </c>
      <c r="AQ50" s="50">
        <f t="shared" ca="1" si="18"/>
        <v>0</v>
      </c>
      <c r="AR50" s="50">
        <f t="shared" ca="1" si="19"/>
        <v>0</v>
      </c>
      <c r="AS50" s="50">
        <f t="shared" si="20"/>
        <v>0</v>
      </c>
      <c r="AT50" s="50">
        <f ca="1">(MAX((MAX(AS50,105%*SUM($AJ$7:AJ50))-AM50*Flag_UL_Type),0)*B50)</f>
        <v>0</v>
      </c>
      <c r="AU50" s="50">
        <f ca="1">(MAX(AS50,AR50,105%*SUM($AJ$7:AJ50))*B50)</f>
        <v>0</v>
      </c>
      <c r="AV50" s="125"/>
      <c r="AW50" s="13"/>
      <c r="AX50" s="13"/>
      <c r="AY50" s="13"/>
      <c r="AZ50" s="13"/>
      <c r="BA50" s="13"/>
      <c r="BG50" s="51">
        <f t="shared" si="30"/>
        <v>0</v>
      </c>
      <c r="BH50" s="51">
        <f t="shared" ca="1" si="31"/>
        <v>375.332627231635</v>
      </c>
      <c r="BI50" s="51">
        <f t="shared" ca="1" si="32"/>
        <v>0</v>
      </c>
      <c r="BJ50" s="51">
        <f t="shared" ca="1" si="33"/>
        <v>0</v>
      </c>
      <c r="BK50" s="51">
        <f t="shared" si="34"/>
        <v>81</v>
      </c>
      <c r="BL50" s="51">
        <f t="shared" ca="1" si="35"/>
        <v>230.95071726227218</v>
      </c>
      <c r="BM50" s="51">
        <f t="shared" si="36"/>
        <v>0</v>
      </c>
      <c r="BN50" s="51">
        <f t="shared" ca="1" si="37"/>
        <v>0</v>
      </c>
      <c r="BO50" s="51">
        <f t="shared" ca="1" si="38"/>
        <v>0</v>
      </c>
      <c r="BP50" s="51">
        <f t="shared" ca="1" si="39"/>
        <v>687.28334449390718</v>
      </c>
      <c r="BR50" s="32"/>
      <c r="BS50" s="126"/>
      <c r="BT50" s="16"/>
      <c r="BU50" s="58"/>
      <c r="BW50" s="51">
        <f>IF(Input!$C$13="Offline",VLOOKUP(H50,Charges!$AT$4:$AU$33,2,FALSE)*I50,0)</f>
        <v>0</v>
      </c>
      <c r="BX50" s="51">
        <f t="shared" si="40"/>
        <v>0</v>
      </c>
      <c r="BY50" s="51">
        <f t="shared" si="51"/>
        <v>0</v>
      </c>
      <c r="BZ50" s="151"/>
      <c r="CA50" s="151"/>
      <c r="CB50" s="32"/>
      <c r="CC50" s="16">
        <f ca="1">SUM($N$7:$N50)</f>
        <v>0</v>
      </c>
      <c r="CD50" s="16">
        <f t="shared" ca="1" si="41"/>
        <v>0</v>
      </c>
      <c r="CE50" s="16">
        <f t="shared" ca="1" si="42"/>
        <v>0</v>
      </c>
      <c r="CF50" s="7">
        <f t="shared" ca="1" si="43"/>
        <v>0</v>
      </c>
      <c r="CH50" s="7">
        <f t="shared" ca="1" si="44"/>
        <v>0</v>
      </c>
    </row>
    <row r="51" spans="2:86" s="7" customFormat="1" x14ac:dyDescent="0.2">
      <c r="B51" s="14">
        <f t="shared" si="0"/>
        <v>1</v>
      </c>
      <c r="C51" s="12">
        <f t="shared" si="1"/>
        <v>1</v>
      </c>
      <c r="D51" s="17">
        <f t="shared" si="52"/>
        <v>45</v>
      </c>
      <c r="E51" s="17">
        <f t="shared" ca="1" si="2"/>
        <v>63</v>
      </c>
      <c r="F51" s="12">
        <f t="shared" si="56"/>
        <v>8</v>
      </c>
      <c r="G51" s="12">
        <f t="shared" si="55"/>
        <v>8</v>
      </c>
      <c r="H51" s="17">
        <f t="shared" si="57"/>
        <v>4</v>
      </c>
      <c r="I51" s="29">
        <f t="shared" si="45"/>
        <v>0</v>
      </c>
      <c r="J51" s="211">
        <f>IFERROR(VLOOKUP(H51,Charges!$T$6:$U$35,2,0)*C51,0)</f>
        <v>0.96499999999999997</v>
      </c>
      <c r="K51" s="29">
        <f t="shared" si="3"/>
        <v>0</v>
      </c>
      <c r="L51" s="29">
        <f t="shared" si="4"/>
        <v>0</v>
      </c>
      <c r="M51" s="147">
        <f t="shared" ca="1" si="5"/>
        <v>0</v>
      </c>
      <c r="N51" s="148">
        <f ca="1">IF(AND(Option_SPW="Y",H51&gt;=Lock_In_Period,Z50&gt;SPW_Amount_pa+IF(option="Single",1/5*pr,2*pr),H51&gt;=SPW_Start_Year,H51&lt;=SPW_Start_Year+SPW_Duration-1,age+H51&gt;=Legal_Age),IF(AND(F51=0,SPW_Payout_Freq=1),SPW_Amount_pa,IF(AND(SPW_Payout_Freq=2,MOD(F51,6)=0),SPW_Amount_pa/SPW_Payout_Freq,IF(AND(SPW_Payout_Freq=4,MOD(F51,3)=0),SPW_Amount_pa/SPW_Payout_Freq,IF(SPW_Payout_Freq=12,SPW_Amount_pa/SPW_Payout_Freq,0)))),0)+IFERROR(VLOOKUP(H51,Input!$B$68:$C$74,2,0),0)*(F51=0)*(Option_PW="Y")*(Option_SPW="N")*(age+H51&gt;=Legal_Age)</f>
        <v>0</v>
      </c>
      <c r="O51" s="148">
        <f t="shared" ca="1" si="6"/>
        <v>0</v>
      </c>
      <c r="P51" s="14">
        <f ca="1">(MAX(MAX(sa-CF50*Flag_UL_Type,105%*SUM($I$7:I51))-(AD50+L51-N51)*Flag_UL_Type,0)*B51)</f>
        <v>1861636.9737247752</v>
      </c>
      <c r="Q51" s="213">
        <f t="shared" ca="1" si="46"/>
        <v>2082.0703050552333</v>
      </c>
      <c r="R51" s="14">
        <f t="shared" ca="1" si="7"/>
        <v>0</v>
      </c>
      <c r="S51" s="14">
        <f t="shared" ca="1" si="8"/>
        <v>0</v>
      </c>
      <c r="T51" s="14">
        <f>IFERROR(IF(WoP_Flag="Y",IF(fq=1,VLOOKUP(ppt*fq-H51,Charges!$AN$41:$AO$59,2,FALSE),IF(fq=2,VLOOKUP(ppt*fq-G51,Charges!$AP$41:$AQ$79,2,FALSE),VLOOKUP(ppt*fq-D51,Charges!$AR$41:$AS$279,2,FALSE)))*pr/fq,0),0)</f>
        <v>0</v>
      </c>
      <c r="U51" s="14">
        <f t="shared" ca="1" si="9"/>
        <v>0</v>
      </c>
      <c r="V51" s="34">
        <f>ROUND(MIN(IF(H51&gt;=7,Charges!$C$12*(1+Charges!$C$14)^((H51-7+1)),VLOOKUP(H51,Charges!$B$7:$C$12,2,0))*pr,Charges!$C$13)*B51,Round)</f>
        <v>450</v>
      </c>
      <c r="W51" s="14">
        <f t="shared" ca="1" si="10"/>
        <v>1135375.1833152596</v>
      </c>
      <c r="X51" s="14">
        <f t="shared" ca="1" si="11"/>
        <v>1142680.2214308607</v>
      </c>
      <c r="Y51" s="213">
        <f t="shared" ca="1" si="47"/>
        <v>1286.2148395681497</v>
      </c>
      <c r="Z51" s="14">
        <f t="shared" ca="1" si="12"/>
        <v>1141162.4879201702</v>
      </c>
      <c r="AA51" s="14">
        <f>IF(AND($H51=pt,$F51=11),SUM($K$7:K51)*VLOOKUP(pt,ROC,2,FALSE),0)</f>
        <v>0</v>
      </c>
      <c r="AB51" s="14">
        <f>IF(AND($H51=pt,$F51=11),SUM($V$7:V51)*VLOOKUP(pt,ROC,2,FALSE),0)</f>
        <v>0</v>
      </c>
      <c r="AC51" s="14">
        <f>IF(AND($H51=pt,$F51=11),SUM($Q$7:Q51)*VLOOKUP(pt,ROC,2,FALSE),0)</f>
        <v>0</v>
      </c>
      <c r="AD51" s="14">
        <f t="shared" ca="1" si="13"/>
        <v>1141162.4879201702</v>
      </c>
      <c r="AE51" s="14">
        <f ca="1">(MAX(sa-CF50*Flag_UL_Type,105%*SUM($I$7:I51),Z51)+AU51)*B51</f>
        <v>3000000</v>
      </c>
      <c r="AF51" s="136"/>
      <c r="AG51" s="18">
        <v>45</v>
      </c>
      <c r="AH51" s="30">
        <f t="shared" ca="1" si="14"/>
        <v>0</v>
      </c>
      <c r="AI51" s="138"/>
      <c r="AJ51" s="50">
        <f>IF(AND(Option_Sys_TopUp&gt;="Y",H51&gt;=sytp,H51&lt;=(dtp+sytp-1),F51=0,H51&lt;=ppt+1),atp,0)+IFERROR(VLOOKUP(H51,Input!$B$55:$C$61,2,0),0)*(F51=0)*(Option_TopUP="Y")*(Option_Sys_TopUp="N")*B51*(pt&gt;=H51+5)</f>
        <v>0</v>
      </c>
      <c r="AK51" s="50">
        <f t="shared" si="15"/>
        <v>0</v>
      </c>
      <c r="AL51" s="50">
        <f t="shared" si="48"/>
        <v>0</v>
      </c>
      <c r="AM51" s="50">
        <f t="shared" ca="1" si="49"/>
        <v>0</v>
      </c>
      <c r="AN51" s="50">
        <f ca="1">IF(B51=0,0,AT51*(_rpm1+(1+_emr1)*VLOOKUP(E51,Tab_Mort_Charge,IF(Input!$C$12="M",2,3),0))*(0.001*0.0833)*Flag_Mort_Rider_Charge*(AT51&gt;0))</f>
        <v>0</v>
      </c>
      <c r="AO51" s="50">
        <f t="shared" ca="1" si="17"/>
        <v>0</v>
      </c>
      <c r="AP51" s="50">
        <f t="shared" ca="1" si="58"/>
        <v>0</v>
      </c>
      <c r="AQ51" s="50">
        <f t="shared" ca="1" si="18"/>
        <v>0</v>
      </c>
      <c r="AR51" s="50">
        <f t="shared" ca="1" si="19"/>
        <v>0</v>
      </c>
      <c r="AS51" s="50">
        <f t="shared" si="20"/>
        <v>0</v>
      </c>
      <c r="AT51" s="50">
        <f ca="1">(MAX((MAX(AS51,105%*SUM($AJ$7:AJ51))-AM51*Flag_UL_Type),0)*B51)</f>
        <v>0</v>
      </c>
      <c r="AU51" s="50">
        <f ca="1">(MAX(AS51,AR51,105%*SUM($AJ$7:AJ51))*B51)</f>
        <v>0</v>
      </c>
      <c r="AV51" s="125"/>
      <c r="AW51" s="13"/>
      <c r="AX51" s="13"/>
      <c r="AY51" s="13"/>
      <c r="AZ51" s="13"/>
      <c r="BA51" s="13"/>
      <c r="BG51" s="51">
        <f t="shared" si="30"/>
        <v>0</v>
      </c>
      <c r="BH51" s="51">
        <f t="shared" ca="1" si="31"/>
        <v>374.77265490994199</v>
      </c>
      <c r="BI51" s="51">
        <f t="shared" ca="1" si="32"/>
        <v>0</v>
      </c>
      <c r="BJ51" s="51">
        <f t="shared" ca="1" si="33"/>
        <v>0</v>
      </c>
      <c r="BK51" s="51">
        <f t="shared" si="34"/>
        <v>81</v>
      </c>
      <c r="BL51" s="51">
        <f t="shared" ca="1" si="35"/>
        <v>231.51867112226694</v>
      </c>
      <c r="BM51" s="51">
        <f t="shared" si="36"/>
        <v>0</v>
      </c>
      <c r="BN51" s="51">
        <f t="shared" ca="1" si="37"/>
        <v>0</v>
      </c>
      <c r="BO51" s="51">
        <f t="shared" ca="1" si="38"/>
        <v>0</v>
      </c>
      <c r="BP51" s="51">
        <f t="shared" ca="1" si="39"/>
        <v>687.29132603220887</v>
      </c>
      <c r="BR51" s="32"/>
      <c r="BS51" s="126"/>
      <c r="BT51" s="16"/>
      <c r="BU51" s="58"/>
      <c r="BW51" s="51">
        <f>IF(Input!$C$13="Offline",VLOOKUP(H51,Charges!$AT$4:$AU$33,2,FALSE)*I51,0)</f>
        <v>0</v>
      </c>
      <c r="BX51" s="51">
        <f t="shared" si="40"/>
        <v>0</v>
      </c>
      <c r="BY51" s="51">
        <f t="shared" si="51"/>
        <v>0</v>
      </c>
      <c r="BZ51" s="151"/>
      <c r="CA51" s="151"/>
      <c r="CB51" s="32"/>
      <c r="CC51" s="16">
        <f ca="1">SUM($N$7:$N51)</f>
        <v>0</v>
      </c>
      <c r="CD51" s="16">
        <f t="shared" ca="1" si="41"/>
        <v>0</v>
      </c>
      <c r="CE51" s="16">
        <f t="shared" ca="1" si="42"/>
        <v>0</v>
      </c>
      <c r="CF51" s="7">
        <f t="shared" ca="1" si="43"/>
        <v>0</v>
      </c>
      <c r="CH51" s="7">
        <f t="shared" ca="1" si="44"/>
        <v>0</v>
      </c>
    </row>
    <row r="52" spans="2:86" s="7" customFormat="1" x14ac:dyDescent="0.2">
      <c r="B52" s="14">
        <f t="shared" si="0"/>
        <v>1</v>
      </c>
      <c r="C52" s="12">
        <f t="shared" si="1"/>
        <v>1</v>
      </c>
      <c r="D52" s="17">
        <f t="shared" si="52"/>
        <v>46</v>
      </c>
      <c r="E52" s="17">
        <f t="shared" ca="1" si="2"/>
        <v>63</v>
      </c>
      <c r="F52" s="12">
        <f t="shared" si="56"/>
        <v>9</v>
      </c>
      <c r="G52" s="12">
        <f t="shared" si="55"/>
        <v>8</v>
      </c>
      <c r="H52" s="17">
        <f t="shared" si="57"/>
        <v>4</v>
      </c>
      <c r="I52" s="29">
        <f t="shared" si="45"/>
        <v>0</v>
      </c>
      <c r="J52" s="211">
        <f>IFERROR(VLOOKUP(H52,Charges!$T$6:$U$35,2,0)*C52,0)</f>
        <v>0.96499999999999997</v>
      </c>
      <c r="K52" s="29">
        <f t="shared" si="3"/>
        <v>0</v>
      </c>
      <c r="L52" s="29">
        <f t="shared" si="4"/>
        <v>0</v>
      </c>
      <c r="M52" s="147">
        <f t="shared" ca="1" si="5"/>
        <v>0</v>
      </c>
      <c r="N52" s="148">
        <f ca="1">IF(AND(Option_SPW="Y",H52&gt;=Lock_In_Period,Z51&gt;SPW_Amount_pa+IF(option="Single",1/5*pr,2*pr),H52&gt;=SPW_Start_Year,H52&lt;=SPW_Start_Year+SPW_Duration-1,age+H52&gt;=Legal_Age),IF(AND(F52=0,SPW_Payout_Freq=1),SPW_Amount_pa,IF(AND(SPW_Payout_Freq=2,MOD(F52,6)=0),SPW_Amount_pa/SPW_Payout_Freq,IF(AND(SPW_Payout_Freq=4,MOD(F52,3)=0),SPW_Amount_pa/SPW_Payout_Freq,IF(SPW_Payout_Freq=12,SPW_Amount_pa/SPW_Payout_Freq,0)))),0)+IFERROR(VLOOKUP(H52,Input!$B$68:$C$74,2,0),0)*(F52=0)*(Option_PW="Y")*(Option_SPW="N")*(age+H52&gt;=Legal_Age)</f>
        <v>0</v>
      </c>
      <c r="O52" s="148">
        <f t="shared" ca="1" si="6"/>
        <v>0</v>
      </c>
      <c r="P52" s="14">
        <f ca="1">(MAX(MAX(sa-CF51*Flag_UL_Type,105%*SUM($I$7:I52))-(AD51+L52-N52)*Flag_UL_Type,0)*B52)</f>
        <v>1858837.5120798298</v>
      </c>
      <c r="Q52" s="213">
        <f t="shared" ca="1" si="46"/>
        <v>2078.9393638226834</v>
      </c>
      <c r="R52" s="14">
        <f t="shared" ca="1" si="7"/>
        <v>0</v>
      </c>
      <c r="S52" s="14">
        <f t="shared" ca="1" si="8"/>
        <v>0</v>
      </c>
      <c r="T52" s="14">
        <f>IFERROR(IF(WoP_Flag="Y",IF(fq=1,VLOOKUP(ppt*fq-H52,Charges!$AN$41:$AO$59,2,FALSE),IF(fq=2,VLOOKUP(ppt*fq-G52,Charges!$AP$41:$AQ$79,2,FALSE),VLOOKUP(ppt*fq-D52,Charges!$AR$41:$AS$279,2,FALSE)))*pr/fq,0),0)</f>
        <v>0</v>
      </c>
      <c r="U52" s="14">
        <f t="shared" ca="1" si="9"/>
        <v>0</v>
      </c>
      <c r="V52" s="34">
        <f>ROUND(MIN(IF(H52&gt;=7,Charges!$C$12*(1+Charges!$C$14)^((H52-7+1)),VLOOKUP(H52,Charges!$B$7:$C$12,2,0))*pr,Charges!$C$13)*B52,Round)</f>
        <v>450</v>
      </c>
      <c r="W52" s="14">
        <f t="shared" ca="1" si="10"/>
        <v>1138178.3394708594</v>
      </c>
      <c r="X52" s="14">
        <f t="shared" ca="1" si="11"/>
        <v>1145501.4131775687</v>
      </c>
      <c r="Y52" s="213">
        <f t="shared" ca="1" si="47"/>
        <v>1289.3904075195574</v>
      </c>
      <c r="Z52" s="14">
        <f t="shared" ca="1" si="12"/>
        <v>1143979.9324966955</v>
      </c>
      <c r="AA52" s="14">
        <f>IF(AND($H52=pt,$F52=11),SUM($K$7:K52)*VLOOKUP(pt,ROC,2,FALSE),0)</f>
        <v>0</v>
      </c>
      <c r="AB52" s="14">
        <f>IF(AND($H52=pt,$F52=11),SUM($V$7:V52)*VLOOKUP(pt,ROC,2,FALSE),0)</f>
        <v>0</v>
      </c>
      <c r="AC52" s="14">
        <f>IF(AND($H52=pt,$F52=11),SUM($Q$7:Q52)*VLOOKUP(pt,ROC,2,FALSE),0)</f>
        <v>0</v>
      </c>
      <c r="AD52" s="14">
        <f t="shared" ca="1" si="13"/>
        <v>1143979.9324966955</v>
      </c>
      <c r="AE52" s="14">
        <f ca="1">(MAX(sa-CF51*Flag_UL_Type,105%*SUM($I$7:I52),Z52)+AU52)*B52</f>
        <v>3000000</v>
      </c>
      <c r="AF52" s="136"/>
      <c r="AG52" s="18">
        <v>46</v>
      </c>
      <c r="AH52" s="30">
        <f t="shared" ca="1" si="14"/>
        <v>0</v>
      </c>
      <c r="AI52" s="138"/>
      <c r="AJ52" s="50">
        <f>IF(AND(Option_Sys_TopUp&gt;="Y",H52&gt;=sytp,H52&lt;=(dtp+sytp-1),F52=0,H52&lt;=ppt+1),atp,0)+IFERROR(VLOOKUP(H52,Input!$B$55:$C$61,2,0),0)*(F52=0)*(Option_TopUP="Y")*(Option_Sys_TopUp="N")*B52*(pt&gt;=H52+5)</f>
        <v>0</v>
      </c>
      <c r="AK52" s="50">
        <f t="shared" si="15"/>
        <v>0</v>
      </c>
      <c r="AL52" s="50">
        <f t="shared" si="48"/>
        <v>0</v>
      </c>
      <c r="AM52" s="50">
        <f t="shared" ca="1" si="49"/>
        <v>0</v>
      </c>
      <c r="AN52" s="50">
        <f ca="1">IF(B52=0,0,AT52*(_rpm1+(1+_emr1)*VLOOKUP(E52,Tab_Mort_Charge,IF(Input!$C$12="M",2,3),0))*(0.001*0.0833)*Flag_Mort_Rider_Charge*(AT52&gt;0))</f>
        <v>0</v>
      </c>
      <c r="AO52" s="50">
        <f t="shared" ca="1" si="17"/>
        <v>0</v>
      </c>
      <c r="AP52" s="50">
        <f t="shared" ca="1" si="58"/>
        <v>0</v>
      </c>
      <c r="AQ52" s="50">
        <f t="shared" ca="1" si="18"/>
        <v>0</v>
      </c>
      <c r="AR52" s="50">
        <f t="shared" ca="1" si="19"/>
        <v>0</v>
      </c>
      <c r="AS52" s="50">
        <f t="shared" si="20"/>
        <v>0</v>
      </c>
      <c r="AT52" s="50">
        <f ca="1">(MAX((MAX(AS52,105%*SUM($AJ$7:AJ52))-AM52*Flag_UL_Type),0)*B52)</f>
        <v>0</v>
      </c>
      <c r="AU52" s="50">
        <f ca="1">(MAX(AS52,AR52,105%*SUM($AJ$7:AJ52))*B52)</f>
        <v>0</v>
      </c>
      <c r="AV52" s="125"/>
      <c r="AW52" s="13"/>
      <c r="AX52" s="13"/>
      <c r="AY52" s="13"/>
      <c r="AZ52" s="13"/>
      <c r="BA52" s="13"/>
      <c r="BG52" s="51">
        <f t="shared" si="30"/>
        <v>0</v>
      </c>
      <c r="BH52" s="51">
        <f t="shared" ca="1" si="31"/>
        <v>374.20908548808302</v>
      </c>
      <c r="BI52" s="51">
        <f t="shared" ca="1" si="32"/>
        <v>0</v>
      </c>
      <c r="BJ52" s="51">
        <f t="shared" ca="1" si="33"/>
        <v>0</v>
      </c>
      <c r="BK52" s="51">
        <f t="shared" si="34"/>
        <v>81</v>
      </c>
      <c r="BL52" s="51">
        <f t="shared" ca="1" si="35"/>
        <v>232.0902733535203</v>
      </c>
      <c r="BM52" s="51">
        <f t="shared" si="36"/>
        <v>0</v>
      </c>
      <c r="BN52" s="51">
        <f t="shared" ca="1" si="37"/>
        <v>0</v>
      </c>
      <c r="BO52" s="51">
        <f t="shared" ca="1" si="38"/>
        <v>0</v>
      </c>
      <c r="BP52" s="51">
        <f t="shared" ca="1" si="39"/>
        <v>687.29935884160329</v>
      </c>
      <c r="BR52" s="32"/>
      <c r="BS52" s="126"/>
      <c r="BT52" s="16"/>
      <c r="BU52" s="58"/>
      <c r="BW52" s="51">
        <f>IF(Input!$C$13="Offline",VLOOKUP(H52,Charges!$AT$4:$AU$33,2,FALSE)*I52,0)</f>
        <v>0</v>
      </c>
      <c r="BX52" s="51">
        <f t="shared" si="40"/>
        <v>0</v>
      </c>
      <c r="BY52" s="51">
        <f t="shared" si="51"/>
        <v>0</v>
      </c>
      <c r="BZ52" s="151"/>
      <c r="CA52" s="151"/>
      <c r="CB52" s="32"/>
      <c r="CC52" s="16">
        <f ca="1">SUM($N$7:$N52)</f>
        <v>0</v>
      </c>
      <c r="CD52" s="16">
        <f t="shared" ca="1" si="41"/>
        <v>0</v>
      </c>
      <c r="CE52" s="16">
        <f t="shared" ca="1" si="42"/>
        <v>0</v>
      </c>
      <c r="CF52" s="7">
        <f t="shared" ca="1" si="43"/>
        <v>0</v>
      </c>
      <c r="CH52" s="7">
        <f t="shared" ca="1" si="44"/>
        <v>0</v>
      </c>
    </row>
    <row r="53" spans="2:86" s="7" customFormat="1" x14ac:dyDescent="0.2">
      <c r="B53" s="14">
        <f t="shared" si="0"/>
        <v>1</v>
      </c>
      <c r="C53" s="12">
        <f t="shared" si="1"/>
        <v>1</v>
      </c>
      <c r="D53" s="17">
        <f t="shared" si="52"/>
        <v>47</v>
      </c>
      <c r="E53" s="17">
        <f t="shared" ca="1" si="2"/>
        <v>63</v>
      </c>
      <c r="F53" s="12">
        <f t="shared" si="56"/>
        <v>10</v>
      </c>
      <c r="G53" s="12">
        <f t="shared" si="55"/>
        <v>8</v>
      </c>
      <c r="H53" s="17">
        <f t="shared" si="57"/>
        <v>4</v>
      </c>
      <c r="I53" s="29">
        <f t="shared" si="45"/>
        <v>0</v>
      </c>
      <c r="J53" s="211">
        <f>IFERROR(VLOOKUP(H53,Charges!$T$6:$U$35,2,0)*C53,0)</f>
        <v>0.96499999999999997</v>
      </c>
      <c r="K53" s="29">
        <f t="shared" si="3"/>
        <v>0</v>
      </c>
      <c r="L53" s="29">
        <f t="shared" si="4"/>
        <v>0</v>
      </c>
      <c r="M53" s="147">
        <f t="shared" ca="1" si="5"/>
        <v>0</v>
      </c>
      <c r="N53" s="148">
        <f ca="1">IF(AND(Option_SPW="Y",H53&gt;=Lock_In_Period,Z52&gt;SPW_Amount_pa+IF(option="Single",1/5*pr,2*pr),H53&gt;=SPW_Start_Year,H53&lt;=SPW_Start_Year+SPW_Duration-1,age+H53&gt;=Legal_Age),IF(AND(F53=0,SPW_Payout_Freq=1),SPW_Amount_pa,IF(AND(SPW_Payout_Freq=2,MOD(F53,6)=0),SPW_Amount_pa/SPW_Payout_Freq,IF(AND(SPW_Payout_Freq=4,MOD(F53,3)=0),SPW_Amount_pa/SPW_Payout_Freq,IF(SPW_Payout_Freq=12,SPW_Amount_pa/SPW_Payout_Freq,0)))),0)+IFERROR(VLOOKUP(H53,Input!$B$68:$C$74,2,0),0)*(F53=0)*(Option_PW="Y")*(Option_SPW="N")*(age+H53&gt;=Legal_Age)</f>
        <v>0</v>
      </c>
      <c r="O53" s="148">
        <f t="shared" ca="1" si="6"/>
        <v>0</v>
      </c>
      <c r="P53" s="14">
        <f ca="1">(MAX(MAX(sa-CF52*Flag_UL_Type,105%*SUM($I$7:I53))-(AD52+L53-N53)*Flag_UL_Type,0)*B53)</f>
        <v>1856020.0675033045</v>
      </c>
      <c r="Q53" s="213">
        <f t="shared" ca="1" si="46"/>
        <v>2075.7883103295917</v>
      </c>
      <c r="R53" s="14">
        <f t="shared" ca="1" si="7"/>
        <v>0</v>
      </c>
      <c r="S53" s="14">
        <f t="shared" ca="1" si="8"/>
        <v>0</v>
      </c>
      <c r="T53" s="14">
        <f>IFERROR(IF(WoP_Flag="Y",IF(fq=1,VLOOKUP(ppt*fq-H53,Charges!$AN$41:$AO$59,2,FALSE),IF(fq=2,VLOOKUP(ppt*fq-G53,Charges!$AP$41:$AQ$79,2,FALSE),VLOOKUP(ppt*fq-D53,Charges!$AR$41:$AS$279,2,FALSE)))*pr/fq,0),0)</f>
        <v>0</v>
      </c>
      <c r="U53" s="14">
        <f t="shared" ca="1" si="9"/>
        <v>0</v>
      </c>
      <c r="V53" s="34">
        <f>ROUND(MIN(IF(H53&gt;=7,Charges!$C$12*(1+Charges!$C$14)^((H53-7+1)),VLOOKUP(H53,Charges!$B$7:$C$12,2,0))*pr,Charges!$C$13)*B53,Round)</f>
        <v>450</v>
      </c>
      <c r="W53" s="14">
        <f t="shared" ca="1" si="10"/>
        <v>1140999.5022905066</v>
      </c>
      <c r="X53" s="14">
        <f t="shared" ca="1" si="11"/>
        <v>1148340.7274437426</v>
      </c>
      <c r="Y53" s="213">
        <f t="shared" ca="1" si="47"/>
        <v>1292.5863744006303</v>
      </c>
      <c r="Z53" s="14">
        <f t="shared" ca="1" si="12"/>
        <v>1146815.4755219498</v>
      </c>
      <c r="AA53" s="14">
        <f>IF(AND($H53=pt,$F53=11),SUM($K$7:K53)*VLOOKUP(pt,ROC,2,FALSE),0)</f>
        <v>0</v>
      </c>
      <c r="AB53" s="14">
        <f>IF(AND($H53=pt,$F53=11),SUM($V$7:V53)*VLOOKUP(pt,ROC,2,FALSE),0)</f>
        <v>0</v>
      </c>
      <c r="AC53" s="14">
        <f>IF(AND($H53=pt,$F53=11),SUM($Q$7:Q53)*VLOOKUP(pt,ROC,2,FALSE),0)</f>
        <v>0</v>
      </c>
      <c r="AD53" s="14">
        <f t="shared" ca="1" si="13"/>
        <v>1146815.4755219498</v>
      </c>
      <c r="AE53" s="14">
        <f ca="1">(MAX(sa-CF52*Flag_UL_Type,105%*SUM($I$7:I53),Z53)+AU53)*B53</f>
        <v>3000000</v>
      </c>
      <c r="AF53" s="136"/>
      <c r="AG53" s="18">
        <v>47</v>
      </c>
      <c r="AH53" s="30">
        <f t="shared" ca="1" si="14"/>
        <v>0</v>
      </c>
      <c r="AI53" s="138"/>
      <c r="AJ53" s="50">
        <f>IF(AND(Option_Sys_TopUp&gt;="Y",H53&gt;=sytp,H53&lt;=(dtp+sytp-1),F53=0,H53&lt;=ppt+1),atp,0)+IFERROR(VLOOKUP(H53,Input!$B$55:$C$61,2,0),0)*(F53=0)*(Option_TopUP="Y")*(Option_Sys_TopUp="N")*B53*(pt&gt;=H53+5)</f>
        <v>0</v>
      </c>
      <c r="AK53" s="50">
        <f t="shared" si="15"/>
        <v>0</v>
      </c>
      <c r="AL53" s="50">
        <f t="shared" si="48"/>
        <v>0</v>
      </c>
      <c r="AM53" s="50">
        <f t="shared" ca="1" si="49"/>
        <v>0</v>
      </c>
      <c r="AN53" s="50">
        <f ca="1">IF(B53=0,0,AT53*(_rpm1+(1+_emr1)*VLOOKUP(E53,Tab_Mort_Charge,IF(Input!$C$12="M",2,3),0))*(0.001*0.0833)*Flag_Mort_Rider_Charge*(AT53&gt;0))</f>
        <v>0</v>
      </c>
      <c r="AO53" s="50">
        <f t="shared" ca="1" si="17"/>
        <v>0</v>
      </c>
      <c r="AP53" s="50">
        <f t="shared" ca="1" si="58"/>
        <v>0</v>
      </c>
      <c r="AQ53" s="50">
        <f t="shared" ca="1" si="18"/>
        <v>0</v>
      </c>
      <c r="AR53" s="50">
        <f t="shared" ca="1" si="19"/>
        <v>0</v>
      </c>
      <c r="AS53" s="50">
        <f t="shared" si="20"/>
        <v>0</v>
      </c>
      <c r="AT53" s="50">
        <f ca="1">(MAX((MAX(AS53,105%*SUM($AJ$7:AJ53))-AM53*Flag_UL_Type),0)*B53)</f>
        <v>0</v>
      </c>
      <c r="AU53" s="50">
        <f ca="1">(MAX(AS53,AR53,105%*SUM($AJ$7:AJ53))*B53)</f>
        <v>0</v>
      </c>
      <c r="AV53" s="125"/>
      <c r="AW53" s="13"/>
      <c r="AX53" s="13"/>
      <c r="AY53" s="13"/>
      <c r="AZ53" s="13"/>
      <c r="BA53" s="13"/>
      <c r="BG53" s="51">
        <f t="shared" si="30"/>
        <v>0</v>
      </c>
      <c r="BH53" s="51">
        <f t="shared" ca="1" si="31"/>
        <v>373.64189585932598</v>
      </c>
      <c r="BI53" s="51">
        <f t="shared" ca="1" si="32"/>
        <v>0</v>
      </c>
      <c r="BJ53" s="51">
        <f t="shared" ca="1" si="33"/>
        <v>0</v>
      </c>
      <c r="BK53" s="51">
        <f t="shared" si="34"/>
        <v>81</v>
      </c>
      <c r="BL53" s="51">
        <f t="shared" ca="1" si="35"/>
        <v>232.66554739211347</v>
      </c>
      <c r="BM53" s="51">
        <f t="shared" si="36"/>
        <v>0</v>
      </c>
      <c r="BN53" s="51">
        <f t="shared" ca="1" si="37"/>
        <v>0</v>
      </c>
      <c r="BO53" s="51">
        <f t="shared" ca="1" si="38"/>
        <v>0</v>
      </c>
      <c r="BP53" s="51">
        <f t="shared" ca="1" si="39"/>
        <v>687.30744325143951</v>
      </c>
      <c r="BR53" s="32"/>
      <c r="BS53" s="126"/>
      <c r="BT53" s="16"/>
      <c r="BU53" s="58"/>
      <c r="BW53" s="51">
        <f>IF(Input!$C$13="Offline",VLOOKUP(H53,Charges!$AT$4:$AU$33,2,FALSE)*I53,0)</f>
        <v>0</v>
      </c>
      <c r="BX53" s="51">
        <f t="shared" si="40"/>
        <v>0</v>
      </c>
      <c r="BY53" s="51">
        <f t="shared" si="51"/>
        <v>0</v>
      </c>
      <c r="BZ53" s="151"/>
      <c r="CA53" s="151"/>
      <c r="CB53" s="32"/>
      <c r="CC53" s="16">
        <f ca="1">SUM($N$7:$N53)</f>
        <v>0</v>
      </c>
      <c r="CD53" s="16">
        <f t="shared" ca="1" si="41"/>
        <v>0</v>
      </c>
      <c r="CE53" s="16">
        <f t="shared" ca="1" si="42"/>
        <v>0</v>
      </c>
      <c r="CF53" s="7">
        <f t="shared" ca="1" si="43"/>
        <v>0</v>
      </c>
      <c r="CH53" s="7">
        <f t="shared" ca="1" si="44"/>
        <v>0</v>
      </c>
    </row>
    <row r="54" spans="2:86" s="7" customFormat="1" x14ac:dyDescent="0.2">
      <c r="B54" s="14">
        <f t="shared" si="0"/>
        <v>1</v>
      </c>
      <c r="C54" s="12">
        <f t="shared" si="1"/>
        <v>1</v>
      </c>
      <c r="D54" s="17">
        <f t="shared" si="52"/>
        <v>48</v>
      </c>
      <c r="E54" s="17">
        <f t="shared" ca="1" si="2"/>
        <v>63</v>
      </c>
      <c r="F54" s="12">
        <f t="shared" si="56"/>
        <v>11</v>
      </c>
      <c r="G54" s="12">
        <f t="shared" si="55"/>
        <v>8</v>
      </c>
      <c r="H54" s="17">
        <f t="shared" si="57"/>
        <v>4</v>
      </c>
      <c r="I54" s="29">
        <f t="shared" si="45"/>
        <v>0</v>
      </c>
      <c r="J54" s="211">
        <f>IFERROR(VLOOKUP(H54,Charges!$T$6:$U$35,2,0)*C54,0)</f>
        <v>0.96499999999999997</v>
      </c>
      <c r="K54" s="29">
        <f t="shared" si="3"/>
        <v>0</v>
      </c>
      <c r="L54" s="29">
        <f t="shared" si="4"/>
        <v>0</v>
      </c>
      <c r="M54" s="147">
        <f t="shared" ca="1" si="5"/>
        <v>0</v>
      </c>
      <c r="N54" s="148">
        <f ca="1">IF(AND(Option_SPW="Y",H54&gt;=Lock_In_Period,Z53&gt;SPW_Amount_pa+IF(option="Single",1/5*pr,2*pr),H54&gt;=SPW_Start_Year,H54&lt;=SPW_Start_Year+SPW_Duration-1,age+H54&gt;=Legal_Age),IF(AND(F54=0,SPW_Payout_Freq=1),SPW_Amount_pa,IF(AND(SPW_Payout_Freq=2,MOD(F54,6)=0),SPW_Amount_pa/SPW_Payout_Freq,IF(AND(SPW_Payout_Freq=4,MOD(F54,3)=0),SPW_Amount_pa/SPW_Payout_Freq,IF(SPW_Payout_Freq=12,SPW_Amount_pa/SPW_Payout_Freq,0)))),0)+IFERROR(VLOOKUP(H54,Input!$B$68:$C$74,2,0),0)*(F54=0)*(Option_PW="Y")*(Option_SPW="N")*(age+H54&gt;=Legal_Age)</f>
        <v>0</v>
      </c>
      <c r="O54" s="148">
        <f t="shared" ca="1" si="6"/>
        <v>0</v>
      </c>
      <c r="P54" s="14">
        <f ca="1">(MAX(MAX(sa-CF53*Flag_UL_Type,105%*SUM($I$7:I54))-(AD53+L54-N54)*Flag_UL_Type,0)*B54)</f>
        <v>1853184.5244780502</v>
      </c>
      <c r="Q54" s="213">
        <f t="shared" ca="1" si="46"/>
        <v>2072.6170153806247</v>
      </c>
      <c r="R54" s="14">
        <f t="shared" ca="1" si="7"/>
        <v>0</v>
      </c>
      <c r="S54" s="14">
        <f t="shared" ca="1" si="8"/>
        <v>0</v>
      </c>
      <c r="T54" s="14">
        <f>IFERROR(IF(WoP_Flag="Y",IF(fq=1,VLOOKUP(ppt*fq-H54,Charges!$AN$41:$AO$59,2,FALSE),IF(fq=2,VLOOKUP(ppt*fq-G54,Charges!$AP$41:$AQ$79,2,FALSE),VLOOKUP(ppt*fq-D54,Charges!$AR$41:$AS$279,2,FALSE)))*pr/fq,0),0)</f>
        <v>0</v>
      </c>
      <c r="U54" s="14">
        <f t="shared" ca="1" si="9"/>
        <v>0</v>
      </c>
      <c r="V54" s="34">
        <f>ROUND(MIN(IF(H54&gt;=7,Charges!$C$12*(1+Charges!$C$14)^((H54-7+1)),VLOOKUP(H54,Charges!$B$7:$C$12,2,0))*pr,Charges!$C$13)*B54,Round)</f>
        <v>450</v>
      </c>
      <c r="W54" s="14">
        <f t="shared" ca="1" si="10"/>
        <v>1143838.7874438006</v>
      </c>
      <c r="X54" s="14">
        <f t="shared" ca="1" si="11"/>
        <v>1151198.2806432038</v>
      </c>
      <c r="Y54" s="213">
        <f t="shared" ca="1" si="47"/>
        <v>1295.8028712481912</v>
      </c>
      <c r="Z54" s="14">
        <f t="shared" ca="1" si="12"/>
        <v>1149669.2332551309</v>
      </c>
      <c r="AA54" s="14">
        <f>IF(AND($H54=pt,$F54=11),SUM($K$7:K54)*VLOOKUP(pt,ROC,2,FALSE),0)</f>
        <v>0</v>
      </c>
      <c r="AB54" s="14">
        <f>IF(AND($H54=pt,$F54=11),SUM($V$7:V54)*VLOOKUP(pt,ROC,2,FALSE),0)</f>
        <v>0</v>
      </c>
      <c r="AC54" s="14">
        <f>IF(AND($H54=pt,$F54=11),SUM($Q$7:Q54)*VLOOKUP(pt,ROC,2,FALSE),0)</f>
        <v>0</v>
      </c>
      <c r="AD54" s="14">
        <f t="shared" ca="1" si="13"/>
        <v>1149669.2332551309</v>
      </c>
      <c r="AE54" s="14">
        <f ca="1">(MAX(sa-CF53*Flag_UL_Type,105%*SUM($I$7:I54),Z54)+AU54)*B54</f>
        <v>3000000</v>
      </c>
      <c r="AF54" s="136"/>
      <c r="AG54" s="18">
        <v>48</v>
      </c>
      <c r="AH54" s="30">
        <f t="shared" ca="1" si="14"/>
        <v>0</v>
      </c>
      <c r="AI54" s="138"/>
      <c r="AJ54" s="50">
        <f>IF(AND(Option_Sys_TopUp&gt;="Y",H54&gt;=sytp,H54&lt;=(dtp+sytp-1),F54=0,H54&lt;=ppt+1),atp,0)+IFERROR(VLOOKUP(H54,Input!$B$55:$C$61,2,0),0)*(F54=0)*(Option_TopUP="Y")*(Option_Sys_TopUp="N")*B54*(pt&gt;=H54+5)</f>
        <v>0</v>
      </c>
      <c r="AK54" s="50">
        <f t="shared" si="15"/>
        <v>0</v>
      </c>
      <c r="AL54" s="50">
        <f t="shared" si="48"/>
        <v>0</v>
      </c>
      <c r="AM54" s="50">
        <f t="shared" ca="1" si="49"/>
        <v>0</v>
      </c>
      <c r="AN54" s="50">
        <f ca="1">IF(B54=0,0,AT54*(_rpm1+(1+_emr1)*VLOOKUP(E54,Tab_Mort_Charge,IF(Input!$C$12="M",2,3),0))*(0.001*0.0833)*Flag_Mort_Rider_Charge*(AT54&gt;0))</f>
        <v>0</v>
      </c>
      <c r="AO54" s="50">
        <f t="shared" ca="1" si="17"/>
        <v>0</v>
      </c>
      <c r="AP54" s="50">
        <f t="shared" ca="1" si="58"/>
        <v>0</v>
      </c>
      <c r="AQ54" s="50">
        <f t="shared" ca="1" si="18"/>
        <v>0</v>
      </c>
      <c r="AR54" s="50">
        <f t="shared" ca="1" si="19"/>
        <v>0</v>
      </c>
      <c r="AS54" s="50">
        <f t="shared" si="20"/>
        <v>0</v>
      </c>
      <c r="AT54" s="50">
        <f ca="1">(MAX((MAX(AS54,105%*SUM($AJ$7:AJ54))-AM54*Flag_UL_Type),0)*B54)</f>
        <v>0</v>
      </c>
      <c r="AU54" s="50">
        <f ca="1">(MAX(AS54,AR54,105%*SUM($AJ$7:AJ54))*B54)</f>
        <v>0</v>
      </c>
      <c r="AV54" s="125"/>
      <c r="AW54" s="13"/>
      <c r="AX54" s="13"/>
      <c r="AY54" s="13"/>
      <c r="AZ54" s="13"/>
      <c r="BA54" s="13"/>
      <c r="BG54" s="51">
        <f t="shared" si="30"/>
        <v>0</v>
      </c>
      <c r="BH54" s="51">
        <f t="shared" ca="1" si="31"/>
        <v>373.07106276851198</v>
      </c>
      <c r="BI54" s="51">
        <f t="shared" ca="1" si="32"/>
        <v>0</v>
      </c>
      <c r="BJ54" s="51">
        <f t="shared" ca="1" si="33"/>
        <v>0</v>
      </c>
      <c r="BK54" s="51">
        <f t="shared" si="34"/>
        <v>81</v>
      </c>
      <c r="BL54" s="51">
        <f t="shared" ca="1" si="35"/>
        <v>233.24451682467441</v>
      </c>
      <c r="BM54" s="51">
        <f t="shared" si="36"/>
        <v>0</v>
      </c>
      <c r="BN54" s="51">
        <f t="shared" ca="1" si="37"/>
        <v>0</v>
      </c>
      <c r="BO54" s="51">
        <f t="shared" ca="1" si="38"/>
        <v>0</v>
      </c>
      <c r="BP54" s="51">
        <f t="shared" ca="1" si="39"/>
        <v>687.31557959318638</v>
      </c>
      <c r="BR54" s="32"/>
      <c r="BS54" s="126"/>
      <c r="BT54" s="16"/>
      <c r="BU54" s="58"/>
      <c r="BW54" s="51">
        <f>IF(Input!$C$13="Offline",VLOOKUP(H54,Charges!$AT$4:$AU$33,2,FALSE)*I54,0)</f>
        <v>0</v>
      </c>
      <c r="BX54" s="51">
        <f t="shared" si="40"/>
        <v>0</v>
      </c>
      <c r="BY54" s="51">
        <f t="shared" si="51"/>
        <v>0</v>
      </c>
      <c r="BZ54" s="151"/>
      <c r="CA54" s="151"/>
      <c r="CB54" s="32"/>
      <c r="CC54" s="16">
        <f ca="1">SUM($N$7:$N54)</f>
        <v>0</v>
      </c>
      <c r="CD54" s="16">
        <f t="shared" ca="1" si="41"/>
        <v>0</v>
      </c>
      <c r="CE54" s="16">
        <f t="shared" ca="1" si="42"/>
        <v>0</v>
      </c>
      <c r="CF54" s="7">
        <f t="shared" ca="1" si="43"/>
        <v>0</v>
      </c>
      <c r="CH54" s="7">
        <f t="shared" ca="1" si="44"/>
        <v>0</v>
      </c>
    </row>
    <row r="55" spans="2:86" s="7" customFormat="1" x14ac:dyDescent="0.2">
      <c r="B55" s="14">
        <f t="shared" si="0"/>
        <v>1</v>
      </c>
      <c r="C55" s="12">
        <f t="shared" si="1"/>
        <v>1</v>
      </c>
      <c r="D55" s="17">
        <f t="shared" si="52"/>
        <v>49</v>
      </c>
      <c r="E55" s="17">
        <f t="shared" ca="1" si="2"/>
        <v>64</v>
      </c>
      <c r="F55" s="12">
        <f t="shared" si="56"/>
        <v>0</v>
      </c>
      <c r="G55" s="12">
        <f t="shared" si="55"/>
        <v>9</v>
      </c>
      <c r="H55" s="17">
        <f t="shared" si="57"/>
        <v>5</v>
      </c>
      <c r="I55" s="29">
        <f t="shared" si="45"/>
        <v>300000</v>
      </c>
      <c r="J55" s="211">
        <f>IFERROR(VLOOKUP(H55,Charges!$T$6:$U$35,2,0)*C55,0)</f>
        <v>0.97</v>
      </c>
      <c r="K55" s="29">
        <f t="shared" si="3"/>
        <v>9000.0000000000091</v>
      </c>
      <c r="L55" s="29">
        <f t="shared" si="4"/>
        <v>289380</v>
      </c>
      <c r="M55" s="147">
        <f t="shared" ca="1" si="5"/>
        <v>0</v>
      </c>
      <c r="N55" s="148">
        <f ca="1">IF(AND(Option_SPW="Y",H55&gt;=Lock_In_Period,Z54&gt;SPW_Amount_pa+IF(option="Single",1/5*pr,2*pr),H55&gt;=SPW_Start_Year,H55&lt;=SPW_Start_Year+SPW_Duration-1,age+H55&gt;=Legal_Age),IF(AND(F55=0,SPW_Payout_Freq=1),SPW_Amount_pa,IF(AND(SPW_Payout_Freq=2,MOD(F55,6)=0),SPW_Amount_pa/SPW_Payout_Freq,IF(AND(SPW_Payout_Freq=4,MOD(F55,3)=0),SPW_Amount_pa/SPW_Payout_Freq,IF(SPW_Payout_Freq=12,SPW_Amount_pa/SPW_Payout_Freq,0)))),0)+IFERROR(VLOOKUP(H55,Input!$B$68:$C$74,2,0),0)*(F55=0)*(Option_PW="Y")*(Option_SPW="N")*(age+H55&gt;=Legal_Age)</f>
        <v>0</v>
      </c>
      <c r="O55" s="148">
        <f t="shared" ca="1" si="6"/>
        <v>0</v>
      </c>
      <c r="P55" s="14">
        <f ca="1">(MAX(MAX(sa-CF54*Flag_UL_Type,105%*SUM($I$7:I55))-(AD54+L55-N55)*Flag_UL_Type,0)*B55)</f>
        <v>1560950.7667448691</v>
      </c>
      <c r="Q55" s="213">
        <f t="shared" ca="1" si="46"/>
        <v>1876.0286790123248</v>
      </c>
      <c r="R55" s="14">
        <f t="shared" ca="1" si="7"/>
        <v>0</v>
      </c>
      <c r="S55" s="14">
        <f t="shared" ca="1" si="8"/>
        <v>0</v>
      </c>
      <c r="T55" s="14">
        <f>IFERROR(IF(WoP_Flag="Y",IF(fq=1,VLOOKUP(ppt*fq-H55,Charges!$AN$41:$AO$59,2,FALSE),IF(fq=2,VLOOKUP(ppt*fq-G55,Charges!$AP$41:$AQ$79,2,FALSE),VLOOKUP(ppt*fq-D55,Charges!$AR$41:$AS$279,2,FALSE)))*pr/fq,0),0)</f>
        <v>0</v>
      </c>
      <c r="U55" s="14">
        <f t="shared" ca="1" si="9"/>
        <v>0</v>
      </c>
      <c r="V55" s="34">
        <f>ROUND(MIN(IF(H55&gt;=7,Charges!$C$12*(1+Charges!$C$14)^((H55-7+1)),VLOOKUP(H55,Charges!$B$7:$C$12,2,0))*pr,Charges!$C$13)*B55,Round)</f>
        <v>450</v>
      </c>
      <c r="W55" s="14">
        <f t="shared" ca="1" si="10"/>
        <v>1436304.5194138964</v>
      </c>
      <c r="X55" s="14">
        <f t="shared" ca="1" si="11"/>
        <v>1445545.7459389393</v>
      </c>
      <c r="Y55" s="213">
        <f t="shared" ca="1" si="47"/>
        <v>1627.1239799469763</v>
      </c>
      <c r="Z55" s="14">
        <f t="shared" ca="1" si="12"/>
        <v>1443625.7396426019</v>
      </c>
      <c r="AA55" s="14">
        <f>IF(AND($H55=pt,$F55=11),SUM($K$7:K55)*VLOOKUP(pt,ROC,2,FALSE),0)</f>
        <v>0</v>
      </c>
      <c r="AB55" s="14">
        <f>IF(AND($H55=pt,$F55=11),SUM($V$7:V55)*VLOOKUP(pt,ROC,2,FALSE),0)</f>
        <v>0</v>
      </c>
      <c r="AC55" s="14">
        <f>IF(AND($H55=pt,$F55=11),SUM($Q$7:Q55)*VLOOKUP(pt,ROC,2,FALSE),0)</f>
        <v>0</v>
      </c>
      <c r="AD55" s="14">
        <f t="shared" ca="1" si="13"/>
        <v>1443625.7396426019</v>
      </c>
      <c r="AE55" s="14">
        <f ca="1">(MAX(sa-CF54*Flag_UL_Type,105%*SUM($I$7:I55),Z55)+AU55)*B55</f>
        <v>3000000</v>
      </c>
      <c r="AF55" s="136"/>
      <c r="AG55" s="18">
        <v>49</v>
      </c>
      <c r="AH55" s="30">
        <f t="shared" ca="1" si="14"/>
        <v>300000</v>
      </c>
      <c r="AI55" s="138"/>
      <c r="AJ55" s="50">
        <f>IF(AND(Option_Sys_TopUp&gt;="Y",H55&gt;=sytp,H55&lt;=(dtp+sytp-1),F55=0,H55&lt;=ppt+1),atp,0)+IFERROR(VLOOKUP(H55,Input!$B$55:$C$61,2,0),0)*(F55=0)*(Option_TopUP="Y")*(Option_Sys_TopUp="N")*B55*(pt&gt;=H55+5)</f>
        <v>0</v>
      </c>
      <c r="AK55" s="50">
        <f t="shared" si="15"/>
        <v>0</v>
      </c>
      <c r="AL55" s="50">
        <f t="shared" si="48"/>
        <v>0</v>
      </c>
      <c r="AM55" s="50">
        <f t="shared" ca="1" si="49"/>
        <v>0</v>
      </c>
      <c r="AN55" s="50">
        <f ca="1">IF(B55=0,0,AT55*(_rpm1+(1+_emr1)*VLOOKUP(E55,Tab_Mort_Charge,IF(Input!$C$12="M",2,3),0))*(0.001*0.0833)*Flag_Mort_Rider_Charge*(AT55&gt;0))</f>
        <v>0</v>
      </c>
      <c r="AO55" s="50">
        <f t="shared" ca="1" si="17"/>
        <v>0</v>
      </c>
      <c r="AP55" s="50">
        <f t="shared" ca="1" si="58"/>
        <v>0</v>
      </c>
      <c r="AQ55" s="50">
        <f t="shared" ca="1" si="18"/>
        <v>0</v>
      </c>
      <c r="AR55" s="50">
        <f t="shared" ca="1" si="19"/>
        <v>0</v>
      </c>
      <c r="AS55" s="50">
        <f t="shared" si="20"/>
        <v>0</v>
      </c>
      <c r="AT55" s="50">
        <f ca="1">(MAX((MAX(AS55,105%*SUM($AJ$7:AJ55))-AM55*Flag_UL_Type),0)*B55)</f>
        <v>0</v>
      </c>
      <c r="AU55" s="50">
        <f ca="1">(MAX(AS55,AR55,105%*SUM($AJ$7:AJ55))*B55)</f>
        <v>0</v>
      </c>
      <c r="AV55" s="125"/>
      <c r="AW55" s="13"/>
      <c r="AX55" s="13"/>
      <c r="AY55" s="13"/>
      <c r="AZ55" s="13"/>
      <c r="BA55" s="13"/>
      <c r="BG55" s="51">
        <f t="shared" si="30"/>
        <v>1620</v>
      </c>
      <c r="BH55" s="51">
        <f t="shared" ca="1" si="31"/>
        <v>337.68516222221803</v>
      </c>
      <c r="BI55" s="51">
        <f t="shared" ca="1" si="32"/>
        <v>0</v>
      </c>
      <c r="BJ55" s="51">
        <f t="shared" ca="1" si="33"/>
        <v>0</v>
      </c>
      <c r="BK55" s="51">
        <f t="shared" si="34"/>
        <v>81</v>
      </c>
      <c r="BL55" s="51">
        <f t="shared" ca="1" si="35"/>
        <v>292.88231639045574</v>
      </c>
      <c r="BM55" s="51">
        <f t="shared" si="36"/>
        <v>0</v>
      </c>
      <c r="BN55" s="51">
        <f t="shared" ca="1" si="37"/>
        <v>0</v>
      </c>
      <c r="BO55" s="51">
        <f t="shared" ca="1" si="38"/>
        <v>0</v>
      </c>
      <c r="BP55" s="51">
        <f t="shared" ca="1" si="39"/>
        <v>2331.5674786126738</v>
      </c>
      <c r="BR55" s="32"/>
      <c r="BS55" s="126"/>
      <c r="BT55" s="16"/>
      <c r="BU55" s="58"/>
      <c r="BW55" s="51">
        <f>IF(Input!$C$13="Offline",VLOOKUP(H55,Charges!$AT$4:$AU$33,2,FALSE)*I55,0)</f>
        <v>3000</v>
      </c>
      <c r="BX55" s="51">
        <f t="shared" si="40"/>
        <v>0</v>
      </c>
      <c r="BY55" s="51">
        <f t="shared" si="51"/>
        <v>3000</v>
      </c>
      <c r="BZ55" s="151"/>
      <c r="CA55" s="151"/>
      <c r="CB55" s="32"/>
      <c r="CC55" s="16">
        <f ca="1">SUM($N$7:$N55)</f>
        <v>0</v>
      </c>
      <c r="CD55" s="16">
        <f t="shared" ca="1" si="41"/>
        <v>0</v>
      </c>
      <c r="CE55" s="16">
        <f t="shared" ca="1" si="42"/>
        <v>0</v>
      </c>
      <c r="CF55" s="7">
        <f t="shared" ca="1" si="43"/>
        <v>0</v>
      </c>
      <c r="CH55" s="7">
        <f t="shared" ca="1" si="44"/>
        <v>0</v>
      </c>
    </row>
    <row r="56" spans="2:86" s="7" customFormat="1" x14ac:dyDescent="0.2">
      <c r="B56" s="14">
        <f t="shared" si="0"/>
        <v>1</v>
      </c>
      <c r="C56" s="12">
        <f t="shared" si="1"/>
        <v>1</v>
      </c>
      <c r="D56" s="17">
        <f t="shared" si="52"/>
        <v>50</v>
      </c>
      <c r="E56" s="17">
        <f t="shared" ca="1" si="2"/>
        <v>64</v>
      </c>
      <c r="F56" s="12">
        <f t="shared" si="56"/>
        <v>1</v>
      </c>
      <c r="G56" s="12">
        <f t="shared" si="55"/>
        <v>9</v>
      </c>
      <c r="H56" s="17">
        <f t="shared" si="57"/>
        <v>5</v>
      </c>
      <c r="I56" s="29">
        <f t="shared" si="45"/>
        <v>0</v>
      </c>
      <c r="J56" s="211">
        <f>IFERROR(VLOOKUP(H56,Charges!$T$6:$U$35,2,0)*C56,0)</f>
        <v>0.97</v>
      </c>
      <c r="K56" s="29">
        <f t="shared" si="3"/>
        <v>0</v>
      </c>
      <c r="L56" s="29">
        <f t="shared" si="4"/>
        <v>0</v>
      </c>
      <c r="M56" s="147">
        <f t="shared" ca="1" si="5"/>
        <v>0</v>
      </c>
      <c r="N56" s="148">
        <f ca="1">IF(AND(Option_SPW="Y",H56&gt;=Lock_In_Period,Z55&gt;SPW_Amount_pa+IF(option="Single",1/5*pr,2*pr),H56&gt;=SPW_Start_Year,H56&lt;=SPW_Start_Year+SPW_Duration-1,age+H56&gt;=Legal_Age),IF(AND(F56=0,SPW_Payout_Freq=1),SPW_Amount_pa,IF(AND(SPW_Payout_Freq=2,MOD(F56,6)=0),SPW_Amount_pa/SPW_Payout_Freq,IF(AND(SPW_Payout_Freq=4,MOD(F56,3)=0),SPW_Amount_pa/SPW_Payout_Freq,IF(SPW_Payout_Freq=12,SPW_Amount_pa/SPW_Payout_Freq,0)))),0)+IFERROR(VLOOKUP(H56,Input!$B$68:$C$74,2,0),0)*(F56=0)*(Option_PW="Y")*(Option_SPW="N")*(age+H56&gt;=Legal_Age)</f>
        <v>0</v>
      </c>
      <c r="O56" s="148">
        <f t="shared" ca="1" si="6"/>
        <v>0</v>
      </c>
      <c r="P56" s="14">
        <f ca="1">(MAX(MAX(sa-CF55*Flag_UL_Type,105%*SUM($I$7:I56))-(AD55+L56-N56)*Flag_UL_Type,0)*B56)</f>
        <v>1556374.2603573981</v>
      </c>
      <c r="Q56" s="213">
        <f t="shared" ca="1" si="46"/>
        <v>1870.5284048105416</v>
      </c>
      <c r="R56" s="14">
        <f t="shared" ca="1" si="7"/>
        <v>0</v>
      </c>
      <c r="S56" s="14">
        <f t="shared" ca="1" si="8"/>
        <v>0</v>
      </c>
      <c r="T56" s="14">
        <f>IFERROR(IF(WoP_Flag="Y",IF(fq=1,VLOOKUP(ppt*fq-H56,Charges!$AN$41:$AO$59,2,FALSE),IF(fq=2,VLOOKUP(ppt*fq-G56,Charges!$AP$41:$AQ$79,2,FALSE),VLOOKUP(ppt*fq-D56,Charges!$AR$41:$AS$279,2,FALSE)))*pr/fq,0),0)</f>
        <v>0</v>
      </c>
      <c r="U56" s="14">
        <f t="shared" ca="1" si="9"/>
        <v>0</v>
      </c>
      <c r="V56" s="34">
        <f>ROUND(MIN(IF(H56&gt;=7,Charges!$C$12*(1+Charges!$C$14)^((H56-7+1)),VLOOKUP(H56,Charges!$B$7:$C$12,2,0))*pr,Charges!$C$13)*B56,Round)</f>
        <v>450</v>
      </c>
      <c r="W56" s="14">
        <f t="shared" ca="1" si="10"/>
        <v>1440887.5161249256</v>
      </c>
      <c r="X56" s="14">
        <f t="shared" ca="1" si="11"/>
        <v>1450158.2297888014</v>
      </c>
      <c r="Y56" s="213">
        <f t="shared" ca="1" si="47"/>
        <v>1632.3158482087131</v>
      </c>
      <c r="Z56" s="14">
        <f t="shared" ca="1" si="12"/>
        <v>1448232.0970879151</v>
      </c>
      <c r="AA56" s="14">
        <f>IF(AND($H56=pt,$F56=11),SUM($K$7:K56)*VLOOKUP(pt,ROC,2,FALSE),0)</f>
        <v>0</v>
      </c>
      <c r="AB56" s="14">
        <f>IF(AND($H56=pt,$F56=11),SUM($V$7:V56)*VLOOKUP(pt,ROC,2,FALSE),0)</f>
        <v>0</v>
      </c>
      <c r="AC56" s="14">
        <f>IF(AND($H56=pt,$F56=11),SUM($Q$7:Q56)*VLOOKUP(pt,ROC,2,FALSE),0)</f>
        <v>0</v>
      </c>
      <c r="AD56" s="14">
        <f t="shared" ca="1" si="13"/>
        <v>1448232.0970879151</v>
      </c>
      <c r="AE56" s="14">
        <f ca="1">(MAX(sa-CF55*Flag_UL_Type,105%*SUM($I$7:I56),Z56)+AU56)*B56</f>
        <v>3000000</v>
      </c>
      <c r="AF56" s="136"/>
      <c r="AG56" s="18">
        <v>50</v>
      </c>
      <c r="AH56" s="30">
        <f t="shared" ca="1" si="14"/>
        <v>0</v>
      </c>
      <c r="AI56" s="138"/>
      <c r="AJ56" s="50">
        <f>IF(AND(Option_Sys_TopUp&gt;="Y",H56&gt;=sytp,H56&lt;=(dtp+sytp-1),F56=0,H56&lt;=ppt+1),atp,0)+IFERROR(VLOOKUP(H56,Input!$B$55:$C$61,2,0),0)*(F56=0)*(Option_TopUP="Y")*(Option_Sys_TopUp="N")*B56*(pt&gt;=H56+5)</f>
        <v>0</v>
      </c>
      <c r="AK56" s="50">
        <f t="shared" si="15"/>
        <v>0</v>
      </c>
      <c r="AL56" s="50">
        <f t="shared" si="48"/>
        <v>0</v>
      </c>
      <c r="AM56" s="50">
        <f t="shared" ca="1" si="49"/>
        <v>0</v>
      </c>
      <c r="AN56" s="50">
        <f ca="1">IF(B56=0,0,AT56*(_rpm1+(1+_emr1)*VLOOKUP(E56,Tab_Mort_Charge,IF(Input!$C$12="M",2,3),0))*(0.001*0.0833)*Flag_Mort_Rider_Charge*(AT56&gt;0))</f>
        <v>0</v>
      </c>
      <c r="AO56" s="50">
        <f t="shared" ca="1" si="17"/>
        <v>0</v>
      </c>
      <c r="AP56" s="50">
        <f t="shared" ca="1" si="58"/>
        <v>0</v>
      </c>
      <c r="AQ56" s="50">
        <f t="shared" ca="1" si="18"/>
        <v>0</v>
      </c>
      <c r="AR56" s="50">
        <f t="shared" ca="1" si="19"/>
        <v>0</v>
      </c>
      <c r="AS56" s="50">
        <f t="shared" si="20"/>
        <v>0</v>
      </c>
      <c r="AT56" s="50">
        <f ca="1">(MAX((MAX(AS56,105%*SUM($AJ$7:AJ56))-AM56*Flag_UL_Type),0)*B56)</f>
        <v>0</v>
      </c>
      <c r="AU56" s="50">
        <f ca="1">(MAX(AS56,AR56,105%*SUM($AJ$7:AJ56))*B56)</f>
        <v>0</v>
      </c>
      <c r="AV56" s="125"/>
      <c r="AW56" s="13"/>
      <c r="AX56" s="13"/>
      <c r="AY56" s="13"/>
      <c r="AZ56" s="13"/>
      <c r="BA56" s="13"/>
      <c r="BG56" s="51">
        <f t="shared" si="30"/>
        <v>0</v>
      </c>
      <c r="BH56" s="51">
        <f t="shared" ca="1" si="31"/>
        <v>336.69511286589699</v>
      </c>
      <c r="BI56" s="51">
        <f t="shared" ca="1" si="32"/>
        <v>0</v>
      </c>
      <c r="BJ56" s="51">
        <f t="shared" ca="1" si="33"/>
        <v>0</v>
      </c>
      <c r="BK56" s="51">
        <f t="shared" si="34"/>
        <v>81</v>
      </c>
      <c r="BL56" s="51">
        <f t="shared" ca="1" si="35"/>
        <v>293.81685267756836</v>
      </c>
      <c r="BM56" s="51">
        <f t="shared" si="36"/>
        <v>0</v>
      </c>
      <c r="BN56" s="51">
        <f t="shared" ca="1" si="37"/>
        <v>0</v>
      </c>
      <c r="BO56" s="51">
        <f t="shared" ca="1" si="38"/>
        <v>0</v>
      </c>
      <c r="BP56" s="51">
        <f t="shared" ca="1" si="39"/>
        <v>711.51196554346529</v>
      </c>
      <c r="BR56" s="32"/>
      <c r="BS56" s="126"/>
      <c r="BT56" s="16"/>
      <c r="BU56" s="58"/>
      <c r="BW56" s="51">
        <f>IF(Input!$C$13="Offline",VLOOKUP(H56,Charges!$AT$4:$AU$33,2,FALSE)*I56,0)</f>
        <v>0</v>
      </c>
      <c r="BX56" s="51">
        <f t="shared" si="40"/>
        <v>0</v>
      </c>
      <c r="BY56" s="51">
        <f t="shared" si="51"/>
        <v>0</v>
      </c>
      <c r="BZ56" s="151"/>
      <c r="CA56" s="151"/>
      <c r="CB56" s="32"/>
      <c r="CC56" s="16">
        <f ca="1">SUM($N$7:$N56)</f>
        <v>0</v>
      </c>
      <c r="CD56" s="16">
        <f t="shared" ca="1" si="41"/>
        <v>0</v>
      </c>
      <c r="CE56" s="16">
        <f t="shared" ca="1" si="42"/>
        <v>0</v>
      </c>
      <c r="CF56" s="7">
        <f t="shared" ca="1" si="43"/>
        <v>0</v>
      </c>
      <c r="CH56" s="7">
        <f t="shared" ca="1" si="44"/>
        <v>0</v>
      </c>
    </row>
    <row r="57" spans="2:86" s="7" customFormat="1" x14ac:dyDescent="0.2">
      <c r="B57" s="14">
        <f t="shared" si="0"/>
        <v>1</v>
      </c>
      <c r="C57" s="12">
        <f t="shared" si="1"/>
        <v>1</v>
      </c>
      <c r="D57" s="17">
        <f t="shared" si="52"/>
        <v>51</v>
      </c>
      <c r="E57" s="17">
        <f t="shared" ca="1" si="2"/>
        <v>64</v>
      </c>
      <c r="F57" s="12">
        <f t="shared" si="56"/>
        <v>2</v>
      </c>
      <c r="G57" s="12">
        <f t="shared" si="55"/>
        <v>9</v>
      </c>
      <c r="H57" s="17">
        <f t="shared" si="57"/>
        <v>5</v>
      </c>
      <c r="I57" s="29">
        <f t="shared" si="45"/>
        <v>0</v>
      </c>
      <c r="J57" s="211">
        <f>IFERROR(VLOOKUP(H57,Charges!$T$6:$U$35,2,0)*C57,0)</f>
        <v>0.97</v>
      </c>
      <c r="K57" s="29">
        <f t="shared" si="3"/>
        <v>0</v>
      </c>
      <c r="L57" s="29">
        <f t="shared" si="4"/>
        <v>0</v>
      </c>
      <c r="M57" s="147">
        <f t="shared" ca="1" si="5"/>
        <v>0</v>
      </c>
      <c r="N57" s="148">
        <f ca="1">IF(AND(Option_SPW="Y",H57&gt;=Lock_In_Period,Z56&gt;SPW_Amount_pa+IF(option="Single",1/5*pr,2*pr),H57&gt;=SPW_Start_Year,H57&lt;=SPW_Start_Year+SPW_Duration-1,age+H57&gt;=Legal_Age),IF(AND(F57=0,SPW_Payout_Freq=1),SPW_Amount_pa,IF(AND(SPW_Payout_Freq=2,MOD(F57,6)=0),SPW_Amount_pa/SPW_Payout_Freq,IF(AND(SPW_Payout_Freq=4,MOD(F57,3)=0),SPW_Amount_pa/SPW_Payout_Freq,IF(SPW_Payout_Freq=12,SPW_Amount_pa/SPW_Payout_Freq,0)))),0)+IFERROR(VLOOKUP(H57,Input!$B$68:$C$74,2,0),0)*(F57=0)*(Option_PW="Y")*(Option_SPW="N")*(age+H57&gt;=Legal_Age)</f>
        <v>0</v>
      </c>
      <c r="O57" s="148">
        <f t="shared" ca="1" si="6"/>
        <v>0</v>
      </c>
      <c r="P57" s="14">
        <f ca="1">(MAX(MAX(sa-CF56*Flag_UL_Type,105%*SUM($I$7:I57))-(AD56+L57-N57)*Flag_UL_Type,0)*B57)</f>
        <v>1551767.9029120849</v>
      </c>
      <c r="Q57" s="213">
        <f t="shared" ca="1" si="46"/>
        <v>1864.9922541148917</v>
      </c>
      <c r="R57" s="14">
        <f t="shared" ca="1" si="7"/>
        <v>0</v>
      </c>
      <c r="S57" s="14">
        <f t="shared" ca="1" si="8"/>
        <v>0</v>
      </c>
      <c r="T57" s="14">
        <f>IFERROR(IF(WoP_Flag="Y",IF(fq=1,VLOOKUP(ppt*fq-H57,Charges!$AN$41:$AO$59,2,FALSE),IF(fq=2,VLOOKUP(ppt*fq-G57,Charges!$AP$41:$AQ$79,2,FALSE),VLOOKUP(ppt*fq-D57,Charges!$AR$41:$AS$279,2,FALSE)))*pr/fq,0),0)</f>
        <v>0</v>
      </c>
      <c r="U57" s="14">
        <f t="shared" ca="1" si="9"/>
        <v>0</v>
      </c>
      <c r="V57" s="34">
        <f>ROUND(MIN(IF(H57&gt;=7,Charges!$C$12*(1+Charges!$C$14)^((H57-7+1)),VLOOKUP(H57,Charges!$B$7:$C$12,2,0))*pr,Charges!$C$13)*B57,Round)</f>
        <v>450</v>
      </c>
      <c r="W57" s="14">
        <f t="shared" ca="1" si="10"/>
        <v>1445500.4062280594</v>
      </c>
      <c r="X57" s="14">
        <f t="shared" ca="1" si="11"/>
        <v>1454800.7993657531</v>
      </c>
      <c r="Y57" s="213">
        <f t="shared" ca="1" si="47"/>
        <v>1637.5415813330035</v>
      </c>
      <c r="Z57" s="14">
        <f t="shared" ca="1" si="12"/>
        <v>1452868.5002997802</v>
      </c>
      <c r="AA57" s="14">
        <f>IF(AND($H57=pt,$F57=11),SUM($K$7:K57)*VLOOKUP(pt,ROC,2,FALSE),0)</f>
        <v>0</v>
      </c>
      <c r="AB57" s="14">
        <f>IF(AND($H57=pt,$F57=11),SUM($V$7:V57)*VLOOKUP(pt,ROC,2,FALSE),0)</f>
        <v>0</v>
      </c>
      <c r="AC57" s="14">
        <f>IF(AND($H57=pt,$F57=11),SUM($Q$7:Q57)*VLOOKUP(pt,ROC,2,FALSE),0)</f>
        <v>0</v>
      </c>
      <c r="AD57" s="14">
        <f t="shared" ca="1" si="13"/>
        <v>1452868.5002997802</v>
      </c>
      <c r="AE57" s="14">
        <f ca="1">(MAX(sa-CF56*Flag_UL_Type,105%*SUM($I$7:I57),Z57)+AU57)*B57</f>
        <v>3000000</v>
      </c>
      <c r="AF57" s="136"/>
      <c r="AG57" s="18">
        <v>51</v>
      </c>
      <c r="AH57" s="30">
        <f t="shared" ca="1" si="14"/>
        <v>0</v>
      </c>
      <c r="AI57" s="138"/>
      <c r="AJ57" s="50">
        <f>IF(AND(Option_Sys_TopUp&gt;="Y",H57&gt;=sytp,H57&lt;=(dtp+sytp-1),F57=0,H57&lt;=ppt+1),atp,0)+IFERROR(VLOOKUP(H57,Input!$B$55:$C$61,2,0),0)*(F57=0)*(Option_TopUP="Y")*(Option_Sys_TopUp="N")*B57*(pt&gt;=H57+5)</f>
        <v>0</v>
      </c>
      <c r="AK57" s="50">
        <f t="shared" si="15"/>
        <v>0</v>
      </c>
      <c r="AL57" s="50">
        <f t="shared" si="48"/>
        <v>0</v>
      </c>
      <c r="AM57" s="50">
        <f t="shared" ca="1" si="49"/>
        <v>0</v>
      </c>
      <c r="AN57" s="50">
        <f ca="1">IF(B57=0,0,AT57*(_rpm1+(1+_emr1)*VLOOKUP(E57,Tab_Mort_Charge,IF(Input!$C$12="M",2,3),0))*(0.001*0.0833)*Flag_Mort_Rider_Charge*(AT57&gt;0))</f>
        <v>0</v>
      </c>
      <c r="AO57" s="50">
        <f t="shared" ca="1" si="17"/>
        <v>0</v>
      </c>
      <c r="AP57" s="50">
        <f t="shared" ca="1" si="58"/>
        <v>0</v>
      </c>
      <c r="AQ57" s="50">
        <f t="shared" ca="1" si="18"/>
        <v>0</v>
      </c>
      <c r="AR57" s="50">
        <f t="shared" ca="1" si="19"/>
        <v>0</v>
      </c>
      <c r="AS57" s="50">
        <f t="shared" si="20"/>
        <v>0</v>
      </c>
      <c r="AT57" s="50">
        <f ca="1">(MAX((MAX(AS57,105%*SUM($AJ$7:AJ57))-AM57*Flag_UL_Type),0)*B57)</f>
        <v>0</v>
      </c>
      <c r="AU57" s="50">
        <f ca="1">(MAX(AS57,AR57,105%*SUM($AJ$7:AJ57))*B57)</f>
        <v>0</v>
      </c>
      <c r="AV57" s="125"/>
      <c r="AW57" s="13"/>
      <c r="AX57" s="13"/>
      <c r="AY57" s="13"/>
      <c r="AZ57" s="13"/>
      <c r="BA57" s="13"/>
      <c r="BG57" s="51">
        <f t="shared" si="30"/>
        <v>0</v>
      </c>
      <c r="BH57" s="51">
        <f t="shared" ca="1" si="31"/>
        <v>335.69860574068002</v>
      </c>
      <c r="BI57" s="51">
        <f t="shared" ca="1" si="32"/>
        <v>0</v>
      </c>
      <c r="BJ57" s="51">
        <f t="shared" ca="1" si="33"/>
        <v>0</v>
      </c>
      <c r="BK57" s="51">
        <f t="shared" si="34"/>
        <v>81</v>
      </c>
      <c r="BL57" s="51">
        <f t="shared" ca="1" si="35"/>
        <v>294.75748463994063</v>
      </c>
      <c r="BM57" s="51">
        <f t="shared" si="36"/>
        <v>0</v>
      </c>
      <c r="BN57" s="51">
        <f t="shared" ca="1" si="37"/>
        <v>0</v>
      </c>
      <c r="BO57" s="51">
        <f t="shared" ca="1" si="38"/>
        <v>0</v>
      </c>
      <c r="BP57" s="51">
        <f t="shared" ca="1" si="39"/>
        <v>711.45609038062071</v>
      </c>
      <c r="BR57" s="32"/>
      <c r="BS57" s="126"/>
      <c r="BT57" s="16"/>
      <c r="BU57" s="58"/>
      <c r="BW57" s="51">
        <f>IF(Input!$C$13="Offline",VLOOKUP(H57,Charges!$AT$4:$AU$33,2,FALSE)*I57,0)</f>
        <v>0</v>
      </c>
      <c r="BX57" s="51">
        <f t="shared" si="40"/>
        <v>0</v>
      </c>
      <c r="BY57" s="51">
        <f t="shared" si="51"/>
        <v>0</v>
      </c>
      <c r="BZ57" s="151"/>
      <c r="CA57" s="151"/>
      <c r="CB57" s="32"/>
      <c r="CC57" s="16">
        <f ca="1">SUM($N$7:$N57)</f>
        <v>0</v>
      </c>
      <c r="CD57" s="16">
        <f t="shared" ca="1" si="41"/>
        <v>0</v>
      </c>
      <c r="CE57" s="16">
        <f t="shared" ca="1" si="42"/>
        <v>0</v>
      </c>
      <c r="CF57" s="7">
        <f t="shared" ca="1" si="43"/>
        <v>0</v>
      </c>
      <c r="CH57" s="7">
        <f t="shared" ca="1" si="44"/>
        <v>0</v>
      </c>
    </row>
    <row r="58" spans="2:86" s="7" customFormat="1" x14ac:dyDescent="0.2">
      <c r="B58" s="14">
        <f t="shared" si="0"/>
        <v>1</v>
      </c>
      <c r="C58" s="12">
        <f t="shared" si="1"/>
        <v>1</v>
      </c>
      <c r="D58" s="17">
        <f t="shared" si="52"/>
        <v>52</v>
      </c>
      <c r="E58" s="17">
        <f t="shared" ca="1" si="2"/>
        <v>64</v>
      </c>
      <c r="F58" s="12">
        <f t="shared" si="56"/>
        <v>3</v>
      </c>
      <c r="G58" s="12">
        <f t="shared" si="55"/>
        <v>9</v>
      </c>
      <c r="H58" s="17">
        <f t="shared" si="57"/>
        <v>5</v>
      </c>
      <c r="I58" s="29">
        <f t="shared" si="45"/>
        <v>0</v>
      </c>
      <c r="J58" s="211">
        <f>IFERROR(VLOOKUP(H58,Charges!$T$6:$U$35,2,0)*C58,0)</f>
        <v>0.97</v>
      </c>
      <c r="K58" s="29">
        <f t="shared" si="3"/>
        <v>0</v>
      </c>
      <c r="L58" s="29">
        <f t="shared" si="4"/>
        <v>0</v>
      </c>
      <c r="M58" s="147">
        <f t="shared" ca="1" si="5"/>
        <v>0</v>
      </c>
      <c r="N58" s="148">
        <f ca="1">IF(AND(Option_SPW="Y",H58&gt;=Lock_In_Period,Z57&gt;SPW_Amount_pa+IF(option="Single",1/5*pr,2*pr),H58&gt;=SPW_Start_Year,H58&lt;=SPW_Start_Year+SPW_Duration-1,age+H58&gt;=Legal_Age),IF(AND(F58=0,SPW_Payout_Freq=1),SPW_Amount_pa,IF(AND(SPW_Payout_Freq=2,MOD(F58,6)=0),SPW_Amount_pa/SPW_Payout_Freq,IF(AND(SPW_Payout_Freq=4,MOD(F58,3)=0),SPW_Amount_pa/SPW_Payout_Freq,IF(SPW_Payout_Freq=12,SPW_Amount_pa/SPW_Payout_Freq,0)))),0)+IFERROR(VLOOKUP(H58,Input!$B$68:$C$74,2,0),0)*(F58=0)*(Option_PW="Y")*(Option_SPW="N")*(age+H58&gt;=Legal_Age)</f>
        <v>0</v>
      </c>
      <c r="O58" s="148">
        <f t="shared" ca="1" si="6"/>
        <v>0</v>
      </c>
      <c r="P58" s="14">
        <f ca="1">(MAX(MAX(sa-CF57*Flag_UL_Type,105%*SUM($I$7:I58))-(AD57+L58-N58)*Flag_UL_Type,0)*B58)</f>
        <v>1547131.4997002198</v>
      </c>
      <c r="Q58" s="213">
        <f t="shared" ca="1" si="46"/>
        <v>1859.4199929147082</v>
      </c>
      <c r="R58" s="14">
        <f t="shared" ca="1" si="7"/>
        <v>0</v>
      </c>
      <c r="S58" s="14">
        <f t="shared" ca="1" si="8"/>
        <v>0</v>
      </c>
      <c r="T58" s="14">
        <f>IFERROR(IF(WoP_Flag="Y",IF(fq=1,VLOOKUP(ppt*fq-H58,Charges!$AN$41:$AO$59,2,FALSE),IF(fq=2,VLOOKUP(ppt*fq-G58,Charges!$AP$41:$AQ$79,2,FALSE),VLOOKUP(ppt*fq-D58,Charges!$AR$41:$AS$279,2,FALSE)))*pr/fq,0),0)</f>
        <v>0</v>
      </c>
      <c r="U58" s="14">
        <f t="shared" ca="1" si="9"/>
        <v>0</v>
      </c>
      <c r="V58" s="34">
        <f>ROUND(MIN(IF(H58&gt;=7,Charges!$C$12*(1+Charges!$C$14)^((H58-7+1)),VLOOKUP(H58,Charges!$B$7:$C$12,2,0))*pr,Charges!$C$13)*B58,Round)</f>
        <v>450</v>
      </c>
      <c r="W58" s="14">
        <f t="shared" ca="1" si="10"/>
        <v>1450143.3847081407</v>
      </c>
      <c r="X58" s="14">
        <f t="shared" ca="1" si="11"/>
        <v>1459473.6509091752</v>
      </c>
      <c r="Y58" s="213">
        <f t="shared" ca="1" si="47"/>
        <v>1642.8014002092962</v>
      </c>
      <c r="Z58" s="14">
        <f t="shared" ca="1" si="12"/>
        <v>1457535.1452569282</v>
      </c>
      <c r="AA58" s="14">
        <f>IF(AND($H58=pt,$F58=11),SUM($K$7:K58)*VLOOKUP(pt,ROC,2,FALSE),0)</f>
        <v>0</v>
      </c>
      <c r="AB58" s="14">
        <f>IF(AND($H58=pt,$F58=11),SUM($V$7:V58)*VLOOKUP(pt,ROC,2,FALSE),0)</f>
        <v>0</v>
      </c>
      <c r="AC58" s="14">
        <f>IF(AND($H58=pt,$F58=11),SUM($Q$7:Q58)*VLOOKUP(pt,ROC,2,FALSE),0)</f>
        <v>0</v>
      </c>
      <c r="AD58" s="14">
        <f t="shared" ca="1" si="13"/>
        <v>1457535.1452569282</v>
      </c>
      <c r="AE58" s="14">
        <f ca="1">(MAX(sa-CF57*Flag_UL_Type,105%*SUM($I$7:I58),Z58)+AU58)*B58</f>
        <v>3000000</v>
      </c>
      <c r="AF58" s="136"/>
      <c r="AG58" s="18">
        <v>52</v>
      </c>
      <c r="AH58" s="30">
        <f t="shared" ca="1" si="14"/>
        <v>0</v>
      </c>
      <c r="AI58" s="138"/>
      <c r="AJ58" s="50">
        <f>IF(AND(Option_Sys_TopUp&gt;="Y",H58&gt;=sytp,H58&lt;=(dtp+sytp-1),F58=0,H58&lt;=ppt+1),atp,0)+IFERROR(VLOOKUP(H58,Input!$B$55:$C$61,2,0),0)*(F58=0)*(Option_TopUP="Y")*(Option_Sys_TopUp="N")*B58*(pt&gt;=H58+5)</f>
        <v>0</v>
      </c>
      <c r="AK58" s="50">
        <f t="shared" si="15"/>
        <v>0</v>
      </c>
      <c r="AL58" s="50">
        <f t="shared" si="48"/>
        <v>0</v>
      </c>
      <c r="AM58" s="50">
        <f t="shared" ca="1" si="49"/>
        <v>0</v>
      </c>
      <c r="AN58" s="50">
        <f ca="1">IF(B58=0,0,AT58*(_rpm1+(1+_emr1)*VLOOKUP(E58,Tab_Mort_Charge,IF(Input!$C$12="M",2,3),0))*(0.001*0.0833)*Flag_Mort_Rider_Charge*(AT58&gt;0))</f>
        <v>0</v>
      </c>
      <c r="AO58" s="50">
        <f t="shared" ca="1" si="17"/>
        <v>0</v>
      </c>
      <c r="AP58" s="50">
        <f t="shared" ca="1" si="58"/>
        <v>0</v>
      </c>
      <c r="AQ58" s="50">
        <f t="shared" ca="1" si="18"/>
        <v>0</v>
      </c>
      <c r="AR58" s="50">
        <f t="shared" ca="1" si="19"/>
        <v>0</v>
      </c>
      <c r="AS58" s="50">
        <f t="shared" si="20"/>
        <v>0</v>
      </c>
      <c r="AT58" s="50">
        <f ca="1">(MAX((MAX(AS58,105%*SUM($AJ$7:AJ58))-AM58*Flag_UL_Type),0)*B58)</f>
        <v>0</v>
      </c>
      <c r="AU58" s="50">
        <f ca="1">(MAX(AS58,AR58,105%*SUM($AJ$7:AJ58))*B58)</f>
        <v>0</v>
      </c>
      <c r="AV58" s="125"/>
      <c r="AW58" s="13"/>
      <c r="AX58" s="13"/>
      <c r="AY58" s="13"/>
      <c r="AZ58" s="13"/>
      <c r="BA58" s="13"/>
      <c r="BG58" s="51">
        <f t="shared" si="30"/>
        <v>0</v>
      </c>
      <c r="BH58" s="51">
        <f t="shared" ca="1" si="31"/>
        <v>334.69559872464703</v>
      </c>
      <c r="BI58" s="51">
        <f t="shared" ca="1" si="32"/>
        <v>0</v>
      </c>
      <c r="BJ58" s="51">
        <f t="shared" ca="1" si="33"/>
        <v>0</v>
      </c>
      <c r="BK58" s="51">
        <f t="shared" si="34"/>
        <v>81</v>
      </c>
      <c r="BL58" s="51">
        <f t="shared" ca="1" si="35"/>
        <v>295.70425203767331</v>
      </c>
      <c r="BM58" s="51">
        <f t="shared" si="36"/>
        <v>0</v>
      </c>
      <c r="BN58" s="51">
        <f t="shared" ca="1" si="37"/>
        <v>0</v>
      </c>
      <c r="BO58" s="51">
        <f t="shared" ca="1" si="38"/>
        <v>0</v>
      </c>
      <c r="BP58" s="51">
        <f t="shared" ca="1" si="39"/>
        <v>711.39985076232028</v>
      </c>
      <c r="BR58" s="32"/>
      <c r="BS58" s="126"/>
      <c r="BT58" s="16"/>
      <c r="BU58" s="58"/>
      <c r="BW58" s="51">
        <f>IF(Input!$C$13="Offline",VLOOKUP(H58,Charges!$AT$4:$AU$33,2,FALSE)*I58,0)</f>
        <v>0</v>
      </c>
      <c r="BX58" s="51">
        <f t="shared" si="40"/>
        <v>0</v>
      </c>
      <c r="BY58" s="51">
        <f t="shared" si="51"/>
        <v>0</v>
      </c>
      <c r="BZ58" s="151"/>
      <c r="CA58" s="151"/>
      <c r="CB58" s="32"/>
      <c r="CC58" s="16">
        <f ca="1">SUM($N$7:$N58)</f>
        <v>0</v>
      </c>
      <c r="CD58" s="16">
        <f t="shared" ca="1" si="41"/>
        <v>0</v>
      </c>
      <c r="CE58" s="16">
        <f t="shared" ca="1" si="42"/>
        <v>0</v>
      </c>
      <c r="CF58" s="7">
        <f t="shared" ca="1" si="43"/>
        <v>0</v>
      </c>
      <c r="CH58" s="7">
        <f t="shared" ca="1" si="44"/>
        <v>0</v>
      </c>
    </row>
    <row r="59" spans="2:86" s="7" customFormat="1" x14ac:dyDescent="0.2">
      <c r="B59" s="14">
        <f t="shared" si="0"/>
        <v>1</v>
      </c>
      <c r="C59" s="12">
        <f t="shared" si="1"/>
        <v>1</v>
      </c>
      <c r="D59" s="17">
        <f t="shared" si="52"/>
        <v>53</v>
      </c>
      <c r="E59" s="17">
        <f t="shared" ca="1" si="2"/>
        <v>64</v>
      </c>
      <c r="F59" s="12">
        <f t="shared" si="56"/>
        <v>4</v>
      </c>
      <c r="G59" s="12">
        <f t="shared" si="55"/>
        <v>9</v>
      </c>
      <c r="H59" s="17">
        <f t="shared" si="57"/>
        <v>5</v>
      </c>
      <c r="I59" s="29">
        <f t="shared" si="45"/>
        <v>0</v>
      </c>
      <c r="J59" s="211">
        <f>IFERROR(VLOOKUP(H59,Charges!$T$6:$U$35,2,0)*C59,0)</f>
        <v>0.97</v>
      </c>
      <c r="K59" s="29">
        <f t="shared" si="3"/>
        <v>0</v>
      </c>
      <c r="L59" s="29">
        <f t="shared" si="4"/>
        <v>0</v>
      </c>
      <c r="M59" s="147">
        <f t="shared" ca="1" si="5"/>
        <v>0</v>
      </c>
      <c r="N59" s="148">
        <f ca="1">IF(AND(Option_SPW="Y",H59&gt;=Lock_In_Period,Z58&gt;SPW_Amount_pa+IF(option="Single",1/5*pr,2*pr),H59&gt;=SPW_Start_Year,H59&lt;=SPW_Start_Year+SPW_Duration-1,age+H59&gt;=Legal_Age),IF(AND(F59=0,SPW_Payout_Freq=1),SPW_Amount_pa,IF(AND(SPW_Payout_Freq=2,MOD(F59,6)=0),SPW_Amount_pa/SPW_Payout_Freq,IF(AND(SPW_Payout_Freq=4,MOD(F59,3)=0),SPW_Amount_pa/SPW_Payout_Freq,IF(SPW_Payout_Freq=12,SPW_Amount_pa/SPW_Payout_Freq,0)))),0)+IFERROR(VLOOKUP(H59,Input!$B$68:$C$74,2,0),0)*(F59=0)*(Option_PW="Y")*(Option_SPW="N")*(age+H59&gt;=Legal_Age)</f>
        <v>0</v>
      </c>
      <c r="O59" s="148">
        <f t="shared" ca="1" si="6"/>
        <v>0</v>
      </c>
      <c r="P59" s="14">
        <f ca="1">(MAX(MAX(sa-CF58*Flag_UL_Type,105%*SUM($I$7:I59))-(AD58+L59-N59)*Flag_UL_Type,0)*B59)</f>
        <v>1542464.8547430718</v>
      </c>
      <c r="Q59" s="213">
        <f t="shared" ca="1" si="46"/>
        <v>1853.8113856729583</v>
      </c>
      <c r="R59" s="14">
        <f t="shared" ca="1" si="7"/>
        <v>0</v>
      </c>
      <c r="S59" s="14">
        <f t="shared" ca="1" si="8"/>
        <v>0</v>
      </c>
      <c r="T59" s="14">
        <f>IFERROR(IF(WoP_Flag="Y",IF(fq=1,VLOOKUP(ppt*fq-H59,Charges!$AN$41:$AO$59,2,FALSE),IF(fq=2,VLOOKUP(ppt*fq-G59,Charges!$AP$41:$AQ$79,2,FALSE),VLOOKUP(ppt*fq-D59,Charges!$AR$41:$AS$279,2,FALSE)))*pr/fq,0),0)</f>
        <v>0</v>
      </c>
      <c r="U59" s="14">
        <f t="shared" ca="1" si="9"/>
        <v>0</v>
      </c>
      <c r="V59" s="34">
        <f>ROUND(MIN(IF(H59&gt;=7,Charges!$C$12*(1+Charges!$C$14)^((H59-7+1)),VLOOKUP(H59,Charges!$B$7:$C$12,2,0))*pr,Charges!$C$13)*B59,Round)</f>
        <v>450</v>
      </c>
      <c r="W59" s="14">
        <f t="shared" ca="1" si="10"/>
        <v>1454816.6478218341</v>
      </c>
      <c r="X59" s="14">
        <f t="shared" ca="1" si="11"/>
        <v>1464176.9819384541</v>
      </c>
      <c r="Y59" s="213">
        <f t="shared" ca="1" si="47"/>
        <v>1648.0955271678295</v>
      </c>
      <c r="Z59" s="14">
        <f t="shared" ca="1" si="12"/>
        <v>1462232.2292163961</v>
      </c>
      <c r="AA59" s="14">
        <f>IF(AND($H59=pt,$F59=11),SUM($K$7:K59)*VLOOKUP(pt,ROC,2,FALSE),0)</f>
        <v>0</v>
      </c>
      <c r="AB59" s="14">
        <f>IF(AND($H59=pt,$F59=11),SUM($V$7:V59)*VLOOKUP(pt,ROC,2,FALSE),0)</f>
        <v>0</v>
      </c>
      <c r="AC59" s="14">
        <f>IF(AND($H59=pt,$F59=11),SUM($Q$7:Q59)*VLOOKUP(pt,ROC,2,FALSE),0)</f>
        <v>0</v>
      </c>
      <c r="AD59" s="14">
        <f t="shared" ca="1" si="13"/>
        <v>1462232.2292163961</v>
      </c>
      <c r="AE59" s="14">
        <f ca="1">(MAX(sa-CF58*Flag_UL_Type,105%*SUM($I$7:I59),Z59)+AU59)*B59</f>
        <v>3000000</v>
      </c>
      <c r="AF59" s="136"/>
      <c r="AG59" s="18">
        <v>53</v>
      </c>
      <c r="AH59" s="30">
        <f t="shared" ca="1" si="14"/>
        <v>0</v>
      </c>
      <c r="AI59" s="138"/>
      <c r="AJ59" s="50">
        <f>IF(AND(Option_Sys_TopUp&gt;="Y",H59&gt;=sytp,H59&lt;=(dtp+sytp-1),F59=0,H59&lt;=ppt+1),atp,0)+IFERROR(VLOOKUP(H59,Input!$B$55:$C$61,2,0),0)*(F59=0)*(Option_TopUP="Y")*(Option_Sys_TopUp="N")*B59*(pt&gt;=H59+5)</f>
        <v>0</v>
      </c>
      <c r="AK59" s="50">
        <f t="shared" si="15"/>
        <v>0</v>
      </c>
      <c r="AL59" s="50">
        <f t="shared" si="48"/>
        <v>0</v>
      </c>
      <c r="AM59" s="50">
        <f t="shared" ca="1" si="49"/>
        <v>0</v>
      </c>
      <c r="AN59" s="50">
        <f ca="1">IF(B59=0,0,AT59*(_rpm1+(1+_emr1)*VLOOKUP(E59,Tab_Mort_Charge,IF(Input!$C$12="M",2,3),0))*(0.001*0.0833)*Flag_Mort_Rider_Charge*(AT59&gt;0))</f>
        <v>0</v>
      </c>
      <c r="AO59" s="50">
        <f t="shared" ca="1" si="17"/>
        <v>0</v>
      </c>
      <c r="AP59" s="50">
        <f t="shared" ca="1" si="58"/>
        <v>0</v>
      </c>
      <c r="AQ59" s="50">
        <f t="shared" ca="1" si="18"/>
        <v>0</v>
      </c>
      <c r="AR59" s="50">
        <f t="shared" ca="1" si="19"/>
        <v>0</v>
      </c>
      <c r="AS59" s="50">
        <f t="shared" si="20"/>
        <v>0</v>
      </c>
      <c r="AT59" s="50">
        <f ca="1">(MAX((MAX(AS59,105%*SUM($AJ$7:AJ59))-AM59*Flag_UL_Type),0)*B59)</f>
        <v>0</v>
      </c>
      <c r="AU59" s="50">
        <f ca="1">(MAX(AS59,AR59,105%*SUM($AJ$7:AJ59))*B59)</f>
        <v>0</v>
      </c>
      <c r="AV59" s="125"/>
      <c r="AW59" s="13"/>
      <c r="AX59" s="13"/>
      <c r="AY59" s="13"/>
      <c r="AZ59" s="13"/>
      <c r="BA59" s="13"/>
      <c r="BG59" s="51">
        <f t="shared" si="30"/>
        <v>0</v>
      </c>
      <c r="BH59" s="51">
        <f t="shared" ca="1" si="31"/>
        <v>333.68604942113302</v>
      </c>
      <c r="BI59" s="51">
        <f t="shared" ca="1" si="32"/>
        <v>0</v>
      </c>
      <c r="BJ59" s="51">
        <f t="shared" ca="1" si="33"/>
        <v>0</v>
      </c>
      <c r="BK59" s="51">
        <f t="shared" si="34"/>
        <v>81</v>
      </c>
      <c r="BL59" s="51">
        <f t="shared" ca="1" si="35"/>
        <v>296.65719489020927</v>
      </c>
      <c r="BM59" s="51">
        <f t="shared" si="36"/>
        <v>0</v>
      </c>
      <c r="BN59" s="51">
        <f t="shared" ca="1" si="37"/>
        <v>0</v>
      </c>
      <c r="BO59" s="51">
        <f t="shared" ca="1" si="38"/>
        <v>0</v>
      </c>
      <c r="BP59" s="51">
        <f t="shared" ca="1" si="39"/>
        <v>711.34324431134223</v>
      </c>
      <c r="BR59" s="32"/>
      <c r="BS59" s="126"/>
      <c r="BT59" s="16"/>
      <c r="BU59" s="58"/>
      <c r="BW59" s="51">
        <f>IF(Input!$C$13="Offline",VLOOKUP(H59,Charges!$AT$4:$AU$33,2,FALSE)*I59,0)</f>
        <v>0</v>
      </c>
      <c r="BX59" s="51">
        <f t="shared" si="40"/>
        <v>0</v>
      </c>
      <c r="BY59" s="51">
        <f t="shared" si="51"/>
        <v>0</v>
      </c>
      <c r="BZ59" s="151"/>
      <c r="CA59" s="151"/>
      <c r="CB59" s="32"/>
      <c r="CC59" s="16">
        <f ca="1">SUM($N$7:$N59)</f>
        <v>0</v>
      </c>
      <c r="CD59" s="16">
        <f t="shared" ca="1" si="41"/>
        <v>0</v>
      </c>
      <c r="CE59" s="16">
        <f t="shared" ca="1" si="42"/>
        <v>0</v>
      </c>
      <c r="CF59" s="7">
        <f t="shared" ca="1" si="43"/>
        <v>0</v>
      </c>
      <c r="CH59" s="7">
        <f t="shared" ca="1" si="44"/>
        <v>0</v>
      </c>
    </row>
    <row r="60" spans="2:86" s="7" customFormat="1" x14ac:dyDescent="0.2">
      <c r="B60" s="14">
        <f t="shared" si="0"/>
        <v>1</v>
      </c>
      <c r="C60" s="12">
        <f t="shared" si="1"/>
        <v>1</v>
      </c>
      <c r="D60" s="17">
        <f t="shared" si="52"/>
        <v>54</v>
      </c>
      <c r="E60" s="17">
        <f t="shared" ca="1" si="2"/>
        <v>64</v>
      </c>
      <c r="F60" s="12">
        <f t="shared" si="56"/>
        <v>5</v>
      </c>
      <c r="G60" s="12">
        <f t="shared" si="55"/>
        <v>9</v>
      </c>
      <c r="H60" s="17">
        <f t="shared" si="57"/>
        <v>5</v>
      </c>
      <c r="I60" s="29">
        <f t="shared" si="45"/>
        <v>0</v>
      </c>
      <c r="J60" s="211">
        <f>IFERROR(VLOOKUP(H60,Charges!$T$6:$U$35,2,0)*C60,0)</f>
        <v>0.97</v>
      </c>
      <c r="K60" s="29">
        <f t="shared" si="3"/>
        <v>0</v>
      </c>
      <c r="L60" s="29">
        <f t="shared" si="4"/>
        <v>0</v>
      </c>
      <c r="M60" s="147">
        <f t="shared" ca="1" si="5"/>
        <v>0</v>
      </c>
      <c r="N60" s="148">
        <f ca="1">IF(AND(Option_SPW="Y",H60&gt;=Lock_In_Period,Z59&gt;SPW_Amount_pa+IF(option="Single",1/5*pr,2*pr),H60&gt;=SPW_Start_Year,H60&lt;=SPW_Start_Year+SPW_Duration-1,age+H60&gt;=Legal_Age),IF(AND(F60=0,SPW_Payout_Freq=1),SPW_Amount_pa,IF(AND(SPW_Payout_Freq=2,MOD(F60,6)=0),SPW_Amount_pa/SPW_Payout_Freq,IF(AND(SPW_Payout_Freq=4,MOD(F60,3)=0),SPW_Amount_pa/SPW_Payout_Freq,IF(SPW_Payout_Freq=12,SPW_Amount_pa/SPW_Payout_Freq,0)))),0)+IFERROR(VLOOKUP(H60,Input!$B$68:$C$74,2,0),0)*(F60=0)*(Option_PW="Y")*(Option_SPW="N")*(age+H60&gt;=Legal_Age)</f>
        <v>0</v>
      </c>
      <c r="O60" s="148">
        <f t="shared" ca="1" si="6"/>
        <v>0</v>
      </c>
      <c r="P60" s="14">
        <f ca="1">(MAX(MAX(sa-CF59*Flag_UL_Type,105%*SUM($I$7:I60))-(AD59+L60-N60)*Flag_UL_Type,0)*B60)</f>
        <v>1537767.7707836039</v>
      </c>
      <c r="Q60" s="213">
        <f t="shared" ca="1" si="46"/>
        <v>1848.166195316275</v>
      </c>
      <c r="R60" s="14">
        <f t="shared" ca="1" si="7"/>
        <v>0</v>
      </c>
      <c r="S60" s="14">
        <f t="shared" ca="1" si="8"/>
        <v>0</v>
      </c>
      <c r="T60" s="14">
        <f>IFERROR(IF(WoP_Flag="Y",IF(fq=1,VLOOKUP(ppt*fq-H60,Charges!$AN$41:$AO$59,2,FALSE),IF(fq=2,VLOOKUP(ppt*fq-G60,Charges!$AP$41:$AQ$79,2,FALSE),VLOOKUP(ppt*fq-D60,Charges!$AR$41:$AS$279,2,FALSE)))*pr/fq,0),0)</f>
        <v>0</v>
      </c>
      <c r="U60" s="14">
        <f t="shared" ca="1" si="9"/>
        <v>0</v>
      </c>
      <c r="V60" s="34">
        <f>ROUND(MIN(IF(H60&gt;=7,Charges!$C$12*(1+Charges!$C$14)^((H60-7+1)),VLOOKUP(H60,Charges!$B$7:$C$12,2,0))*pr,Charges!$C$13)*B60,Round)</f>
        <v>450</v>
      </c>
      <c r="W60" s="14">
        <f t="shared" ca="1" si="10"/>
        <v>1459520.393105923</v>
      </c>
      <c r="X60" s="14">
        <f t="shared" ca="1" si="11"/>
        <v>1468910.9912613304</v>
      </c>
      <c r="Y60" s="213">
        <f t="shared" ca="1" si="47"/>
        <v>1653.4241859890287</v>
      </c>
      <c r="Z60" s="14">
        <f t="shared" ca="1" si="12"/>
        <v>1466959.9507218634</v>
      </c>
      <c r="AA60" s="14">
        <f>IF(AND($H60=pt,$F60=11),SUM($K$7:K60)*VLOOKUP(pt,ROC,2,FALSE),0)</f>
        <v>0</v>
      </c>
      <c r="AB60" s="14">
        <f>IF(AND($H60=pt,$F60=11),SUM($V$7:V60)*VLOOKUP(pt,ROC,2,FALSE),0)</f>
        <v>0</v>
      </c>
      <c r="AC60" s="14">
        <f>IF(AND($H60=pt,$F60=11),SUM($Q$7:Q60)*VLOOKUP(pt,ROC,2,FALSE),0)</f>
        <v>0</v>
      </c>
      <c r="AD60" s="14">
        <f t="shared" ca="1" si="13"/>
        <v>1466959.9507218634</v>
      </c>
      <c r="AE60" s="14">
        <f ca="1">(MAX(sa-CF59*Flag_UL_Type,105%*SUM($I$7:I60),Z60)+AU60)*B60</f>
        <v>3000000</v>
      </c>
      <c r="AF60" s="136"/>
      <c r="AG60" s="18">
        <v>54</v>
      </c>
      <c r="AH60" s="30">
        <f t="shared" ca="1" si="14"/>
        <v>0</v>
      </c>
      <c r="AI60" s="138"/>
      <c r="AJ60" s="50">
        <f>IF(AND(Option_Sys_TopUp&gt;="Y",H60&gt;=sytp,H60&lt;=(dtp+sytp-1),F60=0,H60&lt;=ppt+1),atp,0)+IFERROR(VLOOKUP(H60,Input!$B$55:$C$61,2,0),0)*(F60=0)*(Option_TopUP="Y")*(Option_Sys_TopUp="N")*B60*(pt&gt;=H60+5)</f>
        <v>0</v>
      </c>
      <c r="AK60" s="50">
        <f t="shared" si="15"/>
        <v>0</v>
      </c>
      <c r="AL60" s="50">
        <f t="shared" si="48"/>
        <v>0</v>
      </c>
      <c r="AM60" s="50">
        <f t="shared" ca="1" si="49"/>
        <v>0</v>
      </c>
      <c r="AN60" s="50">
        <f ca="1">IF(B60=0,0,AT60*(_rpm1+(1+_emr1)*VLOOKUP(E60,Tab_Mort_Charge,IF(Input!$C$12="M",2,3),0))*(0.001*0.0833)*Flag_Mort_Rider_Charge*(AT60&gt;0))</f>
        <v>0</v>
      </c>
      <c r="AO60" s="50">
        <f t="shared" ca="1" si="17"/>
        <v>0</v>
      </c>
      <c r="AP60" s="50">
        <f t="shared" ca="1" si="58"/>
        <v>0</v>
      </c>
      <c r="AQ60" s="50">
        <f t="shared" ca="1" si="18"/>
        <v>0</v>
      </c>
      <c r="AR60" s="50">
        <f t="shared" ca="1" si="19"/>
        <v>0</v>
      </c>
      <c r="AS60" s="50">
        <f t="shared" si="20"/>
        <v>0</v>
      </c>
      <c r="AT60" s="50">
        <f ca="1">(MAX((MAX(AS60,105%*SUM($AJ$7:AJ60))-AM60*Flag_UL_Type),0)*B60)</f>
        <v>0</v>
      </c>
      <c r="AU60" s="50">
        <f ca="1">(MAX(AS60,AR60,105%*SUM($AJ$7:AJ60))*B60)</f>
        <v>0</v>
      </c>
      <c r="AV60" s="125"/>
      <c r="AW60" s="13"/>
      <c r="AX60" s="13"/>
      <c r="AY60" s="13"/>
      <c r="AZ60" s="13"/>
      <c r="BA60" s="13"/>
      <c r="BG60" s="51">
        <f t="shared" si="30"/>
        <v>0</v>
      </c>
      <c r="BH60" s="51">
        <f t="shared" ca="1" si="31"/>
        <v>332.66991515693002</v>
      </c>
      <c r="BI60" s="51">
        <f t="shared" ca="1" si="32"/>
        <v>0</v>
      </c>
      <c r="BJ60" s="51">
        <f t="shared" ca="1" si="33"/>
        <v>0</v>
      </c>
      <c r="BK60" s="51">
        <f t="shared" si="34"/>
        <v>81</v>
      </c>
      <c r="BL60" s="51">
        <f t="shared" ca="1" si="35"/>
        <v>297.61635347802513</v>
      </c>
      <c r="BM60" s="51">
        <f t="shared" si="36"/>
        <v>0</v>
      </c>
      <c r="BN60" s="51">
        <f t="shared" ca="1" si="37"/>
        <v>0</v>
      </c>
      <c r="BO60" s="51">
        <f t="shared" ca="1" si="38"/>
        <v>0</v>
      </c>
      <c r="BP60" s="51">
        <f t="shared" ca="1" si="39"/>
        <v>711.28626863495515</v>
      </c>
      <c r="BR60" s="32"/>
      <c r="BS60" s="126"/>
      <c r="BT60" s="16"/>
      <c r="BU60" s="58"/>
      <c r="BW60" s="51">
        <f>IF(Input!$C$13="Offline",VLOOKUP(H60,Charges!$AT$4:$AU$33,2,FALSE)*I60,0)</f>
        <v>0</v>
      </c>
      <c r="BX60" s="51">
        <f t="shared" si="40"/>
        <v>0</v>
      </c>
      <c r="BY60" s="51">
        <f t="shared" si="51"/>
        <v>0</v>
      </c>
      <c r="BZ60" s="151"/>
      <c r="CA60" s="151"/>
      <c r="CB60" s="32"/>
      <c r="CC60" s="16">
        <f ca="1">SUM($N$7:$N60)</f>
        <v>0</v>
      </c>
      <c r="CD60" s="16">
        <f t="shared" ca="1" si="41"/>
        <v>0</v>
      </c>
      <c r="CE60" s="16">
        <f t="shared" ca="1" si="42"/>
        <v>0</v>
      </c>
      <c r="CF60" s="7">
        <f t="shared" ca="1" si="43"/>
        <v>0</v>
      </c>
      <c r="CH60" s="7">
        <f t="shared" ca="1" si="44"/>
        <v>0</v>
      </c>
    </row>
    <row r="61" spans="2:86" s="7" customFormat="1" x14ac:dyDescent="0.2">
      <c r="B61" s="14">
        <f t="shared" si="0"/>
        <v>1</v>
      </c>
      <c r="C61" s="12">
        <f t="shared" si="1"/>
        <v>1</v>
      </c>
      <c r="D61" s="17">
        <f t="shared" si="52"/>
        <v>55</v>
      </c>
      <c r="E61" s="17">
        <f t="shared" ca="1" si="2"/>
        <v>64</v>
      </c>
      <c r="F61" s="12">
        <f t="shared" si="56"/>
        <v>6</v>
      </c>
      <c r="G61" s="12">
        <f t="shared" si="55"/>
        <v>10</v>
      </c>
      <c r="H61" s="17">
        <f t="shared" si="57"/>
        <v>5</v>
      </c>
      <c r="I61" s="29">
        <f t="shared" si="45"/>
        <v>0</v>
      </c>
      <c r="J61" s="211">
        <f>IFERROR(VLOOKUP(H61,Charges!$T$6:$U$35,2,0)*C61,0)</f>
        <v>0.97</v>
      </c>
      <c r="K61" s="29">
        <f t="shared" si="3"/>
        <v>0</v>
      </c>
      <c r="L61" s="29">
        <f t="shared" si="4"/>
        <v>0</v>
      </c>
      <c r="M61" s="147">
        <f t="shared" ca="1" si="5"/>
        <v>0</v>
      </c>
      <c r="N61" s="148">
        <f ca="1">IF(AND(Option_SPW="Y",H61&gt;=Lock_In_Period,Z60&gt;SPW_Amount_pa+IF(option="Single",1/5*pr,2*pr),H61&gt;=SPW_Start_Year,H61&lt;=SPW_Start_Year+SPW_Duration-1,age+H61&gt;=Legal_Age),IF(AND(F61=0,SPW_Payout_Freq=1),SPW_Amount_pa,IF(AND(SPW_Payout_Freq=2,MOD(F61,6)=0),SPW_Amount_pa/SPW_Payout_Freq,IF(AND(SPW_Payout_Freq=4,MOD(F61,3)=0),SPW_Amount_pa/SPW_Payout_Freq,IF(SPW_Payout_Freq=12,SPW_Amount_pa/SPW_Payout_Freq,0)))),0)+IFERROR(VLOOKUP(H61,Input!$B$68:$C$74,2,0),0)*(F61=0)*(Option_PW="Y")*(Option_SPW="N")*(age+H61&gt;=Legal_Age)</f>
        <v>0</v>
      </c>
      <c r="O61" s="148">
        <f t="shared" ca="1" si="6"/>
        <v>0</v>
      </c>
      <c r="P61" s="14">
        <f ca="1">(MAX(MAX(sa-CF60*Flag_UL_Type,105%*SUM($I$7:I61))-(AD60+L61-N61)*Flag_UL_Type,0)*B61)</f>
        <v>1533040.0492781366</v>
      </c>
      <c r="Q61" s="213">
        <f t="shared" ca="1" si="46"/>
        <v>1842.4841832249251</v>
      </c>
      <c r="R61" s="14">
        <f t="shared" ca="1" si="7"/>
        <v>0</v>
      </c>
      <c r="S61" s="14">
        <f t="shared" ca="1" si="8"/>
        <v>0</v>
      </c>
      <c r="T61" s="14">
        <f>IFERROR(IF(WoP_Flag="Y",IF(fq=1,VLOOKUP(ppt*fq-H61,Charges!$AN$41:$AO$59,2,FALSE),IF(fq=2,VLOOKUP(ppt*fq-G61,Charges!$AP$41:$AQ$79,2,FALSE),VLOOKUP(ppt*fq-D61,Charges!$AR$41:$AS$279,2,FALSE)))*pr/fq,0),0)</f>
        <v>0</v>
      </c>
      <c r="U61" s="14">
        <f t="shared" ca="1" si="9"/>
        <v>0</v>
      </c>
      <c r="V61" s="34">
        <f>ROUND(MIN(IF(H61&gt;=7,Charges!$C$12*(1+Charges!$C$14)^((H61-7+1)),VLOOKUP(H61,Charges!$B$7:$C$12,2,0))*pr,Charges!$C$13)*B61,Round)</f>
        <v>450</v>
      </c>
      <c r="W61" s="14">
        <f t="shared" ca="1" si="10"/>
        <v>1464254.819385658</v>
      </c>
      <c r="X61" s="14">
        <f t="shared" ca="1" si="11"/>
        <v>1473675.878982303</v>
      </c>
      <c r="Y61" s="213">
        <f t="shared" ca="1" si="47"/>
        <v>1658.7876019129665</v>
      </c>
      <c r="Z61" s="14">
        <f t="shared" ca="1" si="12"/>
        <v>1471718.5096120457</v>
      </c>
      <c r="AA61" s="14">
        <f>IF(AND($H61=pt,$F61=11),SUM($K$7:K61)*VLOOKUP(pt,ROC,2,FALSE),0)</f>
        <v>0</v>
      </c>
      <c r="AB61" s="14">
        <f>IF(AND($H61=pt,$F61=11),SUM($V$7:V61)*VLOOKUP(pt,ROC,2,FALSE),0)</f>
        <v>0</v>
      </c>
      <c r="AC61" s="14">
        <f>IF(AND($H61=pt,$F61=11),SUM($Q$7:Q61)*VLOOKUP(pt,ROC,2,FALSE),0)</f>
        <v>0</v>
      </c>
      <c r="AD61" s="14">
        <f t="shared" ca="1" si="13"/>
        <v>1471718.5096120457</v>
      </c>
      <c r="AE61" s="14">
        <f ca="1">(MAX(sa-CF60*Flag_UL_Type,105%*SUM($I$7:I61),Z61)+AU61)*B61</f>
        <v>3000000</v>
      </c>
      <c r="AF61" s="136"/>
      <c r="AG61" s="18">
        <v>55</v>
      </c>
      <c r="AH61" s="30">
        <f t="shared" ca="1" si="14"/>
        <v>0</v>
      </c>
      <c r="AI61" s="138"/>
      <c r="AJ61" s="50">
        <f>IF(AND(Option_Sys_TopUp&gt;="Y",H61&gt;=sytp,H61&lt;=(dtp+sytp-1),F61=0,H61&lt;=ppt+1),atp,0)+IFERROR(VLOOKUP(H61,Input!$B$55:$C$61,2,0),0)*(F61=0)*(Option_TopUP="Y")*(Option_Sys_TopUp="N")*B61*(pt&gt;=H61+5)</f>
        <v>0</v>
      </c>
      <c r="AK61" s="50">
        <f t="shared" si="15"/>
        <v>0</v>
      </c>
      <c r="AL61" s="50">
        <f t="shared" si="48"/>
        <v>0</v>
      </c>
      <c r="AM61" s="50">
        <f t="shared" ca="1" si="49"/>
        <v>0</v>
      </c>
      <c r="AN61" s="50">
        <f ca="1">IF(B61=0,0,AT61*(_rpm1+(1+_emr1)*VLOOKUP(E61,Tab_Mort_Charge,IF(Input!$C$12="M",2,3),0))*(0.001*0.0833)*Flag_Mort_Rider_Charge*(AT61&gt;0))</f>
        <v>0</v>
      </c>
      <c r="AO61" s="50">
        <f t="shared" ca="1" si="17"/>
        <v>0</v>
      </c>
      <c r="AP61" s="50">
        <f t="shared" ca="1" si="58"/>
        <v>0</v>
      </c>
      <c r="AQ61" s="50">
        <f t="shared" ca="1" si="18"/>
        <v>0</v>
      </c>
      <c r="AR61" s="50">
        <f t="shared" ca="1" si="19"/>
        <v>0</v>
      </c>
      <c r="AS61" s="50">
        <f t="shared" si="20"/>
        <v>0</v>
      </c>
      <c r="AT61" s="50">
        <f ca="1">(MAX((MAX(AS61,105%*SUM($AJ$7:AJ61))-AM61*Flag_UL_Type),0)*B61)</f>
        <v>0</v>
      </c>
      <c r="AU61" s="50">
        <f ca="1">(MAX(AS61,AR61,105%*SUM($AJ$7:AJ61))*B61)</f>
        <v>0</v>
      </c>
      <c r="AV61" s="125"/>
      <c r="AW61" s="13"/>
      <c r="AX61" s="13"/>
      <c r="AY61" s="13"/>
      <c r="AZ61" s="13"/>
      <c r="BA61" s="13"/>
      <c r="BG61" s="51">
        <f t="shared" si="30"/>
        <v>0</v>
      </c>
      <c r="BH61" s="51">
        <f t="shared" ca="1" si="31"/>
        <v>331.64715298048702</v>
      </c>
      <c r="BI61" s="51">
        <f t="shared" ca="1" si="32"/>
        <v>0</v>
      </c>
      <c r="BJ61" s="51">
        <f t="shared" ca="1" si="33"/>
        <v>0</v>
      </c>
      <c r="BK61" s="51">
        <f t="shared" si="34"/>
        <v>81</v>
      </c>
      <c r="BL61" s="51">
        <f t="shared" ca="1" si="35"/>
        <v>298.58176834433397</v>
      </c>
      <c r="BM61" s="51">
        <f t="shared" si="36"/>
        <v>0</v>
      </c>
      <c r="BN61" s="51">
        <f t="shared" ca="1" si="37"/>
        <v>0</v>
      </c>
      <c r="BO61" s="51">
        <f t="shared" ca="1" si="38"/>
        <v>0</v>
      </c>
      <c r="BP61" s="51">
        <f t="shared" ca="1" si="39"/>
        <v>711.22892132482093</v>
      </c>
      <c r="BR61" s="32"/>
      <c r="BS61" s="126"/>
      <c r="BT61" s="16"/>
      <c r="BU61" s="58"/>
      <c r="BW61" s="51">
        <f>IF(Input!$C$13="Offline",VLOOKUP(H61,Charges!$AT$4:$AU$33,2,FALSE)*I61,0)</f>
        <v>0</v>
      </c>
      <c r="BX61" s="51">
        <f t="shared" si="40"/>
        <v>0</v>
      </c>
      <c r="BY61" s="51">
        <f t="shared" si="51"/>
        <v>0</v>
      </c>
      <c r="BZ61" s="151"/>
      <c r="CA61" s="151"/>
      <c r="CB61" s="32"/>
      <c r="CC61" s="16">
        <f ca="1">SUM($N$7:$N61)</f>
        <v>0</v>
      </c>
      <c r="CD61" s="16">
        <f t="shared" ca="1" si="41"/>
        <v>0</v>
      </c>
      <c r="CE61" s="16">
        <f t="shared" ca="1" si="42"/>
        <v>0</v>
      </c>
      <c r="CF61" s="7">
        <f t="shared" ca="1" si="43"/>
        <v>0</v>
      </c>
      <c r="CH61" s="7">
        <f t="shared" ca="1" si="44"/>
        <v>0</v>
      </c>
    </row>
    <row r="62" spans="2:86" s="7" customFormat="1" x14ac:dyDescent="0.2">
      <c r="B62" s="14">
        <f t="shared" si="0"/>
        <v>1</v>
      </c>
      <c r="C62" s="12">
        <f t="shared" si="1"/>
        <v>1</v>
      </c>
      <c r="D62" s="17">
        <f t="shared" si="52"/>
        <v>56</v>
      </c>
      <c r="E62" s="17">
        <f t="shared" ca="1" si="2"/>
        <v>64</v>
      </c>
      <c r="F62" s="12">
        <f t="shared" si="56"/>
        <v>7</v>
      </c>
      <c r="G62" s="12">
        <f t="shared" si="55"/>
        <v>10</v>
      </c>
      <c r="H62" s="17">
        <f t="shared" si="57"/>
        <v>5</v>
      </c>
      <c r="I62" s="29">
        <f t="shared" si="45"/>
        <v>0</v>
      </c>
      <c r="J62" s="211">
        <f>IFERROR(VLOOKUP(H62,Charges!$T$6:$U$35,2,0)*C62,0)</f>
        <v>0.97</v>
      </c>
      <c r="K62" s="29">
        <f t="shared" si="3"/>
        <v>0</v>
      </c>
      <c r="L62" s="29">
        <f t="shared" si="4"/>
        <v>0</v>
      </c>
      <c r="M62" s="147">
        <f t="shared" ca="1" si="5"/>
        <v>0</v>
      </c>
      <c r="N62" s="148">
        <f ca="1">IF(AND(Option_SPW="Y",H62&gt;=Lock_In_Period,Z61&gt;SPW_Amount_pa+IF(option="Single",1/5*pr,2*pr),H62&gt;=SPW_Start_Year,H62&lt;=SPW_Start_Year+SPW_Duration-1,age+H62&gt;=Legal_Age),IF(AND(F62=0,SPW_Payout_Freq=1),SPW_Amount_pa,IF(AND(SPW_Payout_Freq=2,MOD(F62,6)=0),SPW_Amount_pa/SPW_Payout_Freq,IF(AND(SPW_Payout_Freq=4,MOD(F62,3)=0),SPW_Amount_pa/SPW_Payout_Freq,IF(SPW_Payout_Freq=12,SPW_Amount_pa/SPW_Payout_Freq,0)))),0)+IFERROR(VLOOKUP(H62,Input!$B$68:$C$74,2,0),0)*(F62=0)*(Option_PW="Y")*(Option_SPW="N")*(age+H62&gt;=Legal_Age)</f>
        <v>0</v>
      </c>
      <c r="O62" s="148">
        <f t="shared" ca="1" si="6"/>
        <v>0</v>
      </c>
      <c r="P62" s="14">
        <f ca="1">(MAX(MAX(sa-CF61*Flag_UL_Type,105%*SUM($I$7:I62))-(AD61+L62-N62)*Flag_UL_Type,0)*B62)</f>
        <v>1528281.4903879543</v>
      </c>
      <c r="Q62" s="213">
        <f t="shared" ca="1" si="46"/>
        <v>1836.7651092227666</v>
      </c>
      <c r="R62" s="14">
        <f t="shared" ca="1" si="7"/>
        <v>0</v>
      </c>
      <c r="S62" s="14">
        <f t="shared" ca="1" si="8"/>
        <v>0</v>
      </c>
      <c r="T62" s="14">
        <f>IFERROR(IF(WoP_Flag="Y",IF(fq=1,VLOOKUP(ppt*fq-H62,Charges!$AN$41:$AO$59,2,FALSE),IF(fq=2,VLOOKUP(ppt*fq-G62,Charges!$AP$41:$AQ$79,2,FALSE),VLOOKUP(ppt*fq-D62,Charges!$AR$41:$AS$279,2,FALSE)))*pr/fq,0),0)</f>
        <v>0</v>
      </c>
      <c r="U62" s="14">
        <f t="shared" ca="1" si="9"/>
        <v>0</v>
      </c>
      <c r="V62" s="34">
        <f>ROUND(MIN(IF(H62&gt;=7,Charges!$C$12*(1+Charges!$C$14)^((H62-7+1)),VLOOKUP(H62,Charges!$B$7:$C$12,2,0))*pr,Charges!$C$13)*B62,Round)</f>
        <v>450</v>
      </c>
      <c r="W62" s="14">
        <f t="shared" ca="1" si="10"/>
        <v>1469020.1267831628</v>
      </c>
      <c r="X62" s="14">
        <f t="shared" ca="1" si="11"/>
        <v>1478471.8465110867</v>
      </c>
      <c r="Y62" s="213">
        <f t="shared" ca="1" si="47"/>
        <v>1664.1860016488824</v>
      </c>
      <c r="Z62" s="14">
        <f t="shared" ca="1" si="12"/>
        <v>1476508.1070291409</v>
      </c>
      <c r="AA62" s="14">
        <f>IF(AND($H62=pt,$F62=11),SUM($K$7:K62)*VLOOKUP(pt,ROC,2,FALSE),0)</f>
        <v>0</v>
      </c>
      <c r="AB62" s="14">
        <f>IF(AND($H62=pt,$F62=11),SUM($V$7:V62)*VLOOKUP(pt,ROC,2,FALSE),0)</f>
        <v>0</v>
      </c>
      <c r="AC62" s="14">
        <f>IF(AND($H62=pt,$F62=11),SUM($Q$7:Q62)*VLOOKUP(pt,ROC,2,FALSE),0)</f>
        <v>0</v>
      </c>
      <c r="AD62" s="14">
        <f t="shared" ca="1" si="13"/>
        <v>1476508.1070291409</v>
      </c>
      <c r="AE62" s="14">
        <f ca="1">(MAX(sa-CF61*Flag_UL_Type,105%*SUM($I$7:I62),Z62)+AU62)*B62</f>
        <v>3000000</v>
      </c>
      <c r="AF62" s="136"/>
      <c r="AG62" s="18">
        <v>56</v>
      </c>
      <c r="AH62" s="30">
        <f t="shared" ca="1" si="14"/>
        <v>0</v>
      </c>
      <c r="AI62" s="138"/>
      <c r="AJ62" s="50">
        <f>IF(AND(Option_Sys_TopUp&gt;="Y",H62&gt;=sytp,H62&lt;=(dtp+sytp-1),F62=0,H62&lt;=ppt+1),atp,0)+IFERROR(VLOOKUP(H62,Input!$B$55:$C$61,2,0),0)*(F62=0)*(Option_TopUP="Y")*(Option_Sys_TopUp="N")*B62*(pt&gt;=H62+5)</f>
        <v>0</v>
      </c>
      <c r="AK62" s="50">
        <f t="shared" si="15"/>
        <v>0</v>
      </c>
      <c r="AL62" s="50">
        <f t="shared" si="48"/>
        <v>0</v>
      </c>
      <c r="AM62" s="50">
        <f t="shared" ca="1" si="49"/>
        <v>0</v>
      </c>
      <c r="AN62" s="50">
        <f ca="1">IF(B62=0,0,AT62*(_rpm1+(1+_emr1)*VLOOKUP(E62,Tab_Mort_Charge,IF(Input!$C$12="M",2,3),0))*(0.001*0.0833)*Flag_Mort_Rider_Charge*(AT62&gt;0))</f>
        <v>0</v>
      </c>
      <c r="AO62" s="50">
        <f t="shared" ca="1" si="17"/>
        <v>0</v>
      </c>
      <c r="AP62" s="50">
        <f t="shared" ca="1" si="58"/>
        <v>0</v>
      </c>
      <c r="AQ62" s="50">
        <f t="shared" ca="1" si="18"/>
        <v>0</v>
      </c>
      <c r="AR62" s="50">
        <f t="shared" ca="1" si="19"/>
        <v>0</v>
      </c>
      <c r="AS62" s="50">
        <f t="shared" si="20"/>
        <v>0</v>
      </c>
      <c r="AT62" s="50">
        <f ca="1">(MAX((MAX(AS62,105%*SUM($AJ$7:AJ62))-AM62*Flag_UL_Type),0)*B62)</f>
        <v>0</v>
      </c>
      <c r="AU62" s="50">
        <f ca="1">(MAX(AS62,AR62,105%*SUM($AJ$7:AJ62))*B62)</f>
        <v>0</v>
      </c>
      <c r="AV62" s="125"/>
      <c r="AW62" s="13"/>
      <c r="AX62" s="13"/>
      <c r="AY62" s="13"/>
      <c r="AZ62" s="13"/>
      <c r="BA62" s="13"/>
      <c r="BG62" s="51">
        <f t="shared" si="30"/>
        <v>0</v>
      </c>
      <c r="BH62" s="51">
        <f t="shared" ca="1" si="31"/>
        <v>330.61771966009798</v>
      </c>
      <c r="BI62" s="51">
        <f t="shared" ca="1" si="32"/>
        <v>0</v>
      </c>
      <c r="BJ62" s="51">
        <f t="shared" ca="1" si="33"/>
        <v>0</v>
      </c>
      <c r="BK62" s="51">
        <f t="shared" si="34"/>
        <v>81</v>
      </c>
      <c r="BL62" s="51">
        <f t="shared" ca="1" si="35"/>
        <v>299.55348029679885</v>
      </c>
      <c r="BM62" s="51">
        <f t="shared" si="36"/>
        <v>0</v>
      </c>
      <c r="BN62" s="51">
        <f t="shared" ca="1" si="37"/>
        <v>0</v>
      </c>
      <c r="BO62" s="51">
        <f t="shared" ca="1" si="38"/>
        <v>0</v>
      </c>
      <c r="BP62" s="51">
        <f t="shared" ca="1" si="39"/>
        <v>711.17119995689677</v>
      </c>
      <c r="BR62" s="32"/>
      <c r="BS62" s="126"/>
      <c r="BT62" s="16"/>
      <c r="BU62" s="58"/>
      <c r="BW62" s="51">
        <f>IF(Input!$C$13="Offline",VLOOKUP(H62,Charges!$AT$4:$AU$33,2,FALSE)*I62,0)</f>
        <v>0</v>
      </c>
      <c r="BX62" s="51">
        <f t="shared" si="40"/>
        <v>0</v>
      </c>
      <c r="BY62" s="51">
        <f t="shared" si="51"/>
        <v>0</v>
      </c>
      <c r="BZ62" s="151"/>
      <c r="CA62" s="151"/>
      <c r="CB62" s="32"/>
      <c r="CC62" s="16">
        <f ca="1">SUM($N$7:$N62)</f>
        <v>0</v>
      </c>
      <c r="CD62" s="16">
        <f t="shared" ca="1" si="41"/>
        <v>0</v>
      </c>
      <c r="CE62" s="16">
        <f t="shared" ca="1" si="42"/>
        <v>0</v>
      </c>
      <c r="CF62" s="7">
        <f t="shared" ca="1" si="43"/>
        <v>0</v>
      </c>
      <c r="CH62" s="7">
        <f t="shared" ca="1" si="44"/>
        <v>0</v>
      </c>
    </row>
    <row r="63" spans="2:86" s="7" customFormat="1" x14ac:dyDescent="0.2">
      <c r="B63" s="14">
        <f t="shared" si="0"/>
        <v>1</v>
      </c>
      <c r="C63" s="12">
        <f t="shared" si="1"/>
        <v>1</v>
      </c>
      <c r="D63" s="17">
        <f t="shared" si="52"/>
        <v>57</v>
      </c>
      <c r="E63" s="17">
        <f t="shared" ca="1" si="2"/>
        <v>64</v>
      </c>
      <c r="F63" s="12">
        <f t="shared" si="56"/>
        <v>8</v>
      </c>
      <c r="G63" s="12">
        <f t="shared" si="55"/>
        <v>10</v>
      </c>
      <c r="H63" s="17">
        <f t="shared" si="57"/>
        <v>5</v>
      </c>
      <c r="I63" s="29">
        <f t="shared" si="45"/>
        <v>0</v>
      </c>
      <c r="J63" s="211">
        <f>IFERROR(VLOOKUP(H63,Charges!$T$6:$U$35,2,0)*C63,0)</f>
        <v>0.97</v>
      </c>
      <c r="K63" s="29">
        <f t="shared" si="3"/>
        <v>0</v>
      </c>
      <c r="L63" s="29">
        <f t="shared" si="4"/>
        <v>0</v>
      </c>
      <c r="M63" s="147">
        <f t="shared" ca="1" si="5"/>
        <v>0</v>
      </c>
      <c r="N63" s="148">
        <f ca="1">IF(AND(Option_SPW="Y",H63&gt;=Lock_In_Period,Z62&gt;SPW_Amount_pa+IF(option="Single",1/5*pr,2*pr),H63&gt;=SPW_Start_Year,H63&lt;=SPW_Start_Year+SPW_Duration-1,age+H63&gt;=Legal_Age),IF(AND(F63=0,SPW_Payout_Freq=1),SPW_Amount_pa,IF(AND(SPW_Payout_Freq=2,MOD(F63,6)=0),SPW_Amount_pa/SPW_Payout_Freq,IF(AND(SPW_Payout_Freq=4,MOD(F63,3)=0),SPW_Amount_pa/SPW_Payout_Freq,IF(SPW_Payout_Freq=12,SPW_Amount_pa/SPW_Payout_Freq,0)))),0)+IFERROR(VLOOKUP(H63,Input!$B$68:$C$74,2,0),0)*(F63=0)*(Option_PW="Y")*(Option_SPW="N")*(age+H63&gt;=Legal_Age)</f>
        <v>0</v>
      </c>
      <c r="O63" s="148">
        <f t="shared" ca="1" si="6"/>
        <v>0</v>
      </c>
      <c r="P63" s="14">
        <f ca="1">(MAX(MAX(sa-CF62*Flag_UL_Type,105%*SUM($I$7:I63))-(AD62+L63-N63)*Flag_UL_Type,0)*B63)</f>
        <v>1523491.8929708591</v>
      </c>
      <c r="Q63" s="213">
        <f t="shared" ca="1" si="46"/>
        <v>1831.0087315670248</v>
      </c>
      <c r="R63" s="14">
        <f t="shared" ca="1" si="7"/>
        <v>0</v>
      </c>
      <c r="S63" s="14">
        <f t="shared" ca="1" si="8"/>
        <v>0</v>
      </c>
      <c r="T63" s="14">
        <f>IFERROR(IF(WoP_Flag="Y",IF(fq=1,VLOOKUP(ppt*fq-H63,Charges!$AN$41:$AO$59,2,FALSE),IF(fq=2,VLOOKUP(ppt*fq-G63,Charges!$AP$41:$AQ$79,2,FALSE),VLOOKUP(ppt*fq-D63,Charges!$AR$41:$AS$279,2,FALSE)))*pr/fq,0),0)</f>
        <v>0</v>
      </c>
      <c r="U63" s="14">
        <f t="shared" ca="1" si="9"/>
        <v>0</v>
      </c>
      <c r="V63" s="34">
        <f>ROUND(MIN(IF(H63&gt;=7,Charges!$C$12*(1+Charges!$C$14)^((H63-7+1)),VLOOKUP(H63,Charges!$B$7:$C$12,2,0))*pr,Charges!$C$13)*B63,Round)</f>
        <v>450</v>
      </c>
      <c r="W63" s="14">
        <f t="shared" ca="1" si="10"/>
        <v>1473816.5167258917</v>
      </c>
      <c r="X63" s="14">
        <f t="shared" ca="1" si="11"/>
        <v>1483299.0965711265</v>
      </c>
      <c r="Y63" s="213">
        <f t="shared" ca="1" si="47"/>
        <v>1669.6196133847666</v>
      </c>
      <c r="Z63" s="14">
        <f t="shared" ca="1" si="12"/>
        <v>1481328.9454273325</v>
      </c>
      <c r="AA63" s="14">
        <f>IF(AND($H63=pt,$F63=11),SUM($K$7:K63)*VLOOKUP(pt,ROC,2,FALSE),0)</f>
        <v>0</v>
      </c>
      <c r="AB63" s="14">
        <f>IF(AND($H63=pt,$F63=11),SUM($V$7:V63)*VLOOKUP(pt,ROC,2,FALSE),0)</f>
        <v>0</v>
      </c>
      <c r="AC63" s="14">
        <f>IF(AND($H63=pt,$F63=11),SUM($Q$7:Q63)*VLOOKUP(pt,ROC,2,FALSE),0)</f>
        <v>0</v>
      </c>
      <c r="AD63" s="14">
        <f t="shared" ca="1" si="13"/>
        <v>1481328.9454273325</v>
      </c>
      <c r="AE63" s="14">
        <f ca="1">(MAX(sa-CF62*Flag_UL_Type,105%*SUM($I$7:I63),Z63)+AU63)*B63</f>
        <v>3000000</v>
      </c>
      <c r="AF63" s="136"/>
      <c r="AG63" s="18">
        <v>57</v>
      </c>
      <c r="AH63" s="30">
        <f t="shared" ca="1" si="14"/>
        <v>0</v>
      </c>
      <c r="AI63" s="138"/>
      <c r="AJ63" s="50">
        <f>IF(AND(Option_Sys_TopUp&gt;="Y",H63&gt;=sytp,H63&lt;=(dtp+sytp-1),F63=0,H63&lt;=ppt+1),atp,0)+IFERROR(VLOOKUP(H63,Input!$B$55:$C$61,2,0),0)*(F63=0)*(Option_TopUP="Y")*(Option_Sys_TopUp="N")*B63*(pt&gt;=H63+5)</f>
        <v>0</v>
      </c>
      <c r="AK63" s="50">
        <f t="shared" si="15"/>
        <v>0</v>
      </c>
      <c r="AL63" s="50">
        <f t="shared" si="48"/>
        <v>0</v>
      </c>
      <c r="AM63" s="50">
        <f t="shared" ca="1" si="49"/>
        <v>0</v>
      </c>
      <c r="AN63" s="50">
        <f ca="1">IF(B63=0,0,AT63*(_rpm1+(1+_emr1)*VLOOKUP(E63,Tab_Mort_Charge,IF(Input!$C$12="M",2,3),0))*(0.001*0.0833)*Flag_Mort_Rider_Charge*(AT63&gt;0))</f>
        <v>0</v>
      </c>
      <c r="AO63" s="50">
        <f t="shared" ca="1" si="17"/>
        <v>0</v>
      </c>
      <c r="AP63" s="50">
        <f t="shared" ca="1" si="58"/>
        <v>0</v>
      </c>
      <c r="AQ63" s="50">
        <f t="shared" ca="1" si="18"/>
        <v>0</v>
      </c>
      <c r="AR63" s="50">
        <f t="shared" ca="1" si="19"/>
        <v>0</v>
      </c>
      <c r="AS63" s="50">
        <f t="shared" si="20"/>
        <v>0</v>
      </c>
      <c r="AT63" s="50">
        <f ca="1">(MAX((MAX(AS63,105%*SUM($AJ$7:AJ63))-AM63*Flag_UL_Type),0)*B63)</f>
        <v>0</v>
      </c>
      <c r="AU63" s="50">
        <f ca="1">(MAX(AS63,AR63,105%*SUM($AJ$7:AJ63))*B63)</f>
        <v>0</v>
      </c>
      <c r="AV63" s="125"/>
      <c r="AW63" s="13"/>
      <c r="AX63" s="13"/>
      <c r="AY63" s="13"/>
      <c r="AZ63" s="13"/>
      <c r="BA63" s="13"/>
      <c r="BG63" s="51">
        <f t="shared" si="30"/>
        <v>0</v>
      </c>
      <c r="BH63" s="51">
        <f t="shared" ca="1" si="31"/>
        <v>329.58157168206401</v>
      </c>
      <c r="BI63" s="51">
        <f t="shared" ca="1" si="32"/>
        <v>0</v>
      </c>
      <c r="BJ63" s="51">
        <f t="shared" ca="1" si="33"/>
        <v>0</v>
      </c>
      <c r="BK63" s="51">
        <f t="shared" si="34"/>
        <v>81</v>
      </c>
      <c r="BL63" s="51">
        <f t="shared" ca="1" si="35"/>
        <v>300.53153040925798</v>
      </c>
      <c r="BM63" s="51">
        <f t="shared" si="36"/>
        <v>0</v>
      </c>
      <c r="BN63" s="51">
        <f t="shared" ca="1" si="37"/>
        <v>0</v>
      </c>
      <c r="BO63" s="51">
        <f t="shared" ca="1" si="38"/>
        <v>0</v>
      </c>
      <c r="BP63" s="51">
        <f t="shared" ca="1" si="39"/>
        <v>711.11310209132193</v>
      </c>
      <c r="BR63" s="32"/>
      <c r="BS63" s="126"/>
      <c r="BT63" s="16"/>
      <c r="BU63" s="58"/>
      <c r="BW63" s="51">
        <f>IF(Input!$C$13="Offline",VLOOKUP(H63,Charges!$AT$4:$AU$33,2,FALSE)*I63,0)</f>
        <v>0</v>
      </c>
      <c r="BX63" s="51">
        <f t="shared" si="40"/>
        <v>0</v>
      </c>
      <c r="BY63" s="51">
        <f t="shared" si="51"/>
        <v>0</v>
      </c>
      <c r="BZ63" s="151"/>
      <c r="CA63" s="151"/>
      <c r="CB63" s="32"/>
      <c r="CC63" s="16">
        <f ca="1">SUM($N$7:$N63)</f>
        <v>0</v>
      </c>
      <c r="CD63" s="16">
        <f t="shared" ca="1" si="41"/>
        <v>0</v>
      </c>
      <c r="CE63" s="16">
        <f t="shared" ca="1" si="42"/>
        <v>0</v>
      </c>
      <c r="CF63" s="7">
        <f t="shared" ca="1" si="43"/>
        <v>0</v>
      </c>
      <c r="CH63" s="7">
        <f t="shared" ca="1" si="44"/>
        <v>0</v>
      </c>
    </row>
    <row r="64" spans="2:86" s="7" customFormat="1" x14ac:dyDescent="0.2">
      <c r="B64" s="14">
        <f t="shared" si="0"/>
        <v>1</v>
      </c>
      <c r="C64" s="12">
        <f t="shared" si="1"/>
        <v>1</v>
      </c>
      <c r="D64" s="17">
        <f t="shared" si="52"/>
        <v>58</v>
      </c>
      <c r="E64" s="17">
        <f t="shared" ca="1" si="2"/>
        <v>64</v>
      </c>
      <c r="F64" s="12">
        <f t="shared" si="56"/>
        <v>9</v>
      </c>
      <c r="G64" s="12">
        <f t="shared" si="55"/>
        <v>10</v>
      </c>
      <c r="H64" s="17">
        <f t="shared" si="57"/>
        <v>5</v>
      </c>
      <c r="I64" s="29">
        <f t="shared" si="45"/>
        <v>0</v>
      </c>
      <c r="J64" s="211">
        <f>IFERROR(VLOOKUP(H64,Charges!$T$6:$U$35,2,0)*C64,0)</f>
        <v>0.97</v>
      </c>
      <c r="K64" s="29">
        <f t="shared" si="3"/>
        <v>0</v>
      </c>
      <c r="L64" s="29">
        <f t="shared" si="4"/>
        <v>0</v>
      </c>
      <c r="M64" s="147">
        <f t="shared" ca="1" si="5"/>
        <v>0</v>
      </c>
      <c r="N64" s="148">
        <f ca="1">IF(AND(Option_SPW="Y",H64&gt;=Lock_In_Period,Z63&gt;SPW_Amount_pa+IF(option="Single",1/5*pr,2*pr),H64&gt;=SPW_Start_Year,H64&lt;=SPW_Start_Year+SPW_Duration-1,age+H64&gt;=Legal_Age),IF(AND(F64=0,SPW_Payout_Freq=1),SPW_Amount_pa,IF(AND(SPW_Payout_Freq=2,MOD(F64,6)=0),SPW_Amount_pa/SPW_Payout_Freq,IF(AND(SPW_Payout_Freq=4,MOD(F64,3)=0),SPW_Amount_pa/SPW_Payout_Freq,IF(SPW_Payout_Freq=12,SPW_Amount_pa/SPW_Payout_Freq,0)))),0)+IFERROR(VLOOKUP(H64,Input!$B$68:$C$74,2,0),0)*(F64=0)*(Option_PW="Y")*(Option_SPW="N")*(age+H64&gt;=Legal_Age)</f>
        <v>0</v>
      </c>
      <c r="O64" s="148">
        <f t="shared" ca="1" si="6"/>
        <v>0</v>
      </c>
      <c r="P64" s="14">
        <f ca="1">(MAX(MAX(sa-CF63*Flag_UL_Type,105%*SUM($I$7:I64))-(AD63+L64-N64)*Flag_UL_Type,0)*B64)</f>
        <v>1518671.0545726675</v>
      </c>
      <c r="Q64" s="213">
        <f t="shared" ca="1" si="46"/>
        <v>1825.2148069381583</v>
      </c>
      <c r="R64" s="14">
        <f t="shared" ca="1" si="7"/>
        <v>0</v>
      </c>
      <c r="S64" s="14">
        <f t="shared" ca="1" si="8"/>
        <v>0</v>
      </c>
      <c r="T64" s="14">
        <f>IFERROR(IF(WoP_Flag="Y",IF(fq=1,VLOOKUP(ppt*fq-H64,Charges!$AN$41:$AO$59,2,FALSE),IF(fq=2,VLOOKUP(ppt*fq-G64,Charges!$AP$41:$AQ$79,2,FALSE),VLOOKUP(ppt*fq-D64,Charges!$AR$41:$AS$279,2,FALSE)))*pr/fq,0),0)</f>
        <v>0</v>
      </c>
      <c r="U64" s="14">
        <f t="shared" ca="1" si="9"/>
        <v>0</v>
      </c>
      <c r="V64" s="34">
        <f>ROUND(MIN(IF(H64&gt;=7,Charges!$C$12*(1+Charges!$C$14)^((H64-7+1)),VLOOKUP(H64,Charges!$B$7:$C$12,2,0))*pr,Charges!$C$13)*B64,Round)</f>
        <v>450</v>
      </c>
      <c r="W64" s="14">
        <f t="shared" ca="1" si="10"/>
        <v>1478644.1919551454</v>
      </c>
      <c r="X64" s="14">
        <f t="shared" ca="1" si="11"/>
        <v>1488157.8332081665</v>
      </c>
      <c r="Y64" s="213">
        <f t="shared" ca="1" si="47"/>
        <v>1675.0886667970053</v>
      </c>
      <c r="Z64" s="14">
        <f t="shared" ca="1" si="12"/>
        <v>1486181.2285813461</v>
      </c>
      <c r="AA64" s="14">
        <f>IF(AND($H64=pt,$F64=11),SUM($K$7:K64)*VLOOKUP(pt,ROC,2,FALSE),0)</f>
        <v>0</v>
      </c>
      <c r="AB64" s="14">
        <f>IF(AND($H64=pt,$F64=11),SUM($V$7:V64)*VLOOKUP(pt,ROC,2,FALSE),0)</f>
        <v>0</v>
      </c>
      <c r="AC64" s="14">
        <f>IF(AND($H64=pt,$F64=11),SUM($Q$7:Q64)*VLOOKUP(pt,ROC,2,FALSE),0)</f>
        <v>0</v>
      </c>
      <c r="AD64" s="14">
        <f t="shared" ca="1" si="13"/>
        <v>1486181.2285813461</v>
      </c>
      <c r="AE64" s="14">
        <f ca="1">(MAX(sa-CF63*Flag_UL_Type,105%*SUM($I$7:I64),Z64)+AU64)*B64</f>
        <v>3000000</v>
      </c>
      <c r="AF64" s="136"/>
      <c r="AG64" s="18">
        <v>58</v>
      </c>
      <c r="AH64" s="30">
        <f t="shared" ca="1" si="14"/>
        <v>0</v>
      </c>
      <c r="AI64" s="138"/>
      <c r="AJ64" s="50">
        <f>IF(AND(Option_Sys_TopUp&gt;="Y",H64&gt;=sytp,H64&lt;=(dtp+sytp-1),F64=0,H64&lt;=ppt+1),atp,0)+IFERROR(VLOOKUP(H64,Input!$B$55:$C$61,2,0),0)*(F64=0)*(Option_TopUP="Y")*(Option_Sys_TopUp="N")*B64*(pt&gt;=H64+5)</f>
        <v>0</v>
      </c>
      <c r="AK64" s="50">
        <f t="shared" si="15"/>
        <v>0</v>
      </c>
      <c r="AL64" s="50">
        <f t="shared" si="48"/>
        <v>0</v>
      </c>
      <c r="AM64" s="50">
        <f t="shared" ca="1" si="49"/>
        <v>0</v>
      </c>
      <c r="AN64" s="50">
        <f ca="1">IF(B64=0,0,AT64*(_rpm1+(1+_emr1)*VLOOKUP(E64,Tab_Mort_Charge,IF(Input!$C$12="M",2,3),0))*(0.001*0.0833)*Flag_Mort_Rider_Charge*(AT64&gt;0))</f>
        <v>0</v>
      </c>
      <c r="AO64" s="50">
        <f t="shared" ca="1" si="17"/>
        <v>0</v>
      </c>
      <c r="AP64" s="50">
        <f t="shared" ca="1" si="58"/>
        <v>0</v>
      </c>
      <c r="AQ64" s="50">
        <f t="shared" ca="1" si="18"/>
        <v>0</v>
      </c>
      <c r="AR64" s="50">
        <f t="shared" ca="1" si="19"/>
        <v>0</v>
      </c>
      <c r="AS64" s="50">
        <f t="shared" si="20"/>
        <v>0</v>
      </c>
      <c r="AT64" s="50">
        <f ca="1">(MAX((MAX(AS64,105%*SUM($AJ$7:AJ64))-AM64*Flag_UL_Type),0)*B64)</f>
        <v>0</v>
      </c>
      <c r="AU64" s="50">
        <f ca="1">(MAX(AS64,AR64,105%*SUM($AJ$7:AJ64))*B64)</f>
        <v>0</v>
      </c>
      <c r="AV64" s="125"/>
      <c r="AW64" s="13"/>
      <c r="AX64" s="13"/>
      <c r="AY64" s="13"/>
      <c r="AZ64" s="13"/>
      <c r="BA64" s="13"/>
      <c r="BG64" s="51">
        <f t="shared" si="30"/>
        <v>0</v>
      </c>
      <c r="BH64" s="51">
        <f t="shared" ca="1" si="31"/>
        <v>328.53866524886803</v>
      </c>
      <c r="BI64" s="51">
        <f t="shared" ca="1" si="32"/>
        <v>0</v>
      </c>
      <c r="BJ64" s="51">
        <f t="shared" ca="1" si="33"/>
        <v>0</v>
      </c>
      <c r="BK64" s="51">
        <f t="shared" si="34"/>
        <v>81</v>
      </c>
      <c r="BL64" s="51">
        <f t="shared" ca="1" si="35"/>
        <v>301.51596002346093</v>
      </c>
      <c r="BM64" s="51">
        <f t="shared" si="36"/>
        <v>0</v>
      </c>
      <c r="BN64" s="51">
        <f t="shared" ca="1" si="37"/>
        <v>0</v>
      </c>
      <c r="BO64" s="51">
        <f t="shared" ca="1" si="38"/>
        <v>0</v>
      </c>
      <c r="BP64" s="51">
        <f t="shared" ca="1" si="39"/>
        <v>711.05462527232896</v>
      </c>
      <c r="BR64" s="32"/>
      <c r="BS64" s="126"/>
      <c r="BT64" s="16"/>
      <c r="BU64" s="58"/>
      <c r="BW64" s="51">
        <f>IF(Input!$C$13="Offline",VLOOKUP(H64,Charges!$AT$4:$AU$33,2,FALSE)*I64,0)</f>
        <v>0</v>
      </c>
      <c r="BX64" s="51">
        <f t="shared" si="40"/>
        <v>0</v>
      </c>
      <c r="BY64" s="51">
        <f t="shared" si="51"/>
        <v>0</v>
      </c>
      <c r="BZ64" s="151"/>
      <c r="CA64" s="151"/>
      <c r="CB64" s="32"/>
      <c r="CC64" s="16">
        <f ca="1">SUM($N$7:$N64)</f>
        <v>0</v>
      </c>
      <c r="CD64" s="16">
        <f t="shared" ca="1" si="41"/>
        <v>0</v>
      </c>
      <c r="CE64" s="16">
        <f t="shared" ca="1" si="42"/>
        <v>0</v>
      </c>
      <c r="CF64" s="7">
        <f t="shared" ca="1" si="43"/>
        <v>0</v>
      </c>
      <c r="CH64" s="7">
        <f t="shared" ca="1" si="44"/>
        <v>0</v>
      </c>
    </row>
    <row r="65" spans="2:86" s="7" customFormat="1" x14ac:dyDescent="0.2">
      <c r="B65" s="14">
        <f t="shared" si="0"/>
        <v>1</v>
      </c>
      <c r="C65" s="12">
        <f t="shared" si="1"/>
        <v>1</v>
      </c>
      <c r="D65" s="17">
        <f t="shared" si="52"/>
        <v>59</v>
      </c>
      <c r="E65" s="17">
        <f t="shared" ca="1" si="2"/>
        <v>64</v>
      </c>
      <c r="F65" s="12">
        <f t="shared" si="56"/>
        <v>10</v>
      </c>
      <c r="G65" s="12">
        <f t="shared" si="55"/>
        <v>10</v>
      </c>
      <c r="H65" s="17">
        <f t="shared" si="57"/>
        <v>5</v>
      </c>
      <c r="I65" s="29">
        <f t="shared" si="45"/>
        <v>0</v>
      </c>
      <c r="J65" s="211">
        <f>IFERROR(VLOOKUP(H65,Charges!$T$6:$U$35,2,0)*C65,0)</f>
        <v>0.97</v>
      </c>
      <c r="K65" s="29">
        <f t="shared" si="3"/>
        <v>0</v>
      </c>
      <c r="L65" s="29">
        <f t="shared" si="4"/>
        <v>0</v>
      </c>
      <c r="M65" s="147">
        <f t="shared" ca="1" si="5"/>
        <v>0</v>
      </c>
      <c r="N65" s="148">
        <f ca="1">IF(AND(Option_SPW="Y",H65&gt;=Lock_In_Period,Z64&gt;SPW_Amount_pa+IF(option="Single",1/5*pr,2*pr),H65&gt;=SPW_Start_Year,H65&lt;=SPW_Start_Year+SPW_Duration-1,age+H65&gt;=Legal_Age),IF(AND(F65=0,SPW_Payout_Freq=1),SPW_Amount_pa,IF(AND(SPW_Payout_Freq=2,MOD(F65,6)=0),SPW_Amount_pa/SPW_Payout_Freq,IF(AND(SPW_Payout_Freq=4,MOD(F65,3)=0),SPW_Amount_pa/SPW_Payout_Freq,IF(SPW_Payout_Freq=12,SPW_Amount_pa/SPW_Payout_Freq,0)))),0)+IFERROR(VLOOKUP(H65,Input!$B$68:$C$74,2,0),0)*(F65=0)*(Option_PW="Y")*(Option_SPW="N")*(age+H65&gt;=Legal_Age)</f>
        <v>0</v>
      </c>
      <c r="O65" s="148">
        <f t="shared" ca="1" si="6"/>
        <v>0</v>
      </c>
      <c r="P65" s="14">
        <f ca="1">(MAX(MAX(sa-CF64*Flag_UL_Type,105%*SUM($I$7:I65))-(AD64+L65-N65)*Flag_UL_Type,0)*B65)</f>
        <v>1513818.7714186539</v>
      </c>
      <c r="Q65" s="213">
        <f t="shared" ca="1" si="46"/>
        <v>1819.3830904295085</v>
      </c>
      <c r="R65" s="14">
        <f t="shared" ca="1" si="7"/>
        <v>0</v>
      </c>
      <c r="S65" s="14">
        <f t="shared" ca="1" si="8"/>
        <v>0</v>
      </c>
      <c r="T65" s="14">
        <f>IFERROR(IF(WoP_Flag="Y",IF(fq=1,VLOOKUP(ppt*fq-H65,Charges!$AN$41:$AO$59,2,FALSE),IF(fq=2,VLOOKUP(ppt*fq-G65,Charges!$AP$41:$AQ$79,2,FALSE),VLOOKUP(ppt*fq-D65,Charges!$AR$41:$AS$279,2,FALSE)))*pr/fq,0),0)</f>
        <v>0</v>
      </c>
      <c r="U65" s="14">
        <f t="shared" ca="1" si="9"/>
        <v>0</v>
      </c>
      <c r="V65" s="34">
        <f>ROUND(MIN(IF(H65&gt;=7,Charges!$C$12*(1+Charges!$C$14)^((H65-7+1)),VLOOKUP(H65,Charges!$B$7:$C$12,2,0))*pr,Charges!$C$13)*B65,Round)</f>
        <v>450</v>
      </c>
      <c r="W65" s="14">
        <f t="shared" ca="1" si="10"/>
        <v>1483503.3565346394</v>
      </c>
      <c r="X65" s="14">
        <f t="shared" ca="1" si="11"/>
        <v>1493048.2617988745</v>
      </c>
      <c r="Y65" s="213">
        <f t="shared" ca="1" si="47"/>
        <v>1680.5933930600893</v>
      </c>
      <c r="Z65" s="14">
        <f t="shared" ca="1" si="12"/>
        <v>1491065.1615950635</v>
      </c>
      <c r="AA65" s="14">
        <f>IF(AND($H65=pt,$F65=11),SUM($K$7:K65)*VLOOKUP(pt,ROC,2,FALSE),0)</f>
        <v>0</v>
      </c>
      <c r="AB65" s="14">
        <f>IF(AND($H65=pt,$F65=11),SUM($V$7:V65)*VLOOKUP(pt,ROC,2,FALSE),0)</f>
        <v>0</v>
      </c>
      <c r="AC65" s="14">
        <f>IF(AND($H65=pt,$F65=11),SUM($Q$7:Q65)*VLOOKUP(pt,ROC,2,FALSE),0)</f>
        <v>0</v>
      </c>
      <c r="AD65" s="14">
        <f t="shared" ca="1" si="13"/>
        <v>1491065.1615950635</v>
      </c>
      <c r="AE65" s="14">
        <f ca="1">(MAX(sa-CF64*Flag_UL_Type,105%*SUM($I$7:I65),Z65)+AU65)*B65</f>
        <v>3000000</v>
      </c>
      <c r="AF65" s="136"/>
      <c r="AG65" s="18">
        <v>59</v>
      </c>
      <c r="AH65" s="30">
        <f t="shared" ca="1" si="14"/>
        <v>0</v>
      </c>
      <c r="AI65" s="138"/>
      <c r="AJ65" s="50">
        <f>IF(AND(Option_Sys_TopUp&gt;="Y",H65&gt;=sytp,H65&lt;=(dtp+sytp-1),F65=0,H65&lt;=ppt+1),atp,0)+IFERROR(VLOOKUP(H65,Input!$B$55:$C$61,2,0),0)*(F65=0)*(Option_TopUP="Y")*(Option_Sys_TopUp="N")*B65*(pt&gt;=H65+5)</f>
        <v>0</v>
      </c>
      <c r="AK65" s="50">
        <f t="shared" si="15"/>
        <v>0</v>
      </c>
      <c r="AL65" s="50">
        <f t="shared" si="48"/>
        <v>0</v>
      </c>
      <c r="AM65" s="50">
        <f t="shared" ca="1" si="49"/>
        <v>0</v>
      </c>
      <c r="AN65" s="50">
        <f ca="1">IF(B65=0,0,AT65*(_rpm1+(1+_emr1)*VLOOKUP(E65,Tab_Mort_Charge,IF(Input!$C$12="M",2,3),0))*(0.001*0.0833)*Flag_Mort_Rider_Charge*(AT65&gt;0))</f>
        <v>0</v>
      </c>
      <c r="AO65" s="50">
        <f t="shared" ca="1" si="17"/>
        <v>0</v>
      </c>
      <c r="AP65" s="50">
        <f t="shared" ca="1" si="58"/>
        <v>0</v>
      </c>
      <c r="AQ65" s="50">
        <f t="shared" ca="1" si="18"/>
        <v>0</v>
      </c>
      <c r="AR65" s="50">
        <f t="shared" ca="1" si="19"/>
        <v>0</v>
      </c>
      <c r="AS65" s="50">
        <f t="shared" si="20"/>
        <v>0</v>
      </c>
      <c r="AT65" s="50">
        <f ca="1">(MAX((MAX(AS65,105%*SUM($AJ$7:AJ65))-AM65*Flag_UL_Type),0)*B65)</f>
        <v>0</v>
      </c>
      <c r="AU65" s="50">
        <f ca="1">(MAX(AS65,AR65,105%*SUM($AJ$7:AJ65))*B65)</f>
        <v>0</v>
      </c>
      <c r="AV65" s="125"/>
      <c r="AW65" s="13"/>
      <c r="AX65" s="13"/>
      <c r="AY65" s="13"/>
      <c r="AZ65" s="13"/>
      <c r="BA65" s="13"/>
      <c r="BG65" s="51">
        <f t="shared" si="30"/>
        <v>0</v>
      </c>
      <c r="BH65" s="51">
        <f t="shared" ca="1" si="31"/>
        <v>327.48895627731201</v>
      </c>
      <c r="BI65" s="51">
        <f t="shared" ca="1" si="32"/>
        <v>0</v>
      </c>
      <c r="BJ65" s="51">
        <f t="shared" ca="1" si="33"/>
        <v>0</v>
      </c>
      <c r="BK65" s="51">
        <f t="shared" si="34"/>
        <v>81</v>
      </c>
      <c r="BL65" s="51">
        <f t="shared" ca="1" si="35"/>
        <v>302.50681075081604</v>
      </c>
      <c r="BM65" s="51">
        <f t="shared" si="36"/>
        <v>0</v>
      </c>
      <c r="BN65" s="51">
        <f t="shared" ca="1" si="37"/>
        <v>0</v>
      </c>
      <c r="BO65" s="51">
        <f t="shared" ca="1" si="38"/>
        <v>0</v>
      </c>
      <c r="BP65" s="51">
        <f t="shared" ca="1" si="39"/>
        <v>710.99576702812806</v>
      </c>
      <c r="BR65" s="32"/>
      <c r="BS65" s="126"/>
      <c r="BT65" s="16"/>
      <c r="BU65" s="58"/>
      <c r="BW65" s="51">
        <f>IF(Input!$C$13="Offline",VLOOKUP(H65,Charges!$AT$4:$AU$33,2,FALSE)*I65,0)</f>
        <v>0</v>
      </c>
      <c r="BX65" s="51">
        <f t="shared" si="40"/>
        <v>0</v>
      </c>
      <c r="BY65" s="51">
        <f t="shared" si="51"/>
        <v>0</v>
      </c>
      <c r="BZ65" s="151"/>
      <c r="CA65" s="151"/>
      <c r="CB65" s="32"/>
      <c r="CC65" s="16">
        <f ca="1">SUM($N$7:$N65)</f>
        <v>0</v>
      </c>
      <c r="CD65" s="16">
        <f t="shared" ca="1" si="41"/>
        <v>0</v>
      </c>
      <c r="CE65" s="16">
        <f t="shared" ca="1" si="42"/>
        <v>0</v>
      </c>
      <c r="CF65" s="7">
        <f t="shared" ca="1" si="43"/>
        <v>0</v>
      </c>
      <c r="CH65" s="7">
        <f t="shared" ca="1" si="44"/>
        <v>0</v>
      </c>
    </row>
    <row r="66" spans="2:86" s="7" customFormat="1" x14ac:dyDescent="0.2">
      <c r="B66" s="14">
        <f t="shared" si="0"/>
        <v>1</v>
      </c>
      <c r="C66" s="12">
        <f t="shared" si="1"/>
        <v>1</v>
      </c>
      <c r="D66" s="17">
        <f t="shared" si="52"/>
        <v>60</v>
      </c>
      <c r="E66" s="17">
        <f t="shared" ca="1" si="2"/>
        <v>64</v>
      </c>
      <c r="F66" s="12">
        <f t="shared" si="56"/>
        <v>11</v>
      </c>
      <c r="G66" s="12">
        <f t="shared" si="55"/>
        <v>10</v>
      </c>
      <c r="H66" s="17">
        <f t="shared" si="57"/>
        <v>5</v>
      </c>
      <c r="I66" s="29">
        <f t="shared" si="45"/>
        <v>0</v>
      </c>
      <c r="J66" s="211">
        <f>IFERROR(VLOOKUP(H66,Charges!$T$6:$U$35,2,0)*C66,0)</f>
        <v>0.97</v>
      </c>
      <c r="K66" s="29">
        <f t="shared" si="3"/>
        <v>0</v>
      </c>
      <c r="L66" s="29">
        <f t="shared" si="4"/>
        <v>0</v>
      </c>
      <c r="M66" s="147">
        <f t="shared" ca="1" si="5"/>
        <v>0</v>
      </c>
      <c r="N66" s="148">
        <f ca="1">IF(AND(Option_SPW="Y",H66&gt;=Lock_In_Period,Z65&gt;SPW_Amount_pa+IF(option="Single",1/5*pr,2*pr),H66&gt;=SPW_Start_Year,H66&lt;=SPW_Start_Year+SPW_Duration-1,age+H66&gt;=Legal_Age),IF(AND(F66=0,SPW_Payout_Freq=1),SPW_Amount_pa,IF(AND(SPW_Payout_Freq=2,MOD(F66,6)=0),SPW_Amount_pa/SPW_Payout_Freq,IF(AND(SPW_Payout_Freq=4,MOD(F66,3)=0),SPW_Amount_pa/SPW_Payout_Freq,IF(SPW_Payout_Freq=12,SPW_Amount_pa/SPW_Payout_Freq,0)))),0)+IFERROR(VLOOKUP(H66,Input!$B$68:$C$74,2,0),0)*(F66=0)*(Option_PW="Y")*(Option_SPW="N")*(age+H66&gt;=Legal_Age)</f>
        <v>0</v>
      </c>
      <c r="O66" s="148">
        <f t="shared" ca="1" si="6"/>
        <v>0</v>
      </c>
      <c r="P66" s="14">
        <f ca="1">(MAX(MAX(sa-CF65*Flag_UL_Type,105%*SUM($I$7:I66))-(AD65+L66-N66)*Flag_UL_Type,0)*B66)</f>
        <v>1508934.8384049365</v>
      </c>
      <c r="Q66" s="213">
        <f t="shared" ca="1" si="46"/>
        <v>1813.5133355369751</v>
      </c>
      <c r="R66" s="14">
        <f t="shared" ca="1" si="7"/>
        <v>0</v>
      </c>
      <c r="S66" s="14">
        <f t="shared" ca="1" si="8"/>
        <v>0</v>
      </c>
      <c r="T66" s="14">
        <f>IFERROR(IF(WoP_Flag="Y",IF(fq=1,VLOOKUP(ppt*fq-H66,Charges!$AN$41:$AO$59,2,FALSE),IF(fq=2,VLOOKUP(ppt*fq-G66,Charges!$AP$41:$AQ$79,2,FALSE),VLOOKUP(ppt*fq-D66,Charges!$AR$41:$AS$279,2,FALSE)))*pr/fq,0),0)</f>
        <v>0</v>
      </c>
      <c r="U66" s="14">
        <f t="shared" ca="1" si="9"/>
        <v>0</v>
      </c>
      <c r="V66" s="34">
        <f>ROUND(MIN(IF(H66&gt;=7,Charges!$C$12*(1+Charges!$C$14)^((H66-7+1)),VLOOKUP(H66,Charges!$B$7:$C$12,2,0))*pr,Charges!$C$13)*B66,Round)</f>
        <v>450</v>
      </c>
      <c r="W66" s="14">
        <f t="shared" ca="1" si="10"/>
        <v>1488394.2158591298</v>
      </c>
      <c r="X66" s="14">
        <f t="shared" ca="1" si="11"/>
        <v>1497970.5890595224</v>
      </c>
      <c r="Y66" s="213">
        <f t="shared" ca="1" si="47"/>
        <v>1686.1340248563833</v>
      </c>
      <c r="Z66" s="14">
        <f t="shared" ca="1" si="12"/>
        <v>1495980.9509101918</v>
      </c>
      <c r="AA66" s="14">
        <f>IF(AND($H66=pt,$F66=11),SUM($K$7:K66)*VLOOKUP(pt,ROC,2,FALSE),0)</f>
        <v>0</v>
      </c>
      <c r="AB66" s="14">
        <f>IF(AND($H66=pt,$F66=11),SUM($V$7:V66)*VLOOKUP(pt,ROC,2,FALSE),0)</f>
        <v>0</v>
      </c>
      <c r="AC66" s="14">
        <f>IF(AND($H66=pt,$F66=11),SUM($Q$7:Q66)*VLOOKUP(pt,ROC,2,FALSE),0)</f>
        <v>0</v>
      </c>
      <c r="AD66" s="14">
        <f t="shared" ca="1" si="13"/>
        <v>1495980.9509101918</v>
      </c>
      <c r="AE66" s="14">
        <f ca="1">(MAX(sa-CF65*Flag_UL_Type,105%*SUM($I$7:I66),Z66)+AU66)*B66</f>
        <v>3000000</v>
      </c>
      <c r="AF66" s="136"/>
      <c r="AG66" s="18">
        <v>60</v>
      </c>
      <c r="AH66" s="30">
        <f t="shared" ca="1" si="14"/>
        <v>0</v>
      </c>
      <c r="AI66" s="138"/>
      <c r="AJ66" s="50">
        <f>IF(AND(Option_Sys_TopUp&gt;="Y",H66&gt;=sytp,H66&lt;=(dtp+sytp-1),F66=0,H66&lt;=ppt+1),atp,0)+IFERROR(VLOOKUP(H66,Input!$B$55:$C$61,2,0),0)*(F66=0)*(Option_TopUP="Y")*(Option_Sys_TopUp="N")*B66*(pt&gt;=H66+5)</f>
        <v>0</v>
      </c>
      <c r="AK66" s="50">
        <f t="shared" si="15"/>
        <v>0</v>
      </c>
      <c r="AL66" s="50">
        <f t="shared" si="48"/>
        <v>0</v>
      </c>
      <c r="AM66" s="50">
        <f t="shared" ca="1" si="49"/>
        <v>0</v>
      </c>
      <c r="AN66" s="50">
        <f ca="1">IF(B66=0,0,AT66*(_rpm1+(1+_emr1)*VLOOKUP(E66,Tab_Mort_Charge,IF(Input!$C$12="M",2,3),0))*(0.001*0.0833)*Flag_Mort_Rider_Charge*(AT66&gt;0))</f>
        <v>0</v>
      </c>
      <c r="AO66" s="50">
        <f t="shared" ca="1" si="17"/>
        <v>0</v>
      </c>
      <c r="AP66" s="50">
        <f t="shared" ca="1" si="58"/>
        <v>0</v>
      </c>
      <c r="AQ66" s="50">
        <f t="shared" ca="1" si="18"/>
        <v>0</v>
      </c>
      <c r="AR66" s="50">
        <f t="shared" ca="1" si="19"/>
        <v>0</v>
      </c>
      <c r="AS66" s="50">
        <f t="shared" si="20"/>
        <v>0</v>
      </c>
      <c r="AT66" s="50">
        <f ca="1">(MAX((MAX(AS66,105%*SUM($AJ$7:AJ66))-AM66*Flag_UL_Type),0)*B66)</f>
        <v>0</v>
      </c>
      <c r="AU66" s="50">
        <f ca="1">(MAX(AS66,AR66,105%*SUM($AJ$7:AJ66))*B66)</f>
        <v>0</v>
      </c>
      <c r="AV66" s="125"/>
      <c r="AW66" s="13"/>
      <c r="AX66" s="13"/>
      <c r="AY66" s="13"/>
      <c r="AZ66" s="13"/>
      <c r="BA66" s="13"/>
      <c r="BG66" s="51">
        <f t="shared" si="30"/>
        <v>0</v>
      </c>
      <c r="BH66" s="51">
        <f t="shared" ca="1" si="31"/>
        <v>326.43240039665602</v>
      </c>
      <c r="BI66" s="51">
        <f t="shared" ca="1" si="32"/>
        <v>0</v>
      </c>
      <c r="BJ66" s="51">
        <f t="shared" ca="1" si="33"/>
        <v>0</v>
      </c>
      <c r="BK66" s="51">
        <f t="shared" si="34"/>
        <v>81</v>
      </c>
      <c r="BL66" s="51">
        <f t="shared" ca="1" si="35"/>
        <v>303.50412447414897</v>
      </c>
      <c r="BM66" s="51">
        <f t="shared" si="36"/>
        <v>0</v>
      </c>
      <c r="BN66" s="51">
        <f t="shared" ca="1" si="37"/>
        <v>0</v>
      </c>
      <c r="BO66" s="51">
        <f t="shared" ca="1" si="38"/>
        <v>0</v>
      </c>
      <c r="BP66" s="51">
        <f t="shared" ca="1" si="39"/>
        <v>710.93652487080499</v>
      </c>
      <c r="BR66" s="32"/>
      <c r="BS66" s="126"/>
      <c r="BT66" s="16"/>
      <c r="BU66" s="58"/>
      <c r="BW66" s="51">
        <f>IF(Input!$C$13="Offline",VLOOKUP(H66,Charges!$AT$4:$AU$33,2,FALSE)*I66,0)</f>
        <v>0</v>
      </c>
      <c r="BX66" s="51">
        <f t="shared" si="40"/>
        <v>0</v>
      </c>
      <c r="BY66" s="51">
        <f t="shared" si="51"/>
        <v>0</v>
      </c>
      <c r="BZ66" s="151"/>
      <c r="CA66" s="151"/>
      <c r="CB66" s="32"/>
      <c r="CC66" s="16">
        <f ca="1">SUM($N$7:$N66)</f>
        <v>0</v>
      </c>
      <c r="CD66" s="16">
        <f t="shared" ca="1" si="41"/>
        <v>0</v>
      </c>
      <c r="CE66" s="16">
        <f t="shared" ca="1" si="42"/>
        <v>0</v>
      </c>
      <c r="CF66" s="7">
        <f t="shared" ca="1" si="43"/>
        <v>0</v>
      </c>
      <c r="CH66" s="7">
        <f t="shared" ca="1" si="44"/>
        <v>0</v>
      </c>
    </row>
    <row r="67" spans="2:86" s="7" customFormat="1" x14ac:dyDescent="0.2">
      <c r="B67" s="14">
        <f t="shared" si="0"/>
        <v>1</v>
      </c>
      <c r="C67" s="12">
        <f t="shared" si="1"/>
        <v>1</v>
      </c>
      <c r="D67" s="17">
        <f t="shared" si="52"/>
        <v>61</v>
      </c>
      <c r="E67" s="17">
        <f t="shared" ca="1" si="2"/>
        <v>65</v>
      </c>
      <c r="F67" s="12">
        <f t="shared" si="56"/>
        <v>0</v>
      </c>
      <c r="G67" s="12">
        <f t="shared" si="55"/>
        <v>11</v>
      </c>
      <c r="H67" s="17">
        <f t="shared" si="57"/>
        <v>6</v>
      </c>
      <c r="I67" s="29">
        <f t="shared" si="45"/>
        <v>300000</v>
      </c>
      <c r="J67" s="211">
        <f>IFERROR(VLOOKUP(H67,Charges!$T$6:$U$35,2,0)*C67,0)</f>
        <v>0.98</v>
      </c>
      <c r="K67" s="29">
        <f t="shared" si="3"/>
        <v>6000.00000000001</v>
      </c>
      <c r="L67" s="29">
        <f t="shared" si="4"/>
        <v>292920</v>
      </c>
      <c r="M67" s="147">
        <f t="shared" ca="1" si="5"/>
        <v>0</v>
      </c>
      <c r="N67" s="148">
        <f ca="1">IF(AND(Option_SPW="Y",H67&gt;=Lock_In_Period,Z66&gt;SPW_Amount_pa+IF(option="Single",1/5*pr,2*pr),H67&gt;=SPW_Start_Year,H67&lt;=SPW_Start_Year+SPW_Duration-1,age+H67&gt;=Legal_Age),IF(AND(F67=0,SPW_Payout_Freq=1),SPW_Amount_pa,IF(AND(SPW_Payout_Freq=2,MOD(F67,6)=0),SPW_Amount_pa/SPW_Payout_Freq,IF(AND(SPW_Payout_Freq=4,MOD(F67,3)=0),SPW_Amount_pa/SPW_Payout_Freq,IF(SPW_Payout_Freq=12,SPW_Amount_pa/SPW_Payout_Freq,0)))),0)+IFERROR(VLOOKUP(H67,Input!$B$68:$C$74,2,0),0)*(F67=0)*(Option_PW="Y")*(Option_SPW="N")*(age+H67&gt;=Legal_Age)</f>
        <v>0</v>
      </c>
      <c r="O67" s="148">
        <f t="shared" ca="1" si="6"/>
        <v>0</v>
      </c>
      <c r="P67" s="14">
        <f ca="1">(MAX(MAX(sa-CF66*Flag_UL_Type,105%*SUM($I$7:I67))-(AD66+L67-N67)*Flag_UL_Type,0)*B67)</f>
        <v>1211099.0490898082</v>
      </c>
      <c r="Q67" s="213">
        <f t="shared" ca="1" si="46"/>
        <v>1567.7374415705333</v>
      </c>
      <c r="R67" s="14">
        <f t="shared" ca="1" si="7"/>
        <v>0</v>
      </c>
      <c r="S67" s="14">
        <f t="shared" ca="1" si="8"/>
        <v>0</v>
      </c>
      <c r="T67" s="14">
        <f>IFERROR(IF(WoP_Flag="Y",IF(fq=1,VLOOKUP(ppt*fq-H67,Charges!$AN$41:$AO$59,2,FALSE),IF(fq=2,VLOOKUP(ppt*fq-G67,Charges!$AP$41:$AQ$79,2,FALSE),VLOOKUP(ppt*fq-D67,Charges!$AR$41:$AS$279,2,FALSE)))*pr/fq,0),0)</f>
        <v>0</v>
      </c>
      <c r="U67" s="14">
        <f t="shared" ca="1" si="9"/>
        <v>0</v>
      </c>
      <c r="V67" s="34">
        <f>ROUND(MIN(IF(H67&gt;=7,Charges!$C$12*(1+Charges!$C$14)^((H67-7+1)),VLOOKUP(H67,Charges!$B$7:$C$12,2,0))*pr,Charges!$C$13)*B67,Round)</f>
        <v>500</v>
      </c>
      <c r="W67" s="14">
        <f t="shared" ca="1" si="10"/>
        <v>1786461.0207291385</v>
      </c>
      <c r="X67" s="14">
        <f t="shared" ca="1" si="11"/>
        <v>1797955.1647268573</v>
      </c>
      <c r="Y67" s="213">
        <f t="shared" ca="1" si="47"/>
        <v>2023.8003339675424</v>
      </c>
      <c r="Z67" s="14">
        <f t="shared" ca="1" si="12"/>
        <v>1795567.0803327756</v>
      </c>
      <c r="AA67" s="14">
        <f>IF(AND($H67=pt,$F67=11),SUM($K$7:K67)*VLOOKUP(pt,ROC,2,FALSE),0)</f>
        <v>0</v>
      </c>
      <c r="AB67" s="14">
        <f>IF(AND($H67=pt,$F67=11),SUM($V$7:V67)*VLOOKUP(pt,ROC,2,FALSE),0)</f>
        <v>0</v>
      </c>
      <c r="AC67" s="14">
        <f>IF(AND($H67=pt,$F67=11),SUM($Q$7:Q67)*VLOOKUP(pt,ROC,2,FALSE),0)</f>
        <v>0</v>
      </c>
      <c r="AD67" s="14">
        <f t="shared" ca="1" si="13"/>
        <v>1795567.0803327756</v>
      </c>
      <c r="AE67" s="14">
        <f ca="1">(MAX(sa-CF66*Flag_UL_Type,105%*SUM($I$7:I67),Z67)+AU67)*B67</f>
        <v>3000000</v>
      </c>
      <c r="AF67" s="136"/>
      <c r="AG67" s="18">
        <v>61</v>
      </c>
      <c r="AH67" s="30">
        <f t="shared" ca="1" si="14"/>
        <v>300000</v>
      </c>
      <c r="AI67" s="138"/>
      <c r="AJ67" s="50">
        <f>IF(AND(Option_Sys_TopUp&gt;="Y",H67&gt;=sytp,H67&lt;=(dtp+sytp-1),F67=0,H67&lt;=ppt+1),atp,0)+IFERROR(VLOOKUP(H67,Input!$B$55:$C$61,2,0),0)*(F67=0)*(Option_TopUP="Y")*(Option_Sys_TopUp="N")*B67*(pt&gt;=H67+5)</f>
        <v>0</v>
      </c>
      <c r="AK67" s="50">
        <f t="shared" si="15"/>
        <v>0</v>
      </c>
      <c r="AL67" s="50">
        <f t="shared" si="48"/>
        <v>0</v>
      </c>
      <c r="AM67" s="50">
        <f t="shared" ca="1" si="49"/>
        <v>0</v>
      </c>
      <c r="AN67" s="50">
        <f ca="1">IF(B67=0,0,AT67*(_rpm1+(1+_emr1)*VLOOKUP(E67,Tab_Mort_Charge,IF(Input!$C$12="M",2,3),0))*(0.001*0.0833)*Flag_Mort_Rider_Charge*(AT67&gt;0))</f>
        <v>0</v>
      </c>
      <c r="AO67" s="50">
        <f t="shared" ca="1" si="17"/>
        <v>0</v>
      </c>
      <c r="AP67" s="50">
        <f t="shared" ca="1" si="58"/>
        <v>0</v>
      </c>
      <c r="AQ67" s="50">
        <f t="shared" ca="1" si="18"/>
        <v>0</v>
      </c>
      <c r="AR67" s="50">
        <f t="shared" ca="1" si="19"/>
        <v>0</v>
      </c>
      <c r="AS67" s="50">
        <f t="shared" si="20"/>
        <v>0</v>
      </c>
      <c r="AT67" s="50">
        <f ca="1">(MAX((MAX(AS67,105%*SUM($AJ$7:AJ67))-AM67*Flag_UL_Type),0)*B67)</f>
        <v>0</v>
      </c>
      <c r="AU67" s="50">
        <f ca="1">(MAX(AS67,AR67,105%*SUM($AJ$7:AJ67))*B67)</f>
        <v>0</v>
      </c>
      <c r="AV67" s="125"/>
      <c r="AW67" s="13"/>
      <c r="AX67" s="13"/>
      <c r="AY67" s="13"/>
      <c r="AZ67" s="13"/>
      <c r="BA67" s="13"/>
      <c r="BG67" s="51">
        <f t="shared" si="30"/>
        <v>1080</v>
      </c>
      <c r="BH67" s="51">
        <f t="shared" ca="1" si="31"/>
        <v>282.19273948269603</v>
      </c>
      <c r="BI67" s="51">
        <f t="shared" ca="1" si="32"/>
        <v>0</v>
      </c>
      <c r="BJ67" s="51">
        <f t="shared" ca="1" si="33"/>
        <v>0</v>
      </c>
      <c r="BK67" s="51">
        <f t="shared" si="34"/>
        <v>90</v>
      </c>
      <c r="BL67" s="51">
        <f t="shared" ca="1" si="35"/>
        <v>364.28406011415763</v>
      </c>
      <c r="BM67" s="51">
        <f t="shared" si="36"/>
        <v>0</v>
      </c>
      <c r="BN67" s="51">
        <f t="shared" ca="1" si="37"/>
        <v>0</v>
      </c>
      <c r="BO67" s="51">
        <f t="shared" ca="1" si="38"/>
        <v>0</v>
      </c>
      <c r="BP67" s="51">
        <f t="shared" ca="1" si="39"/>
        <v>1816.4767995968537</v>
      </c>
      <c r="BR67" s="32"/>
      <c r="BS67" s="126"/>
      <c r="BT67" s="16"/>
      <c r="BU67" s="58"/>
      <c r="BW67" s="51">
        <f>IF(Input!$C$13="Offline",VLOOKUP(H67,Charges!$AT$4:$AU$33,2,FALSE)*I67,0)</f>
        <v>3000</v>
      </c>
      <c r="BX67" s="51">
        <f t="shared" si="40"/>
        <v>0</v>
      </c>
      <c r="BY67" s="51">
        <f t="shared" si="51"/>
        <v>3000</v>
      </c>
      <c r="BZ67" s="151"/>
      <c r="CA67" s="151"/>
      <c r="CB67" s="32"/>
      <c r="CC67" s="16">
        <f ca="1">SUM($N$7:$N67)</f>
        <v>0</v>
      </c>
      <c r="CD67" s="16">
        <f t="shared" ca="1" si="41"/>
        <v>0</v>
      </c>
      <c r="CE67" s="16">
        <f t="shared" ca="1" si="42"/>
        <v>0</v>
      </c>
      <c r="CF67" s="7">
        <f t="shared" ca="1" si="43"/>
        <v>0</v>
      </c>
      <c r="CH67" s="7">
        <f t="shared" ca="1" si="44"/>
        <v>0</v>
      </c>
    </row>
    <row r="68" spans="2:86" s="7" customFormat="1" x14ac:dyDescent="0.2">
      <c r="B68" s="14">
        <f t="shared" si="0"/>
        <v>1</v>
      </c>
      <c r="C68" s="12">
        <f t="shared" si="1"/>
        <v>1</v>
      </c>
      <c r="D68" s="17">
        <f t="shared" si="52"/>
        <v>62</v>
      </c>
      <c r="E68" s="17">
        <f t="shared" ca="1" si="2"/>
        <v>65</v>
      </c>
      <c r="F68" s="12">
        <f t="shared" si="56"/>
        <v>1</v>
      </c>
      <c r="G68" s="12">
        <f t="shared" si="55"/>
        <v>11</v>
      </c>
      <c r="H68" s="17">
        <f t="shared" si="57"/>
        <v>6</v>
      </c>
      <c r="I68" s="29">
        <f t="shared" si="45"/>
        <v>0</v>
      </c>
      <c r="J68" s="211">
        <f>IFERROR(VLOOKUP(H68,Charges!$T$6:$U$35,2,0)*C68,0)</f>
        <v>0.98</v>
      </c>
      <c r="K68" s="29">
        <f t="shared" si="3"/>
        <v>0</v>
      </c>
      <c r="L68" s="29">
        <f t="shared" si="4"/>
        <v>0</v>
      </c>
      <c r="M68" s="147">
        <f t="shared" ca="1" si="5"/>
        <v>0</v>
      </c>
      <c r="N68" s="148">
        <f ca="1">IF(AND(Option_SPW="Y",H68&gt;=Lock_In_Period,Z67&gt;SPW_Amount_pa+IF(option="Single",1/5*pr,2*pr),H68&gt;=SPW_Start_Year,H68&lt;=SPW_Start_Year+SPW_Duration-1,age+H68&gt;=Legal_Age),IF(AND(F68=0,SPW_Payout_Freq=1),SPW_Amount_pa,IF(AND(SPW_Payout_Freq=2,MOD(F68,6)=0),SPW_Amount_pa/SPW_Payout_Freq,IF(AND(SPW_Payout_Freq=4,MOD(F68,3)=0),SPW_Amount_pa/SPW_Payout_Freq,IF(SPW_Payout_Freq=12,SPW_Amount_pa/SPW_Payout_Freq,0)))),0)+IFERROR(VLOOKUP(H68,Input!$B$68:$C$74,2,0),0)*(F68=0)*(Option_PW="Y")*(Option_SPW="N")*(age+H68&gt;=Legal_Age)</f>
        <v>0</v>
      </c>
      <c r="O68" s="148">
        <f t="shared" ca="1" si="6"/>
        <v>0</v>
      </c>
      <c r="P68" s="14">
        <f ca="1">(MAX(MAX(sa-CF67*Flag_UL_Type,105%*SUM($I$7:I68))-(AD67+L68-N68)*Flag_UL_Type,0)*B68)</f>
        <v>1204432.9196672244</v>
      </c>
      <c r="Q68" s="213">
        <f t="shared" ca="1" si="46"/>
        <v>1559.1083036862333</v>
      </c>
      <c r="R68" s="14">
        <f t="shared" ca="1" si="7"/>
        <v>0</v>
      </c>
      <c r="S68" s="14">
        <f t="shared" ca="1" si="8"/>
        <v>0</v>
      </c>
      <c r="T68" s="14">
        <f>IFERROR(IF(WoP_Flag="Y",IF(fq=1,VLOOKUP(ppt*fq-H68,Charges!$AN$41:$AO$59,2,FALSE),IF(fq=2,VLOOKUP(ppt*fq-G68,Charges!$AP$41:$AQ$79,2,FALSE),VLOOKUP(ppt*fq-D68,Charges!$AR$41:$AS$279,2,FALSE)))*pr/fq,0),0)</f>
        <v>0</v>
      </c>
      <c r="U68" s="14">
        <f t="shared" ca="1" si="9"/>
        <v>0</v>
      </c>
      <c r="V68" s="34">
        <f>ROUND(MIN(IF(H68&gt;=7,Charges!$C$12*(1+Charges!$C$14)^((H68-7+1)),VLOOKUP(H68,Charges!$B$7:$C$12,2,0))*pr,Charges!$C$13)*B68,Round)</f>
        <v>500</v>
      </c>
      <c r="W68" s="14">
        <f t="shared" ca="1" si="10"/>
        <v>1793137.3325344259</v>
      </c>
      <c r="X68" s="14">
        <f t="shared" ca="1" si="11"/>
        <v>1804674.4321233237</v>
      </c>
      <c r="Y68" s="213">
        <f t="shared" ca="1" si="47"/>
        <v>2031.3636235688443</v>
      </c>
      <c r="Z68" s="14">
        <f t="shared" ca="1" si="12"/>
        <v>1802277.4230475125</v>
      </c>
      <c r="AA68" s="14">
        <f>IF(AND($H68=pt,$F68=11),SUM($K$7:K68)*VLOOKUP(pt,ROC,2,FALSE),0)</f>
        <v>0</v>
      </c>
      <c r="AB68" s="14">
        <f>IF(AND($H68=pt,$F68=11),SUM($V$7:V68)*VLOOKUP(pt,ROC,2,FALSE),0)</f>
        <v>0</v>
      </c>
      <c r="AC68" s="14">
        <f>IF(AND($H68=pt,$F68=11),SUM($Q$7:Q68)*VLOOKUP(pt,ROC,2,FALSE),0)</f>
        <v>0</v>
      </c>
      <c r="AD68" s="14">
        <f t="shared" ca="1" si="13"/>
        <v>1802277.4230475125</v>
      </c>
      <c r="AE68" s="14">
        <f ca="1">(MAX(sa-CF67*Flag_UL_Type,105%*SUM($I$7:I68),Z68)+AU68)*B68</f>
        <v>3000000</v>
      </c>
      <c r="AF68" s="136"/>
      <c r="AG68" s="18">
        <v>62</v>
      </c>
      <c r="AH68" s="30">
        <f t="shared" ca="1" si="14"/>
        <v>0</v>
      </c>
      <c r="AI68" s="138"/>
      <c r="AJ68" s="50">
        <f>IF(AND(Option_Sys_TopUp&gt;="Y",H68&gt;=sytp,H68&lt;=(dtp+sytp-1),F68=0,H68&lt;=ppt+1),atp,0)+IFERROR(VLOOKUP(H68,Input!$B$55:$C$61,2,0),0)*(F68=0)*(Option_TopUP="Y")*(Option_Sys_TopUp="N")*B68*(pt&gt;=H68+5)</f>
        <v>0</v>
      </c>
      <c r="AK68" s="50">
        <f t="shared" si="15"/>
        <v>0</v>
      </c>
      <c r="AL68" s="50">
        <f t="shared" si="48"/>
        <v>0</v>
      </c>
      <c r="AM68" s="50">
        <f t="shared" ca="1" si="49"/>
        <v>0</v>
      </c>
      <c r="AN68" s="50">
        <f ca="1">IF(B68=0,0,AT68*(_rpm1+(1+_emr1)*VLOOKUP(E68,Tab_Mort_Charge,IF(Input!$C$12="M",2,3),0))*(0.001*0.0833)*Flag_Mort_Rider_Charge*(AT68&gt;0))</f>
        <v>0</v>
      </c>
      <c r="AO68" s="50">
        <f t="shared" ca="1" si="17"/>
        <v>0</v>
      </c>
      <c r="AP68" s="50">
        <f t="shared" ca="1" si="58"/>
        <v>0</v>
      </c>
      <c r="AQ68" s="50">
        <f t="shared" ca="1" si="18"/>
        <v>0</v>
      </c>
      <c r="AR68" s="50">
        <f t="shared" ca="1" si="19"/>
        <v>0</v>
      </c>
      <c r="AS68" s="50">
        <f t="shared" si="20"/>
        <v>0</v>
      </c>
      <c r="AT68" s="50">
        <f ca="1">(MAX((MAX(AS68,105%*SUM($AJ$7:AJ68))-AM68*Flag_UL_Type),0)*B68)</f>
        <v>0</v>
      </c>
      <c r="AU68" s="50">
        <f ca="1">(MAX(AS68,AR68,105%*SUM($AJ$7:AJ68))*B68)</f>
        <v>0</v>
      </c>
      <c r="AV68" s="125"/>
      <c r="AW68" s="13"/>
      <c r="AX68" s="13"/>
      <c r="AY68" s="13"/>
      <c r="AZ68" s="13"/>
      <c r="BA68" s="13"/>
      <c r="BG68" s="51">
        <f t="shared" si="30"/>
        <v>0</v>
      </c>
      <c r="BH68" s="51">
        <f t="shared" ca="1" si="31"/>
        <v>280.63949466352199</v>
      </c>
      <c r="BI68" s="51">
        <f t="shared" ca="1" si="32"/>
        <v>0</v>
      </c>
      <c r="BJ68" s="51">
        <f t="shared" ca="1" si="33"/>
        <v>0</v>
      </c>
      <c r="BK68" s="51">
        <f t="shared" si="34"/>
        <v>90</v>
      </c>
      <c r="BL68" s="51">
        <f t="shared" ca="1" si="35"/>
        <v>365.64545224239197</v>
      </c>
      <c r="BM68" s="51">
        <f t="shared" si="36"/>
        <v>0</v>
      </c>
      <c r="BN68" s="51">
        <f t="shared" ca="1" si="37"/>
        <v>0</v>
      </c>
      <c r="BO68" s="51">
        <f t="shared" ca="1" si="38"/>
        <v>0</v>
      </c>
      <c r="BP68" s="51">
        <f t="shared" ca="1" si="39"/>
        <v>736.28494690591401</v>
      </c>
      <c r="BR68" s="32"/>
      <c r="BS68" s="126"/>
      <c r="BT68" s="16"/>
      <c r="BU68" s="58"/>
      <c r="BW68" s="51">
        <f>IF(Input!$C$13="Offline",VLOOKUP(H68,Charges!$AT$4:$AU$33,2,FALSE)*I68,0)</f>
        <v>0</v>
      </c>
      <c r="BX68" s="51">
        <f t="shared" si="40"/>
        <v>0</v>
      </c>
      <c r="BY68" s="51">
        <f t="shared" si="51"/>
        <v>0</v>
      </c>
      <c r="BZ68" s="151"/>
      <c r="CA68" s="151"/>
      <c r="CB68" s="32"/>
      <c r="CC68" s="16">
        <f ca="1">SUM($N$7:$N68)</f>
        <v>0</v>
      </c>
      <c r="CD68" s="16">
        <f t="shared" ca="1" si="41"/>
        <v>0</v>
      </c>
      <c r="CE68" s="16">
        <f t="shared" ca="1" si="42"/>
        <v>0</v>
      </c>
      <c r="CF68" s="7">
        <f t="shared" ca="1" si="43"/>
        <v>0</v>
      </c>
      <c r="CH68" s="7">
        <f t="shared" ca="1" si="44"/>
        <v>0</v>
      </c>
    </row>
    <row r="69" spans="2:86" s="7" customFormat="1" x14ac:dyDescent="0.2">
      <c r="B69" s="14">
        <f t="shared" si="0"/>
        <v>1</v>
      </c>
      <c r="C69" s="12">
        <f t="shared" si="1"/>
        <v>1</v>
      </c>
      <c r="D69" s="17">
        <f t="shared" si="52"/>
        <v>63</v>
      </c>
      <c r="E69" s="17">
        <f t="shared" ca="1" si="2"/>
        <v>65</v>
      </c>
      <c r="F69" s="12">
        <f t="shared" si="56"/>
        <v>2</v>
      </c>
      <c r="G69" s="12">
        <f t="shared" si="55"/>
        <v>11</v>
      </c>
      <c r="H69" s="17">
        <f t="shared" si="57"/>
        <v>6</v>
      </c>
      <c r="I69" s="29">
        <f t="shared" si="45"/>
        <v>0</v>
      </c>
      <c r="J69" s="211">
        <f>IFERROR(VLOOKUP(H69,Charges!$T$6:$U$35,2,0)*C69,0)</f>
        <v>0.98</v>
      </c>
      <c r="K69" s="29">
        <f t="shared" si="3"/>
        <v>0</v>
      </c>
      <c r="L69" s="29">
        <f t="shared" si="4"/>
        <v>0</v>
      </c>
      <c r="M69" s="147">
        <f t="shared" ca="1" si="5"/>
        <v>0</v>
      </c>
      <c r="N69" s="148">
        <f ca="1">IF(AND(Option_SPW="Y",H69&gt;=Lock_In_Period,Z68&gt;SPW_Amount_pa+IF(option="Single",1/5*pr,2*pr),H69&gt;=SPW_Start_Year,H69&lt;=SPW_Start_Year+SPW_Duration-1,age+H69&gt;=Legal_Age),IF(AND(F69=0,SPW_Payout_Freq=1),SPW_Amount_pa,IF(AND(SPW_Payout_Freq=2,MOD(F69,6)=0),SPW_Amount_pa/SPW_Payout_Freq,IF(AND(SPW_Payout_Freq=4,MOD(F69,3)=0),SPW_Amount_pa/SPW_Payout_Freq,IF(SPW_Payout_Freq=12,SPW_Amount_pa/SPW_Payout_Freq,0)))),0)+IFERROR(VLOOKUP(H69,Input!$B$68:$C$74,2,0),0)*(F69=0)*(Option_PW="Y")*(Option_SPW="N")*(age+H69&gt;=Legal_Age)</f>
        <v>0</v>
      </c>
      <c r="O69" s="148">
        <f t="shared" ca="1" si="6"/>
        <v>0</v>
      </c>
      <c r="P69" s="14">
        <f ca="1">(MAX(MAX(sa-CF68*Flag_UL_Type,105%*SUM($I$7:I69))-(AD68+L69-N69)*Flag_UL_Type,0)*B69)</f>
        <v>1197722.5769524875</v>
      </c>
      <c r="Q69" s="213">
        <f t="shared" ca="1" si="46"/>
        <v>1550.4219328005747</v>
      </c>
      <c r="R69" s="14">
        <f t="shared" ca="1" si="7"/>
        <v>0</v>
      </c>
      <c r="S69" s="14">
        <f t="shared" ca="1" si="8"/>
        <v>0</v>
      </c>
      <c r="T69" s="14">
        <f>IFERROR(IF(WoP_Flag="Y",IF(fq=1,VLOOKUP(ppt*fq-H69,Charges!$AN$41:$AO$59,2,FALSE),IF(fq=2,VLOOKUP(ppt*fq-G69,Charges!$AP$41:$AQ$79,2,FALSE),VLOOKUP(ppt*fq-D69,Charges!$AR$41:$AS$279,2,FALSE)))*pr/fq,0),0)</f>
        <v>0</v>
      </c>
      <c r="U69" s="14">
        <f t="shared" ca="1" si="9"/>
        <v>0</v>
      </c>
      <c r="V69" s="34">
        <f>ROUND(MIN(IF(H69&gt;=7,Charges!$C$12*(1+Charges!$C$14)^((H69-7+1)),VLOOKUP(H69,Charges!$B$7:$C$12,2,0))*pr,Charges!$C$13)*B69,Round)</f>
        <v>500</v>
      </c>
      <c r="W69" s="14">
        <f t="shared" ca="1" si="10"/>
        <v>1799857.9251668078</v>
      </c>
      <c r="X69" s="14">
        <f t="shared" ca="1" si="11"/>
        <v>1811438.2652510593</v>
      </c>
      <c r="Y69" s="213">
        <f t="shared" ca="1" si="47"/>
        <v>2038.9770769025886</v>
      </c>
      <c r="Z69" s="14">
        <f t="shared" ca="1" si="12"/>
        <v>1809032.2723003142</v>
      </c>
      <c r="AA69" s="14">
        <f>IF(AND($H69=pt,$F69=11),SUM($K$7:K69)*VLOOKUP(pt,ROC,2,FALSE),0)</f>
        <v>0</v>
      </c>
      <c r="AB69" s="14">
        <f>IF(AND($H69=pt,$F69=11),SUM($V$7:V69)*VLOOKUP(pt,ROC,2,FALSE),0)</f>
        <v>0</v>
      </c>
      <c r="AC69" s="14">
        <f>IF(AND($H69=pt,$F69=11),SUM($Q$7:Q69)*VLOOKUP(pt,ROC,2,FALSE),0)</f>
        <v>0</v>
      </c>
      <c r="AD69" s="14">
        <f t="shared" ca="1" si="13"/>
        <v>1809032.2723003142</v>
      </c>
      <c r="AE69" s="14">
        <f ca="1">(MAX(sa-CF68*Flag_UL_Type,105%*SUM($I$7:I69),Z69)+AU69)*B69</f>
        <v>3000000</v>
      </c>
      <c r="AF69" s="136"/>
      <c r="AG69" s="18">
        <v>63</v>
      </c>
      <c r="AH69" s="30">
        <f t="shared" ca="1" si="14"/>
        <v>0</v>
      </c>
      <c r="AI69" s="138"/>
      <c r="AJ69" s="50">
        <f>IF(AND(Option_Sys_TopUp&gt;="Y",H69&gt;=sytp,H69&lt;=(dtp+sytp-1),F69=0,H69&lt;=ppt+1),atp,0)+IFERROR(VLOOKUP(H69,Input!$B$55:$C$61,2,0),0)*(F69=0)*(Option_TopUP="Y")*(Option_Sys_TopUp="N")*B69*(pt&gt;=H69+5)</f>
        <v>0</v>
      </c>
      <c r="AK69" s="50">
        <f t="shared" si="15"/>
        <v>0</v>
      </c>
      <c r="AL69" s="50">
        <f t="shared" si="48"/>
        <v>0</v>
      </c>
      <c r="AM69" s="50">
        <f t="shared" ca="1" si="49"/>
        <v>0</v>
      </c>
      <c r="AN69" s="50">
        <f ca="1">IF(B69=0,0,AT69*(_rpm1+(1+_emr1)*VLOOKUP(E69,Tab_Mort_Charge,IF(Input!$C$12="M",2,3),0))*(0.001*0.0833)*Flag_Mort_Rider_Charge*(AT69&gt;0))</f>
        <v>0</v>
      </c>
      <c r="AO69" s="50">
        <f t="shared" ca="1" si="17"/>
        <v>0</v>
      </c>
      <c r="AP69" s="50">
        <f t="shared" ca="1" si="58"/>
        <v>0</v>
      </c>
      <c r="AQ69" s="50">
        <f t="shared" ca="1" si="18"/>
        <v>0</v>
      </c>
      <c r="AR69" s="50">
        <f t="shared" ca="1" si="19"/>
        <v>0</v>
      </c>
      <c r="AS69" s="50">
        <f t="shared" si="20"/>
        <v>0</v>
      </c>
      <c r="AT69" s="50">
        <f ca="1">(MAX((MAX(AS69,105%*SUM($AJ$7:AJ69))-AM69*Flag_UL_Type),0)*B69)</f>
        <v>0</v>
      </c>
      <c r="AU69" s="50">
        <f ca="1">(MAX(AS69,AR69,105%*SUM($AJ$7:AJ69))*B69)</f>
        <v>0</v>
      </c>
      <c r="AV69" s="125"/>
      <c r="AW69" s="13"/>
      <c r="AX69" s="13"/>
      <c r="AY69" s="13"/>
      <c r="AZ69" s="13"/>
      <c r="BA69" s="13"/>
      <c r="BG69" s="51">
        <f t="shared" si="30"/>
        <v>0</v>
      </c>
      <c r="BH69" s="51">
        <f t="shared" ca="1" si="31"/>
        <v>279.07594790410297</v>
      </c>
      <c r="BI69" s="51">
        <f t="shared" ca="1" si="32"/>
        <v>0</v>
      </c>
      <c r="BJ69" s="51">
        <f t="shared" ca="1" si="33"/>
        <v>0</v>
      </c>
      <c r="BK69" s="51">
        <f t="shared" si="34"/>
        <v>90</v>
      </c>
      <c r="BL69" s="51">
        <f t="shared" ca="1" si="35"/>
        <v>367.01587384246591</v>
      </c>
      <c r="BM69" s="51">
        <f t="shared" si="36"/>
        <v>0</v>
      </c>
      <c r="BN69" s="51">
        <f t="shared" ca="1" si="37"/>
        <v>0</v>
      </c>
      <c r="BO69" s="51">
        <f t="shared" ca="1" si="38"/>
        <v>0</v>
      </c>
      <c r="BP69" s="51">
        <f t="shared" ca="1" si="39"/>
        <v>736.09182174656894</v>
      </c>
      <c r="BR69" s="32"/>
      <c r="BS69" s="126"/>
      <c r="BT69" s="16"/>
      <c r="BU69" s="58"/>
      <c r="BW69" s="51">
        <f>IF(Input!$C$13="Offline",VLOOKUP(H69,Charges!$AT$4:$AU$33,2,FALSE)*I69,0)</f>
        <v>0</v>
      </c>
      <c r="BX69" s="51">
        <f t="shared" si="40"/>
        <v>0</v>
      </c>
      <c r="BY69" s="51">
        <f t="shared" si="51"/>
        <v>0</v>
      </c>
      <c r="BZ69" s="151"/>
      <c r="CA69" s="151"/>
      <c r="CB69" s="32"/>
      <c r="CC69" s="16">
        <f ca="1">SUM($N$7:$N69)</f>
        <v>0</v>
      </c>
      <c r="CD69" s="16">
        <f t="shared" ca="1" si="41"/>
        <v>0</v>
      </c>
      <c r="CE69" s="16">
        <f t="shared" ca="1" si="42"/>
        <v>0</v>
      </c>
      <c r="CF69" s="7">
        <f t="shared" ca="1" si="43"/>
        <v>0</v>
      </c>
      <c r="CH69" s="7">
        <f t="shared" ca="1" si="44"/>
        <v>0</v>
      </c>
    </row>
    <row r="70" spans="2:86" s="7" customFormat="1" x14ac:dyDescent="0.2">
      <c r="B70" s="14">
        <f t="shared" si="0"/>
        <v>1</v>
      </c>
      <c r="C70" s="12">
        <f t="shared" si="1"/>
        <v>1</v>
      </c>
      <c r="D70" s="17">
        <f t="shared" si="52"/>
        <v>64</v>
      </c>
      <c r="E70" s="17">
        <f t="shared" ca="1" si="2"/>
        <v>65</v>
      </c>
      <c r="F70" s="12">
        <f t="shared" si="56"/>
        <v>3</v>
      </c>
      <c r="G70" s="12">
        <f t="shared" si="55"/>
        <v>11</v>
      </c>
      <c r="H70" s="17">
        <f t="shared" si="57"/>
        <v>6</v>
      </c>
      <c r="I70" s="29">
        <f t="shared" si="45"/>
        <v>0</v>
      </c>
      <c r="J70" s="211">
        <f>IFERROR(VLOOKUP(H70,Charges!$T$6:$U$35,2,0)*C70,0)</f>
        <v>0.98</v>
      </c>
      <c r="K70" s="29">
        <f t="shared" si="3"/>
        <v>0</v>
      </c>
      <c r="L70" s="29">
        <f t="shared" si="4"/>
        <v>0</v>
      </c>
      <c r="M70" s="147">
        <f t="shared" ca="1" si="5"/>
        <v>0</v>
      </c>
      <c r="N70" s="148">
        <f ca="1">IF(AND(Option_SPW="Y",H70&gt;=Lock_In_Period,Z69&gt;SPW_Amount_pa+IF(option="Single",1/5*pr,2*pr),H70&gt;=SPW_Start_Year,H70&lt;=SPW_Start_Year+SPW_Duration-1,age+H70&gt;=Legal_Age),IF(AND(F70=0,SPW_Payout_Freq=1),SPW_Amount_pa,IF(AND(SPW_Payout_Freq=2,MOD(F70,6)=0),SPW_Amount_pa/SPW_Payout_Freq,IF(AND(SPW_Payout_Freq=4,MOD(F70,3)=0),SPW_Amount_pa/SPW_Payout_Freq,IF(SPW_Payout_Freq=12,SPW_Amount_pa/SPW_Payout_Freq,0)))),0)+IFERROR(VLOOKUP(H70,Input!$B$68:$C$74,2,0),0)*(F70=0)*(Option_PW="Y")*(Option_SPW="N")*(age+H70&gt;=Legal_Age)</f>
        <v>0</v>
      </c>
      <c r="O70" s="148">
        <f t="shared" ca="1" si="6"/>
        <v>0</v>
      </c>
      <c r="P70" s="14">
        <f ca="1">(MAX(MAX(sa-CF69*Flag_UL_Type,105%*SUM($I$7:I70))-(AD69+L70-N70)*Flag_UL_Type,0)*B70)</f>
        <v>1190967.7276996858</v>
      </c>
      <c r="Q70" s="213">
        <f t="shared" ca="1" si="46"/>
        <v>1541.67794931405</v>
      </c>
      <c r="R70" s="14">
        <f t="shared" ca="1" si="7"/>
        <v>0</v>
      </c>
      <c r="S70" s="14">
        <f t="shared" ca="1" si="8"/>
        <v>0</v>
      </c>
      <c r="T70" s="14">
        <f>IFERROR(IF(WoP_Flag="Y",IF(fq=1,VLOOKUP(ppt*fq-H70,Charges!$AN$41:$AO$59,2,FALSE),IF(fq=2,VLOOKUP(ppt*fq-G70,Charges!$AP$41:$AQ$79,2,FALSE),VLOOKUP(ppt*fq-D70,Charges!$AR$41:$AS$279,2,FALSE)))*pr/fq,0),0)</f>
        <v>0</v>
      </c>
      <c r="U70" s="14">
        <f t="shared" ca="1" si="9"/>
        <v>0</v>
      </c>
      <c r="V70" s="34">
        <f>ROUND(MIN(IF(H70&gt;=7,Charges!$C$12*(1+Charges!$C$14)^((H70-7+1)),VLOOKUP(H70,Charges!$B$7:$C$12,2,0))*pr,Charges!$C$13)*B70,Round)</f>
        <v>500</v>
      </c>
      <c r="W70" s="14">
        <f t="shared" ca="1" si="10"/>
        <v>1806623.0923201237</v>
      </c>
      <c r="X70" s="14">
        <f t="shared" ca="1" si="11"/>
        <v>1818246.959693539</v>
      </c>
      <c r="Y70" s="213">
        <f t="shared" ca="1" si="47"/>
        <v>2046.6410266811508</v>
      </c>
      <c r="Z70" s="14">
        <f t="shared" ca="1" si="12"/>
        <v>1815831.9232820552</v>
      </c>
      <c r="AA70" s="14">
        <f>IF(AND($H70=pt,$F70=11),SUM($K$7:K70)*VLOOKUP(pt,ROC,2,FALSE),0)</f>
        <v>0</v>
      </c>
      <c r="AB70" s="14">
        <f>IF(AND($H70=pt,$F70=11),SUM($V$7:V70)*VLOOKUP(pt,ROC,2,FALSE),0)</f>
        <v>0</v>
      </c>
      <c r="AC70" s="14">
        <f>IF(AND($H70=pt,$F70=11),SUM($Q$7:Q70)*VLOOKUP(pt,ROC,2,FALSE),0)</f>
        <v>0</v>
      </c>
      <c r="AD70" s="14">
        <f t="shared" ca="1" si="13"/>
        <v>1815831.9232820552</v>
      </c>
      <c r="AE70" s="14">
        <f ca="1">(MAX(sa-CF69*Flag_UL_Type,105%*SUM($I$7:I70),Z70)+AU70)*B70</f>
        <v>3000000</v>
      </c>
      <c r="AF70" s="136"/>
      <c r="AG70" s="18">
        <v>64</v>
      </c>
      <c r="AH70" s="30">
        <f t="shared" ca="1" si="14"/>
        <v>0</v>
      </c>
      <c r="AI70" s="138"/>
      <c r="AJ70" s="50">
        <f>IF(AND(Option_Sys_TopUp&gt;="Y",H70&gt;=sytp,H70&lt;=(dtp+sytp-1),F70=0,H70&lt;=ppt+1),atp,0)+IFERROR(VLOOKUP(H70,Input!$B$55:$C$61,2,0),0)*(F70=0)*(Option_TopUP="Y")*(Option_Sys_TopUp="N")*B70*(pt&gt;=H70+5)</f>
        <v>0</v>
      </c>
      <c r="AK70" s="50">
        <f t="shared" si="15"/>
        <v>0</v>
      </c>
      <c r="AL70" s="50">
        <f t="shared" si="48"/>
        <v>0</v>
      </c>
      <c r="AM70" s="50">
        <f t="shared" ca="1" si="49"/>
        <v>0</v>
      </c>
      <c r="AN70" s="50">
        <f ca="1">IF(B70=0,0,AT70*(_rpm1+(1+_emr1)*VLOOKUP(E70,Tab_Mort_Charge,IF(Input!$C$12="M",2,3),0))*(0.001*0.0833)*Flag_Mort_Rider_Charge*(AT70&gt;0))</f>
        <v>0</v>
      </c>
      <c r="AO70" s="50">
        <f t="shared" ca="1" si="17"/>
        <v>0</v>
      </c>
      <c r="AP70" s="50">
        <f t="shared" ca="1" si="58"/>
        <v>0</v>
      </c>
      <c r="AQ70" s="50">
        <f t="shared" ca="1" si="18"/>
        <v>0</v>
      </c>
      <c r="AR70" s="50">
        <f t="shared" ca="1" si="19"/>
        <v>0</v>
      </c>
      <c r="AS70" s="50">
        <f t="shared" si="20"/>
        <v>0</v>
      </c>
      <c r="AT70" s="50">
        <f ca="1">(MAX((MAX(AS70,105%*SUM($AJ$7:AJ70))-AM70*Flag_UL_Type),0)*B70)</f>
        <v>0</v>
      </c>
      <c r="AU70" s="50">
        <f ca="1">(MAX(AS70,AR70,105%*SUM($AJ$7:AJ70))*B70)</f>
        <v>0</v>
      </c>
      <c r="AV70" s="125"/>
      <c r="AW70" s="13"/>
      <c r="AX70" s="13"/>
      <c r="AY70" s="13"/>
      <c r="AZ70" s="13"/>
      <c r="BA70" s="13"/>
      <c r="BG70" s="51">
        <f t="shared" si="30"/>
        <v>0</v>
      </c>
      <c r="BH70" s="51">
        <f t="shared" ca="1" si="31"/>
        <v>277.50203087652898</v>
      </c>
      <c r="BI70" s="51">
        <f t="shared" ca="1" si="32"/>
        <v>0</v>
      </c>
      <c r="BJ70" s="51">
        <f t="shared" ca="1" si="33"/>
        <v>0</v>
      </c>
      <c r="BK70" s="51">
        <f t="shared" si="34"/>
        <v>90</v>
      </c>
      <c r="BL70" s="51">
        <f t="shared" ca="1" si="35"/>
        <v>368.39538480260711</v>
      </c>
      <c r="BM70" s="51">
        <f t="shared" si="36"/>
        <v>0</v>
      </c>
      <c r="BN70" s="51">
        <f t="shared" ca="1" si="37"/>
        <v>0</v>
      </c>
      <c r="BO70" s="51">
        <f t="shared" ca="1" si="38"/>
        <v>0</v>
      </c>
      <c r="BP70" s="51">
        <f t="shared" ca="1" si="39"/>
        <v>735.89741567913609</v>
      </c>
      <c r="BR70" s="32"/>
      <c r="BS70" s="126"/>
      <c r="BT70" s="16"/>
      <c r="BU70" s="58"/>
      <c r="BW70" s="51">
        <f>IF(Input!$C$13="Offline",VLOOKUP(H70,Charges!$AT$4:$AU$33,2,FALSE)*I70,0)</f>
        <v>0</v>
      </c>
      <c r="BX70" s="51">
        <f t="shared" si="40"/>
        <v>0</v>
      </c>
      <c r="BY70" s="51">
        <f t="shared" si="51"/>
        <v>0</v>
      </c>
      <c r="BZ70" s="151"/>
      <c r="CA70" s="151"/>
      <c r="CB70" s="32"/>
      <c r="CC70" s="16">
        <f ca="1">SUM($N$7:$N70)</f>
        <v>0</v>
      </c>
      <c r="CD70" s="16">
        <f t="shared" ca="1" si="41"/>
        <v>0</v>
      </c>
      <c r="CE70" s="16">
        <f t="shared" ca="1" si="42"/>
        <v>0</v>
      </c>
      <c r="CF70" s="7">
        <f t="shared" ca="1" si="43"/>
        <v>0</v>
      </c>
      <c r="CH70" s="7">
        <f t="shared" ca="1" si="44"/>
        <v>0</v>
      </c>
    </row>
    <row r="71" spans="2:86" s="7" customFormat="1" x14ac:dyDescent="0.2">
      <c r="B71" s="14">
        <f t="shared" ref="B71:B134" si="59">IF(H71&lt;=pt,1,0)</f>
        <v>1</v>
      </c>
      <c r="C71" s="12">
        <f t="shared" ref="C71:C134" si="60">IF(H71&lt;=ppt,1,0)</f>
        <v>1</v>
      </c>
      <c r="D71" s="17">
        <f t="shared" si="52"/>
        <v>65</v>
      </c>
      <c r="E71" s="17">
        <f t="shared" ref="E71:E134" ca="1" si="61">(age+(H71-1))</f>
        <v>65</v>
      </c>
      <c r="F71" s="12">
        <f t="shared" si="56"/>
        <v>4</v>
      </c>
      <c r="G71" s="12">
        <f t="shared" si="55"/>
        <v>11</v>
      </c>
      <c r="H71" s="17">
        <f t="shared" si="57"/>
        <v>6</v>
      </c>
      <c r="I71" s="29">
        <f t="shared" ref="I71:I134" si="62">IF(AND(H71&lt;=pt,H71&lt;=ppt,F71=0,fq=1),pr,IF(AND(H71&lt;=pt,H71&lt;=ppt,fq=2,MOD(F71,6)=0),pr/fq,IF(AND(H71&lt;=pt,H71&lt;=ppt,fq=12),pr/fq,0)))</f>
        <v>0</v>
      </c>
      <c r="J71" s="211">
        <f>IFERROR(VLOOKUP(H71,Charges!$T$6:$U$35,2,0)*C71,0)</f>
        <v>0.98</v>
      </c>
      <c r="K71" s="29">
        <f t="shared" ref="K71:K134" si="63">ROUND((100%-J71)*I71,Round)</f>
        <v>0</v>
      </c>
      <c r="L71" s="29">
        <f t="shared" ref="L71:L134" si="64">(I71-(K71+BG71*IF(Model_Type="Pricing_Unit",1,0)))*C71</f>
        <v>0</v>
      </c>
      <c r="M71" s="147">
        <f t="shared" ref="M71:M134" ca="1" si="65">IF(AND(OR(Option_PW="Y",Option_SPW="Y"),H71&gt;Lock_In_Period,H71&lt;=pt,(W71-IF(option="Single",1/5*pr,2*pr))&gt;0,(age+H71)&gt;=Legal_Age),(W70+L71-IF(option="Single",1/5*pr,2*pr)),0)</f>
        <v>0</v>
      </c>
      <c r="N71" s="148">
        <f ca="1">IF(AND(Option_SPW="Y",H71&gt;=Lock_In_Period,Z70&gt;SPW_Amount_pa+IF(option="Single",1/5*pr,2*pr),H71&gt;=SPW_Start_Year,H71&lt;=SPW_Start_Year+SPW_Duration-1,age+H71&gt;=Legal_Age),IF(AND(F71=0,SPW_Payout_Freq=1),SPW_Amount_pa,IF(AND(SPW_Payout_Freq=2,MOD(F71,6)=0),SPW_Amount_pa/SPW_Payout_Freq,IF(AND(SPW_Payout_Freq=4,MOD(F71,3)=0),SPW_Amount_pa/SPW_Payout_Freq,IF(SPW_Payout_Freq=12,SPW_Amount_pa/SPW_Payout_Freq,0)))),0)+IFERROR(VLOOKUP(H71,Input!$B$68:$C$74,2,0),0)*(F71=0)*(Option_PW="Y")*(Option_SPW="N")*(age+H71&gt;=Legal_Age)</f>
        <v>0</v>
      </c>
      <c r="O71" s="148">
        <f t="shared" ref="O71:O134" ca="1" si="66">IF(N71&lt;=M71,0,1)</f>
        <v>0</v>
      </c>
      <c r="P71" s="14">
        <f ca="1">(MAX(MAX(sa-CF70*Flag_UL_Type,105%*SUM($I$7:I71))-(AD70+L71-N71)*Flag_UL_Type,0)*B71)</f>
        <v>1184168.0767179448</v>
      </c>
      <c r="Q71" s="213">
        <f t="shared" ref="Q71:Q134" ca="1" si="67">IF(B71=0,0,ROUND(P71*(_rpm1+(1+_emr1)*VLOOKUP(E71,Tab_Mort_Charge,IF(Gender="M",2,3),0))*Flag_Mort_Rider_Charge*(P71&gt;0),Round))*(0.001*IF(Model_Type="LA_PQIS",0.0833,(1/12)))</f>
        <v>1532.8759711094583</v>
      </c>
      <c r="R71" s="14">
        <f t="shared" ref="R71:R134" ca="1" si="68">IF(AND(B71,ADB_Flag="Y",age&lt;=ADB_MAX_AGE,age&gt;=ADB_MIN_AGE,E71&lt;=age+pt),sa_adb,0)</f>
        <v>0</v>
      </c>
      <c r="S71" s="14">
        <f t="shared" ref="S71:S134" ca="1" si="69">ROUND((adb_rate*(1+adb_emr)+adb_rpm)*R71*(0.001*IF(Model_Type="LA_PQIS",0.0833,(1/12)))*Flag_Mort_Rider_Charge*IF(age+H71-1&lt;=Max_Maturity_Age,1,0),Round)</f>
        <v>0</v>
      </c>
      <c r="T71" s="14">
        <f>IFERROR(IF(WoP_Flag="Y",IF(fq=1,VLOOKUP(ppt*fq-H71,Charges!$AN$41:$AO$59,2,FALSE),IF(fq=2,VLOOKUP(ppt*fq-G71,Charges!$AP$41:$AQ$79,2,FALSE),VLOOKUP(ppt*fq-D71,Charges!$AR$41:$AS$279,2,FALSE)))*pr/fq,0),0)</f>
        <v>0</v>
      </c>
      <c r="U71" s="14">
        <f t="shared" ref="U71:U134" ca="1" si="70">IFERROR(((T71*(VLOOKUP(age_2+H71-1,Tab_Mort_Charge,IF(Gender_2="M",2,3),FALSE)*(1+_emr2)+_rpm2)/IF(Model_Type="LA_PQIS",1000/0.0833,(12*1000))))*Flag_Mort_Rider_Charge*(T71&gt;0),0)</f>
        <v>0</v>
      </c>
      <c r="V71" s="34">
        <f>ROUND(MIN(IF(H71&gt;=7,Charges!$C$12*(1+Charges!$C$14)^((H71-7+1)),VLOOKUP(H71,Charges!$B$7:$C$12,2,0))*pr,Charges!$C$13)*B71,Round)</f>
        <v>500</v>
      </c>
      <c r="W71" s="14">
        <f t="shared" ref="W71:W134" ca="1" si="71">+(AD70+L71-(N71+Q71+S71+U71+V71+BG71*IF(Model_Type="La_PQIS",1,0)+BH71+BK71+BJ71+BI71+BM71*IF(Model_Type="La_PQIS",1,0)))*B71</f>
        <v>1813433.1296361461</v>
      </c>
      <c r="X71" s="14">
        <f t="shared" ref="X71:X134" ca="1" si="72">W71*(1+$F$3)</f>
        <v>1825100.812994703</v>
      </c>
      <c r="Y71" s="213">
        <f t="shared" ca="1" si="47"/>
        <v>2054.3558078236315</v>
      </c>
      <c r="Z71" s="14">
        <f t="shared" ref="Z71:Z134" ca="1" si="73">X71-(Y71+BL71)</f>
        <v>1822676.6731414711</v>
      </c>
      <c r="AA71" s="14">
        <f>IF(AND($H71=pt,$F71=11),SUM($K$7:K71)*VLOOKUP(pt,ROC,2,FALSE),0)</f>
        <v>0</v>
      </c>
      <c r="AB71" s="14">
        <f>IF(AND($H71=pt,$F71=11),SUM($V$7:V71)*VLOOKUP(pt,ROC,2,FALSE),0)</f>
        <v>0</v>
      </c>
      <c r="AC71" s="14">
        <f>IF(AND($H71=pt,$F71=11),SUM($Q$7:Q71)*VLOOKUP(pt,ROC,2,FALSE),0)</f>
        <v>0</v>
      </c>
      <c r="AD71" s="14">
        <f t="shared" ref="AD71:AD134" ca="1" si="74">Z71+AA71+AB71+AC71</f>
        <v>1822676.6731414711</v>
      </c>
      <c r="AE71" s="14">
        <f ca="1">(MAX(sa-CF70*Flag_UL_Type,105%*SUM($I$7:I71),Z71)+AU71)*B71</f>
        <v>3000000</v>
      </c>
      <c r="AF71" s="136"/>
      <c r="AG71" s="18">
        <v>65</v>
      </c>
      <c r="AH71" s="30">
        <f t="shared" ref="AH71:AH134" ca="1" si="75">(I71+AJ71)-IF(AG71=pt*12+1,AD70,0)-IF(AG71=pt*12+1,AR70,0)-N71</f>
        <v>0</v>
      </c>
      <c r="AI71" s="138"/>
      <c r="AJ71" s="50">
        <f>IF(AND(Option_Sys_TopUp&gt;="Y",H71&gt;=sytp,H71&lt;=(dtp+sytp-1),F71=0,H71&lt;=ppt+1),atp,0)+IFERROR(VLOOKUP(H71,Input!$B$55:$C$61,2,0),0)*(F71=0)*(Option_TopUP="Y")*(Option_Sys_TopUp="N")*B71*(pt&gt;=H71+5)</f>
        <v>0</v>
      </c>
      <c r="AK71" s="50">
        <f t="shared" ref="AK71:AK134" si="76">ROUND(allctp*AJ71,0)</f>
        <v>0</v>
      </c>
      <c r="AL71" s="50">
        <f t="shared" si="48"/>
        <v>0</v>
      </c>
      <c r="AM71" s="50">
        <f t="shared" ca="1" si="49"/>
        <v>0</v>
      </c>
      <c r="AN71" s="50">
        <f ca="1">IF(B71=0,0,AT71*(_rpm1+(1+_emr1)*VLOOKUP(E71,Tab_Mort_Charge,IF(Input!$C$12="M",2,3),0))*(0.001*0.0833)*Flag_Mort_Rider_Charge*(AT71&gt;0))</f>
        <v>0</v>
      </c>
      <c r="AO71" s="50">
        <f t="shared" ref="AO71:AO134" ca="1" si="77">AM71-AN71-BM71*1-BN71*1</f>
        <v>0</v>
      </c>
      <c r="AP71" s="50">
        <f t="shared" ca="1" si="58"/>
        <v>0</v>
      </c>
      <c r="AQ71" s="50">
        <f t="shared" ref="AQ71:AQ134" ca="1" si="78">AP71*$Y$2</f>
        <v>0</v>
      </c>
      <c r="AR71" s="50">
        <f t="shared" ref="AR71:AR134" ca="1" si="79">AP71-(AQ71+BO71)</f>
        <v>0</v>
      </c>
      <c r="AS71" s="50">
        <f t="shared" ref="AS71:AS134" si="80">(AJ71*TOPUP_Cover_Level+AS70)*B71</f>
        <v>0</v>
      </c>
      <c r="AT71" s="50">
        <f ca="1">(MAX((MAX(AS71,105%*SUM($AJ$7:AJ71))-AM71*Flag_UL_Type),0)*B71)</f>
        <v>0</v>
      </c>
      <c r="AU71" s="50">
        <f ca="1">(MAX(AS71,AR71,105%*SUM($AJ$7:AJ71))*B71)</f>
        <v>0</v>
      </c>
      <c r="AV71" s="125"/>
      <c r="AW71" s="13"/>
      <c r="AX71" s="13"/>
      <c r="AY71" s="13"/>
      <c r="AZ71" s="13"/>
      <c r="BA71" s="13"/>
      <c r="BG71" s="51">
        <f t="shared" ref="BG71:BG134" si="81">ROUND(K71*Service_Tax_Rate*Flag_Service_Tax,Round)+ROUND(K71*Cess1_Rate*Flag_Service_Tax,Round)+ROUND(K71*Cess2_Rate*Flag_Service_Tax,Round)</f>
        <v>0</v>
      </c>
      <c r="BH71" s="51">
        <f t="shared" ref="BH71:BH134" ca="1" si="82">ROUND(Q71*Service_Tax_Rate*Flag_Service_Tax,Round)+ROUND(Q71*Cess1_Rate*Flag_Service_Tax,Round)+ROUND(Q71*Cess2_Rate*Flag_Service_Tax,Round)</f>
        <v>275.91767479970201</v>
      </c>
      <c r="BI71" s="51">
        <f t="shared" ref="BI71:BI134" ca="1" si="83">ROUND(S71*Service_Tax_Rate*Flag_Service_Tax,Round)+ROUND(S71*Cess1_Rate*Flag_Service_Tax,Round)+ROUND(S71*Cess2_Rate*Flag_Service_Tax,Round)</f>
        <v>0</v>
      </c>
      <c r="BJ71" s="51">
        <f t="shared" ref="BJ71:BJ134" ca="1" si="84">ROUND(U71*Service_Tax_Rate*Flag_Service_Tax,Round)+ROUND(U71*Cess1_Rate*Flag_Service_Tax,Round)+ROUND(U71*Cess2_Rate*Flag_Service_Tax,2)</f>
        <v>0</v>
      </c>
      <c r="BK71" s="51">
        <f t="shared" ref="BK71:BK134" si="85">ROUND(V71*Service_Tax_Rate*Flag_Service_Tax,Round)+ROUND(V71*Cess1_Rate*Flag_Service_Tax,Round)+ROUND(V71*Cess2_Rate*Flag_Service_Tax,Round)</f>
        <v>90</v>
      </c>
      <c r="BL71" s="51">
        <f t="shared" ref="BL71:BL134" ca="1" si="86">Y71*Service_Tax_Rate*Flag_Service_Tax+Y71*Cess1_Rate*Flag_Service_Tax+Y71*Cess2_Rate*Flag_Service_Tax</f>
        <v>369.78404540825363</v>
      </c>
      <c r="BM71" s="51">
        <f t="shared" ref="BM71:BM134" si="87">ROUND(AK71*Service_Tax_Rate*Flag_Service_Tax,Round)+ROUND(AK71*Cess1_Rate*Flag_Service_Tax,Round)+ROUND(AK71*Cess2_Rate*Flag_Service_Tax,Round)</f>
        <v>0</v>
      </c>
      <c r="BN71" s="51">
        <f t="shared" ref="BN71:BN134" ca="1" si="88">ROUND(AN71*Service_Tax_Rate*Flag_Service_Tax,Round)+ROUND(AN71*Cess1_Rate*Flag_Service_Tax,Round)+ROUND(AN71*Cess2_Rate*Flag_Service_Tax,Round)</f>
        <v>0</v>
      </c>
      <c r="BO71" s="51">
        <f t="shared" ref="BO71:BO134" ca="1" si="89">AQ71*Service_Tax_Rate*Flag_Service_Tax+AQ71*Cess1_Rate*Flag_Service_Tax+AQ71*Cess2_Rate*Flag_Service_Tax</f>
        <v>0</v>
      </c>
      <c r="BP71" s="51">
        <f t="shared" ref="BP71:BP134" ca="1" si="90">SUM(BG71:BO71)</f>
        <v>735.70172020795565</v>
      </c>
      <c r="BR71" s="32"/>
      <c r="BS71" s="126"/>
      <c r="BT71" s="16"/>
      <c r="BU71" s="58"/>
      <c r="BW71" s="51">
        <f>IF(Input!$C$13="Offline",VLOOKUP(H71,Charges!$AT$4:$AU$33,2,FALSE)*I71,0)</f>
        <v>0</v>
      </c>
      <c r="BX71" s="51">
        <f t="shared" ref="BX71:BX134" si="91">AJ71*Commission_TOPUP</f>
        <v>0</v>
      </c>
      <c r="BY71" s="51">
        <f t="shared" si="51"/>
        <v>0</v>
      </c>
      <c r="BZ71" s="151"/>
      <c r="CA71" s="151"/>
      <c r="CB71" s="32"/>
      <c r="CC71" s="16">
        <f ca="1">SUM($N$7:$N71)</f>
        <v>0</v>
      </c>
      <c r="CD71" s="16">
        <f t="shared" ref="CD71:CD134" ca="1" si="92">IF(AND((B71=1)*(H71&gt;Lock_In_Period)),CC71-INDEX($CC$7:$CC$367,D71-24,1),0)*(E71&lt;60)</f>
        <v>0</v>
      </c>
      <c r="CE71" s="16">
        <f t="shared" ref="CE71:CE134" ca="1" si="93">(B71=1)*(H71&gt;Lock_In_Period)*(E71&gt;=60)*IFERROR((CC71-INDEX($CC$7:$CC$367,D71-24,1)),0)</f>
        <v>0</v>
      </c>
      <c r="CF71" s="7">
        <f t="shared" ref="CF71:CF134" ca="1" si="94">IF(E71&lt;60,CD71,CE71)</f>
        <v>0</v>
      </c>
      <c r="CH71" s="7">
        <f t="shared" ref="CH71:CH134" ca="1" si="95">IF(Z70&gt;(IF(option="SP",1/5*pr,2*pr)),0,1)*(H71&gt;=SPW_Start_Year)*B71</f>
        <v>0</v>
      </c>
    </row>
    <row r="72" spans="2:86" s="7" customFormat="1" x14ac:dyDescent="0.2">
      <c r="B72" s="14">
        <f t="shared" si="59"/>
        <v>1</v>
      </c>
      <c r="C72" s="12">
        <f t="shared" si="60"/>
        <v>1</v>
      </c>
      <c r="D72" s="17">
        <f t="shared" si="52"/>
        <v>66</v>
      </c>
      <c r="E72" s="17">
        <f t="shared" ca="1" si="61"/>
        <v>65</v>
      </c>
      <c r="F72" s="12">
        <f t="shared" si="56"/>
        <v>5</v>
      </c>
      <c r="G72" s="12">
        <f t="shared" si="55"/>
        <v>11</v>
      </c>
      <c r="H72" s="17">
        <f t="shared" si="57"/>
        <v>6</v>
      </c>
      <c r="I72" s="29">
        <f t="shared" si="62"/>
        <v>0</v>
      </c>
      <c r="J72" s="211">
        <f>IFERROR(VLOOKUP(H72,Charges!$T$6:$U$35,2,0)*C72,0)</f>
        <v>0.98</v>
      </c>
      <c r="K72" s="29">
        <f t="shared" si="63"/>
        <v>0</v>
      </c>
      <c r="L72" s="29">
        <f t="shared" si="64"/>
        <v>0</v>
      </c>
      <c r="M72" s="147">
        <f t="shared" ca="1" si="65"/>
        <v>0</v>
      </c>
      <c r="N72" s="148">
        <f ca="1">IF(AND(Option_SPW="Y",H72&gt;=Lock_In_Period,Z71&gt;SPW_Amount_pa+IF(option="Single",1/5*pr,2*pr),H72&gt;=SPW_Start_Year,H72&lt;=SPW_Start_Year+SPW_Duration-1,age+H72&gt;=Legal_Age),IF(AND(F72=0,SPW_Payout_Freq=1),SPW_Amount_pa,IF(AND(SPW_Payout_Freq=2,MOD(F72,6)=0),SPW_Amount_pa/SPW_Payout_Freq,IF(AND(SPW_Payout_Freq=4,MOD(F72,3)=0),SPW_Amount_pa/SPW_Payout_Freq,IF(SPW_Payout_Freq=12,SPW_Amount_pa/SPW_Payout_Freq,0)))),0)+IFERROR(VLOOKUP(H72,Input!$B$68:$C$74,2,0),0)*(F72=0)*(Option_PW="Y")*(Option_SPW="N")*(age+H72&gt;=Legal_Age)</f>
        <v>0</v>
      </c>
      <c r="O72" s="148">
        <f t="shared" ca="1" si="66"/>
        <v>0</v>
      </c>
      <c r="P72" s="14">
        <f ca="1">(MAX(MAX(sa-CF71*Flag_UL_Type,105%*SUM($I$7:I72))-(AD71+L72-N72)*Flag_UL_Type,0)*B72)</f>
        <v>1177323.3268585289</v>
      </c>
      <c r="Q72" s="213">
        <f t="shared" ca="1" si="67"/>
        <v>1524.0156135351915</v>
      </c>
      <c r="R72" s="14">
        <f t="shared" ca="1" si="68"/>
        <v>0</v>
      </c>
      <c r="S72" s="14">
        <f t="shared" ca="1" si="69"/>
        <v>0</v>
      </c>
      <c r="T72" s="14">
        <f>IFERROR(IF(WoP_Flag="Y",IF(fq=1,VLOOKUP(ppt*fq-H72,Charges!$AN$41:$AO$59,2,FALSE),IF(fq=2,VLOOKUP(ppt*fq-G72,Charges!$AP$41:$AQ$79,2,FALSE),VLOOKUP(ppt*fq-D72,Charges!$AR$41:$AS$279,2,FALSE)))*pr/fq,0),0)</f>
        <v>0</v>
      </c>
      <c r="U72" s="14">
        <f t="shared" ca="1" si="70"/>
        <v>0</v>
      </c>
      <c r="V72" s="34">
        <f>ROUND(MIN(IF(H72&gt;=7,Charges!$C$12*(1+Charges!$C$14)^((H72-7+1)),VLOOKUP(H72,Charges!$B$7:$C$12,2,0))*pr,Charges!$C$13)*B72,Round)</f>
        <v>500</v>
      </c>
      <c r="W72" s="14">
        <f t="shared" ca="1" si="71"/>
        <v>1820288.3347174996</v>
      </c>
      <c r="X72" s="14">
        <f t="shared" ca="1" si="72"/>
        <v>1832000.12467196</v>
      </c>
      <c r="Y72" s="213">
        <f t="shared" ref="Y72:Y135" ca="1" si="96">X72*$Y$2</f>
        <v>2062.1217574704901</v>
      </c>
      <c r="Z72" s="14">
        <f t="shared" ca="1" si="73"/>
        <v>1829566.8209981448</v>
      </c>
      <c r="AA72" s="14">
        <f>IF(AND($H72=pt,$F72=11),SUM($K$7:K72)*VLOOKUP(pt,ROC,2,FALSE),0)</f>
        <v>0</v>
      </c>
      <c r="AB72" s="14">
        <f>IF(AND($H72=pt,$F72=11),SUM($V$7:V72)*VLOOKUP(pt,ROC,2,FALSE),0)</f>
        <v>0</v>
      </c>
      <c r="AC72" s="14">
        <f>IF(AND($H72=pt,$F72=11),SUM($Q$7:Q72)*VLOOKUP(pt,ROC,2,FALSE),0)</f>
        <v>0</v>
      </c>
      <c r="AD72" s="14">
        <f t="shared" ca="1" si="74"/>
        <v>1829566.8209981448</v>
      </c>
      <c r="AE72" s="14">
        <f ca="1">(MAX(sa-CF71*Flag_UL_Type,105%*SUM($I$7:I72),Z72)+AU72)*B72</f>
        <v>3000000</v>
      </c>
      <c r="AF72" s="136"/>
      <c r="AG72" s="18">
        <v>66</v>
      </c>
      <c r="AH72" s="30">
        <f t="shared" ca="1" si="75"/>
        <v>0</v>
      </c>
      <c r="AI72" s="138"/>
      <c r="AJ72" s="50">
        <f>IF(AND(Option_Sys_TopUp&gt;="Y",H72&gt;=sytp,H72&lt;=(dtp+sytp-1),F72=0,H72&lt;=ppt+1),atp,0)+IFERROR(VLOOKUP(H72,Input!$B$55:$C$61,2,0),0)*(F72=0)*(Option_TopUP="Y")*(Option_Sys_TopUp="N")*B72*(pt&gt;=H72+5)</f>
        <v>0</v>
      </c>
      <c r="AK72" s="50">
        <f t="shared" si="76"/>
        <v>0</v>
      </c>
      <c r="AL72" s="50">
        <f t="shared" ref="AL72:AL135" si="97">AJ72-(AK72+BM72*0)</f>
        <v>0</v>
      </c>
      <c r="AM72" s="50">
        <f t="shared" ref="AM72:AM135" ca="1" si="98">AR71+AL72</f>
        <v>0</v>
      </c>
      <c r="AN72" s="50">
        <f ca="1">IF(B72=0,0,AT72*(_rpm1+(1+_emr1)*VLOOKUP(E72,Tab_Mort_Charge,IF(Input!$C$12="M",2,3),0))*(0.001*0.0833)*Flag_Mort_Rider_Charge*(AT72&gt;0))</f>
        <v>0</v>
      </c>
      <c r="AO72" s="50">
        <f t="shared" ca="1" si="77"/>
        <v>0</v>
      </c>
      <c r="AP72" s="50">
        <f t="shared" ref="AP72:AP90" ca="1" si="99">(AL72+AR71)*(1+$F$3)*B72</f>
        <v>0</v>
      </c>
      <c r="AQ72" s="50">
        <f t="shared" ca="1" si="78"/>
        <v>0</v>
      </c>
      <c r="AR72" s="50">
        <f t="shared" ca="1" si="79"/>
        <v>0</v>
      </c>
      <c r="AS72" s="50">
        <f t="shared" si="80"/>
        <v>0</v>
      </c>
      <c r="AT72" s="50">
        <f ca="1">(MAX((MAX(AS72,105%*SUM($AJ$7:AJ72))-AM72*Flag_UL_Type),0)*B72)</f>
        <v>0</v>
      </c>
      <c r="AU72" s="50">
        <f ca="1">(MAX(AS72,AR72,105%*SUM($AJ$7:AJ72))*B72)</f>
        <v>0</v>
      </c>
      <c r="AV72" s="125"/>
      <c r="AW72" s="13"/>
      <c r="AX72" s="13"/>
      <c r="AY72" s="13"/>
      <c r="AZ72" s="13"/>
      <c r="BA72" s="13"/>
      <c r="BG72" s="51">
        <f t="shared" si="81"/>
        <v>0</v>
      </c>
      <c r="BH72" s="51">
        <f t="shared" ca="1" si="82"/>
        <v>274.32281043633401</v>
      </c>
      <c r="BI72" s="51">
        <f t="shared" ca="1" si="83"/>
        <v>0</v>
      </c>
      <c r="BJ72" s="51">
        <f t="shared" ca="1" si="84"/>
        <v>0</v>
      </c>
      <c r="BK72" s="51">
        <f t="shared" si="85"/>
        <v>90</v>
      </c>
      <c r="BL72" s="51">
        <f t="shared" ca="1" si="86"/>
        <v>371.1819163446882</v>
      </c>
      <c r="BM72" s="51">
        <f t="shared" si="87"/>
        <v>0</v>
      </c>
      <c r="BN72" s="51">
        <f t="shared" ca="1" si="88"/>
        <v>0</v>
      </c>
      <c r="BO72" s="51">
        <f t="shared" ca="1" si="89"/>
        <v>0</v>
      </c>
      <c r="BP72" s="51">
        <f t="shared" ca="1" si="90"/>
        <v>735.50472678102221</v>
      </c>
      <c r="BR72" s="32"/>
      <c r="BS72" s="126"/>
      <c r="BT72" s="16"/>
      <c r="BU72" s="58"/>
      <c r="BW72" s="51">
        <f>IF(Input!$C$13="Offline",VLOOKUP(H72,Charges!$AT$4:$AU$33,2,FALSE)*I72,0)</f>
        <v>0</v>
      </c>
      <c r="BX72" s="51">
        <f t="shared" si="91"/>
        <v>0</v>
      </c>
      <c r="BY72" s="51">
        <f t="shared" ref="BY72:BY135" si="100">SUM(BW72:BX72)</f>
        <v>0</v>
      </c>
      <c r="BZ72" s="151"/>
      <c r="CA72" s="151"/>
      <c r="CB72" s="32"/>
      <c r="CC72" s="16">
        <f ca="1">SUM($N$7:$N72)</f>
        <v>0</v>
      </c>
      <c r="CD72" s="16">
        <f t="shared" ca="1" si="92"/>
        <v>0</v>
      </c>
      <c r="CE72" s="16">
        <f t="shared" ca="1" si="93"/>
        <v>0</v>
      </c>
      <c r="CF72" s="7">
        <f t="shared" ca="1" si="94"/>
        <v>0</v>
      </c>
      <c r="CH72" s="7">
        <f t="shared" ca="1" si="95"/>
        <v>0</v>
      </c>
    </row>
    <row r="73" spans="2:86" s="7" customFormat="1" x14ac:dyDescent="0.2">
      <c r="B73" s="14">
        <f t="shared" si="59"/>
        <v>1</v>
      </c>
      <c r="C73" s="12">
        <f t="shared" si="60"/>
        <v>1</v>
      </c>
      <c r="D73" s="17">
        <f t="shared" ref="D73:D136" si="101">D72+1</f>
        <v>67</v>
      </c>
      <c r="E73" s="17">
        <f t="shared" ca="1" si="61"/>
        <v>65</v>
      </c>
      <c r="F73" s="12">
        <f t="shared" si="56"/>
        <v>6</v>
      </c>
      <c r="G73" s="12">
        <f t="shared" si="55"/>
        <v>12</v>
      </c>
      <c r="H73" s="17">
        <f t="shared" si="57"/>
        <v>6</v>
      </c>
      <c r="I73" s="29">
        <f t="shared" si="62"/>
        <v>0</v>
      </c>
      <c r="J73" s="211">
        <f>IFERROR(VLOOKUP(H73,Charges!$T$6:$U$35,2,0)*C73,0)</f>
        <v>0.98</v>
      </c>
      <c r="K73" s="29">
        <f t="shared" si="63"/>
        <v>0</v>
      </c>
      <c r="L73" s="29">
        <f t="shared" si="64"/>
        <v>0</v>
      </c>
      <c r="M73" s="147">
        <f t="shared" ca="1" si="65"/>
        <v>0</v>
      </c>
      <c r="N73" s="148">
        <f ca="1">IF(AND(Option_SPW="Y",H73&gt;=Lock_In_Period,Z72&gt;SPW_Amount_pa+IF(option="Single",1/5*pr,2*pr),H73&gt;=SPW_Start_Year,H73&lt;=SPW_Start_Year+SPW_Duration-1,age+H73&gt;=Legal_Age),IF(AND(F73=0,SPW_Payout_Freq=1),SPW_Amount_pa,IF(AND(SPW_Payout_Freq=2,MOD(F73,6)=0),SPW_Amount_pa/SPW_Payout_Freq,IF(AND(SPW_Payout_Freq=4,MOD(F73,3)=0),SPW_Amount_pa/SPW_Payout_Freq,IF(SPW_Payout_Freq=12,SPW_Amount_pa/SPW_Payout_Freq,0)))),0)+IFERROR(VLOOKUP(H73,Input!$B$68:$C$74,2,0),0)*(F73=0)*(Option_PW="Y")*(Option_SPW="N")*(age+H73&gt;=Legal_Age)</f>
        <v>0</v>
      </c>
      <c r="O73" s="148">
        <f t="shared" ca="1" si="66"/>
        <v>0</v>
      </c>
      <c r="P73" s="14">
        <f ca="1">(MAX(MAX(sa-CF72*Flag_UL_Type,105%*SUM($I$7:I73))-(AD72+L73-N73)*Flag_UL_Type,0)*B73)</f>
        <v>1170433.1790018552</v>
      </c>
      <c r="Q73" s="213">
        <f t="shared" ca="1" si="67"/>
        <v>1515.0964893884247</v>
      </c>
      <c r="R73" s="14">
        <f t="shared" ca="1" si="68"/>
        <v>0</v>
      </c>
      <c r="S73" s="14">
        <f t="shared" ca="1" si="69"/>
        <v>0</v>
      </c>
      <c r="T73" s="14">
        <f>IFERROR(IF(WoP_Flag="Y",IF(fq=1,VLOOKUP(ppt*fq-H73,Charges!$AN$41:$AO$59,2,FALSE),IF(fq=2,VLOOKUP(ppt*fq-G73,Charges!$AP$41:$AQ$79,2,FALSE),VLOOKUP(ppt*fq-D73,Charges!$AR$41:$AS$279,2,FALSE)))*pr/fq,0),0)</f>
        <v>0</v>
      </c>
      <c r="U73" s="14">
        <f t="shared" ca="1" si="70"/>
        <v>0</v>
      </c>
      <c r="V73" s="34">
        <f>ROUND(MIN(IF(H73&gt;=7,Charges!$C$12*(1+Charges!$C$14)^((H73-7+1)),VLOOKUP(H73,Charges!$B$7:$C$12,2,0))*pr,Charges!$C$13)*B73,Round)</f>
        <v>500</v>
      </c>
      <c r="W73" s="14">
        <f t="shared" ca="1" si="71"/>
        <v>1827189.0071406665</v>
      </c>
      <c r="X73" s="14">
        <f t="shared" ca="1" si="72"/>
        <v>1838945.1962292767</v>
      </c>
      <c r="Y73" s="213">
        <f t="shared" ca="1" si="96"/>
        <v>2069.9392149982823</v>
      </c>
      <c r="Z73" s="14">
        <f t="shared" ca="1" si="73"/>
        <v>1836502.6679555788</v>
      </c>
      <c r="AA73" s="14">
        <f>IF(AND($H73=pt,$F73=11),SUM($K$7:K73)*VLOOKUP(pt,ROC,2,FALSE),0)</f>
        <v>0</v>
      </c>
      <c r="AB73" s="14">
        <f>IF(AND($H73=pt,$F73=11),SUM($V$7:V73)*VLOOKUP(pt,ROC,2,FALSE),0)</f>
        <v>0</v>
      </c>
      <c r="AC73" s="14">
        <f>IF(AND($H73=pt,$F73=11),SUM($Q$7:Q73)*VLOOKUP(pt,ROC,2,FALSE),0)</f>
        <v>0</v>
      </c>
      <c r="AD73" s="14">
        <f t="shared" ca="1" si="74"/>
        <v>1836502.6679555788</v>
      </c>
      <c r="AE73" s="14">
        <f ca="1">(MAX(sa-CF72*Flag_UL_Type,105%*SUM($I$7:I73),Z73)+AU73)*B73</f>
        <v>3000000</v>
      </c>
      <c r="AF73" s="136"/>
      <c r="AG73" s="18">
        <v>67</v>
      </c>
      <c r="AH73" s="30">
        <f t="shared" ca="1" si="75"/>
        <v>0</v>
      </c>
      <c r="AI73" s="138"/>
      <c r="AJ73" s="50">
        <f>IF(AND(Option_Sys_TopUp&gt;="Y",H73&gt;=sytp,H73&lt;=(dtp+sytp-1),F73=0,H73&lt;=ppt+1),atp,0)+IFERROR(VLOOKUP(H73,Input!$B$55:$C$61,2,0),0)*(F73=0)*(Option_TopUP="Y")*(Option_Sys_TopUp="N")*B73*(pt&gt;=H73+5)</f>
        <v>0</v>
      </c>
      <c r="AK73" s="50">
        <f t="shared" si="76"/>
        <v>0</v>
      </c>
      <c r="AL73" s="50">
        <f t="shared" si="97"/>
        <v>0</v>
      </c>
      <c r="AM73" s="50">
        <f t="shared" ca="1" si="98"/>
        <v>0</v>
      </c>
      <c r="AN73" s="50">
        <f ca="1">IF(B73=0,0,AT73*(_rpm1+(1+_emr1)*VLOOKUP(E73,Tab_Mort_Charge,IF(Input!$C$12="M",2,3),0))*(0.001*0.0833)*Flag_Mort_Rider_Charge*(AT73&gt;0))</f>
        <v>0</v>
      </c>
      <c r="AO73" s="50">
        <f t="shared" ca="1" si="77"/>
        <v>0</v>
      </c>
      <c r="AP73" s="50">
        <f t="shared" ca="1" si="99"/>
        <v>0</v>
      </c>
      <c r="AQ73" s="50">
        <f t="shared" ca="1" si="78"/>
        <v>0</v>
      </c>
      <c r="AR73" s="50">
        <f t="shared" ca="1" si="79"/>
        <v>0</v>
      </c>
      <c r="AS73" s="50">
        <f t="shared" si="80"/>
        <v>0</v>
      </c>
      <c r="AT73" s="50">
        <f ca="1">(MAX((MAX(AS73,105%*SUM($AJ$7:AJ73))-AM73*Flag_UL_Type),0)*B73)</f>
        <v>0</v>
      </c>
      <c r="AU73" s="50">
        <f ca="1">(MAX(AS73,AR73,105%*SUM($AJ$7:AJ73))*B73)</f>
        <v>0</v>
      </c>
      <c r="AV73" s="125"/>
      <c r="AW73" s="13"/>
      <c r="AX73" s="13"/>
      <c r="AY73" s="13"/>
      <c r="AZ73" s="13"/>
      <c r="BA73" s="13"/>
      <c r="BG73" s="51">
        <f t="shared" si="81"/>
        <v>0</v>
      </c>
      <c r="BH73" s="51">
        <f t="shared" ca="1" si="82"/>
        <v>272.71736808991602</v>
      </c>
      <c r="BI73" s="51">
        <f t="shared" ca="1" si="83"/>
        <v>0</v>
      </c>
      <c r="BJ73" s="51">
        <f t="shared" ca="1" si="84"/>
        <v>0</v>
      </c>
      <c r="BK73" s="51">
        <f t="shared" si="85"/>
        <v>90</v>
      </c>
      <c r="BL73" s="51">
        <f t="shared" ca="1" si="86"/>
        <v>372.58905869969078</v>
      </c>
      <c r="BM73" s="51">
        <f t="shared" si="87"/>
        <v>0</v>
      </c>
      <c r="BN73" s="51">
        <f t="shared" ca="1" si="88"/>
        <v>0</v>
      </c>
      <c r="BO73" s="51">
        <f t="shared" ca="1" si="89"/>
        <v>0</v>
      </c>
      <c r="BP73" s="51">
        <f t="shared" ca="1" si="90"/>
        <v>735.3064267896068</v>
      </c>
      <c r="BR73" s="32"/>
      <c r="BS73" s="126"/>
      <c r="BT73" s="16"/>
      <c r="BU73" s="58"/>
      <c r="BW73" s="51">
        <f>IF(Input!$C$13="Offline",VLOOKUP(H73,Charges!$AT$4:$AU$33,2,FALSE)*I73,0)</f>
        <v>0</v>
      </c>
      <c r="BX73" s="51">
        <f t="shared" si="91"/>
        <v>0</v>
      </c>
      <c r="BY73" s="51">
        <f t="shared" si="100"/>
        <v>0</v>
      </c>
      <c r="BZ73" s="151"/>
      <c r="CA73" s="151"/>
      <c r="CB73" s="32"/>
      <c r="CC73" s="16">
        <f ca="1">SUM($N$7:$N73)</f>
        <v>0</v>
      </c>
      <c r="CD73" s="16">
        <f t="shared" ca="1" si="92"/>
        <v>0</v>
      </c>
      <c r="CE73" s="16">
        <f t="shared" ca="1" si="93"/>
        <v>0</v>
      </c>
      <c r="CF73" s="7">
        <f t="shared" ca="1" si="94"/>
        <v>0</v>
      </c>
      <c r="CH73" s="7">
        <f t="shared" ca="1" si="95"/>
        <v>0</v>
      </c>
    </row>
    <row r="74" spans="2:86" s="7" customFormat="1" x14ac:dyDescent="0.2">
      <c r="B74" s="14">
        <f t="shared" si="59"/>
        <v>1</v>
      </c>
      <c r="C74" s="12">
        <f t="shared" si="60"/>
        <v>1</v>
      </c>
      <c r="D74" s="17">
        <f t="shared" si="101"/>
        <v>68</v>
      </c>
      <c r="E74" s="17">
        <f t="shared" ca="1" si="61"/>
        <v>65</v>
      </c>
      <c r="F74" s="12">
        <f t="shared" si="56"/>
        <v>7</v>
      </c>
      <c r="G74" s="12">
        <f t="shared" si="55"/>
        <v>12</v>
      </c>
      <c r="H74" s="17">
        <f t="shared" si="57"/>
        <v>6</v>
      </c>
      <c r="I74" s="29">
        <f t="shared" si="62"/>
        <v>0</v>
      </c>
      <c r="J74" s="211">
        <f>IFERROR(VLOOKUP(H74,Charges!$T$6:$U$35,2,0)*C74,0)</f>
        <v>0.98</v>
      </c>
      <c r="K74" s="29">
        <f t="shared" si="63"/>
        <v>0</v>
      </c>
      <c r="L74" s="29">
        <f t="shared" si="64"/>
        <v>0</v>
      </c>
      <c r="M74" s="147">
        <f t="shared" ca="1" si="65"/>
        <v>0</v>
      </c>
      <c r="N74" s="148">
        <f ca="1">IF(AND(Option_SPW="Y",H74&gt;=Lock_In_Period,Z73&gt;SPW_Amount_pa+IF(option="Single",1/5*pr,2*pr),H74&gt;=SPW_Start_Year,H74&lt;=SPW_Start_Year+SPW_Duration-1,age+H74&gt;=Legal_Age),IF(AND(F74=0,SPW_Payout_Freq=1),SPW_Amount_pa,IF(AND(SPW_Payout_Freq=2,MOD(F74,6)=0),SPW_Amount_pa/SPW_Payout_Freq,IF(AND(SPW_Payout_Freq=4,MOD(F74,3)=0),SPW_Amount_pa/SPW_Payout_Freq,IF(SPW_Payout_Freq=12,SPW_Amount_pa/SPW_Payout_Freq,0)))),0)+IFERROR(VLOOKUP(H74,Input!$B$68:$C$74,2,0),0)*(F74=0)*(Option_PW="Y")*(Option_SPW="N")*(age+H74&gt;=Legal_Age)</f>
        <v>0</v>
      </c>
      <c r="O74" s="148">
        <f t="shared" ca="1" si="66"/>
        <v>0</v>
      </c>
      <c r="P74" s="14">
        <f ca="1">(MAX(MAX(sa-CF73*Flag_UL_Type,105%*SUM($I$7:I74))-(AD73+L74-N74)*Flag_UL_Type,0)*B74)</f>
        <v>1163497.3320444212</v>
      </c>
      <c r="Q74" s="213">
        <f t="shared" ca="1" si="67"/>
        <v>1506.1182088982</v>
      </c>
      <c r="R74" s="14">
        <f t="shared" ca="1" si="68"/>
        <v>0</v>
      </c>
      <c r="S74" s="14">
        <f t="shared" ca="1" si="69"/>
        <v>0</v>
      </c>
      <c r="T74" s="14">
        <f>IFERROR(IF(WoP_Flag="Y",IF(fq=1,VLOOKUP(ppt*fq-H74,Charges!$AN$41:$AO$59,2,FALSE),IF(fq=2,VLOOKUP(ppt*fq-G74,Charges!$AP$41:$AQ$79,2,FALSE),VLOOKUP(ppt*fq-D74,Charges!$AR$41:$AS$279,2,FALSE)))*pr/fq,0),0)</f>
        <v>0</v>
      </c>
      <c r="U74" s="14">
        <f t="shared" ca="1" si="70"/>
        <v>0</v>
      </c>
      <c r="V74" s="34">
        <f>ROUND(MIN(IF(H74&gt;=7,Charges!$C$12*(1+Charges!$C$14)^((H74-7+1)),VLOOKUP(H74,Charges!$B$7:$C$12,2,0))*pr,Charges!$C$13)*B74,Round)</f>
        <v>500</v>
      </c>
      <c r="W74" s="14">
        <f t="shared" ca="1" si="71"/>
        <v>1834135.4484690789</v>
      </c>
      <c r="X74" s="14">
        <f t="shared" ca="1" si="72"/>
        <v>1845936.3311703536</v>
      </c>
      <c r="Y74" s="213">
        <f t="shared" ca="1" si="96"/>
        <v>2077.8085220344856</v>
      </c>
      <c r="Z74" s="14">
        <f t="shared" ca="1" si="73"/>
        <v>1843484.5171143529</v>
      </c>
      <c r="AA74" s="14">
        <f>IF(AND($H74=pt,$F74=11),SUM($K$7:K74)*VLOOKUP(pt,ROC,2,FALSE),0)</f>
        <v>0</v>
      </c>
      <c r="AB74" s="14">
        <f>IF(AND($H74=pt,$F74=11),SUM($V$7:V74)*VLOOKUP(pt,ROC,2,FALSE),0)</f>
        <v>0</v>
      </c>
      <c r="AC74" s="14">
        <f>IF(AND($H74=pt,$F74=11),SUM($Q$7:Q74)*VLOOKUP(pt,ROC,2,FALSE),0)</f>
        <v>0</v>
      </c>
      <c r="AD74" s="14">
        <f t="shared" ca="1" si="74"/>
        <v>1843484.5171143529</v>
      </c>
      <c r="AE74" s="14">
        <f ca="1">(MAX(sa-CF73*Flag_UL_Type,105%*SUM($I$7:I74),Z74)+AU74)*B74</f>
        <v>3000000</v>
      </c>
      <c r="AF74" s="136"/>
      <c r="AG74" s="18">
        <v>68</v>
      </c>
      <c r="AH74" s="30">
        <f t="shared" ca="1" si="75"/>
        <v>0</v>
      </c>
      <c r="AI74" s="138"/>
      <c r="AJ74" s="50">
        <f>IF(AND(Option_Sys_TopUp&gt;="Y",H74&gt;=sytp,H74&lt;=(dtp+sytp-1),F74=0,H74&lt;=ppt+1),atp,0)+IFERROR(VLOOKUP(H74,Input!$B$55:$C$61,2,0),0)*(F74=0)*(Option_TopUP="Y")*(Option_Sys_TopUp="N")*B74*(pt&gt;=H74+5)</f>
        <v>0</v>
      </c>
      <c r="AK74" s="50">
        <f t="shared" si="76"/>
        <v>0</v>
      </c>
      <c r="AL74" s="50">
        <f t="shared" si="97"/>
        <v>0</v>
      </c>
      <c r="AM74" s="50">
        <f t="shared" ca="1" si="98"/>
        <v>0</v>
      </c>
      <c r="AN74" s="50">
        <f ca="1">IF(B74=0,0,AT74*(_rpm1+(1+_emr1)*VLOOKUP(E74,Tab_Mort_Charge,IF(Input!$C$12="M",2,3),0))*(0.001*0.0833)*Flag_Mort_Rider_Charge*(AT74&gt;0))</f>
        <v>0</v>
      </c>
      <c r="AO74" s="50">
        <f t="shared" ca="1" si="77"/>
        <v>0</v>
      </c>
      <c r="AP74" s="50">
        <f t="shared" ca="1" si="99"/>
        <v>0</v>
      </c>
      <c r="AQ74" s="50">
        <f t="shared" ca="1" si="78"/>
        <v>0</v>
      </c>
      <c r="AR74" s="50">
        <f t="shared" ca="1" si="79"/>
        <v>0</v>
      </c>
      <c r="AS74" s="50">
        <f t="shared" si="80"/>
        <v>0</v>
      </c>
      <c r="AT74" s="50">
        <f ca="1">(MAX((MAX(AS74,105%*SUM($AJ$7:AJ74))-AM74*Flag_UL_Type),0)*B74)</f>
        <v>0</v>
      </c>
      <c r="AU74" s="50">
        <f ca="1">(MAX(AS74,AR74,105%*SUM($AJ$7:AJ74))*B74)</f>
        <v>0</v>
      </c>
      <c r="AV74" s="125"/>
      <c r="AW74" s="13"/>
      <c r="AX74" s="13"/>
      <c r="AY74" s="13"/>
      <c r="AZ74" s="13"/>
      <c r="BA74" s="13"/>
      <c r="BG74" s="51">
        <f t="shared" si="81"/>
        <v>0</v>
      </c>
      <c r="BH74" s="51">
        <f t="shared" ca="1" si="82"/>
        <v>271.10127760167597</v>
      </c>
      <c r="BI74" s="51">
        <f t="shared" ca="1" si="83"/>
        <v>0</v>
      </c>
      <c r="BJ74" s="51">
        <f t="shared" ca="1" si="84"/>
        <v>0</v>
      </c>
      <c r="BK74" s="51">
        <f t="shared" si="85"/>
        <v>90</v>
      </c>
      <c r="BL74" s="51">
        <f t="shared" ca="1" si="86"/>
        <v>374.00553396620739</v>
      </c>
      <c r="BM74" s="51">
        <f t="shared" si="87"/>
        <v>0</v>
      </c>
      <c r="BN74" s="51">
        <f t="shared" ca="1" si="88"/>
        <v>0</v>
      </c>
      <c r="BO74" s="51">
        <f t="shared" ca="1" si="89"/>
        <v>0</v>
      </c>
      <c r="BP74" s="51">
        <f t="shared" ca="1" si="90"/>
        <v>735.10681156788337</v>
      </c>
      <c r="BR74" s="32"/>
      <c r="BS74" s="126"/>
      <c r="BT74" s="16"/>
      <c r="BU74" s="58"/>
      <c r="BW74" s="51">
        <f>IF(Input!$C$13="Offline",VLOOKUP(H74,Charges!$AT$4:$AU$33,2,FALSE)*I74,0)</f>
        <v>0</v>
      </c>
      <c r="BX74" s="51">
        <f t="shared" si="91"/>
        <v>0</v>
      </c>
      <c r="BY74" s="51">
        <f t="shared" si="100"/>
        <v>0</v>
      </c>
      <c r="BZ74" s="151"/>
      <c r="CA74" s="151"/>
      <c r="CB74" s="32"/>
      <c r="CC74" s="16">
        <f ca="1">SUM($N$7:$N74)</f>
        <v>0</v>
      </c>
      <c r="CD74" s="16">
        <f t="shared" ca="1" si="92"/>
        <v>0</v>
      </c>
      <c r="CE74" s="16">
        <f t="shared" ca="1" si="93"/>
        <v>0</v>
      </c>
      <c r="CF74" s="7">
        <f t="shared" ca="1" si="94"/>
        <v>0</v>
      </c>
      <c r="CH74" s="7">
        <f t="shared" ca="1" si="95"/>
        <v>0</v>
      </c>
    </row>
    <row r="75" spans="2:86" s="7" customFormat="1" x14ac:dyDescent="0.2">
      <c r="B75" s="14">
        <f t="shared" si="59"/>
        <v>1</v>
      </c>
      <c r="C75" s="12">
        <f t="shared" si="60"/>
        <v>1</v>
      </c>
      <c r="D75" s="17">
        <f t="shared" si="101"/>
        <v>69</v>
      </c>
      <c r="E75" s="17">
        <f t="shared" ca="1" si="61"/>
        <v>65</v>
      </c>
      <c r="F75" s="12">
        <f t="shared" si="56"/>
        <v>8</v>
      </c>
      <c r="G75" s="12">
        <f t="shared" si="55"/>
        <v>12</v>
      </c>
      <c r="H75" s="17">
        <f t="shared" si="57"/>
        <v>6</v>
      </c>
      <c r="I75" s="29">
        <f t="shared" si="62"/>
        <v>0</v>
      </c>
      <c r="J75" s="211">
        <f>IFERROR(VLOOKUP(H75,Charges!$T$6:$U$35,2,0)*C75,0)</f>
        <v>0.98</v>
      </c>
      <c r="K75" s="29">
        <f t="shared" si="63"/>
        <v>0</v>
      </c>
      <c r="L75" s="29">
        <f t="shared" si="64"/>
        <v>0</v>
      </c>
      <c r="M75" s="147">
        <f t="shared" ca="1" si="65"/>
        <v>0</v>
      </c>
      <c r="N75" s="148">
        <f ca="1">IF(AND(Option_SPW="Y",H75&gt;=Lock_In_Period,Z74&gt;SPW_Amount_pa+IF(option="Single",1/5*pr,2*pr),H75&gt;=SPW_Start_Year,H75&lt;=SPW_Start_Year+SPW_Duration-1,age+H75&gt;=Legal_Age),IF(AND(F75=0,SPW_Payout_Freq=1),SPW_Amount_pa,IF(AND(SPW_Payout_Freq=2,MOD(F75,6)=0),SPW_Amount_pa/SPW_Payout_Freq,IF(AND(SPW_Payout_Freq=4,MOD(F75,3)=0),SPW_Amount_pa/SPW_Payout_Freq,IF(SPW_Payout_Freq=12,SPW_Amount_pa/SPW_Payout_Freq,0)))),0)+IFERROR(VLOOKUP(H75,Input!$B$68:$C$74,2,0),0)*(F75=0)*(Option_PW="Y")*(Option_SPW="N")*(age+H75&gt;=Legal_Age)</f>
        <v>0</v>
      </c>
      <c r="O75" s="148">
        <f t="shared" ca="1" si="66"/>
        <v>0</v>
      </c>
      <c r="P75" s="14">
        <f ca="1">(MAX(MAX(sa-CF74*Flag_UL_Type,105%*SUM($I$7:I75))-(AD74+L75-N75)*Flag_UL_Type,0)*B75)</f>
        <v>1156515.4828856471</v>
      </c>
      <c r="Q75" s="213">
        <f t="shared" ca="1" si="67"/>
        <v>1497.0803797084</v>
      </c>
      <c r="R75" s="14">
        <f t="shared" ca="1" si="68"/>
        <v>0</v>
      </c>
      <c r="S75" s="14">
        <f t="shared" ca="1" si="69"/>
        <v>0</v>
      </c>
      <c r="T75" s="14">
        <f>IFERROR(IF(WoP_Flag="Y",IF(fq=1,VLOOKUP(ppt*fq-H75,Charges!$AN$41:$AO$59,2,FALSE),IF(fq=2,VLOOKUP(ppt*fq-G75,Charges!$AP$41:$AQ$79,2,FALSE),VLOOKUP(ppt*fq-D75,Charges!$AR$41:$AS$279,2,FALSE)))*pr/fq,0),0)</f>
        <v>0</v>
      </c>
      <c r="U75" s="14">
        <f t="shared" ca="1" si="70"/>
        <v>0</v>
      </c>
      <c r="V75" s="34">
        <f>ROUND(MIN(IF(H75&gt;=7,Charges!$C$12*(1+Charges!$C$14)^((H75-7+1)),VLOOKUP(H75,Charges!$B$7:$C$12,2,0))*pr,Charges!$C$13)*B75,Round)</f>
        <v>500</v>
      </c>
      <c r="W75" s="14">
        <f t="shared" ca="1" si="71"/>
        <v>1841127.9622662971</v>
      </c>
      <c r="X75" s="14">
        <f t="shared" ca="1" si="72"/>
        <v>1852973.8350118876</v>
      </c>
      <c r="Y75" s="213">
        <f t="shared" ca="1" si="96"/>
        <v>2085.7300224724336</v>
      </c>
      <c r="Z75" s="14">
        <f t="shared" ca="1" si="73"/>
        <v>1850512.6735853702</v>
      </c>
      <c r="AA75" s="14">
        <f>IF(AND($H75=pt,$F75=11),SUM($K$7:K75)*VLOOKUP(pt,ROC,2,FALSE),0)</f>
        <v>0</v>
      </c>
      <c r="AB75" s="14">
        <f>IF(AND($H75=pt,$F75=11),SUM($V$7:V75)*VLOOKUP(pt,ROC,2,FALSE),0)</f>
        <v>0</v>
      </c>
      <c r="AC75" s="14">
        <f>IF(AND($H75=pt,$F75=11),SUM($Q$7:Q75)*VLOOKUP(pt,ROC,2,FALSE),0)</f>
        <v>0</v>
      </c>
      <c r="AD75" s="14">
        <f t="shared" ca="1" si="74"/>
        <v>1850512.6735853702</v>
      </c>
      <c r="AE75" s="14">
        <f ca="1">(MAX(sa-CF74*Flag_UL_Type,105%*SUM($I$7:I75),Z75)+AU75)*B75</f>
        <v>3000000</v>
      </c>
      <c r="AF75" s="136"/>
      <c r="AG75" s="18">
        <v>69</v>
      </c>
      <c r="AH75" s="30">
        <f t="shared" ca="1" si="75"/>
        <v>0</v>
      </c>
      <c r="AI75" s="138"/>
      <c r="AJ75" s="50">
        <f>IF(AND(Option_Sys_TopUp&gt;="Y",H75&gt;=sytp,H75&lt;=(dtp+sytp-1),F75=0,H75&lt;=ppt+1),atp,0)+IFERROR(VLOOKUP(H75,Input!$B$55:$C$61,2,0),0)*(F75=0)*(Option_TopUP="Y")*(Option_Sys_TopUp="N")*B75*(pt&gt;=H75+5)</f>
        <v>0</v>
      </c>
      <c r="AK75" s="50">
        <f t="shared" si="76"/>
        <v>0</v>
      </c>
      <c r="AL75" s="50">
        <f t="shared" si="97"/>
        <v>0</v>
      </c>
      <c r="AM75" s="50">
        <f t="shared" ca="1" si="98"/>
        <v>0</v>
      </c>
      <c r="AN75" s="50">
        <f ca="1">IF(B75=0,0,AT75*(_rpm1+(1+_emr1)*VLOOKUP(E75,Tab_Mort_Charge,IF(Input!$C$12="M",2,3),0))*(0.001*0.0833)*Flag_Mort_Rider_Charge*(AT75&gt;0))</f>
        <v>0</v>
      </c>
      <c r="AO75" s="50">
        <f t="shared" ca="1" si="77"/>
        <v>0</v>
      </c>
      <c r="AP75" s="50">
        <f t="shared" ca="1" si="99"/>
        <v>0</v>
      </c>
      <c r="AQ75" s="50">
        <f t="shared" ca="1" si="78"/>
        <v>0</v>
      </c>
      <c r="AR75" s="50">
        <f t="shared" ca="1" si="79"/>
        <v>0</v>
      </c>
      <c r="AS75" s="50">
        <f t="shared" si="80"/>
        <v>0</v>
      </c>
      <c r="AT75" s="50">
        <f ca="1">(MAX((MAX(AS75,105%*SUM($AJ$7:AJ75))-AM75*Flag_UL_Type),0)*B75)</f>
        <v>0</v>
      </c>
      <c r="AU75" s="50">
        <f ca="1">(MAX(AS75,AR75,105%*SUM($AJ$7:AJ75))*B75)</f>
        <v>0</v>
      </c>
      <c r="AV75" s="125"/>
      <c r="AW75" s="13"/>
      <c r="AX75" s="13"/>
      <c r="AY75" s="13"/>
      <c r="AZ75" s="13"/>
      <c r="BA75" s="13"/>
      <c r="BG75" s="51">
        <f t="shared" si="81"/>
        <v>0</v>
      </c>
      <c r="BH75" s="51">
        <f t="shared" ca="1" si="82"/>
        <v>269.47446834751202</v>
      </c>
      <c r="BI75" s="51">
        <f t="shared" ca="1" si="83"/>
        <v>0</v>
      </c>
      <c r="BJ75" s="51">
        <f t="shared" ca="1" si="84"/>
        <v>0</v>
      </c>
      <c r="BK75" s="51">
        <f t="shared" si="85"/>
        <v>90</v>
      </c>
      <c r="BL75" s="51">
        <f t="shared" ca="1" si="86"/>
        <v>375.43140404503805</v>
      </c>
      <c r="BM75" s="51">
        <f t="shared" si="87"/>
        <v>0</v>
      </c>
      <c r="BN75" s="51">
        <f t="shared" ca="1" si="88"/>
        <v>0</v>
      </c>
      <c r="BO75" s="51">
        <f t="shared" ca="1" si="89"/>
        <v>0</v>
      </c>
      <c r="BP75" s="51">
        <f t="shared" ca="1" si="90"/>
        <v>734.90587239255001</v>
      </c>
      <c r="BR75" s="32"/>
      <c r="BS75" s="126"/>
      <c r="BT75" s="16"/>
      <c r="BU75" s="58"/>
      <c r="BW75" s="51">
        <f>IF(Input!$C$13="Offline",VLOOKUP(H75,Charges!$AT$4:$AU$33,2,FALSE)*I75,0)</f>
        <v>0</v>
      </c>
      <c r="BX75" s="51">
        <f t="shared" si="91"/>
        <v>0</v>
      </c>
      <c r="BY75" s="51">
        <f t="shared" si="100"/>
        <v>0</v>
      </c>
      <c r="BZ75" s="151"/>
      <c r="CA75" s="151"/>
      <c r="CB75" s="32"/>
      <c r="CC75" s="16">
        <f ca="1">SUM($N$7:$N75)</f>
        <v>0</v>
      </c>
      <c r="CD75" s="16">
        <f t="shared" ca="1" si="92"/>
        <v>0</v>
      </c>
      <c r="CE75" s="16">
        <f t="shared" ca="1" si="93"/>
        <v>0</v>
      </c>
      <c r="CF75" s="7">
        <f t="shared" ca="1" si="94"/>
        <v>0</v>
      </c>
      <c r="CH75" s="7">
        <f t="shared" ca="1" si="95"/>
        <v>0</v>
      </c>
    </row>
    <row r="76" spans="2:86" s="7" customFormat="1" x14ac:dyDescent="0.2">
      <c r="B76" s="14">
        <f t="shared" si="59"/>
        <v>1</v>
      </c>
      <c r="C76" s="12">
        <f t="shared" si="60"/>
        <v>1</v>
      </c>
      <c r="D76" s="17">
        <f t="shared" si="101"/>
        <v>70</v>
      </c>
      <c r="E76" s="17">
        <f t="shared" ca="1" si="61"/>
        <v>65</v>
      </c>
      <c r="F76" s="12">
        <f t="shared" si="56"/>
        <v>9</v>
      </c>
      <c r="G76" s="12">
        <f t="shared" si="55"/>
        <v>12</v>
      </c>
      <c r="H76" s="17">
        <f t="shared" si="57"/>
        <v>6</v>
      </c>
      <c r="I76" s="29">
        <f t="shared" si="62"/>
        <v>0</v>
      </c>
      <c r="J76" s="211">
        <f>IFERROR(VLOOKUP(H76,Charges!$T$6:$U$35,2,0)*C76,0)</f>
        <v>0.98</v>
      </c>
      <c r="K76" s="29">
        <f t="shared" si="63"/>
        <v>0</v>
      </c>
      <c r="L76" s="29">
        <f t="shared" si="64"/>
        <v>0</v>
      </c>
      <c r="M76" s="147">
        <f t="shared" ca="1" si="65"/>
        <v>0</v>
      </c>
      <c r="N76" s="148">
        <f ca="1">IF(AND(Option_SPW="Y",H76&gt;=Lock_In_Period,Z75&gt;SPW_Amount_pa+IF(option="Single",1/5*pr,2*pr),H76&gt;=SPW_Start_Year,H76&lt;=SPW_Start_Year+SPW_Duration-1,age+H76&gt;=Legal_Age),IF(AND(F76=0,SPW_Payout_Freq=1),SPW_Amount_pa,IF(AND(SPW_Payout_Freq=2,MOD(F76,6)=0),SPW_Amount_pa/SPW_Payout_Freq,IF(AND(SPW_Payout_Freq=4,MOD(F76,3)=0),SPW_Amount_pa/SPW_Payout_Freq,IF(SPW_Payout_Freq=12,SPW_Amount_pa/SPW_Payout_Freq,0)))),0)+IFERROR(VLOOKUP(H76,Input!$B$68:$C$74,2,0),0)*(F76=0)*(Option_PW="Y")*(Option_SPW="N")*(age+H76&gt;=Legal_Age)</f>
        <v>0</v>
      </c>
      <c r="O76" s="148">
        <f t="shared" ca="1" si="66"/>
        <v>0</v>
      </c>
      <c r="P76" s="14">
        <f ca="1">(MAX(MAX(sa-CF75*Flag_UL_Type,105%*SUM($I$7:I76))-(AD75+L76-N76)*Flag_UL_Type,0)*B76)</f>
        <v>1149487.3264146298</v>
      </c>
      <c r="Q76" s="213">
        <f t="shared" ca="1" si="67"/>
        <v>1487.9826068605748</v>
      </c>
      <c r="R76" s="14">
        <f t="shared" ca="1" si="68"/>
        <v>0</v>
      </c>
      <c r="S76" s="14">
        <f t="shared" ca="1" si="69"/>
        <v>0</v>
      </c>
      <c r="T76" s="14">
        <f>IFERROR(IF(WoP_Flag="Y",IF(fq=1,VLOOKUP(ppt*fq-H76,Charges!$AN$41:$AO$59,2,FALSE),IF(fq=2,VLOOKUP(ppt*fq-G76,Charges!$AP$41:$AQ$79,2,FALSE),VLOOKUP(ppt*fq-D76,Charges!$AR$41:$AS$279,2,FALSE)))*pr/fq,0),0)</f>
        <v>0</v>
      </c>
      <c r="U76" s="14">
        <f t="shared" ca="1" si="70"/>
        <v>0</v>
      </c>
      <c r="V76" s="34">
        <f>ROUND(MIN(IF(H76&gt;=7,Charges!$C$12*(1+Charges!$C$14)^((H76-7+1)),VLOOKUP(H76,Charges!$B$7:$C$12,2,0))*pr,Charges!$C$13)*B76,Round)</f>
        <v>500</v>
      </c>
      <c r="W76" s="14">
        <f t="shared" ca="1" si="71"/>
        <v>1848166.8541092747</v>
      </c>
      <c r="X76" s="14">
        <f t="shared" ca="1" si="72"/>
        <v>1860058.0152969242</v>
      </c>
      <c r="Y76" s="213">
        <f t="shared" ca="1" si="96"/>
        <v>2093.7040624863407</v>
      </c>
      <c r="Z76" s="14">
        <f t="shared" ca="1" si="73"/>
        <v>1857587.4445031902</v>
      </c>
      <c r="AA76" s="14">
        <f>IF(AND($H76=pt,$F76=11),SUM($K$7:K76)*VLOOKUP(pt,ROC,2,FALSE),0)</f>
        <v>0</v>
      </c>
      <c r="AB76" s="14">
        <f>IF(AND($H76=pt,$F76=11),SUM($V$7:V76)*VLOOKUP(pt,ROC,2,FALSE),0)</f>
        <v>0</v>
      </c>
      <c r="AC76" s="14">
        <f>IF(AND($H76=pt,$F76=11),SUM($Q$7:Q76)*VLOOKUP(pt,ROC,2,FALSE),0)</f>
        <v>0</v>
      </c>
      <c r="AD76" s="14">
        <f t="shared" ca="1" si="74"/>
        <v>1857587.4445031902</v>
      </c>
      <c r="AE76" s="14">
        <f ca="1">(MAX(sa-CF75*Flag_UL_Type,105%*SUM($I$7:I76),Z76)+AU76)*B76</f>
        <v>3000000</v>
      </c>
      <c r="AF76" s="136"/>
      <c r="AG76" s="18">
        <v>70</v>
      </c>
      <c r="AH76" s="30">
        <f t="shared" ca="1" si="75"/>
        <v>0</v>
      </c>
      <c r="AI76" s="138"/>
      <c r="AJ76" s="50">
        <f>IF(AND(Option_Sys_TopUp&gt;="Y",H76&gt;=sytp,H76&lt;=(dtp+sytp-1),F76=0,H76&lt;=ppt+1),atp,0)+IFERROR(VLOOKUP(H76,Input!$B$55:$C$61,2,0),0)*(F76=0)*(Option_TopUP="Y")*(Option_Sys_TopUp="N")*B76*(pt&gt;=H76+5)</f>
        <v>0</v>
      </c>
      <c r="AK76" s="50">
        <f t="shared" si="76"/>
        <v>0</v>
      </c>
      <c r="AL76" s="50">
        <f t="shared" si="97"/>
        <v>0</v>
      </c>
      <c r="AM76" s="50">
        <f t="shared" ca="1" si="98"/>
        <v>0</v>
      </c>
      <c r="AN76" s="50">
        <f ca="1">IF(B76=0,0,AT76*(_rpm1+(1+_emr1)*VLOOKUP(E76,Tab_Mort_Charge,IF(Input!$C$12="M",2,3),0))*(0.001*0.0833)*Flag_Mort_Rider_Charge*(AT76&gt;0))</f>
        <v>0</v>
      </c>
      <c r="AO76" s="50">
        <f t="shared" ca="1" si="77"/>
        <v>0</v>
      </c>
      <c r="AP76" s="50">
        <f t="shared" ca="1" si="99"/>
        <v>0</v>
      </c>
      <c r="AQ76" s="50">
        <f t="shared" ca="1" si="78"/>
        <v>0</v>
      </c>
      <c r="AR76" s="50">
        <f t="shared" ca="1" si="79"/>
        <v>0</v>
      </c>
      <c r="AS76" s="50">
        <f t="shared" si="80"/>
        <v>0</v>
      </c>
      <c r="AT76" s="50">
        <f ca="1">(MAX((MAX(AS76,105%*SUM($AJ$7:AJ76))-AM76*Flag_UL_Type),0)*B76)</f>
        <v>0</v>
      </c>
      <c r="AU76" s="50">
        <f ca="1">(MAX(AS76,AR76,105%*SUM($AJ$7:AJ76))*B76)</f>
        <v>0</v>
      </c>
      <c r="AV76" s="125"/>
      <c r="AW76" s="13"/>
      <c r="AX76" s="13"/>
      <c r="AY76" s="13"/>
      <c r="AZ76" s="13"/>
      <c r="BA76" s="13"/>
      <c r="BG76" s="51">
        <f t="shared" si="81"/>
        <v>0</v>
      </c>
      <c r="BH76" s="51">
        <f t="shared" ca="1" si="82"/>
        <v>267.83686923490302</v>
      </c>
      <c r="BI76" s="51">
        <f t="shared" ca="1" si="83"/>
        <v>0</v>
      </c>
      <c r="BJ76" s="51">
        <f t="shared" ca="1" si="84"/>
        <v>0</v>
      </c>
      <c r="BK76" s="51">
        <f t="shared" si="85"/>
        <v>90</v>
      </c>
      <c r="BL76" s="51">
        <f t="shared" ca="1" si="86"/>
        <v>376.86673124754134</v>
      </c>
      <c r="BM76" s="51">
        <f t="shared" si="87"/>
        <v>0</v>
      </c>
      <c r="BN76" s="51">
        <f t="shared" ca="1" si="88"/>
        <v>0</v>
      </c>
      <c r="BO76" s="51">
        <f t="shared" ca="1" si="89"/>
        <v>0</v>
      </c>
      <c r="BP76" s="51">
        <f t="shared" ca="1" si="90"/>
        <v>734.70360048244436</v>
      </c>
      <c r="BR76" s="32"/>
      <c r="BS76" s="126"/>
      <c r="BT76" s="16"/>
      <c r="BU76" s="58"/>
      <c r="BW76" s="51">
        <f>IF(Input!$C$13="Offline",VLOOKUP(H76,Charges!$AT$4:$AU$33,2,FALSE)*I76,0)</f>
        <v>0</v>
      </c>
      <c r="BX76" s="51">
        <f t="shared" si="91"/>
        <v>0</v>
      </c>
      <c r="BY76" s="51">
        <f t="shared" si="100"/>
        <v>0</v>
      </c>
      <c r="BZ76" s="151"/>
      <c r="CA76" s="151"/>
      <c r="CB76" s="32"/>
      <c r="CC76" s="16">
        <f ca="1">SUM($N$7:$N76)</f>
        <v>0</v>
      </c>
      <c r="CD76" s="16">
        <f t="shared" ca="1" si="92"/>
        <v>0</v>
      </c>
      <c r="CE76" s="16">
        <f t="shared" ca="1" si="93"/>
        <v>0</v>
      </c>
      <c r="CF76" s="7">
        <f t="shared" ca="1" si="94"/>
        <v>0</v>
      </c>
      <c r="CH76" s="7">
        <f t="shared" ca="1" si="95"/>
        <v>0</v>
      </c>
    </row>
    <row r="77" spans="2:86" s="7" customFormat="1" x14ac:dyDescent="0.2">
      <c r="B77" s="14">
        <f t="shared" si="59"/>
        <v>1</v>
      </c>
      <c r="C77" s="12">
        <f t="shared" si="60"/>
        <v>1</v>
      </c>
      <c r="D77" s="17">
        <f t="shared" si="101"/>
        <v>71</v>
      </c>
      <c r="E77" s="17">
        <f t="shared" ca="1" si="61"/>
        <v>65</v>
      </c>
      <c r="F77" s="12">
        <f t="shared" si="56"/>
        <v>10</v>
      </c>
      <c r="G77" s="12">
        <f t="shared" si="55"/>
        <v>12</v>
      </c>
      <c r="H77" s="17">
        <f t="shared" si="57"/>
        <v>6</v>
      </c>
      <c r="I77" s="29">
        <f t="shared" si="62"/>
        <v>0</v>
      </c>
      <c r="J77" s="211">
        <f>IFERROR(VLOOKUP(H77,Charges!$T$6:$U$35,2,0)*C77,0)</f>
        <v>0.98</v>
      </c>
      <c r="K77" s="29">
        <f t="shared" si="63"/>
        <v>0</v>
      </c>
      <c r="L77" s="29">
        <f t="shared" si="64"/>
        <v>0</v>
      </c>
      <c r="M77" s="147">
        <f t="shared" ca="1" si="65"/>
        <v>0</v>
      </c>
      <c r="N77" s="148">
        <f ca="1">IF(AND(Option_SPW="Y",H77&gt;=Lock_In_Period,Z76&gt;SPW_Amount_pa+IF(option="Single",1/5*pr,2*pr),H77&gt;=SPW_Start_Year,H77&lt;=SPW_Start_Year+SPW_Duration-1,age+H77&gt;=Legal_Age),IF(AND(F77=0,SPW_Payout_Freq=1),SPW_Amount_pa,IF(AND(SPW_Payout_Freq=2,MOD(F77,6)=0),SPW_Amount_pa/SPW_Payout_Freq,IF(AND(SPW_Payout_Freq=4,MOD(F77,3)=0),SPW_Amount_pa/SPW_Payout_Freq,IF(SPW_Payout_Freq=12,SPW_Amount_pa/SPW_Payout_Freq,0)))),0)+IFERROR(VLOOKUP(H77,Input!$B$68:$C$74,2,0),0)*(F77=0)*(Option_PW="Y")*(Option_SPW="N")*(age+H77&gt;=Legal_Age)</f>
        <v>0</v>
      </c>
      <c r="O77" s="148">
        <f t="shared" ca="1" si="66"/>
        <v>0</v>
      </c>
      <c r="P77" s="14">
        <f ca="1">(MAX(MAX(sa-CF76*Flag_UL_Type,105%*SUM($I$7:I77))-(AD76+L77-N77)*Flag_UL_Type,0)*B77)</f>
        <v>1142412.5554968098</v>
      </c>
      <c r="Q77" s="213">
        <f t="shared" ca="1" si="67"/>
        <v>1478.8244927767332</v>
      </c>
      <c r="R77" s="14">
        <f t="shared" ca="1" si="68"/>
        <v>0</v>
      </c>
      <c r="S77" s="14">
        <f t="shared" ca="1" si="69"/>
        <v>0</v>
      </c>
      <c r="T77" s="14">
        <f>IFERROR(IF(WoP_Flag="Y",IF(fq=1,VLOOKUP(ppt*fq-H77,Charges!$AN$41:$AO$59,2,FALSE),IF(fq=2,VLOOKUP(ppt*fq-G77,Charges!$AP$41:$AQ$79,2,FALSE),VLOOKUP(ppt*fq-D77,Charges!$AR$41:$AS$279,2,FALSE)))*pr/fq,0),0)</f>
        <v>0</v>
      </c>
      <c r="U77" s="14">
        <f t="shared" ca="1" si="70"/>
        <v>0</v>
      </c>
      <c r="V77" s="34">
        <f>ROUND(MIN(IF(H77&gt;=7,Charges!$C$12*(1+Charges!$C$14)^((H77-7+1)),VLOOKUP(H77,Charges!$B$7:$C$12,2,0))*pr,Charges!$C$13)*B77,Round)</f>
        <v>500</v>
      </c>
      <c r="W77" s="14">
        <f t="shared" ca="1" si="71"/>
        <v>1855252.4316017136</v>
      </c>
      <c r="X77" s="14">
        <f t="shared" ca="1" si="72"/>
        <v>1867189.1816082962</v>
      </c>
      <c r="Y77" s="213">
        <f t="shared" ca="1" si="96"/>
        <v>2101.7309905464326</v>
      </c>
      <c r="Z77" s="14">
        <f t="shared" ca="1" si="73"/>
        <v>1864709.1390394515</v>
      </c>
      <c r="AA77" s="14">
        <f>IF(AND($H77=pt,$F77=11),SUM($K$7:K77)*VLOOKUP(pt,ROC,2,FALSE),0)</f>
        <v>0</v>
      </c>
      <c r="AB77" s="14">
        <f>IF(AND($H77=pt,$F77=11),SUM($V$7:V77)*VLOOKUP(pt,ROC,2,FALSE),0)</f>
        <v>0</v>
      </c>
      <c r="AC77" s="14">
        <f>IF(AND($H77=pt,$F77=11),SUM($Q$7:Q77)*VLOOKUP(pt,ROC,2,FALSE),0)</f>
        <v>0</v>
      </c>
      <c r="AD77" s="14">
        <f t="shared" ca="1" si="74"/>
        <v>1864709.1390394515</v>
      </c>
      <c r="AE77" s="14">
        <f ca="1">(MAX(sa-CF76*Flag_UL_Type,105%*SUM($I$7:I77),Z77)+AU77)*B77</f>
        <v>3000000</v>
      </c>
      <c r="AF77" s="136"/>
      <c r="AG77" s="18">
        <v>71</v>
      </c>
      <c r="AH77" s="30">
        <f t="shared" ca="1" si="75"/>
        <v>0</v>
      </c>
      <c r="AI77" s="138"/>
      <c r="AJ77" s="50">
        <f>IF(AND(Option_Sys_TopUp&gt;="Y",H77&gt;=sytp,H77&lt;=(dtp+sytp-1),F77=0,H77&lt;=ppt+1),atp,0)+IFERROR(VLOOKUP(H77,Input!$B$55:$C$61,2,0),0)*(F77=0)*(Option_TopUP="Y")*(Option_Sys_TopUp="N")*B77*(pt&gt;=H77+5)</f>
        <v>0</v>
      </c>
      <c r="AK77" s="50">
        <f t="shared" si="76"/>
        <v>0</v>
      </c>
      <c r="AL77" s="50">
        <f t="shared" si="97"/>
        <v>0</v>
      </c>
      <c r="AM77" s="50">
        <f t="shared" ca="1" si="98"/>
        <v>0</v>
      </c>
      <c r="AN77" s="50">
        <f ca="1">IF(B77=0,0,AT77*(_rpm1+(1+_emr1)*VLOOKUP(E77,Tab_Mort_Charge,IF(Input!$C$12="M",2,3),0))*(0.001*0.0833)*Flag_Mort_Rider_Charge*(AT77&gt;0))</f>
        <v>0</v>
      </c>
      <c r="AO77" s="50">
        <f t="shared" ca="1" si="77"/>
        <v>0</v>
      </c>
      <c r="AP77" s="50">
        <f t="shared" ca="1" si="99"/>
        <v>0</v>
      </c>
      <c r="AQ77" s="50">
        <f t="shared" ca="1" si="78"/>
        <v>0</v>
      </c>
      <c r="AR77" s="50">
        <f t="shared" ca="1" si="79"/>
        <v>0</v>
      </c>
      <c r="AS77" s="50">
        <f t="shared" si="80"/>
        <v>0</v>
      </c>
      <c r="AT77" s="50">
        <f ca="1">(MAX((MAX(AS77,105%*SUM($AJ$7:AJ77))-AM77*Flag_UL_Type),0)*B77)</f>
        <v>0</v>
      </c>
      <c r="AU77" s="50">
        <f ca="1">(MAX(AS77,AR77,105%*SUM($AJ$7:AJ77))*B77)</f>
        <v>0</v>
      </c>
      <c r="AV77" s="125"/>
      <c r="AW77" s="13"/>
      <c r="AX77" s="13"/>
      <c r="AY77" s="13"/>
      <c r="AZ77" s="13"/>
      <c r="BA77" s="13"/>
      <c r="BG77" s="51">
        <f t="shared" si="81"/>
        <v>0</v>
      </c>
      <c r="BH77" s="51">
        <f t="shared" ca="1" si="82"/>
        <v>266.18840869981199</v>
      </c>
      <c r="BI77" s="51">
        <f t="shared" ca="1" si="83"/>
        <v>0</v>
      </c>
      <c r="BJ77" s="51">
        <f t="shared" ca="1" si="84"/>
        <v>0</v>
      </c>
      <c r="BK77" s="51">
        <f t="shared" si="85"/>
        <v>90</v>
      </c>
      <c r="BL77" s="51">
        <f t="shared" ca="1" si="86"/>
        <v>378.31157829835786</v>
      </c>
      <c r="BM77" s="51">
        <f t="shared" si="87"/>
        <v>0</v>
      </c>
      <c r="BN77" s="51">
        <f t="shared" ca="1" si="88"/>
        <v>0</v>
      </c>
      <c r="BO77" s="51">
        <f t="shared" ca="1" si="89"/>
        <v>0</v>
      </c>
      <c r="BP77" s="51">
        <f t="shared" ca="1" si="90"/>
        <v>734.49998699816979</v>
      </c>
      <c r="BR77" s="32"/>
      <c r="BS77" s="126"/>
      <c r="BT77" s="16"/>
      <c r="BU77" s="58"/>
      <c r="BW77" s="51">
        <f>IF(Input!$C$13="Offline",VLOOKUP(H77,Charges!$AT$4:$AU$33,2,FALSE)*I77,0)</f>
        <v>0</v>
      </c>
      <c r="BX77" s="51">
        <f t="shared" si="91"/>
        <v>0</v>
      </c>
      <c r="BY77" s="51">
        <f t="shared" si="100"/>
        <v>0</v>
      </c>
      <c r="BZ77" s="151"/>
      <c r="CA77" s="151"/>
      <c r="CB77" s="32"/>
      <c r="CC77" s="16">
        <f ca="1">SUM($N$7:$N77)</f>
        <v>0</v>
      </c>
      <c r="CD77" s="16">
        <f t="shared" ca="1" si="92"/>
        <v>0</v>
      </c>
      <c r="CE77" s="16">
        <f t="shared" ca="1" si="93"/>
        <v>0</v>
      </c>
      <c r="CF77" s="7">
        <f t="shared" ca="1" si="94"/>
        <v>0</v>
      </c>
      <c r="CH77" s="7">
        <f t="shared" ca="1" si="95"/>
        <v>0</v>
      </c>
    </row>
    <row r="78" spans="2:86" s="7" customFormat="1" x14ac:dyDescent="0.2">
      <c r="B78" s="14">
        <f t="shared" si="59"/>
        <v>1</v>
      </c>
      <c r="C78" s="12">
        <f t="shared" si="60"/>
        <v>1</v>
      </c>
      <c r="D78" s="17">
        <f t="shared" si="101"/>
        <v>72</v>
      </c>
      <c r="E78" s="17">
        <f t="shared" ca="1" si="61"/>
        <v>65</v>
      </c>
      <c r="F78" s="12">
        <f t="shared" si="56"/>
        <v>11</v>
      </c>
      <c r="G78" s="12">
        <f t="shared" ref="G78:G141" si="102">G72+1</f>
        <v>12</v>
      </c>
      <c r="H78" s="17">
        <f t="shared" si="57"/>
        <v>6</v>
      </c>
      <c r="I78" s="29">
        <f t="shared" si="62"/>
        <v>0</v>
      </c>
      <c r="J78" s="211">
        <f>IFERROR(VLOOKUP(H78,Charges!$T$6:$U$35,2,0)*C78,0)</f>
        <v>0.98</v>
      </c>
      <c r="K78" s="29">
        <f t="shared" si="63"/>
        <v>0</v>
      </c>
      <c r="L78" s="29">
        <f t="shared" si="64"/>
        <v>0</v>
      </c>
      <c r="M78" s="147">
        <f t="shared" ca="1" si="65"/>
        <v>0</v>
      </c>
      <c r="N78" s="148">
        <f ca="1">IF(AND(Option_SPW="Y",H78&gt;=Lock_In_Period,Z77&gt;SPW_Amount_pa+IF(option="Single",1/5*pr,2*pr),H78&gt;=SPW_Start_Year,H78&lt;=SPW_Start_Year+SPW_Duration-1,age+H78&gt;=Legal_Age),IF(AND(F78=0,SPW_Payout_Freq=1),SPW_Amount_pa,IF(AND(SPW_Payout_Freq=2,MOD(F78,6)=0),SPW_Amount_pa/SPW_Payout_Freq,IF(AND(SPW_Payout_Freq=4,MOD(F78,3)=0),SPW_Amount_pa/SPW_Payout_Freq,IF(SPW_Payout_Freq=12,SPW_Amount_pa/SPW_Payout_Freq,0)))),0)+IFERROR(VLOOKUP(H78,Input!$B$68:$C$74,2,0),0)*(F78=0)*(Option_PW="Y")*(Option_SPW="N")*(age+H78&gt;=Legal_Age)</f>
        <v>0</v>
      </c>
      <c r="O78" s="148">
        <f t="shared" ca="1" si="66"/>
        <v>0</v>
      </c>
      <c r="P78" s="14">
        <f ca="1">(MAX(MAX(sa-CF77*Flag_UL_Type,105%*SUM($I$7:I78))-(AD77+L78-N78)*Flag_UL_Type,0)*B78)</f>
        <v>1135290.8609605485</v>
      </c>
      <c r="Q78" s="213">
        <f t="shared" ca="1" si="67"/>
        <v>1469.6056372419082</v>
      </c>
      <c r="R78" s="14">
        <f t="shared" ca="1" si="68"/>
        <v>0</v>
      </c>
      <c r="S78" s="14">
        <f t="shared" ca="1" si="69"/>
        <v>0</v>
      </c>
      <c r="T78" s="14">
        <f>IFERROR(IF(WoP_Flag="Y",IF(fq=1,VLOOKUP(ppt*fq-H78,Charges!$AN$41:$AO$59,2,FALSE),IF(fq=2,VLOOKUP(ppt*fq-G78,Charges!$AP$41:$AQ$79,2,FALSE),VLOOKUP(ppt*fq-D78,Charges!$AR$41:$AS$279,2,FALSE)))*pr/fq,0),0)</f>
        <v>0</v>
      </c>
      <c r="U78" s="14">
        <f t="shared" ca="1" si="70"/>
        <v>0</v>
      </c>
      <c r="V78" s="34">
        <f>ROUND(MIN(IF(H78&gt;=7,Charges!$C$12*(1+Charges!$C$14)^((H78-7+1)),VLOOKUP(H78,Charges!$B$7:$C$12,2,0))*pr,Charges!$C$13)*B78,Round)</f>
        <v>500</v>
      </c>
      <c r="W78" s="14">
        <f t="shared" ca="1" si="71"/>
        <v>1862385.0043875061</v>
      </c>
      <c r="X78" s="14">
        <f t="shared" ca="1" si="72"/>
        <v>1874367.6455821542</v>
      </c>
      <c r="Y78" s="213">
        <f t="shared" ca="1" si="96"/>
        <v>2109.8111574341729</v>
      </c>
      <c r="Z78" s="14">
        <f t="shared" ca="1" si="73"/>
        <v>1871878.0684163817</v>
      </c>
      <c r="AA78" s="14">
        <f>IF(AND($H78=pt,$F78=11),SUM($K$7:K78)*VLOOKUP(pt,ROC,2,FALSE),0)</f>
        <v>0</v>
      </c>
      <c r="AB78" s="14">
        <f>IF(AND($H78=pt,$F78=11),SUM($V$7:V78)*VLOOKUP(pt,ROC,2,FALSE),0)</f>
        <v>0</v>
      </c>
      <c r="AC78" s="14">
        <f>IF(AND($H78=pt,$F78=11),SUM($Q$7:Q78)*VLOOKUP(pt,ROC,2,FALSE),0)</f>
        <v>0</v>
      </c>
      <c r="AD78" s="14">
        <f t="shared" ca="1" si="74"/>
        <v>1871878.0684163817</v>
      </c>
      <c r="AE78" s="14">
        <f ca="1">(MAX(sa-CF77*Flag_UL_Type,105%*SUM($I$7:I78),Z78)+AU78)*B78</f>
        <v>3000000</v>
      </c>
      <c r="AF78" s="136"/>
      <c r="AG78" s="18">
        <v>72</v>
      </c>
      <c r="AH78" s="30">
        <f t="shared" ca="1" si="75"/>
        <v>0</v>
      </c>
      <c r="AI78" s="138"/>
      <c r="AJ78" s="50">
        <f>IF(AND(Option_Sys_TopUp&gt;="Y",H78&gt;=sytp,H78&lt;=(dtp+sytp-1),F78=0,H78&lt;=ppt+1),atp,0)+IFERROR(VLOOKUP(H78,Input!$B$55:$C$61,2,0),0)*(F78=0)*(Option_TopUP="Y")*(Option_Sys_TopUp="N")*B78*(pt&gt;=H78+5)</f>
        <v>0</v>
      </c>
      <c r="AK78" s="50">
        <f t="shared" si="76"/>
        <v>0</v>
      </c>
      <c r="AL78" s="50">
        <f t="shared" si="97"/>
        <v>0</v>
      </c>
      <c r="AM78" s="50">
        <f t="shared" ca="1" si="98"/>
        <v>0</v>
      </c>
      <c r="AN78" s="50">
        <f ca="1">IF(B78=0,0,AT78*(_rpm1+(1+_emr1)*VLOOKUP(E78,Tab_Mort_Charge,IF(Input!$C$12="M",2,3),0))*(0.001*0.0833)*Flag_Mort_Rider_Charge*(AT78&gt;0))</f>
        <v>0</v>
      </c>
      <c r="AO78" s="50">
        <f t="shared" ca="1" si="77"/>
        <v>0</v>
      </c>
      <c r="AP78" s="50">
        <f t="shared" ca="1" si="99"/>
        <v>0</v>
      </c>
      <c r="AQ78" s="50">
        <f t="shared" ca="1" si="78"/>
        <v>0</v>
      </c>
      <c r="AR78" s="50">
        <f t="shared" ca="1" si="79"/>
        <v>0</v>
      </c>
      <c r="AS78" s="50">
        <f t="shared" si="80"/>
        <v>0</v>
      </c>
      <c r="AT78" s="50">
        <f ca="1">(MAX((MAX(AS78,105%*SUM($AJ$7:AJ78))-AM78*Flag_UL_Type),0)*B78)</f>
        <v>0</v>
      </c>
      <c r="AU78" s="50">
        <f ca="1">(MAX(AS78,AR78,105%*SUM($AJ$7:AJ78))*B78)</f>
        <v>0</v>
      </c>
      <c r="AV78" s="125"/>
      <c r="AW78" s="13"/>
      <c r="AX78" s="13"/>
      <c r="AY78" s="13"/>
      <c r="AZ78" s="13"/>
      <c r="BA78" s="13"/>
      <c r="BG78" s="51">
        <f t="shared" si="81"/>
        <v>0</v>
      </c>
      <c r="BH78" s="51">
        <f t="shared" ca="1" si="82"/>
        <v>264.529014703543</v>
      </c>
      <c r="BI78" s="51">
        <f t="shared" ca="1" si="83"/>
        <v>0</v>
      </c>
      <c r="BJ78" s="51">
        <f t="shared" ca="1" si="84"/>
        <v>0</v>
      </c>
      <c r="BK78" s="51">
        <f t="shared" si="85"/>
        <v>90</v>
      </c>
      <c r="BL78" s="51">
        <f t="shared" ca="1" si="86"/>
        <v>379.7660083381511</v>
      </c>
      <c r="BM78" s="51">
        <f t="shared" si="87"/>
        <v>0</v>
      </c>
      <c r="BN78" s="51">
        <f t="shared" ca="1" si="88"/>
        <v>0</v>
      </c>
      <c r="BO78" s="51">
        <f t="shared" ca="1" si="89"/>
        <v>0</v>
      </c>
      <c r="BP78" s="51">
        <f t="shared" ca="1" si="90"/>
        <v>734.29502304169409</v>
      </c>
      <c r="BR78" s="32"/>
      <c r="BS78" s="126"/>
      <c r="BT78" s="16"/>
      <c r="BU78" s="58"/>
      <c r="BW78" s="51">
        <f>IF(Input!$C$13="Offline",VLOOKUP(H78,Charges!$AT$4:$AU$33,2,FALSE)*I78,0)</f>
        <v>0</v>
      </c>
      <c r="BX78" s="51">
        <f t="shared" si="91"/>
        <v>0</v>
      </c>
      <c r="BY78" s="51">
        <f t="shared" si="100"/>
        <v>0</v>
      </c>
      <c r="BZ78" s="151"/>
      <c r="CA78" s="151"/>
      <c r="CB78" s="32"/>
      <c r="CC78" s="16">
        <f ca="1">SUM($N$7:$N78)</f>
        <v>0</v>
      </c>
      <c r="CD78" s="16">
        <f t="shared" ca="1" si="92"/>
        <v>0</v>
      </c>
      <c r="CE78" s="16">
        <f t="shared" ca="1" si="93"/>
        <v>0</v>
      </c>
      <c r="CF78" s="7">
        <f t="shared" ca="1" si="94"/>
        <v>0</v>
      </c>
      <c r="CH78" s="7">
        <f t="shared" ca="1" si="95"/>
        <v>0</v>
      </c>
    </row>
    <row r="79" spans="2:86" s="7" customFormat="1" x14ac:dyDescent="0.2">
      <c r="B79" s="14">
        <f t="shared" si="59"/>
        <v>1</v>
      </c>
      <c r="C79" s="12">
        <f t="shared" si="60"/>
        <v>1</v>
      </c>
      <c r="D79" s="17">
        <f t="shared" si="101"/>
        <v>73</v>
      </c>
      <c r="E79" s="17">
        <f t="shared" ca="1" si="61"/>
        <v>66</v>
      </c>
      <c r="F79" s="12">
        <f t="shared" si="56"/>
        <v>0</v>
      </c>
      <c r="G79" s="12">
        <f t="shared" si="102"/>
        <v>13</v>
      </c>
      <c r="H79" s="17">
        <f t="shared" si="57"/>
        <v>7</v>
      </c>
      <c r="I79" s="29">
        <f t="shared" si="62"/>
        <v>300000</v>
      </c>
      <c r="J79" s="211">
        <f>IFERROR(VLOOKUP(H79,Charges!$T$6:$U$35,2,0)*C79,0)</f>
        <v>0.98</v>
      </c>
      <c r="K79" s="29">
        <f t="shared" si="63"/>
        <v>6000.00000000001</v>
      </c>
      <c r="L79" s="29">
        <f t="shared" si="64"/>
        <v>292920</v>
      </c>
      <c r="M79" s="147">
        <f t="shared" ca="1" si="65"/>
        <v>0</v>
      </c>
      <c r="N79" s="148">
        <f ca="1">IF(AND(Option_SPW="Y",H79&gt;=Lock_In_Period,Z78&gt;SPW_Amount_pa+IF(option="Single",1/5*pr,2*pr),H79&gt;=SPW_Start_Year,H79&lt;=SPW_Start_Year+SPW_Duration-1,age+H79&gt;=Legal_Age),IF(AND(F79=0,SPW_Payout_Freq=1),SPW_Amount_pa,IF(AND(SPW_Payout_Freq=2,MOD(F79,6)=0),SPW_Amount_pa/SPW_Payout_Freq,IF(AND(SPW_Payout_Freq=4,MOD(F79,3)=0),SPW_Amount_pa/SPW_Payout_Freq,IF(SPW_Payout_Freq=12,SPW_Amount_pa/SPW_Payout_Freq,0)))),0)+IFERROR(VLOOKUP(H79,Input!$B$68:$C$74,2,0),0)*(F79=0)*(Option_PW="Y")*(Option_SPW="N")*(age+H79&gt;=Legal_Age)</f>
        <v>0</v>
      </c>
      <c r="O79" s="148">
        <f t="shared" ca="1" si="66"/>
        <v>0</v>
      </c>
      <c r="P79" s="14">
        <f ca="1">(MAX(MAX(sa-CF78*Flag_UL_Type,105%*SUM($I$7:I79))-(AD78+L79-N79)*Flag_UL_Type,0)*B79)</f>
        <v>835201.93158361828</v>
      </c>
      <c r="Q79" s="213">
        <f t="shared" ca="1" si="67"/>
        <v>1167.6053403378</v>
      </c>
      <c r="R79" s="14">
        <f t="shared" ca="1" si="68"/>
        <v>0</v>
      </c>
      <c r="S79" s="14">
        <f t="shared" ca="1" si="69"/>
        <v>0</v>
      </c>
      <c r="T79" s="14">
        <f>IFERROR(IF(WoP_Flag="Y",IF(fq=1,VLOOKUP(ppt*fq-H79,Charges!$AN$41:$AO$59,2,FALSE),IF(fq=2,VLOOKUP(ppt*fq-G79,Charges!$AP$41:$AQ$79,2,FALSE),VLOOKUP(ppt*fq-D79,Charges!$AR$41:$AS$279,2,FALSE)))*pr/fq,0),0)</f>
        <v>0</v>
      </c>
      <c r="U79" s="14">
        <f t="shared" ca="1" si="70"/>
        <v>0</v>
      </c>
      <c r="V79" s="34">
        <f>ROUND(MIN(IF(H79&gt;=7,Charges!$C$12*(1+Charges!$C$14)^((H79-7+1)),VLOOKUP(H79,Charges!$B$7:$C$12,2,0))*pr,Charges!$C$13)*B79,Round)</f>
        <v>500</v>
      </c>
      <c r="W79" s="14">
        <f t="shared" ca="1" si="71"/>
        <v>2162830.2941147829</v>
      </c>
      <c r="X79" s="14">
        <f t="shared" ca="1" si="72"/>
        <v>2176746.009349945</v>
      </c>
      <c r="Y79" s="213">
        <f t="shared" ca="1" si="96"/>
        <v>2450.1719437226234</v>
      </c>
      <c r="Z79" s="14">
        <f t="shared" ca="1" si="73"/>
        <v>2173854.8064563521</v>
      </c>
      <c r="AA79" s="14">
        <f>IF(AND($H79=pt,$F79=11),SUM($K$7:K79)*VLOOKUP(pt,ROC,2,FALSE),0)</f>
        <v>0</v>
      </c>
      <c r="AB79" s="14">
        <f>IF(AND($H79=pt,$F79=11),SUM($V$7:V79)*VLOOKUP(pt,ROC,2,FALSE),0)</f>
        <v>0</v>
      </c>
      <c r="AC79" s="14">
        <f>IF(AND($H79=pt,$F79=11),SUM($Q$7:Q79)*VLOOKUP(pt,ROC,2,FALSE),0)</f>
        <v>0</v>
      </c>
      <c r="AD79" s="14">
        <f t="shared" ca="1" si="74"/>
        <v>2173854.8064563521</v>
      </c>
      <c r="AE79" s="14">
        <f ca="1">(MAX(sa-CF78*Flag_UL_Type,105%*SUM($I$7:I79),Z79)+AU79)*B79</f>
        <v>3000000</v>
      </c>
      <c r="AF79" s="136"/>
      <c r="AG79" s="18">
        <v>73</v>
      </c>
      <c r="AH79" s="30">
        <f t="shared" ca="1" si="75"/>
        <v>300000</v>
      </c>
      <c r="AI79" s="138"/>
      <c r="AJ79" s="50">
        <f>IF(AND(Option_Sys_TopUp&gt;="Y",H79&gt;=sytp,H79&lt;=(dtp+sytp-1),F79=0,H79&lt;=ppt+1),atp,0)+IFERROR(VLOOKUP(H79,Input!$B$55:$C$61,2,0),0)*(F79=0)*(Option_TopUP="Y")*(Option_Sys_TopUp="N")*B79*(pt&gt;=H79+5)</f>
        <v>0</v>
      </c>
      <c r="AK79" s="50">
        <f t="shared" si="76"/>
        <v>0</v>
      </c>
      <c r="AL79" s="50">
        <f t="shared" si="97"/>
        <v>0</v>
      </c>
      <c r="AM79" s="50">
        <f t="shared" ca="1" si="98"/>
        <v>0</v>
      </c>
      <c r="AN79" s="50">
        <f ca="1">IF(B79=0,0,AT79*(_rpm1+(1+_emr1)*VLOOKUP(E79,Tab_Mort_Charge,IF(Input!$C$12="M",2,3),0))*(0.001*0.0833)*Flag_Mort_Rider_Charge*(AT79&gt;0))</f>
        <v>0</v>
      </c>
      <c r="AO79" s="50">
        <f t="shared" ca="1" si="77"/>
        <v>0</v>
      </c>
      <c r="AP79" s="50">
        <f t="shared" ca="1" si="99"/>
        <v>0</v>
      </c>
      <c r="AQ79" s="50">
        <f t="shared" ca="1" si="78"/>
        <v>0</v>
      </c>
      <c r="AR79" s="50">
        <f t="shared" ca="1" si="79"/>
        <v>0</v>
      </c>
      <c r="AS79" s="50">
        <f t="shared" si="80"/>
        <v>0</v>
      </c>
      <c r="AT79" s="50">
        <f ca="1">(MAX((MAX(AS79,105%*SUM($AJ$7:AJ79))-AM79*Flag_UL_Type),0)*B79)</f>
        <v>0</v>
      </c>
      <c r="AU79" s="50">
        <f ca="1">(MAX(AS79,AR79,105%*SUM($AJ$7:AJ79))*B79)</f>
        <v>0</v>
      </c>
      <c r="AV79" s="125"/>
      <c r="AW79" s="13"/>
      <c r="AX79" s="13"/>
      <c r="AY79" s="13"/>
      <c r="AZ79" s="13"/>
      <c r="BA79" s="13"/>
      <c r="BG79" s="51">
        <f t="shared" si="81"/>
        <v>1080</v>
      </c>
      <c r="BH79" s="51">
        <f t="shared" ca="1" si="82"/>
        <v>210.168961260804</v>
      </c>
      <c r="BI79" s="51">
        <f t="shared" ca="1" si="83"/>
        <v>0</v>
      </c>
      <c r="BJ79" s="51">
        <f t="shared" ca="1" si="84"/>
        <v>0</v>
      </c>
      <c r="BK79" s="51">
        <f t="shared" si="85"/>
        <v>90</v>
      </c>
      <c r="BL79" s="51">
        <f t="shared" ca="1" si="86"/>
        <v>441.03094987007222</v>
      </c>
      <c r="BM79" s="51">
        <f t="shared" si="87"/>
        <v>0</v>
      </c>
      <c r="BN79" s="51">
        <f t="shared" ca="1" si="88"/>
        <v>0</v>
      </c>
      <c r="BO79" s="51">
        <f t="shared" ca="1" si="89"/>
        <v>0</v>
      </c>
      <c r="BP79" s="51">
        <f t="shared" ca="1" si="90"/>
        <v>1821.1999111308762</v>
      </c>
      <c r="BQ79" s="149"/>
      <c r="BR79" s="32"/>
      <c r="BS79" s="126"/>
      <c r="BT79" s="16"/>
      <c r="BU79" s="58"/>
      <c r="BW79" s="51">
        <f>IF(Input!$C$13="Offline",VLOOKUP(H79,Charges!$AT$4:$AU$33,2,FALSE)*I79,0)</f>
        <v>1500</v>
      </c>
      <c r="BX79" s="51">
        <f t="shared" si="91"/>
        <v>0</v>
      </c>
      <c r="BY79" s="51">
        <f t="shared" si="100"/>
        <v>1500</v>
      </c>
      <c r="BZ79" s="151"/>
      <c r="CA79" s="151"/>
      <c r="CB79" s="32"/>
      <c r="CC79" s="16">
        <f ca="1">SUM($N$7:$N79)</f>
        <v>0</v>
      </c>
      <c r="CD79" s="16">
        <f t="shared" ca="1" si="92"/>
        <v>0</v>
      </c>
      <c r="CE79" s="16">
        <f t="shared" ca="1" si="93"/>
        <v>0</v>
      </c>
      <c r="CF79" s="7">
        <f t="shared" ca="1" si="94"/>
        <v>0</v>
      </c>
      <c r="CH79" s="7">
        <f t="shared" ca="1" si="95"/>
        <v>0</v>
      </c>
    </row>
    <row r="80" spans="2:86" s="7" customFormat="1" x14ac:dyDescent="0.2">
      <c r="B80" s="14">
        <f t="shared" si="59"/>
        <v>1</v>
      </c>
      <c r="C80" s="12">
        <f t="shared" si="60"/>
        <v>1</v>
      </c>
      <c r="D80" s="17">
        <f t="shared" si="101"/>
        <v>74</v>
      </c>
      <c r="E80" s="17">
        <f t="shared" ca="1" si="61"/>
        <v>66</v>
      </c>
      <c r="F80" s="12">
        <f t="shared" si="56"/>
        <v>1</v>
      </c>
      <c r="G80" s="12">
        <f t="shared" si="102"/>
        <v>13</v>
      </c>
      <c r="H80" s="17">
        <f t="shared" si="57"/>
        <v>7</v>
      </c>
      <c r="I80" s="29">
        <f t="shared" si="62"/>
        <v>0</v>
      </c>
      <c r="J80" s="211">
        <f>IFERROR(VLOOKUP(H80,Charges!$T$6:$U$35,2,0)*C80,0)</f>
        <v>0.98</v>
      </c>
      <c r="K80" s="29">
        <f t="shared" si="63"/>
        <v>0</v>
      </c>
      <c r="L80" s="29">
        <f t="shared" si="64"/>
        <v>0</v>
      </c>
      <c r="M80" s="147">
        <f t="shared" ca="1" si="65"/>
        <v>0</v>
      </c>
      <c r="N80" s="148">
        <f ca="1">IF(AND(Option_SPW="Y",H80&gt;=Lock_In_Period,Z79&gt;SPW_Amount_pa+IF(option="Single",1/5*pr,2*pr),H80&gt;=SPW_Start_Year,H80&lt;=SPW_Start_Year+SPW_Duration-1,age+H80&gt;=Legal_Age),IF(AND(F80=0,SPW_Payout_Freq=1),SPW_Amount_pa,IF(AND(SPW_Payout_Freq=2,MOD(F80,6)=0),SPW_Amount_pa/SPW_Payout_Freq,IF(AND(SPW_Payout_Freq=4,MOD(F80,3)=0),SPW_Amount_pa/SPW_Payout_Freq,IF(SPW_Payout_Freq=12,SPW_Amount_pa/SPW_Payout_Freq,0)))),0)+IFERROR(VLOOKUP(H80,Input!$B$68:$C$74,2,0),0)*(F80=0)*(Option_PW="Y")*(Option_SPW="N")*(age+H80&gt;=Legal_Age)</f>
        <v>0</v>
      </c>
      <c r="O80" s="148">
        <f t="shared" ca="1" si="66"/>
        <v>0</v>
      </c>
      <c r="P80" s="14">
        <f ca="1">(MAX(MAX(sa-CF79*Flag_UL_Type,105%*SUM($I$7:I80))-(AD79+L80-N80)*Flag_UL_Type,0)*B80)</f>
        <v>826145.19354364788</v>
      </c>
      <c r="Q80" s="213">
        <f t="shared" ca="1" si="67"/>
        <v>1154.9440960307415</v>
      </c>
      <c r="R80" s="14">
        <f t="shared" ca="1" si="68"/>
        <v>0</v>
      </c>
      <c r="S80" s="14">
        <f t="shared" ca="1" si="69"/>
        <v>0</v>
      </c>
      <c r="T80" s="14">
        <f>IFERROR(IF(WoP_Flag="Y",IF(fq=1,VLOOKUP(ppt*fq-H80,Charges!$AN$41:$AO$59,2,FALSE),IF(fq=2,VLOOKUP(ppt*fq-G80,Charges!$AP$41:$AQ$79,2,FALSE),VLOOKUP(ppt*fq-D80,Charges!$AR$41:$AS$279,2,FALSE)))*pr/fq,0),0)</f>
        <v>0</v>
      </c>
      <c r="U80" s="14">
        <f t="shared" ca="1" si="70"/>
        <v>0</v>
      </c>
      <c r="V80" s="34">
        <f>ROUND(MIN(IF(H80&gt;=7,Charges!$C$12*(1+Charges!$C$14)^((H80-7+1)),VLOOKUP(H80,Charges!$B$7:$C$12,2,0))*pr,Charges!$C$13)*B80,Round)</f>
        <v>500</v>
      </c>
      <c r="W80" s="14">
        <f t="shared" ca="1" si="71"/>
        <v>2171901.9724230357</v>
      </c>
      <c r="X80" s="14">
        <f t="shared" ca="1" si="72"/>
        <v>2185876.0551095814</v>
      </c>
      <c r="Y80" s="213">
        <f t="shared" ca="1" si="96"/>
        <v>2460.4488349488283</v>
      </c>
      <c r="Z80" s="14">
        <f t="shared" ca="1" si="73"/>
        <v>2182972.7254843418</v>
      </c>
      <c r="AA80" s="14">
        <f>IF(AND($H80=pt,$F80=11),SUM($K$7:K80)*VLOOKUP(pt,ROC,2,FALSE),0)</f>
        <v>0</v>
      </c>
      <c r="AB80" s="14">
        <f>IF(AND($H80=pt,$F80=11),SUM($V$7:V80)*VLOOKUP(pt,ROC,2,FALSE),0)</f>
        <v>0</v>
      </c>
      <c r="AC80" s="14">
        <f>IF(AND($H80=pt,$F80=11),SUM($Q$7:Q80)*VLOOKUP(pt,ROC,2,FALSE),0)</f>
        <v>0</v>
      </c>
      <c r="AD80" s="14">
        <f t="shared" ca="1" si="74"/>
        <v>2182972.7254843418</v>
      </c>
      <c r="AE80" s="14">
        <f ca="1">(MAX(sa-CF79*Flag_UL_Type,105%*SUM($I$7:I80),Z80)+AU80)*B80</f>
        <v>3000000</v>
      </c>
      <c r="AF80" s="136"/>
      <c r="AG80" s="18">
        <v>74</v>
      </c>
      <c r="AH80" s="30">
        <f t="shared" ca="1" si="75"/>
        <v>0</v>
      </c>
      <c r="AI80" s="138"/>
      <c r="AJ80" s="50">
        <f>IF(AND(Option_Sys_TopUp&gt;="Y",H80&gt;=sytp,H80&lt;=(dtp+sytp-1),F80=0,H80&lt;=ppt+1),atp,0)+IFERROR(VLOOKUP(H80,Input!$B$55:$C$61,2,0),0)*(F80=0)*(Option_TopUP="Y")*(Option_Sys_TopUp="N")*B80*(pt&gt;=H80+5)</f>
        <v>0</v>
      </c>
      <c r="AK80" s="50">
        <f t="shared" si="76"/>
        <v>0</v>
      </c>
      <c r="AL80" s="50">
        <f t="shared" si="97"/>
        <v>0</v>
      </c>
      <c r="AM80" s="50">
        <f t="shared" ca="1" si="98"/>
        <v>0</v>
      </c>
      <c r="AN80" s="50">
        <f ca="1">IF(B80=0,0,AT80*(_rpm1+(1+_emr1)*VLOOKUP(E80,Tab_Mort_Charge,IF(Input!$C$12="M",2,3),0))*(0.001*0.0833)*Flag_Mort_Rider_Charge*(AT80&gt;0))</f>
        <v>0</v>
      </c>
      <c r="AO80" s="50">
        <f t="shared" ca="1" si="77"/>
        <v>0</v>
      </c>
      <c r="AP80" s="50">
        <f t="shared" ca="1" si="99"/>
        <v>0</v>
      </c>
      <c r="AQ80" s="50">
        <f t="shared" ca="1" si="78"/>
        <v>0</v>
      </c>
      <c r="AR80" s="50">
        <f t="shared" ca="1" si="79"/>
        <v>0</v>
      </c>
      <c r="AS80" s="50">
        <f t="shared" si="80"/>
        <v>0</v>
      </c>
      <c r="AT80" s="50">
        <f ca="1">(MAX((MAX(AS80,105%*SUM($AJ$7:AJ80))-AM80*Flag_UL_Type),0)*B80)</f>
        <v>0</v>
      </c>
      <c r="AU80" s="50">
        <f ca="1">(MAX(AS80,AR80,105%*SUM($AJ$7:AJ80))*B80)</f>
        <v>0</v>
      </c>
      <c r="AV80" s="125"/>
      <c r="AW80" s="13"/>
      <c r="AX80" s="13"/>
      <c r="AY80" s="13"/>
      <c r="AZ80" s="13"/>
      <c r="BA80" s="13"/>
      <c r="BG80" s="51">
        <f t="shared" si="81"/>
        <v>0</v>
      </c>
      <c r="BH80" s="51">
        <f t="shared" ca="1" si="82"/>
        <v>207.88993728553299</v>
      </c>
      <c r="BI80" s="51">
        <f t="shared" ca="1" si="83"/>
        <v>0</v>
      </c>
      <c r="BJ80" s="51">
        <f t="shared" ca="1" si="84"/>
        <v>0</v>
      </c>
      <c r="BK80" s="51">
        <f t="shared" si="85"/>
        <v>90</v>
      </c>
      <c r="BL80" s="51">
        <f t="shared" ca="1" si="86"/>
        <v>442.88079029078909</v>
      </c>
      <c r="BM80" s="51">
        <f t="shared" si="87"/>
        <v>0</v>
      </c>
      <c r="BN80" s="51">
        <f t="shared" ca="1" si="88"/>
        <v>0</v>
      </c>
      <c r="BO80" s="51">
        <f t="shared" ca="1" si="89"/>
        <v>0</v>
      </c>
      <c r="BP80" s="51">
        <f t="shared" ca="1" si="90"/>
        <v>740.77072757632209</v>
      </c>
      <c r="BQ80" s="120"/>
      <c r="BR80" s="32"/>
      <c r="BS80" s="126"/>
      <c r="BT80" s="16"/>
      <c r="BU80" s="58"/>
      <c r="BW80" s="51">
        <f>IF(Input!$C$13="Offline",VLOOKUP(H80,Charges!$AT$4:$AU$33,2,FALSE)*I80,0)</f>
        <v>0</v>
      </c>
      <c r="BX80" s="51">
        <f t="shared" si="91"/>
        <v>0</v>
      </c>
      <c r="BY80" s="51">
        <f t="shared" si="100"/>
        <v>0</v>
      </c>
      <c r="BZ80" s="151"/>
      <c r="CA80" s="151"/>
      <c r="CB80" s="32"/>
      <c r="CC80" s="16">
        <f ca="1">SUM($N$7:$N80)</f>
        <v>0</v>
      </c>
      <c r="CD80" s="16">
        <f t="shared" ca="1" si="92"/>
        <v>0</v>
      </c>
      <c r="CE80" s="16">
        <f t="shared" ca="1" si="93"/>
        <v>0</v>
      </c>
      <c r="CF80" s="7">
        <f t="shared" ca="1" si="94"/>
        <v>0</v>
      </c>
      <c r="CH80" s="7">
        <f t="shared" ca="1" si="95"/>
        <v>0</v>
      </c>
    </row>
    <row r="81" spans="2:86" s="7" customFormat="1" x14ac:dyDescent="0.2">
      <c r="B81" s="14">
        <f t="shared" si="59"/>
        <v>1</v>
      </c>
      <c r="C81" s="12">
        <f t="shared" si="60"/>
        <v>1</v>
      </c>
      <c r="D81" s="17">
        <f t="shared" si="101"/>
        <v>75</v>
      </c>
      <c r="E81" s="17">
        <f t="shared" ca="1" si="61"/>
        <v>66</v>
      </c>
      <c r="F81" s="12">
        <f t="shared" si="56"/>
        <v>2</v>
      </c>
      <c r="G81" s="12">
        <f t="shared" si="102"/>
        <v>13</v>
      </c>
      <c r="H81" s="17">
        <f t="shared" si="57"/>
        <v>7</v>
      </c>
      <c r="I81" s="29">
        <f t="shared" si="62"/>
        <v>0</v>
      </c>
      <c r="J81" s="211">
        <f>IFERROR(VLOOKUP(H81,Charges!$T$6:$U$35,2,0)*C81,0)</f>
        <v>0.98</v>
      </c>
      <c r="K81" s="29">
        <f t="shared" si="63"/>
        <v>0</v>
      </c>
      <c r="L81" s="29">
        <f t="shared" si="64"/>
        <v>0</v>
      </c>
      <c r="M81" s="147">
        <f t="shared" ca="1" si="65"/>
        <v>0</v>
      </c>
      <c r="N81" s="148">
        <f ca="1">IF(AND(Option_SPW="Y",H81&gt;=Lock_In_Period,Z80&gt;SPW_Amount_pa+IF(option="Single",1/5*pr,2*pr),H81&gt;=SPW_Start_Year,H81&lt;=SPW_Start_Year+SPW_Duration-1,age+H81&gt;=Legal_Age),IF(AND(F81=0,SPW_Payout_Freq=1),SPW_Amount_pa,IF(AND(SPW_Payout_Freq=2,MOD(F81,6)=0),SPW_Amount_pa/SPW_Payout_Freq,IF(AND(SPW_Payout_Freq=4,MOD(F81,3)=0),SPW_Amount_pa/SPW_Payout_Freq,IF(SPW_Payout_Freq=12,SPW_Amount_pa/SPW_Payout_Freq,0)))),0)+IFERROR(VLOOKUP(H81,Input!$B$68:$C$74,2,0),0)*(F81=0)*(Option_PW="Y")*(Option_SPW="N")*(age+H81&gt;=Legal_Age)</f>
        <v>0</v>
      </c>
      <c r="O81" s="148">
        <f t="shared" ca="1" si="66"/>
        <v>0</v>
      </c>
      <c r="P81" s="14">
        <f ca="1">(MAX(MAX(sa-CF80*Flag_UL_Type,105%*SUM($I$7:I81))-(AD80+L81-N81)*Flag_UL_Type,0)*B81)</f>
        <v>817027.27451565815</v>
      </c>
      <c r="Q81" s="213">
        <f t="shared" ca="1" si="67"/>
        <v>1142.1973212122666</v>
      </c>
      <c r="R81" s="14">
        <f t="shared" ca="1" si="68"/>
        <v>0</v>
      </c>
      <c r="S81" s="14">
        <f t="shared" ca="1" si="69"/>
        <v>0</v>
      </c>
      <c r="T81" s="14">
        <f>IFERROR(IF(WoP_Flag="Y",IF(fq=1,VLOOKUP(ppt*fq-H81,Charges!$AN$41:$AO$59,2,FALSE),IF(fq=2,VLOOKUP(ppt*fq-G81,Charges!$AP$41:$AQ$79,2,FALSE),VLOOKUP(ppt*fq-D81,Charges!$AR$41:$AS$279,2,FALSE)))*pr/fq,0),0)</f>
        <v>0</v>
      </c>
      <c r="U81" s="14">
        <f t="shared" ca="1" si="70"/>
        <v>0</v>
      </c>
      <c r="V81" s="34">
        <f>ROUND(MIN(IF(H81&gt;=7,Charges!$C$12*(1+Charges!$C$14)^((H81-7+1)),VLOOKUP(H81,Charges!$B$7:$C$12,2,0))*pr,Charges!$C$13)*B81,Round)</f>
        <v>500</v>
      </c>
      <c r="W81" s="14">
        <f t="shared" ca="1" si="71"/>
        <v>2181034.9326453116</v>
      </c>
      <c r="X81" s="14">
        <f t="shared" ca="1" si="72"/>
        <v>2195067.7770729209</v>
      </c>
      <c r="Y81" s="213">
        <f t="shared" ca="1" si="96"/>
        <v>2470.7951496646178</v>
      </c>
      <c r="Z81" s="14">
        <f t="shared" ca="1" si="73"/>
        <v>2192152.2387963166</v>
      </c>
      <c r="AA81" s="14">
        <f>IF(AND($H81=pt,$F81=11),SUM($K$7:K81)*VLOOKUP(pt,ROC,2,FALSE),0)</f>
        <v>0</v>
      </c>
      <c r="AB81" s="14">
        <f>IF(AND($H81=pt,$F81=11),SUM($V$7:V81)*VLOOKUP(pt,ROC,2,FALSE),0)</f>
        <v>0</v>
      </c>
      <c r="AC81" s="14">
        <f>IF(AND($H81=pt,$F81=11),SUM($Q$7:Q81)*VLOOKUP(pt,ROC,2,FALSE),0)</f>
        <v>0</v>
      </c>
      <c r="AD81" s="14">
        <f t="shared" ca="1" si="74"/>
        <v>2192152.2387963166</v>
      </c>
      <c r="AE81" s="14">
        <f ca="1">(MAX(sa-CF80*Flag_UL_Type,105%*SUM($I$7:I81),Z81)+AU81)*B81</f>
        <v>3000000</v>
      </c>
      <c r="AF81" s="136"/>
      <c r="AG81" s="18">
        <v>75</v>
      </c>
      <c r="AH81" s="30">
        <f t="shared" ca="1" si="75"/>
        <v>0</v>
      </c>
      <c r="AI81" s="138"/>
      <c r="AJ81" s="50">
        <f>IF(AND(Option_Sys_TopUp&gt;="Y",H81&gt;=sytp,H81&lt;=(dtp+sytp-1),F81=0,H81&lt;=ppt+1),atp,0)+IFERROR(VLOOKUP(H81,Input!$B$55:$C$61,2,0),0)*(F81=0)*(Option_TopUP="Y")*(Option_Sys_TopUp="N")*B81*(pt&gt;=H81+5)</f>
        <v>0</v>
      </c>
      <c r="AK81" s="50">
        <f t="shared" si="76"/>
        <v>0</v>
      </c>
      <c r="AL81" s="50">
        <f t="shared" si="97"/>
        <v>0</v>
      </c>
      <c r="AM81" s="50">
        <f t="shared" ca="1" si="98"/>
        <v>0</v>
      </c>
      <c r="AN81" s="50">
        <f ca="1">IF(B81=0,0,AT81*(_rpm1+(1+_emr1)*VLOOKUP(E81,Tab_Mort_Charge,IF(Input!$C$12="M",2,3),0))*(0.001*0.0833)*Flag_Mort_Rider_Charge*(AT81&gt;0))</f>
        <v>0</v>
      </c>
      <c r="AO81" s="50">
        <f t="shared" ca="1" si="77"/>
        <v>0</v>
      </c>
      <c r="AP81" s="50">
        <f t="shared" ca="1" si="99"/>
        <v>0</v>
      </c>
      <c r="AQ81" s="50">
        <f t="shared" ca="1" si="78"/>
        <v>0</v>
      </c>
      <c r="AR81" s="50">
        <f t="shared" ca="1" si="79"/>
        <v>0</v>
      </c>
      <c r="AS81" s="50">
        <f t="shared" si="80"/>
        <v>0</v>
      </c>
      <c r="AT81" s="50">
        <f ca="1">(MAX((MAX(AS81,105%*SUM($AJ$7:AJ81))-AM81*Flag_UL_Type),0)*B81)</f>
        <v>0</v>
      </c>
      <c r="AU81" s="50">
        <f ca="1">(MAX(AS81,AR81,105%*SUM($AJ$7:AJ81))*B81)</f>
        <v>0</v>
      </c>
      <c r="AV81" s="125"/>
      <c r="AW81" s="13"/>
      <c r="AX81" s="13"/>
      <c r="AY81" s="13"/>
      <c r="AZ81" s="13"/>
      <c r="BA81" s="13"/>
      <c r="BG81" s="51">
        <f t="shared" si="81"/>
        <v>0</v>
      </c>
      <c r="BH81" s="51">
        <f t="shared" ca="1" si="82"/>
        <v>205.59551781820801</v>
      </c>
      <c r="BI81" s="51">
        <f t="shared" ca="1" si="83"/>
        <v>0</v>
      </c>
      <c r="BJ81" s="51">
        <f t="shared" ca="1" si="84"/>
        <v>0</v>
      </c>
      <c r="BK81" s="51">
        <f t="shared" si="85"/>
        <v>90</v>
      </c>
      <c r="BL81" s="51">
        <f t="shared" ca="1" si="86"/>
        <v>444.74312693963117</v>
      </c>
      <c r="BM81" s="51">
        <f t="shared" si="87"/>
        <v>0</v>
      </c>
      <c r="BN81" s="51">
        <f t="shared" ca="1" si="88"/>
        <v>0</v>
      </c>
      <c r="BO81" s="51">
        <f t="shared" ca="1" si="89"/>
        <v>0</v>
      </c>
      <c r="BP81" s="51">
        <f t="shared" ca="1" si="90"/>
        <v>740.33864475783912</v>
      </c>
      <c r="BQ81" s="120"/>
      <c r="BR81" s="32"/>
      <c r="BS81" s="126"/>
      <c r="BT81" s="16"/>
      <c r="BU81" s="58"/>
      <c r="BW81" s="51">
        <f>IF(Input!$C$13="Offline",VLOOKUP(H81,Charges!$AT$4:$AU$33,2,FALSE)*I81,0)</f>
        <v>0</v>
      </c>
      <c r="BX81" s="51">
        <f t="shared" si="91"/>
        <v>0</v>
      </c>
      <c r="BY81" s="51">
        <f t="shared" si="100"/>
        <v>0</v>
      </c>
      <c r="BZ81" s="151"/>
      <c r="CA81" s="151"/>
      <c r="CB81" s="32"/>
      <c r="CC81" s="16">
        <f ca="1">SUM($N$7:$N81)</f>
        <v>0</v>
      </c>
      <c r="CD81" s="16">
        <f t="shared" ca="1" si="92"/>
        <v>0</v>
      </c>
      <c r="CE81" s="16">
        <f t="shared" ca="1" si="93"/>
        <v>0</v>
      </c>
      <c r="CF81" s="7">
        <f t="shared" ca="1" si="94"/>
        <v>0</v>
      </c>
      <c r="CH81" s="7">
        <f t="shared" ca="1" si="95"/>
        <v>0</v>
      </c>
    </row>
    <row r="82" spans="2:86" s="7" customFormat="1" x14ac:dyDescent="0.2">
      <c r="B82" s="14">
        <f t="shared" si="59"/>
        <v>1</v>
      </c>
      <c r="C82" s="12">
        <f t="shared" si="60"/>
        <v>1</v>
      </c>
      <c r="D82" s="17">
        <f t="shared" si="101"/>
        <v>76</v>
      </c>
      <c r="E82" s="17">
        <f t="shared" ca="1" si="61"/>
        <v>66</v>
      </c>
      <c r="F82" s="12">
        <f t="shared" si="56"/>
        <v>3</v>
      </c>
      <c r="G82" s="12">
        <f t="shared" si="102"/>
        <v>13</v>
      </c>
      <c r="H82" s="17">
        <f t="shared" si="57"/>
        <v>7</v>
      </c>
      <c r="I82" s="29">
        <f t="shared" si="62"/>
        <v>0</v>
      </c>
      <c r="J82" s="211">
        <f>IFERROR(VLOOKUP(H82,Charges!$T$6:$U$35,2,0)*C82,0)</f>
        <v>0.98</v>
      </c>
      <c r="K82" s="29">
        <f t="shared" si="63"/>
        <v>0</v>
      </c>
      <c r="L82" s="29">
        <f t="shared" si="64"/>
        <v>0</v>
      </c>
      <c r="M82" s="147">
        <f t="shared" ca="1" si="65"/>
        <v>0</v>
      </c>
      <c r="N82" s="148">
        <f ca="1">IF(AND(Option_SPW="Y",H82&gt;=Lock_In_Period,Z81&gt;SPW_Amount_pa+IF(option="Single",1/5*pr,2*pr),H82&gt;=SPW_Start_Year,H82&lt;=SPW_Start_Year+SPW_Duration-1,age+H82&gt;=Legal_Age),IF(AND(F82=0,SPW_Payout_Freq=1),SPW_Amount_pa,IF(AND(SPW_Payout_Freq=2,MOD(F82,6)=0),SPW_Amount_pa/SPW_Payout_Freq,IF(AND(SPW_Payout_Freq=4,MOD(F82,3)=0),SPW_Amount_pa/SPW_Payout_Freq,IF(SPW_Payout_Freq=12,SPW_Amount_pa/SPW_Payout_Freq,0)))),0)+IFERROR(VLOOKUP(H82,Input!$B$68:$C$74,2,0),0)*(F82=0)*(Option_PW="Y")*(Option_SPW="N")*(age+H82&gt;=Legal_Age)</f>
        <v>0</v>
      </c>
      <c r="O82" s="148">
        <f t="shared" ca="1" si="66"/>
        <v>0</v>
      </c>
      <c r="P82" s="14">
        <f ca="1">(MAX(MAX(sa-CF81*Flag_UL_Type,105%*SUM($I$7:I82))-(AD81+L82-N82)*Flag_UL_Type,0)*B82)</f>
        <v>807847.76120368345</v>
      </c>
      <c r="Q82" s="213">
        <f t="shared" ca="1" si="67"/>
        <v>1129.364438098075</v>
      </c>
      <c r="R82" s="14">
        <f t="shared" ca="1" si="68"/>
        <v>0</v>
      </c>
      <c r="S82" s="14">
        <f t="shared" ca="1" si="69"/>
        <v>0</v>
      </c>
      <c r="T82" s="14">
        <f>IFERROR(IF(WoP_Flag="Y",IF(fq=1,VLOOKUP(ppt*fq-H82,Charges!$AN$41:$AO$59,2,FALSE),IF(fq=2,VLOOKUP(ppt*fq-G82,Charges!$AP$41:$AQ$79,2,FALSE),VLOOKUP(ppt*fq-D82,Charges!$AR$41:$AS$279,2,FALSE)))*pr/fq,0),0)</f>
        <v>0</v>
      </c>
      <c r="U82" s="14">
        <f t="shared" ca="1" si="70"/>
        <v>0</v>
      </c>
      <c r="V82" s="34">
        <f>ROUND(MIN(IF(H82&gt;=7,Charges!$C$12*(1+Charges!$C$14)^((H82-7+1)),VLOOKUP(H82,Charges!$B$7:$C$12,2,0))*pr,Charges!$C$13)*B82,Round)</f>
        <v>500</v>
      </c>
      <c r="W82" s="14">
        <f t="shared" ca="1" si="71"/>
        <v>2190229.5887593608</v>
      </c>
      <c r="X82" s="14">
        <f t="shared" ca="1" si="72"/>
        <v>2204321.5918812589</v>
      </c>
      <c r="Y82" s="213">
        <f t="shared" ca="1" si="96"/>
        <v>2481.2113568465325</v>
      </c>
      <c r="Z82" s="14">
        <f t="shared" ca="1" si="73"/>
        <v>2201393.7624801798</v>
      </c>
      <c r="AA82" s="14">
        <f>IF(AND($H82=pt,$F82=11),SUM($K$7:K82)*VLOOKUP(pt,ROC,2,FALSE),0)</f>
        <v>0</v>
      </c>
      <c r="AB82" s="14">
        <f>IF(AND($H82=pt,$F82=11),SUM($V$7:V82)*VLOOKUP(pt,ROC,2,FALSE),0)</f>
        <v>0</v>
      </c>
      <c r="AC82" s="14">
        <f>IF(AND($H82=pt,$F82=11),SUM($Q$7:Q82)*VLOOKUP(pt,ROC,2,FALSE),0)</f>
        <v>0</v>
      </c>
      <c r="AD82" s="14">
        <f t="shared" ca="1" si="74"/>
        <v>2201393.7624801798</v>
      </c>
      <c r="AE82" s="14">
        <f ca="1">(MAX(sa-CF81*Flag_UL_Type,105%*SUM($I$7:I82),Z82)+AU82)*B82</f>
        <v>3000000</v>
      </c>
      <c r="AF82" s="136"/>
      <c r="AG82" s="18">
        <v>76</v>
      </c>
      <c r="AH82" s="30">
        <f t="shared" ca="1" si="75"/>
        <v>0</v>
      </c>
      <c r="AI82" s="138"/>
      <c r="AJ82" s="50">
        <f>IF(AND(Option_Sys_TopUp&gt;="Y",H82&gt;=sytp,H82&lt;=(dtp+sytp-1),F82=0,H82&lt;=ppt+1),atp,0)+IFERROR(VLOOKUP(H82,Input!$B$55:$C$61,2,0),0)*(F82=0)*(Option_TopUP="Y")*(Option_Sys_TopUp="N")*B82*(pt&gt;=H82+5)</f>
        <v>0</v>
      </c>
      <c r="AK82" s="50">
        <f t="shared" si="76"/>
        <v>0</v>
      </c>
      <c r="AL82" s="50">
        <f t="shared" si="97"/>
        <v>0</v>
      </c>
      <c r="AM82" s="50">
        <f t="shared" ca="1" si="98"/>
        <v>0</v>
      </c>
      <c r="AN82" s="50">
        <f ca="1">IF(B82=0,0,AT82*(_rpm1+(1+_emr1)*VLOOKUP(E82,Tab_Mort_Charge,IF(Input!$C$12="M",2,3),0))*(0.001*0.0833)*Flag_Mort_Rider_Charge*(AT82&gt;0))</f>
        <v>0</v>
      </c>
      <c r="AO82" s="50">
        <f t="shared" ca="1" si="77"/>
        <v>0</v>
      </c>
      <c r="AP82" s="50">
        <f t="shared" ca="1" si="99"/>
        <v>0</v>
      </c>
      <c r="AQ82" s="50">
        <f t="shared" ca="1" si="78"/>
        <v>0</v>
      </c>
      <c r="AR82" s="50">
        <f t="shared" ca="1" si="79"/>
        <v>0</v>
      </c>
      <c r="AS82" s="50">
        <f t="shared" si="80"/>
        <v>0</v>
      </c>
      <c r="AT82" s="50">
        <f ca="1">(MAX((MAX(AS82,105%*SUM($AJ$7:AJ82))-AM82*Flag_UL_Type),0)*B82)</f>
        <v>0</v>
      </c>
      <c r="AU82" s="50">
        <f ca="1">(MAX(AS82,AR82,105%*SUM($AJ$7:AJ82))*B82)</f>
        <v>0</v>
      </c>
      <c r="AV82" s="125"/>
      <c r="AW82" s="13"/>
      <c r="AX82" s="13"/>
      <c r="AY82" s="13"/>
      <c r="AZ82" s="13"/>
      <c r="BA82" s="13"/>
      <c r="BG82" s="51">
        <f t="shared" si="81"/>
        <v>0</v>
      </c>
      <c r="BH82" s="51">
        <f t="shared" ca="1" si="82"/>
        <v>203.28559885765301</v>
      </c>
      <c r="BI82" s="51">
        <f t="shared" ca="1" si="83"/>
        <v>0</v>
      </c>
      <c r="BJ82" s="51">
        <f t="shared" ca="1" si="84"/>
        <v>0</v>
      </c>
      <c r="BK82" s="51">
        <f t="shared" si="85"/>
        <v>90</v>
      </c>
      <c r="BL82" s="51">
        <f t="shared" ca="1" si="86"/>
        <v>446.61804423237584</v>
      </c>
      <c r="BM82" s="51">
        <f t="shared" si="87"/>
        <v>0</v>
      </c>
      <c r="BN82" s="51">
        <f t="shared" ca="1" si="88"/>
        <v>0</v>
      </c>
      <c r="BO82" s="51">
        <f t="shared" ca="1" si="89"/>
        <v>0</v>
      </c>
      <c r="BP82" s="51">
        <f t="shared" ca="1" si="90"/>
        <v>739.90364309002882</v>
      </c>
      <c r="BQ82" s="120"/>
      <c r="BR82" s="32"/>
      <c r="BS82" s="126"/>
      <c r="BT82" s="16"/>
      <c r="BU82" s="58"/>
      <c r="BW82" s="51">
        <f>IF(Input!$C$13="Offline",VLOOKUP(H82,Charges!$AT$4:$AU$33,2,FALSE)*I82,0)</f>
        <v>0</v>
      </c>
      <c r="BX82" s="51">
        <f t="shared" si="91"/>
        <v>0</v>
      </c>
      <c r="BY82" s="51">
        <f t="shared" si="100"/>
        <v>0</v>
      </c>
      <c r="BZ82" s="151"/>
      <c r="CA82" s="151"/>
      <c r="CB82" s="32"/>
      <c r="CC82" s="16">
        <f ca="1">SUM($N$7:$N82)</f>
        <v>0</v>
      </c>
      <c r="CD82" s="16">
        <f t="shared" ca="1" si="92"/>
        <v>0</v>
      </c>
      <c r="CE82" s="16">
        <f t="shared" ca="1" si="93"/>
        <v>0</v>
      </c>
      <c r="CF82" s="7">
        <f t="shared" ca="1" si="94"/>
        <v>0</v>
      </c>
      <c r="CH82" s="7">
        <f t="shared" ca="1" si="95"/>
        <v>0</v>
      </c>
    </row>
    <row r="83" spans="2:86" s="7" customFormat="1" x14ac:dyDescent="0.2">
      <c r="B83" s="14">
        <f t="shared" si="59"/>
        <v>1</v>
      </c>
      <c r="C83" s="12">
        <f t="shared" si="60"/>
        <v>1</v>
      </c>
      <c r="D83" s="17">
        <f t="shared" si="101"/>
        <v>77</v>
      </c>
      <c r="E83" s="17">
        <f t="shared" ca="1" si="61"/>
        <v>66</v>
      </c>
      <c r="F83" s="12">
        <f t="shared" si="56"/>
        <v>4</v>
      </c>
      <c r="G83" s="12">
        <f t="shared" si="102"/>
        <v>13</v>
      </c>
      <c r="H83" s="17">
        <f t="shared" si="57"/>
        <v>7</v>
      </c>
      <c r="I83" s="29">
        <f t="shared" si="62"/>
        <v>0</v>
      </c>
      <c r="J83" s="211">
        <f>IFERROR(VLOOKUP(H83,Charges!$T$6:$U$35,2,0)*C83,0)</f>
        <v>0.98</v>
      </c>
      <c r="K83" s="29">
        <f t="shared" si="63"/>
        <v>0</v>
      </c>
      <c r="L83" s="29">
        <f t="shared" si="64"/>
        <v>0</v>
      </c>
      <c r="M83" s="147">
        <f t="shared" ca="1" si="65"/>
        <v>0</v>
      </c>
      <c r="N83" s="148">
        <f ca="1">IF(AND(Option_SPW="Y",H83&gt;=Lock_In_Period,Z82&gt;SPW_Amount_pa+IF(option="Single",1/5*pr,2*pr),H83&gt;=SPW_Start_Year,H83&lt;=SPW_Start_Year+SPW_Duration-1,age+H83&gt;=Legal_Age),IF(AND(F83=0,SPW_Payout_Freq=1),SPW_Amount_pa,IF(AND(SPW_Payout_Freq=2,MOD(F83,6)=0),SPW_Amount_pa/SPW_Payout_Freq,IF(AND(SPW_Payout_Freq=4,MOD(F83,3)=0),SPW_Amount_pa/SPW_Payout_Freq,IF(SPW_Payout_Freq=12,SPW_Amount_pa/SPW_Payout_Freq,0)))),0)+IFERROR(VLOOKUP(H83,Input!$B$68:$C$74,2,0),0)*(F83=0)*(Option_PW="Y")*(Option_SPW="N")*(age+H83&gt;=Legal_Age)</f>
        <v>0</v>
      </c>
      <c r="O83" s="148">
        <f t="shared" ca="1" si="66"/>
        <v>0</v>
      </c>
      <c r="P83" s="14">
        <f ca="1">(MAX(MAX(sa-CF82*Flag_UL_Type,105%*SUM($I$7:I83))-(AD82+L83-N83)*Flag_UL_Type,0)*B83)</f>
        <v>798606.23751982022</v>
      </c>
      <c r="Q83" s="213">
        <f t="shared" ca="1" si="67"/>
        <v>1116.4448650007332</v>
      </c>
      <c r="R83" s="14">
        <f t="shared" ca="1" si="68"/>
        <v>0</v>
      </c>
      <c r="S83" s="14">
        <f t="shared" ca="1" si="69"/>
        <v>0</v>
      </c>
      <c r="T83" s="14">
        <f>IFERROR(IF(WoP_Flag="Y",IF(fq=1,VLOOKUP(ppt*fq-H83,Charges!$AN$41:$AO$59,2,FALSE),IF(fq=2,VLOOKUP(ppt*fq-G83,Charges!$AP$41:$AQ$79,2,FALSE),VLOOKUP(ppt*fq-D83,Charges!$AR$41:$AS$279,2,FALSE)))*pr/fq,0),0)</f>
        <v>0</v>
      </c>
      <c r="U83" s="14">
        <f t="shared" ca="1" si="70"/>
        <v>0</v>
      </c>
      <c r="V83" s="34">
        <f>ROUND(MIN(IF(H83&gt;=7,Charges!$C$12*(1+Charges!$C$14)^((H83-7+1)),VLOOKUP(H83,Charges!$B$7:$C$12,2,0))*pr,Charges!$C$13)*B83,Round)</f>
        <v>500</v>
      </c>
      <c r="W83" s="14">
        <f t="shared" ca="1" si="71"/>
        <v>2199486.3575394787</v>
      </c>
      <c r="X83" s="14">
        <f t="shared" ca="1" si="72"/>
        <v>2213637.9189904295</v>
      </c>
      <c r="Y83" s="213">
        <f t="shared" ca="1" si="96"/>
        <v>2491.6979286391916</v>
      </c>
      <c r="Z83" s="14">
        <f t="shared" ca="1" si="73"/>
        <v>2210697.7154346351</v>
      </c>
      <c r="AA83" s="14">
        <f>IF(AND($H83=pt,$F83=11),SUM($K$7:K83)*VLOOKUP(pt,ROC,2,FALSE),0)</f>
        <v>0</v>
      </c>
      <c r="AB83" s="14">
        <f>IF(AND($H83=pt,$F83=11),SUM($V$7:V83)*VLOOKUP(pt,ROC,2,FALSE),0)</f>
        <v>0</v>
      </c>
      <c r="AC83" s="14">
        <f>IF(AND($H83=pt,$F83=11),SUM($Q$7:Q83)*VLOOKUP(pt,ROC,2,FALSE),0)</f>
        <v>0</v>
      </c>
      <c r="AD83" s="14">
        <f t="shared" ca="1" si="74"/>
        <v>2210697.7154346351</v>
      </c>
      <c r="AE83" s="14">
        <f ca="1">(MAX(sa-CF82*Flag_UL_Type,105%*SUM($I$7:I83),Z83)+AU83)*B83</f>
        <v>3000000</v>
      </c>
      <c r="AF83" s="136"/>
      <c r="AG83" s="18">
        <v>77</v>
      </c>
      <c r="AH83" s="30">
        <f t="shared" ca="1" si="75"/>
        <v>0</v>
      </c>
      <c r="AI83" s="138"/>
      <c r="AJ83" s="50">
        <f>IF(AND(Option_Sys_TopUp&gt;="Y",H83&gt;=sytp,H83&lt;=(dtp+sytp-1),F83=0,H83&lt;=ppt+1),atp,0)+IFERROR(VLOOKUP(H83,Input!$B$55:$C$61,2,0),0)*(F83=0)*(Option_TopUP="Y")*(Option_Sys_TopUp="N")*B83*(pt&gt;=H83+5)</f>
        <v>0</v>
      </c>
      <c r="AK83" s="50">
        <f t="shared" si="76"/>
        <v>0</v>
      </c>
      <c r="AL83" s="50">
        <f t="shared" si="97"/>
        <v>0</v>
      </c>
      <c r="AM83" s="50">
        <f t="shared" ca="1" si="98"/>
        <v>0</v>
      </c>
      <c r="AN83" s="50">
        <f ca="1">IF(B83=0,0,AT83*(_rpm1+(1+_emr1)*VLOOKUP(E83,Tab_Mort_Charge,IF(Input!$C$12="M",2,3),0))*(0.001*0.0833)*Flag_Mort_Rider_Charge*(AT83&gt;0))</f>
        <v>0</v>
      </c>
      <c r="AO83" s="50">
        <f t="shared" ca="1" si="77"/>
        <v>0</v>
      </c>
      <c r="AP83" s="50">
        <f t="shared" ca="1" si="99"/>
        <v>0</v>
      </c>
      <c r="AQ83" s="50">
        <f t="shared" ca="1" si="78"/>
        <v>0</v>
      </c>
      <c r="AR83" s="50">
        <f t="shared" ca="1" si="79"/>
        <v>0</v>
      </c>
      <c r="AS83" s="50">
        <f t="shared" si="80"/>
        <v>0</v>
      </c>
      <c r="AT83" s="50">
        <f ca="1">(MAX((MAX(AS83,105%*SUM($AJ$7:AJ83))-AM83*Flag_UL_Type),0)*B83)</f>
        <v>0</v>
      </c>
      <c r="AU83" s="50">
        <f ca="1">(MAX(AS83,AR83,105%*SUM($AJ$7:AJ83))*B83)</f>
        <v>0</v>
      </c>
      <c r="AV83" s="125"/>
      <c r="AW83" s="13"/>
      <c r="AX83" s="13"/>
      <c r="AY83" s="13"/>
      <c r="AZ83" s="13"/>
      <c r="BA83" s="13"/>
      <c r="BG83" s="51">
        <f t="shared" si="81"/>
        <v>0</v>
      </c>
      <c r="BH83" s="51">
        <f t="shared" ca="1" si="82"/>
        <v>200.96007570013199</v>
      </c>
      <c r="BI83" s="51">
        <f t="shared" ca="1" si="83"/>
        <v>0</v>
      </c>
      <c r="BJ83" s="51">
        <f t="shared" ca="1" si="84"/>
        <v>0</v>
      </c>
      <c r="BK83" s="51">
        <f t="shared" si="85"/>
        <v>90</v>
      </c>
      <c r="BL83" s="51">
        <f t="shared" ca="1" si="86"/>
        <v>448.50562715505447</v>
      </c>
      <c r="BM83" s="51">
        <f t="shared" si="87"/>
        <v>0</v>
      </c>
      <c r="BN83" s="51">
        <f t="shared" ca="1" si="88"/>
        <v>0</v>
      </c>
      <c r="BO83" s="51">
        <f t="shared" ca="1" si="89"/>
        <v>0</v>
      </c>
      <c r="BP83" s="51">
        <f t="shared" ca="1" si="90"/>
        <v>739.46570285518646</v>
      </c>
      <c r="BQ83" s="120"/>
      <c r="BR83" s="32"/>
      <c r="BS83" s="126"/>
      <c r="BT83" s="16"/>
      <c r="BU83" s="58"/>
      <c r="BW83" s="51">
        <f>IF(Input!$C$13="Offline",VLOOKUP(H83,Charges!$AT$4:$AU$33,2,FALSE)*I83,0)</f>
        <v>0</v>
      </c>
      <c r="BX83" s="51">
        <f t="shared" si="91"/>
        <v>0</v>
      </c>
      <c r="BY83" s="51">
        <f t="shared" si="100"/>
        <v>0</v>
      </c>
      <c r="BZ83" s="151"/>
      <c r="CA83" s="151"/>
      <c r="CB83" s="32"/>
      <c r="CC83" s="16">
        <f ca="1">SUM($N$7:$N83)</f>
        <v>0</v>
      </c>
      <c r="CD83" s="16">
        <f t="shared" ca="1" si="92"/>
        <v>0</v>
      </c>
      <c r="CE83" s="16">
        <f t="shared" ca="1" si="93"/>
        <v>0</v>
      </c>
      <c r="CF83" s="7">
        <f t="shared" ca="1" si="94"/>
        <v>0</v>
      </c>
      <c r="CH83" s="7">
        <f t="shared" ca="1" si="95"/>
        <v>0</v>
      </c>
    </row>
    <row r="84" spans="2:86" s="7" customFormat="1" x14ac:dyDescent="0.2">
      <c r="B84" s="14">
        <f t="shared" si="59"/>
        <v>1</v>
      </c>
      <c r="C84" s="12">
        <f t="shared" si="60"/>
        <v>1</v>
      </c>
      <c r="D84" s="17">
        <f t="shared" si="101"/>
        <v>78</v>
      </c>
      <c r="E84" s="17">
        <f t="shared" ca="1" si="61"/>
        <v>66</v>
      </c>
      <c r="F84" s="12">
        <f t="shared" ref="F84:F147" si="103">F72</f>
        <v>5</v>
      </c>
      <c r="G84" s="12">
        <f t="shared" si="102"/>
        <v>13</v>
      </c>
      <c r="H84" s="17">
        <f t="shared" ref="H84:H147" si="104">+H72+1</f>
        <v>7</v>
      </c>
      <c r="I84" s="29">
        <f t="shared" si="62"/>
        <v>0</v>
      </c>
      <c r="J84" s="211">
        <f>IFERROR(VLOOKUP(H84,Charges!$T$6:$U$35,2,0)*C84,0)</f>
        <v>0.98</v>
      </c>
      <c r="K84" s="29">
        <f t="shared" si="63"/>
        <v>0</v>
      </c>
      <c r="L84" s="29">
        <f t="shared" si="64"/>
        <v>0</v>
      </c>
      <c r="M84" s="147">
        <f t="shared" ca="1" si="65"/>
        <v>0</v>
      </c>
      <c r="N84" s="148">
        <f ca="1">IF(AND(Option_SPW="Y",H84&gt;=Lock_In_Period,Z83&gt;SPW_Amount_pa+IF(option="Single",1/5*pr,2*pr),H84&gt;=SPW_Start_Year,H84&lt;=SPW_Start_Year+SPW_Duration-1,age+H84&gt;=Legal_Age),IF(AND(F84=0,SPW_Payout_Freq=1),SPW_Amount_pa,IF(AND(SPW_Payout_Freq=2,MOD(F84,6)=0),SPW_Amount_pa/SPW_Payout_Freq,IF(AND(SPW_Payout_Freq=4,MOD(F84,3)=0),SPW_Amount_pa/SPW_Payout_Freq,IF(SPW_Payout_Freq=12,SPW_Amount_pa/SPW_Payout_Freq,0)))),0)+IFERROR(VLOOKUP(H84,Input!$B$68:$C$74,2,0),0)*(F84=0)*(Option_PW="Y")*(Option_SPW="N")*(age+H84&gt;=Legal_Age)</f>
        <v>0</v>
      </c>
      <c r="O84" s="148">
        <f t="shared" ca="1" si="66"/>
        <v>0</v>
      </c>
      <c r="P84" s="14">
        <f ca="1">(MAX(MAX(sa-CF83*Flag_UL_Type,105%*SUM($I$7:I84))-(AD83+L84-N84)*Flag_UL_Type,0)*B84)</f>
        <v>789302.28456536494</v>
      </c>
      <c r="Q84" s="213">
        <f t="shared" ca="1" si="67"/>
        <v>1103.4380163033416</v>
      </c>
      <c r="R84" s="14">
        <f t="shared" ca="1" si="68"/>
        <v>0</v>
      </c>
      <c r="S84" s="14">
        <f t="shared" ca="1" si="69"/>
        <v>0</v>
      </c>
      <c r="T84" s="14">
        <f>IFERROR(IF(WoP_Flag="Y",IF(fq=1,VLOOKUP(ppt*fq-H84,Charges!$AN$41:$AO$59,2,FALSE),IF(fq=2,VLOOKUP(ppt*fq-G84,Charges!$AP$41:$AQ$79,2,FALSE),VLOOKUP(ppt*fq-D84,Charges!$AR$41:$AS$279,2,FALSE)))*pr/fq,0),0)</f>
        <v>0</v>
      </c>
      <c r="U84" s="14">
        <f t="shared" ca="1" si="70"/>
        <v>0</v>
      </c>
      <c r="V84" s="34">
        <f>ROUND(MIN(IF(H84&gt;=7,Charges!$C$12*(1+Charges!$C$14)^((H84-7+1)),VLOOKUP(H84,Charges!$B$7:$C$12,2,0))*pr,Charges!$C$13)*B84,Round)</f>
        <v>500</v>
      </c>
      <c r="W84" s="14">
        <f t="shared" ca="1" si="71"/>
        <v>2208805.658575397</v>
      </c>
      <c r="X84" s="14">
        <f t="shared" ca="1" si="72"/>
        <v>2223017.1806898168</v>
      </c>
      <c r="Y84" s="213">
        <f t="shared" ca="1" si="96"/>
        <v>2502.2553403766933</v>
      </c>
      <c r="Z84" s="14">
        <f t="shared" ca="1" si="73"/>
        <v>2220064.5193881723</v>
      </c>
      <c r="AA84" s="14">
        <f>IF(AND($H84=pt,$F84=11),SUM($K$7:K84)*VLOOKUP(pt,ROC,2,FALSE),0)</f>
        <v>0</v>
      </c>
      <c r="AB84" s="14">
        <f>IF(AND($H84=pt,$F84=11),SUM($V$7:V84)*VLOOKUP(pt,ROC,2,FALSE),0)</f>
        <v>0</v>
      </c>
      <c r="AC84" s="14">
        <f>IF(AND($H84=pt,$F84=11),SUM($Q$7:Q84)*VLOOKUP(pt,ROC,2,FALSE),0)</f>
        <v>0</v>
      </c>
      <c r="AD84" s="14">
        <f t="shared" ca="1" si="74"/>
        <v>2220064.5193881723</v>
      </c>
      <c r="AE84" s="14">
        <f ca="1">(MAX(sa-CF83*Flag_UL_Type,105%*SUM($I$7:I84),Z84)+AU84)*B84</f>
        <v>3000000</v>
      </c>
      <c r="AF84" s="136"/>
      <c r="AG84" s="18">
        <v>78</v>
      </c>
      <c r="AH84" s="30">
        <f t="shared" ca="1" si="75"/>
        <v>0</v>
      </c>
      <c r="AI84" s="138"/>
      <c r="AJ84" s="50">
        <f>IF(AND(Option_Sys_TopUp&gt;="Y",H84&gt;=sytp,H84&lt;=(dtp+sytp-1),F84=0,H84&lt;=ppt+1),atp,0)+IFERROR(VLOOKUP(H84,Input!$B$55:$C$61,2,0),0)*(F84=0)*(Option_TopUP="Y")*(Option_Sys_TopUp="N")*B84*(pt&gt;=H84+5)</f>
        <v>0</v>
      </c>
      <c r="AK84" s="50">
        <f t="shared" si="76"/>
        <v>0</v>
      </c>
      <c r="AL84" s="50">
        <f t="shared" si="97"/>
        <v>0</v>
      </c>
      <c r="AM84" s="50">
        <f t="shared" ca="1" si="98"/>
        <v>0</v>
      </c>
      <c r="AN84" s="50">
        <f ca="1">IF(B84=0,0,AT84*(_rpm1+(1+_emr1)*VLOOKUP(E84,Tab_Mort_Charge,IF(Input!$C$12="M",2,3),0))*(0.001*0.0833)*Flag_Mort_Rider_Charge*(AT84&gt;0))</f>
        <v>0</v>
      </c>
      <c r="AO84" s="50">
        <f t="shared" ca="1" si="77"/>
        <v>0</v>
      </c>
      <c r="AP84" s="50">
        <f t="shared" ca="1" si="99"/>
        <v>0</v>
      </c>
      <c r="AQ84" s="50">
        <f t="shared" ca="1" si="78"/>
        <v>0</v>
      </c>
      <c r="AR84" s="50">
        <f t="shared" ca="1" si="79"/>
        <v>0</v>
      </c>
      <c r="AS84" s="50">
        <f t="shared" si="80"/>
        <v>0</v>
      </c>
      <c r="AT84" s="50">
        <f ca="1">(MAX((MAX(AS84,105%*SUM($AJ$7:AJ84))-AM84*Flag_UL_Type),0)*B84)</f>
        <v>0</v>
      </c>
      <c r="AU84" s="50">
        <f ca="1">(MAX(AS84,AR84,105%*SUM($AJ$7:AJ84))*B84)</f>
        <v>0</v>
      </c>
      <c r="AV84" s="125"/>
      <c r="AW84" s="13"/>
      <c r="AX84" s="13"/>
      <c r="AY84" s="13"/>
      <c r="AZ84" s="13"/>
      <c r="BA84" s="13"/>
      <c r="BG84" s="51">
        <f t="shared" si="81"/>
        <v>0</v>
      </c>
      <c r="BH84" s="51">
        <f t="shared" ca="1" si="82"/>
        <v>198.61884293460099</v>
      </c>
      <c r="BI84" s="51">
        <f t="shared" ca="1" si="83"/>
        <v>0</v>
      </c>
      <c r="BJ84" s="51">
        <f t="shared" ca="1" si="84"/>
        <v>0</v>
      </c>
      <c r="BK84" s="51">
        <f t="shared" si="85"/>
        <v>90</v>
      </c>
      <c r="BL84" s="51">
        <f t="shared" ca="1" si="86"/>
        <v>450.4059612678048</v>
      </c>
      <c r="BM84" s="51">
        <f t="shared" si="87"/>
        <v>0</v>
      </c>
      <c r="BN84" s="51">
        <f t="shared" ca="1" si="88"/>
        <v>0</v>
      </c>
      <c r="BO84" s="51">
        <f t="shared" ca="1" si="89"/>
        <v>0</v>
      </c>
      <c r="BP84" s="51">
        <f t="shared" ca="1" si="90"/>
        <v>739.02480420240579</v>
      </c>
      <c r="BQ84" s="120"/>
      <c r="BR84" s="32"/>
      <c r="BS84" s="126"/>
      <c r="BT84" s="16"/>
      <c r="BU84" s="58"/>
      <c r="BW84" s="51">
        <f>IF(Input!$C$13="Offline",VLOOKUP(H84,Charges!$AT$4:$AU$33,2,FALSE)*I84,0)</f>
        <v>0</v>
      </c>
      <c r="BX84" s="51">
        <f t="shared" si="91"/>
        <v>0</v>
      </c>
      <c r="BY84" s="51">
        <f t="shared" si="100"/>
        <v>0</v>
      </c>
      <c r="BZ84" s="151"/>
      <c r="CA84" s="151"/>
      <c r="CB84" s="32"/>
      <c r="CC84" s="16">
        <f ca="1">SUM($N$7:$N84)</f>
        <v>0</v>
      </c>
      <c r="CD84" s="16">
        <f t="shared" ca="1" si="92"/>
        <v>0</v>
      </c>
      <c r="CE84" s="16">
        <f t="shared" ca="1" si="93"/>
        <v>0</v>
      </c>
      <c r="CF84" s="7">
        <f t="shared" ca="1" si="94"/>
        <v>0</v>
      </c>
      <c r="CH84" s="7">
        <f t="shared" ca="1" si="95"/>
        <v>0</v>
      </c>
    </row>
    <row r="85" spans="2:86" s="7" customFormat="1" x14ac:dyDescent="0.2">
      <c r="B85" s="14">
        <f t="shared" si="59"/>
        <v>1</v>
      </c>
      <c r="C85" s="12">
        <f t="shared" si="60"/>
        <v>1</v>
      </c>
      <c r="D85" s="17">
        <f t="shared" si="101"/>
        <v>79</v>
      </c>
      <c r="E85" s="17">
        <f t="shared" ca="1" si="61"/>
        <v>66</v>
      </c>
      <c r="F85" s="12">
        <f t="shared" si="103"/>
        <v>6</v>
      </c>
      <c r="G85" s="12">
        <f t="shared" si="102"/>
        <v>14</v>
      </c>
      <c r="H85" s="17">
        <f t="shared" si="104"/>
        <v>7</v>
      </c>
      <c r="I85" s="29">
        <f t="shared" si="62"/>
        <v>0</v>
      </c>
      <c r="J85" s="211">
        <f>IFERROR(VLOOKUP(H85,Charges!$T$6:$U$35,2,0)*C85,0)</f>
        <v>0.98</v>
      </c>
      <c r="K85" s="29">
        <f t="shared" si="63"/>
        <v>0</v>
      </c>
      <c r="L85" s="29">
        <f t="shared" si="64"/>
        <v>0</v>
      </c>
      <c r="M85" s="147">
        <f t="shared" ca="1" si="65"/>
        <v>0</v>
      </c>
      <c r="N85" s="148">
        <f ca="1">IF(AND(Option_SPW="Y",H85&gt;=Lock_In_Period,Z84&gt;SPW_Amount_pa+IF(option="Single",1/5*pr,2*pr),H85&gt;=SPW_Start_Year,H85&lt;=SPW_Start_Year+SPW_Duration-1,age+H85&gt;=Legal_Age),IF(AND(F85=0,SPW_Payout_Freq=1),SPW_Amount_pa,IF(AND(SPW_Payout_Freq=2,MOD(F85,6)=0),SPW_Amount_pa/SPW_Payout_Freq,IF(AND(SPW_Payout_Freq=4,MOD(F85,3)=0),SPW_Amount_pa/SPW_Payout_Freq,IF(SPW_Payout_Freq=12,SPW_Amount_pa/SPW_Payout_Freq,0)))),0)+IFERROR(VLOOKUP(H85,Input!$B$68:$C$74,2,0),0)*(F85=0)*(Option_PW="Y")*(Option_SPW="N")*(age+H85&gt;=Legal_Age)</f>
        <v>0</v>
      </c>
      <c r="O85" s="148">
        <f t="shared" ca="1" si="66"/>
        <v>0</v>
      </c>
      <c r="P85" s="14">
        <f ca="1">(MAX(MAX(sa-CF84*Flag_UL_Type,105%*SUM($I$7:I85))-(AD84+L85-N85)*Flag_UL_Type,0)*B85)</f>
        <v>779935.48061182769</v>
      </c>
      <c r="Q85" s="213">
        <f t="shared" ca="1" si="67"/>
        <v>1090.343302433</v>
      </c>
      <c r="R85" s="14">
        <f t="shared" ca="1" si="68"/>
        <v>0</v>
      </c>
      <c r="S85" s="14">
        <f t="shared" ca="1" si="69"/>
        <v>0</v>
      </c>
      <c r="T85" s="14">
        <f>IFERROR(IF(WoP_Flag="Y",IF(fq=1,VLOOKUP(ppt*fq-H85,Charges!$AN$41:$AO$59,2,FALSE),IF(fq=2,VLOOKUP(ppt*fq-G85,Charges!$AP$41:$AQ$79,2,FALSE),VLOOKUP(ppt*fq-D85,Charges!$AR$41:$AS$279,2,FALSE)))*pr/fq,0),0)</f>
        <v>0</v>
      </c>
      <c r="U85" s="14">
        <f t="shared" ca="1" si="70"/>
        <v>0</v>
      </c>
      <c r="V85" s="34">
        <f>ROUND(MIN(IF(H85&gt;=7,Charges!$C$12*(1+Charges!$C$14)^((H85-7+1)),VLOOKUP(H85,Charges!$B$7:$C$12,2,0))*pr,Charges!$C$13)*B85,Round)</f>
        <v>500</v>
      </c>
      <c r="W85" s="14">
        <f t="shared" ca="1" si="71"/>
        <v>2218187.9142913013</v>
      </c>
      <c r="X85" s="14">
        <f t="shared" ca="1" si="72"/>
        <v>2232459.8021214972</v>
      </c>
      <c r="Y85" s="213">
        <f t="shared" ca="1" si="96"/>
        <v>2512.884070604161</v>
      </c>
      <c r="Z85" s="14">
        <f t="shared" ca="1" si="73"/>
        <v>2229494.5989181842</v>
      </c>
      <c r="AA85" s="14">
        <f>IF(AND($H85=pt,$F85=11),SUM($K$7:K85)*VLOOKUP(pt,ROC,2,FALSE),0)</f>
        <v>0</v>
      </c>
      <c r="AB85" s="14">
        <f>IF(AND($H85=pt,$F85=11),SUM($V$7:V85)*VLOOKUP(pt,ROC,2,FALSE),0)</f>
        <v>0</v>
      </c>
      <c r="AC85" s="14">
        <f>IF(AND($H85=pt,$F85=11),SUM($Q$7:Q85)*VLOOKUP(pt,ROC,2,FALSE),0)</f>
        <v>0</v>
      </c>
      <c r="AD85" s="14">
        <f t="shared" ca="1" si="74"/>
        <v>2229494.5989181842</v>
      </c>
      <c r="AE85" s="14">
        <f ca="1">(MAX(sa-CF84*Flag_UL_Type,105%*SUM($I$7:I85),Z85)+AU85)*B85</f>
        <v>3000000</v>
      </c>
      <c r="AF85" s="136"/>
      <c r="AG85" s="18">
        <v>79</v>
      </c>
      <c r="AH85" s="30">
        <f t="shared" ca="1" si="75"/>
        <v>0</v>
      </c>
      <c r="AI85" s="138"/>
      <c r="AJ85" s="50">
        <f>IF(AND(Option_Sys_TopUp&gt;="Y",H85&gt;=sytp,H85&lt;=(dtp+sytp-1),F85=0,H85&lt;=ppt+1),atp,0)+IFERROR(VLOOKUP(H85,Input!$B$55:$C$61,2,0),0)*(F85=0)*(Option_TopUP="Y")*(Option_Sys_TopUp="N")*B85*(pt&gt;=H85+5)</f>
        <v>0</v>
      </c>
      <c r="AK85" s="50">
        <f t="shared" si="76"/>
        <v>0</v>
      </c>
      <c r="AL85" s="50">
        <f t="shared" si="97"/>
        <v>0</v>
      </c>
      <c r="AM85" s="50">
        <f t="shared" ca="1" si="98"/>
        <v>0</v>
      </c>
      <c r="AN85" s="50">
        <f ca="1">IF(B85=0,0,AT85*(_rpm1+(1+_emr1)*VLOOKUP(E85,Tab_Mort_Charge,IF(Input!$C$12="M",2,3),0))*(0.001*0.0833)*Flag_Mort_Rider_Charge*(AT85&gt;0))</f>
        <v>0</v>
      </c>
      <c r="AO85" s="50">
        <f t="shared" ca="1" si="77"/>
        <v>0</v>
      </c>
      <c r="AP85" s="50">
        <f t="shared" ca="1" si="99"/>
        <v>0</v>
      </c>
      <c r="AQ85" s="50">
        <f t="shared" ca="1" si="78"/>
        <v>0</v>
      </c>
      <c r="AR85" s="50">
        <f t="shared" ca="1" si="79"/>
        <v>0</v>
      </c>
      <c r="AS85" s="50">
        <f t="shared" si="80"/>
        <v>0</v>
      </c>
      <c r="AT85" s="50">
        <f ca="1">(MAX((MAX(AS85,105%*SUM($AJ$7:AJ85))-AM85*Flag_UL_Type),0)*B85)</f>
        <v>0</v>
      </c>
      <c r="AU85" s="50">
        <f ca="1">(MAX(AS85,AR85,105%*SUM($AJ$7:AJ85))*B85)</f>
        <v>0</v>
      </c>
      <c r="AV85" s="125"/>
      <c r="AW85" s="13"/>
      <c r="AX85" s="13"/>
      <c r="AY85" s="13"/>
      <c r="AZ85" s="13"/>
      <c r="BA85" s="13"/>
      <c r="BG85" s="51">
        <f t="shared" si="81"/>
        <v>0</v>
      </c>
      <c r="BH85" s="51">
        <f t="shared" ca="1" si="82"/>
        <v>196.26179443794001</v>
      </c>
      <c r="BI85" s="51">
        <f t="shared" ca="1" si="83"/>
        <v>0</v>
      </c>
      <c r="BJ85" s="51">
        <f t="shared" ca="1" si="84"/>
        <v>0</v>
      </c>
      <c r="BK85" s="51">
        <f t="shared" si="85"/>
        <v>90</v>
      </c>
      <c r="BL85" s="51">
        <f t="shared" ca="1" si="86"/>
        <v>452.31913270874895</v>
      </c>
      <c r="BM85" s="51">
        <f t="shared" si="87"/>
        <v>0</v>
      </c>
      <c r="BN85" s="51">
        <f t="shared" ca="1" si="88"/>
        <v>0</v>
      </c>
      <c r="BO85" s="51">
        <f t="shared" ca="1" si="89"/>
        <v>0</v>
      </c>
      <c r="BP85" s="51">
        <f t="shared" ca="1" si="90"/>
        <v>738.58092714668896</v>
      </c>
      <c r="BQ85" s="120"/>
      <c r="BR85" s="32"/>
      <c r="BS85" s="126"/>
      <c r="BT85" s="16"/>
      <c r="BU85" s="58"/>
      <c r="BW85" s="51">
        <f>IF(Input!$C$13="Offline",VLOOKUP(H85,Charges!$AT$4:$AU$33,2,FALSE)*I85,0)</f>
        <v>0</v>
      </c>
      <c r="BX85" s="51">
        <f t="shared" si="91"/>
        <v>0</v>
      </c>
      <c r="BY85" s="51">
        <f t="shared" si="100"/>
        <v>0</v>
      </c>
      <c r="BZ85" s="151"/>
      <c r="CA85" s="151"/>
      <c r="CB85" s="32"/>
      <c r="CC85" s="16">
        <f ca="1">SUM($N$7:$N85)</f>
        <v>0</v>
      </c>
      <c r="CD85" s="16">
        <f t="shared" ca="1" si="92"/>
        <v>0</v>
      </c>
      <c r="CE85" s="16">
        <f t="shared" ca="1" si="93"/>
        <v>0</v>
      </c>
      <c r="CF85" s="7">
        <f t="shared" ca="1" si="94"/>
        <v>0</v>
      </c>
      <c r="CH85" s="7">
        <f t="shared" ca="1" si="95"/>
        <v>0</v>
      </c>
    </row>
    <row r="86" spans="2:86" s="7" customFormat="1" x14ac:dyDescent="0.2">
      <c r="B86" s="14">
        <f t="shared" si="59"/>
        <v>1</v>
      </c>
      <c r="C86" s="12">
        <f t="shared" si="60"/>
        <v>1</v>
      </c>
      <c r="D86" s="17">
        <f t="shared" si="101"/>
        <v>80</v>
      </c>
      <c r="E86" s="17">
        <f t="shared" ca="1" si="61"/>
        <v>66</v>
      </c>
      <c r="F86" s="12">
        <f t="shared" si="103"/>
        <v>7</v>
      </c>
      <c r="G86" s="12">
        <f t="shared" si="102"/>
        <v>14</v>
      </c>
      <c r="H86" s="17">
        <f t="shared" si="104"/>
        <v>7</v>
      </c>
      <c r="I86" s="29">
        <f t="shared" si="62"/>
        <v>0</v>
      </c>
      <c r="J86" s="211">
        <f>IFERROR(VLOOKUP(H86,Charges!$T$6:$U$35,2,0)*C86,0)</f>
        <v>0.98</v>
      </c>
      <c r="K86" s="29">
        <f t="shared" si="63"/>
        <v>0</v>
      </c>
      <c r="L86" s="29">
        <f t="shared" si="64"/>
        <v>0</v>
      </c>
      <c r="M86" s="147">
        <f t="shared" ca="1" si="65"/>
        <v>0</v>
      </c>
      <c r="N86" s="148">
        <f ca="1">IF(AND(Option_SPW="Y",H86&gt;=Lock_In_Period,Z85&gt;SPW_Amount_pa+IF(option="Single",1/5*pr,2*pr),H86&gt;=SPW_Start_Year,H86&lt;=SPW_Start_Year+SPW_Duration-1,age+H86&gt;=Legal_Age),IF(AND(F86=0,SPW_Payout_Freq=1),SPW_Amount_pa,IF(AND(SPW_Payout_Freq=2,MOD(F86,6)=0),SPW_Amount_pa/SPW_Payout_Freq,IF(AND(SPW_Payout_Freq=4,MOD(F86,3)=0),SPW_Amount_pa/SPW_Payout_Freq,IF(SPW_Payout_Freq=12,SPW_Amount_pa/SPW_Payout_Freq,0)))),0)+IFERROR(VLOOKUP(H86,Input!$B$68:$C$74,2,0),0)*(F86=0)*(Option_PW="Y")*(Option_SPW="N")*(age+H86&gt;=Legal_Age)</f>
        <v>0</v>
      </c>
      <c r="O86" s="148">
        <f t="shared" ca="1" si="66"/>
        <v>0</v>
      </c>
      <c r="P86" s="14">
        <f ca="1">(MAX(MAX(sa-CF85*Flag_UL_Type,105%*SUM($I$7:I86))-(AD85+L86-N86)*Flag_UL_Type,0)*B86)</f>
        <v>770505.40108181583</v>
      </c>
      <c r="Q86" s="213">
        <f t="shared" ca="1" si="67"/>
        <v>1077.1601298340333</v>
      </c>
      <c r="R86" s="14">
        <f t="shared" ca="1" si="68"/>
        <v>0</v>
      </c>
      <c r="S86" s="14">
        <f t="shared" ca="1" si="69"/>
        <v>0</v>
      </c>
      <c r="T86" s="14">
        <f>IFERROR(IF(WoP_Flag="Y",IF(fq=1,VLOOKUP(ppt*fq-H86,Charges!$AN$41:$AO$59,2,FALSE),IF(fq=2,VLOOKUP(ppt*fq-G86,Charges!$AP$41:$AQ$79,2,FALSE),VLOOKUP(ppt*fq-D86,Charges!$AR$41:$AS$279,2,FALSE)))*pr/fq,0),0)</f>
        <v>0</v>
      </c>
      <c r="U86" s="14">
        <f t="shared" ca="1" si="70"/>
        <v>0</v>
      </c>
      <c r="V86" s="34">
        <f>ROUND(MIN(IF(H86&gt;=7,Charges!$C$12*(1+Charges!$C$14)^((H86-7+1)),VLOOKUP(H86,Charges!$B$7:$C$12,2,0))*pr,Charges!$C$13)*B86,Round)</f>
        <v>500</v>
      </c>
      <c r="W86" s="14">
        <f t="shared" ca="1" si="71"/>
        <v>2227633.5499649802</v>
      </c>
      <c r="X86" s="14">
        <f t="shared" ca="1" si="72"/>
        <v>2241966.2112995088</v>
      </c>
      <c r="Y86" s="213">
        <f t="shared" ca="1" si="96"/>
        <v>2523.5846010994333</v>
      </c>
      <c r="Z86" s="14">
        <f t="shared" ca="1" si="73"/>
        <v>2238988.3814702113</v>
      </c>
      <c r="AA86" s="14">
        <f>IF(AND($H86=pt,$F86=11),SUM($K$7:K86)*VLOOKUP(pt,ROC,2,FALSE),0)</f>
        <v>0</v>
      </c>
      <c r="AB86" s="14">
        <f>IF(AND($H86=pt,$F86=11),SUM($V$7:V86)*VLOOKUP(pt,ROC,2,FALSE),0)</f>
        <v>0</v>
      </c>
      <c r="AC86" s="14">
        <f>IF(AND($H86=pt,$F86=11),SUM($Q$7:Q86)*VLOOKUP(pt,ROC,2,FALSE),0)</f>
        <v>0</v>
      </c>
      <c r="AD86" s="14">
        <f t="shared" ca="1" si="74"/>
        <v>2238988.3814702113</v>
      </c>
      <c r="AE86" s="14">
        <f ca="1">(MAX(sa-CF85*Flag_UL_Type,105%*SUM($I$7:I86),Z86)+AU86)*B86</f>
        <v>3000000</v>
      </c>
      <c r="AF86" s="136"/>
      <c r="AG86" s="18">
        <v>80</v>
      </c>
      <c r="AH86" s="30">
        <f t="shared" ca="1" si="75"/>
        <v>0</v>
      </c>
      <c r="AI86" s="138"/>
      <c r="AJ86" s="50">
        <f>IF(AND(Option_Sys_TopUp&gt;="Y",H86&gt;=sytp,H86&lt;=(dtp+sytp-1),F86=0,H86&lt;=ppt+1),atp,0)+IFERROR(VLOOKUP(H86,Input!$B$55:$C$61,2,0),0)*(F86=0)*(Option_TopUP="Y")*(Option_Sys_TopUp="N")*B86*(pt&gt;=H86+5)</f>
        <v>0</v>
      </c>
      <c r="AK86" s="50">
        <f t="shared" si="76"/>
        <v>0</v>
      </c>
      <c r="AL86" s="50">
        <f t="shared" si="97"/>
        <v>0</v>
      </c>
      <c r="AM86" s="50">
        <f t="shared" ca="1" si="98"/>
        <v>0</v>
      </c>
      <c r="AN86" s="50">
        <f ca="1">IF(B86=0,0,AT86*(_rpm1+(1+_emr1)*VLOOKUP(E86,Tab_Mort_Charge,IF(Input!$C$12="M",2,3),0))*(0.001*0.0833)*Flag_Mort_Rider_Charge*(AT86&gt;0))</f>
        <v>0</v>
      </c>
      <c r="AO86" s="50">
        <f t="shared" ca="1" si="77"/>
        <v>0</v>
      </c>
      <c r="AP86" s="50">
        <f t="shared" ca="1" si="99"/>
        <v>0</v>
      </c>
      <c r="AQ86" s="50">
        <f t="shared" ca="1" si="78"/>
        <v>0</v>
      </c>
      <c r="AR86" s="50">
        <f t="shared" ca="1" si="79"/>
        <v>0</v>
      </c>
      <c r="AS86" s="50">
        <f t="shared" si="80"/>
        <v>0</v>
      </c>
      <c r="AT86" s="50">
        <f ca="1">(MAX((MAX(AS86,105%*SUM($AJ$7:AJ86))-AM86*Flag_UL_Type),0)*B86)</f>
        <v>0</v>
      </c>
      <c r="AU86" s="50">
        <f ca="1">(MAX(AS86,AR86,105%*SUM($AJ$7:AJ86))*B86)</f>
        <v>0</v>
      </c>
      <c r="AV86" s="125"/>
      <c r="AW86" s="13"/>
      <c r="AX86" s="13"/>
      <c r="AY86" s="13"/>
      <c r="AZ86" s="13"/>
      <c r="BA86" s="13"/>
      <c r="BG86" s="51">
        <f t="shared" si="81"/>
        <v>0</v>
      </c>
      <c r="BH86" s="51">
        <f t="shared" ca="1" si="82"/>
        <v>193.888823370126</v>
      </c>
      <c r="BI86" s="51">
        <f t="shared" ca="1" si="83"/>
        <v>0</v>
      </c>
      <c r="BJ86" s="51">
        <f t="shared" ca="1" si="84"/>
        <v>0</v>
      </c>
      <c r="BK86" s="51">
        <f t="shared" si="85"/>
        <v>90</v>
      </c>
      <c r="BL86" s="51">
        <f t="shared" ca="1" si="86"/>
        <v>454.24522819789797</v>
      </c>
      <c r="BM86" s="51">
        <f t="shared" si="87"/>
        <v>0</v>
      </c>
      <c r="BN86" s="51">
        <f t="shared" ca="1" si="88"/>
        <v>0</v>
      </c>
      <c r="BO86" s="51">
        <f t="shared" ca="1" si="89"/>
        <v>0</v>
      </c>
      <c r="BP86" s="51">
        <f t="shared" ca="1" si="90"/>
        <v>738.13405156802401</v>
      </c>
      <c r="BQ86" s="120"/>
      <c r="BR86" s="32"/>
      <c r="BS86" s="126"/>
      <c r="BT86" s="16"/>
      <c r="BU86" s="58"/>
      <c r="BW86" s="51">
        <f>IF(Input!$C$13="Offline",VLOOKUP(H86,Charges!$AT$4:$AU$33,2,FALSE)*I86,0)</f>
        <v>0</v>
      </c>
      <c r="BX86" s="51">
        <f t="shared" si="91"/>
        <v>0</v>
      </c>
      <c r="BY86" s="51">
        <f t="shared" si="100"/>
        <v>0</v>
      </c>
      <c r="BZ86" s="151"/>
      <c r="CA86" s="151"/>
      <c r="CB86" s="32"/>
      <c r="CC86" s="16">
        <f ca="1">SUM($N$7:$N86)</f>
        <v>0</v>
      </c>
      <c r="CD86" s="16">
        <f t="shared" ca="1" si="92"/>
        <v>0</v>
      </c>
      <c r="CE86" s="16">
        <f t="shared" ca="1" si="93"/>
        <v>0</v>
      </c>
      <c r="CF86" s="7">
        <f t="shared" ca="1" si="94"/>
        <v>0</v>
      </c>
      <c r="CH86" s="7">
        <f t="shared" ca="1" si="95"/>
        <v>0</v>
      </c>
    </row>
    <row r="87" spans="2:86" s="7" customFormat="1" x14ac:dyDescent="0.2">
      <c r="B87" s="14">
        <f t="shared" si="59"/>
        <v>1</v>
      </c>
      <c r="C87" s="12">
        <f t="shared" si="60"/>
        <v>1</v>
      </c>
      <c r="D87" s="17">
        <f t="shared" si="101"/>
        <v>81</v>
      </c>
      <c r="E87" s="17">
        <f t="shared" ca="1" si="61"/>
        <v>66</v>
      </c>
      <c r="F87" s="12">
        <f t="shared" si="103"/>
        <v>8</v>
      </c>
      <c r="G87" s="12">
        <f t="shared" si="102"/>
        <v>14</v>
      </c>
      <c r="H87" s="17">
        <f t="shared" si="104"/>
        <v>7</v>
      </c>
      <c r="I87" s="29">
        <f t="shared" si="62"/>
        <v>0</v>
      </c>
      <c r="J87" s="211">
        <f>IFERROR(VLOOKUP(H87,Charges!$T$6:$U$35,2,0)*C87,0)</f>
        <v>0.98</v>
      </c>
      <c r="K87" s="29">
        <f t="shared" si="63"/>
        <v>0</v>
      </c>
      <c r="L87" s="29">
        <f t="shared" si="64"/>
        <v>0</v>
      </c>
      <c r="M87" s="147">
        <f t="shared" ca="1" si="65"/>
        <v>0</v>
      </c>
      <c r="N87" s="148">
        <f ca="1">IF(AND(Option_SPW="Y",H87&gt;=Lock_In_Period,Z86&gt;SPW_Amount_pa+IF(option="Single",1/5*pr,2*pr),H87&gt;=SPW_Start_Year,H87&lt;=SPW_Start_Year+SPW_Duration-1,age+H87&gt;=Legal_Age),IF(AND(F87=0,SPW_Payout_Freq=1),SPW_Amount_pa,IF(AND(SPW_Payout_Freq=2,MOD(F87,6)=0),SPW_Amount_pa/SPW_Payout_Freq,IF(AND(SPW_Payout_Freq=4,MOD(F87,3)=0),SPW_Amount_pa/SPW_Payout_Freq,IF(SPW_Payout_Freq=12,SPW_Amount_pa/SPW_Payout_Freq,0)))),0)+IFERROR(VLOOKUP(H87,Input!$B$68:$C$74,2,0),0)*(F87=0)*(Option_PW="Y")*(Option_SPW="N")*(age+H87&gt;=Legal_Age)</f>
        <v>0</v>
      </c>
      <c r="O87" s="148">
        <f t="shared" ca="1" si="66"/>
        <v>0</v>
      </c>
      <c r="P87" s="14">
        <f ca="1">(MAX(MAX(sa-CF86*Flag_UL_Type,105%*SUM($I$7:I87))-(AD86+L87-N87)*Flag_UL_Type,0)*B87)</f>
        <v>761011.61852978868</v>
      </c>
      <c r="Q87" s="213">
        <f t="shared" ca="1" si="67"/>
        <v>1063.8879009411583</v>
      </c>
      <c r="R87" s="14">
        <f t="shared" ca="1" si="68"/>
        <v>0</v>
      </c>
      <c r="S87" s="14">
        <f t="shared" ca="1" si="69"/>
        <v>0</v>
      </c>
      <c r="T87" s="14">
        <f>IFERROR(IF(WoP_Flag="Y",IF(fq=1,VLOOKUP(ppt*fq-H87,Charges!$AN$41:$AO$59,2,FALSE),IF(fq=2,VLOOKUP(ppt*fq-G87,Charges!$AP$41:$AQ$79,2,FALSE),VLOOKUP(ppt*fq-D87,Charges!$AR$41:$AS$279,2,FALSE)))*pr/fq,0),0)</f>
        <v>0</v>
      </c>
      <c r="U87" s="14">
        <f t="shared" ca="1" si="70"/>
        <v>0</v>
      </c>
      <c r="V87" s="34">
        <f>ROUND(MIN(IF(H87&gt;=7,Charges!$C$12*(1+Charges!$C$14)^((H87-7+1)),VLOOKUP(H87,Charges!$B$7:$C$12,2,0))*pr,Charges!$C$13)*B87,Round)</f>
        <v>500</v>
      </c>
      <c r="W87" s="14">
        <f t="shared" ca="1" si="71"/>
        <v>2237142.9937471007</v>
      </c>
      <c r="X87" s="14">
        <f t="shared" ca="1" si="72"/>
        <v>2251536.8391292528</v>
      </c>
      <c r="Y87" s="213">
        <f t="shared" ca="1" si="96"/>
        <v>2534.3574168949021</v>
      </c>
      <c r="Z87" s="14">
        <f t="shared" ca="1" si="73"/>
        <v>2248546.2973773167</v>
      </c>
      <c r="AA87" s="14">
        <f>IF(AND($H87=pt,$F87=11),SUM($K$7:K87)*VLOOKUP(pt,ROC,2,FALSE),0)</f>
        <v>0</v>
      </c>
      <c r="AB87" s="14">
        <f>IF(AND($H87=pt,$F87=11),SUM($V$7:V87)*VLOOKUP(pt,ROC,2,FALSE),0)</f>
        <v>0</v>
      </c>
      <c r="AC87" s="14">
        <f>IF(AND($H87=pt,$F87=11),SUM($Q$7:Q87)*VLOOKUP(pt,ROC,2,FALSE),0)</f>
        <v>0</v>
      </c>
      <c r="AD87" s="14">
        <f t="shared" ca="1" si="74"/>
        <v>2248546.2973773167</v>
      </c>
      <c r="AE87" s="14">
        <f ca="1">(MAX(sa-CF86*Flag_UL_Type,105%*SUM($I$7:I87),Z87)+AU87)*B87</f>
        <v>3000000</v>
      </c>
      <c r="AF87" s="136"/>
      <c r="AG87" s="18">
        <v>81</v>
      </c>
      <c r="AH87" s="30">
        <f t="shared" ca="1" si="75"/>
        <v>0</v>
      </c>
      <c r="AI87" s="138"/>
      <c r="AJ87" s="50">
        <f>IF(AND(Option_Sys_TopUp&gt;="Y",H87&gt;=sytp,H87&lt;=(dtp+sytp-1),F87=0,H87&lt;=ppt+1),atp,0)+IFERROR(VLOOKUP(H87,Input!$B$55:$C$61,2,0),0)*(F87=0)*(Option_TopUP="Y")*(Option_Sys_TopUp="N")*B87*(pt&gt;=H87+5)</f>
        <v>0</v>
      </c>
      <c r="AK87" s="50">
        <f t="shared" si="76"/>
        <v>0</v>
      </c>
      <c r="AL87" s="50">
        <f t="shared" si="97"/>
        <v>0</v>
      </c>
      <c r="AM87" s="50">
        <f t="shared" ca="1" si="98"/>
        <v>0</v>
      </c>
      <c r="AN87" s="50">
        <f ca="1">IF(B87=0,0,AT87*(_rpm1+(1+_emr1)*VLOOKUP(E87,Tab_Mort_Charge,IF(Input!$C$12="M",2,3),0))*(0.001*0.0833)*Flag_Mort_Rider_Charge*(AT87&gt;0))</f>
        <v>0</v>
      </c>
      <c r="AO87" s="50">
        <f t="shared" ca="1" si="77"/>
        <v>0</v>
      </c>
      <c r="AP87" s="50">
        <f t="shared" ca="1" si="99"/>
        <v>0</v>
      </c>
      <c r="AQ87" s="50">
        <f t="shared" ca="1" si="78"/>
        <v>0</v>
      </c>
      <c r="AR87" s="50">
        <f t="shared" ca="1" si="79"/>
        <v>0</v>
      </c>
      <c r="AS87" s="50">
        <f t="shared" si="80"/>
        <v>0</v>
      </c>
      <c r="AT87" s="50">
        <f ca="1">(MAX((MAX(AS87,105%*SUM($AJ$7:AJ87))-AM87*Flag_UL_Type),0)*B87)</f>
        <v>0</v>
      </c>
      <c r="AU87" s="50">
        <f ca="1">(MAX(AS87,AR87,105%*SUM($AJ$7:AJ87))*B87)</f>
        <v>0</v>
      </c>
      <c r="AV87" s="125"/>
      <c r="AW87" s="13"/>
      <c r="AX87" s="13"/>
      <c r="AY87" s="13"/>
      <c r="AZ87" s="13"/>
      <c r="BA87" s="13"/>
      <c r="BG87" s="51">
        <f t="shared" si="81"/>
        <v>0</v>
      </c>
      <c r="BH87" s="51">
        <f t="shared" ca="1" si="82"/>
        <v>191.49982216940799</v>
      </c>
      <c r="BI87" s="51">
        <f t="shared" ca="1" si="83"/>
        <v>0</v>
      </c>
      <c r="BJ87" s="51">
        <f t="shared" ca="1" si="84"/>
        <v>0</v>
      </c>
      <c r="BK87" s="51">
        <f t="shared" si="85"/>
        <v>90</v>
      </c>
      <c r="BL87" s="51">
        <f t="shared" ca="1" si="86"/>
        <v>456.18433504108236</v>
      </c>
      <c r="BM87" s="51">
        <f t="shared" si="87"/>
        <v>0</v>
      </c>
      <c r="BN87" s="51">
        <f t="shared" ca="1" si="88"/>
        <v>0</v>
      </c>
      <c r="BO87" s="51">
        <f t="shared" ca="1" si="89"/>
        <v>0</v>
      </c>
      <c r="BP87" s="51">
        <f t="shared" ca="1" si="90"/>
        <v>737.68415721049041</v>
      </c>
      <c r="BQ87" s="120"/>
      <c r="BR87" s="32"/>
      <c r="BS87" s="126"/>
      <c r="BT87" s="16"/>
      <c r="BU87" s="58"/>
      <c r="BW87" s="51">
        <f>IF(Input!$C$13="Offline",VLOOKUP(H87,Charges!$AT$4:$AU$33,2,FALSE)*I87,0)</f>
        <v>0</v>
      </c>
      <c r="BX87" s="51">
        <f t="shared" si="91"/>
        <v>0</v>
      </c>
      <c r="BY87" s="51">
        <f t="shared" si="100"/>
        <v>0</v>
      </c>
      <c r="BZ87" s="151"/>
      <c r="CA87" s="151"/>
      <c r="CB87" s="32"/>
      <c r="CC87" s="16">
        <f ca="1">SUM($N$7:$N87)</f>
        <v>0</v>
      </c>
      <c r="CD87" s="16">
        <f t="shared" ca="1" si="92"/>
        <v>0</v>
      </c>
      <c r="CE87" s="16">
        <f t="shared" ca="1" si="93"/>
        <v>0</v>
      </c>
      <c r="CF87" s="7">
        <f t="shared" ca="1" si="94"/>
        <v>0</v>
      </c>
      <c r="CH87" s="7">
        <f t="shared" ca="1" si="95"/>
        <v>0</v>
      </c>
    </row>
    <row r="88" spans="2:86" s="7" customFormat="1" x14ac:dyDescent="0.2">
      <c r="B88" s="14">
        <f t="shared" si="59"/>
        <v>1</v>
      </c>
      <c r="C88" s="12">
        <f t="shared" si="60"/>
        <v>1</v>
      </c>
      <c r="D88" s="17">
        <f t="shared" si="101"/>
        <v>82</v>
      </c>
      <c r="E88" s="17">
        <f t="shared" ca="1" si="61"/>
        <v>66</v>
      </c>
      <c r="F88" s="12">
        <f t="shared" si="103"/>
        <v>9</v>
      </c>
      <c r="G88" s="12">
        <f t="shared" si="102"/>
        <v>14</v>
      </c>
      <c r="H88" s="17">
        <f t="shared" si="104"/>
        <v>7</v>
      </c>
      <c r="I88" s="29">
        <f t="shared" si="62"/>
        <v>0</v>
      </c>
      <c r="J88" s="211">
        <f>IFERROR(VLOOKUP(H88,Charges!$T$6:$U$35,2,0)*C88,0)</f>
        <v>0.98</v>
      </c>
      <c r="K88" s="29">
        <f t="shared" si="63"/>
        <v>0</v>
      </c>
      <c r="L88" s="29">
        <f t="shared" si="64"/>
        <v>0</v>
      </c>
      <c r="M88" s="147">
        <f t="shared" ca="1" si="65"/>
        <v>0</v>
      </c>
      <c r="N88" s="148">
        <f ca="1">IF(AND(Option_SPW="Y",H88&gt;=Lock_In_Period,Z87&gt;SPW_Amount_pa+IF(option="Single",1/5*pr,2*pr),H88&gt;=SPW_Start_Year,H88&lt;=SPW_Start_Year+SPW_Duration-1,age+H88&gt;=Legal_Age),IF(AND(F88=0,SPW_Payout_Freq=1),SPW_Amount_pa,IF(AND(SPW_Payout_Freq=2,MOD(F88,6)=0),SPW_Amount_pa/SPW_Payout_Freq,IF(AND(SPW_Payout_Freq=4,MOD(F88,3)=0),SPW_Amount_pa/SPW_Payout_Freq,IF(SPW_Payout_Freq=12,SPW_Amount_pa/SPW_Payout_Freq,0)))),0)+IFERROR(VLOOKUP(H88,Input!$B$68:$C$74,2,0),0)*(F88=0)*(Option_PW="Y")*(Option_SPW="N")*(age+H88&gt;=Legal_Age)</f>
        <v>0</v>
      </c>
      <c r="O88" s="148">
        <f t="shared" ca="1" si="66"/>
        <v>0</v>
      </c>
      <c r="P88" s="14">
        <f ca="1">(MAX(MAX(sa-CF87*Flag_UL_Type,105%*SUM($I$7:I88))-(AD87+L88-N88)*Flag_UL_Type,0)*B88)</f>
        <v>751453.70262268325</v>
      </c>
      <c r="Q88" s="213">
        <f t="shared" ca="1" si="67"/>
        <v>1050.5260141523249</v>
      </c>
      <c r="R88" s="14">
        <f t="shared" ca="1" si="68"/>
        <v>0</v>
      </c>
      <c r="S88" s="14">
        <f t="shared" ca="1" si="69"/>
        <v>0</v>
      </c>
      <c r="T88" s="14">
        <f>IFERROR(IF(WoP_Flag="Y",IF(fq=1,VLOOKUP(ppt*fq-H88,Charges!$AN$41:$AO$59,2,FALSE),IF(fq=2,VLOOKUP(ppt*fq-G88,Charges!$AP$41:$AQ$79,2,FALSE),VLOOKUP(ppt*fq-D88,Charges!$AR$41:$AS$279,2,FALSE)))*pr/fq,0),0)</f>
        <v>0</v>
      </c>
      <c r="U88" s="14">
        <f t="shared" ca="1" si="70"/>
        <v>0</v>
      </c>
      <c r="V88" s="34">
        <f>ROUND(MIN(IF(H88&gt;=7,Charges!$C$12*(1+Charges!$C$14)^((H88-7+1)),VLOOKUP(H88,Charges!$B$7:$C$12,2,0))*pr,Charges!$C$13)*B88,Round)</f>
        <v>500</v>
      </c>
      <c r="W88" s="14">
        <f t="shared" ca="1" si="71"/>
        <v>2246716.676680617</v>
      </c>
      <c r="X88" s="14">
        <f t="shared" ca="1" si="72"/>
        <v>2261172.1194270272</v>
      </c>
      <c r="Y88" s="213">
        <f t="shared" ca="1" si="96"/>
        <v>2545.2030062995018</v>
      </c>
      <c r="Z88" s="14">
        <f t="shared" ca="1" si="73"/>
        <v>2258168.7798795938</v>
      </c>
      <c r="AA88" s="14">
        <f>IF(AND($H88=pt,$F88=11),SUM($K$7:K88)*VLOOKUP(pt,ROC,2,FALSE),0)</f>
        <v>0</v>
      </c>
      <c r="AB88" s="14">
        <f>IF(AND($H88=pt,$F88=11),SUM($V$7:V88)*VLOOKUP(pt,ROC,2,FALSE),0)</f>
        <v>0</v>
      </c>
      <c r="AC88" s="14">
        <f>IF(AND($H88=pt,$F88=11),SUM($Q$7:Q88)*VLOOKUP(pt,ROC,2,FALSE),0)</f>
        <v>0</v>
      </c>
      <c r="AD88" s="14">
        <f t="shared" ca="1" si="74"/>
        <v>2258168.7798795938</v>
      </c>
      <c r="AE88" s="14">
        <f ca="1">(MAX(sa-CF87*Flag_UL_Type,105%*SUM($I$7:I88),Z88)+AU88)*B88</f>
        <v>3000000</v>
      </c>
      <c r="AF88" s="136"/>
      <c r="AG88" s="18">
        <v>82</v>
      </c>
      <c r="AH88" s="30">
        <f t="shared" ca="1" si="75"/>
        <v>0</v>
      </c>
      <c r="AI88" s="138"/>
      <c r="AJ88" s="50">
        <f>IF(AND(Option_Sys_TopUp&gt;="Y",H88&gt;=sytp,H88&lt;=(dtp+sytp-1),F88=0,H88&lt;=ppt+1),atp,0)+IFERROR(VLOOKUP(H88,Input!$B$55:$C$61,2,0),0)*(F88=0)*(Option_TopUP="Y")*(Option_Sys_TopUp="N")*B88*(pt&gt;=H88+5)</f>
        <v>0</v>
      </c>
      <c r="AK88" s="50">
        <f t="shared" si="76"/>
        <v>0</v>
      </c>
      <c r="AL88" s="50">
        <f t="shared" si="97"/>
        <v>0</v>
      </c>
      <c r="AM88" s="50">
        <f t="shared" ca="1" si="98"/>
        <v>0</v>
      </c>
      <c r="AN88" s="50">
        <f ca="1">IF(B88=0,0,AT88*(_rpm1+(1+_emr1)*VLOOKUP(E88,Tab_Mort_Charge,IF(Input!$C$12="M",2,3),0))*(0.001*0.0833)*Flag_Mort_Rider_Charge*(AT88&gt;0))</f>
        <v>0</v>
      </c>
      <c r="AO88" s="50">
        <f t="shared" ca="1" si="77"/>
        <v>0</v>
      </c>
      <c r="AP88" s="50">
        <f t="shared" ca="1" si="99"/>
        <v>0</v>
      </c>
      <c r="AQ88" s="50">
        <f t="shared" ca="1" si="78"/>
        <v>0</v>
      </c>
      <c r="AR88" s="50">
        <f t="shared" ca="1" si="79"/>
        <v>0</v>
      </c>
      <c r="AS88" s="50">
        <f t="shared" si="80"/>
        <v>0</v>
      </c>
      <c r="AT88" s="50">
        <f ca="1">(MAX((MAX(AS88,105%*SUM($AJ$7:AJ88))-AM88*Flag_UL_Type),0)*B88)</f>
        <v>0</v>
      </c>
      <c r="AU88" s="50">
        <f ca="1">(MAX(AS88,AR88,105%*SUM($AJ$7:AJ88))*B88)</f>
        <v>0</v>
      </c>
      <c r="AV88" s="125"/>
      <c r="AW88" s="13"/>
      <c r="AX88" s="13"/>
      <c r="AY88" s="13"/>
      <c r="AZ88" s="13"/>
      <c r="BA88" s="13"/>
      <c r="BG88" s="51">
        <f t="shared" si="81"/>
        <v>0</v>
      </c>
      <c r="BH88" s="51">
        <f t="shared" ca="1" si="82"/>
        <v>189.09468254741799</v>
      </c>
      <c r="BI88" s="51">
        <f t="shared" ca="1" si="83"/>
        <v>0</v>
      </c>
      <c r="BJ88" s="51">
        <f t="shared" ca="1" si="84"/>
        <v>0</v>
      </c>
      <c r="BK88" s="51">
        <f t="shared" si="85"/>
        <v>90</v>
      </c>
      <c r="BL88" s="51">
        <f t="shared" ca="1" si="86"/>
        <v>458.13654113391033</v>
      </c>
      <c r="BM88" s="51">
        <f t="shared" si="87"/>
        <v>0</v>
      </c>
      <c r="BN88" s="51">
        <f t="shared" ca="1" si="88"/>
        <v>0</v>
      </c>
      <c r="BO88" s="51">
        <f t="shared" ca="1" si="89"/>
        <v>0</v>
      </c>
      <c r="BP88" s="51">
        <f t="shared" ca="1" si="90"/>
        <v>737.23122368132829</v>
      </c>
      <c r="BQ88" s="120"/>
      <c r="BR88" s="32"/>
      <c r="BS88" s="126"/>
      <c r="BT88" s="16"/>
      <c r="BU88" s="58"/>
      <c r="BW88" s="51">
        <f>IF(Input!$C$13="Offline",VLOOKUP(H88,Charges!$AT$4:$AU$33,2,FALSE)*I88,0)</f>
        <v>0</v>
      </c>
      <c r="BX88" s="51">
        <f t="shared" si="91"/>
        <v>0</v>
      </c>
      <c r="BY88" s="51">
        <f t="shared" si="100"/>
        <v>0</v>
      </c>
      <c r="BZ88" s="151"/>
      <c r="CA88" s="151"/>
      <c r="CB88" s="32"/>
      <c r="CC88" s="16">
        <f ca="1">SUM($N$7:$N88)</f>
        <v>0</v>
      </c>
      <c r="CD88" s="16">
        <f t="shared" ca="1" si="92"/>
        <v>0</v>
      </c>
      <c r="CE88" s="16">
        <f t="shared" ca="1" si="93"/>
        <v>0</v>
      </c>
      <c r="CF88" s="7">
        <f t="shared" ca="1" si="94"/>
        <v>0</v>
      </c>
      <c r="CH88" s="7">
        <f t="shared" ca="1" si="95"/>
        <v>0</v>
      </c>
    </row>
    <row r="89" spans="2:86" s="7" customFormat="1" x14ac:dyDescent="0.2">
      <c r="B89" s="14">
        <f t="shared" si="59"/>
        <v>1</v>
      </c>
      <c r="C89" s="12">
        <f t="shared" si="60"/>
        <v>1</v>
      </c>
      <c r="D89" s="17">
        <f t="shared" si="101"/>
        <v>83</v>
      </c>
      <c r="E89" s="17">
        <f t="shared" ca="1" si="61"/>
        <v>66</v>
      </c>
      <c r="F89" s="12">
        <f t="shared" si="103"/>
        <v>10</v>
      </c>
      <c r="G89" s="12">
        <f t="shared" si="102"/>
        <v>14</v>
      </c>
      <c r="H89" s="17">
        <f t="shared" si="104"/>
        <v>7</v>
      </c>
      <c r="I89" s="29">
        <f t="shared" si="62"/>
        <v>0</v>
      </c>
      <c r="J89" s="211">
        <f>IFERROR(VLOOKUP(H89,Charges!$T$6:$U$35,2,0)*C89,0)</f>
        <v>0.98</v>
      </c>
      <c r="K89" s="29">
        <f t="shared" si="63"/>
        <v>0</v>
      </c>
      <c r="L89" s="29">
        <f t="shared" si="64"/>
        <v>0</v>
      </c>
      <c r="M89" s="147">
        <f t="shared" ca="1" si="65"/>
        <v>0</v>
      </c>
      <c r="N89" s="148">
        <f ca="1">IF(AND(Option_SPW="Y",H89&gt;=Lock_In_Period,Z88&gt;SPW_Amount_pa+IF(option="Single",1/5*pr,2*pr),H89&gt;=SPW_Start_Year,H89&lt;=SPW_Start_Year+SPW_Duration-1,age+H89&gt;=Legal_Age),IF(AND(F89=0,SPW_Payout_Freq=1),SPW_Amount_pa,IF(AND(SPW_Payout_Freq=2,MOD(F89,6)=0),SPW_Amount_pa/SPW_Payout_Freq,IF(AND(SPW_Payout_Freq=4,MOD(F89,3)=0),SPW_Amount_pa/SPW_Payout_Freq,IF(SPW_Payout_Freq=12,SPW_Amount_pa/SPW_Payout_Freq,0)))),0)+IFERROR(VLOOKUP(H89,Input!$B$68:$C$74,2,0),0)*(F89=0)*(Option_PW="Y")*(Option_SPW="N")*(age+H89&gt;=Legal_Age)</f>
        <v>0</v>
      </c>
      <c r="O89" s="148">
        <f t="shared" ca="1" si="66"/>
        <v>0</v>
      </c>
      <c r="P89" s="14">
        <f ca="1">(MAX(MAX(sa-CF88*Flag_UL_Type,105%*SUM($I$7:I89))-(AD88+L89-N89)*Flag_UL_Type,0)*B89)</f>
        <v>741831.22012040624</v>
      </c>
      <c r="Q89" s="213">
        <f t="shared" ca="1" si="67"/>
        <v>1037.0738638014916</v>
      </c>
      <c r="R89" s="14">
        <f t="shared" ca="1" si="68"/>
        <v>0</v>
      </c>
      <c r="S89" s="14">
        <f t="shared" ca="1" si="69"/>
        <v>0</v>
      </c>
      <c r="T89" s="14">
        <f>IFERROR(IF(WoP_Flag="Y",IF(fq=1,VLOOKUP(ppt*fq-H89,Charges!$AN$41:$AO$59,2,FALSE),IF(fq=2,VLOOKUP(ppt*fq-G89,Charges!$AP$41:$AQ$79,2,FALSE),VLOOKUP(ppt*fq-D89,Charges!$AR$41:$AS$279,2,FALSE)))*pr/fq,0),0)</f>
        <v>0</v>
      </c>
      <c r="U89" s="14">
        <f t="shared" ca="1" si="70"/>
        <v>0</v>
      </c>
      <c r="V89" s="34">
        <f>ROUND(MIN(IF(H89&gt;=7,Charges!$C$12*(1+Charges!$C$14)^((H89-7+1)),VLOOKUP(H89,Charges!$B$7:$C$12,2,0))*pr,Charges!$C$13)*B89,Round)</f>
        <v>500</v>
      </c>
      <c r="W89" s="14">
        <f t="shared" ca="1" si="71"/>
        <v>2256355.0327203078</v>
      </c>
      <c r="X89" s="14">
        <f t="shared" ca="1" si="72"/>
        <v>2270872.4889396881</v>
      </c>
      <c r="Y89" s="213">
        <f t="shared" ca="1" si="96"/>
        <v>2556.1218609208372</v>
      </c>
      <c r="Z89" s="14">
        <f t="shared" ca="1" si="73"/>
        <v>2267856.2651438015</v>
      </c>
      <c r="AA89" s="14">
        <f>IF(AND($H89=pt,$F89=11),SUM($K$7:K89)*VLOOKUP(pt,ROC,2,FALSE),0)</f>
        <v>0</v>
      </c>
      <c r="AB89" s="14">
        <f>IF(AND($H89=pt,$F89=11),SUM($V$7:V89)*VLOOKUP(pt,ROC,2,FALSE),0)</f>
        <v>0</v>
      </c>
      <c r="AC89" s="14">
        <f>IF(AND($H89=pt,$F89=11),SUM($Q$7:Q89)*VLOOKUP(pt,ROC,2,FALSE),0)</f>
        <v>0</v>
      </c>
      <c r="AD89" s="14">
        <f t="shared" ca="1" si="74"/>
        <v>2267856.2651438015</v>
      </c>
      <c r="AE89" s="14">
        <f ca="1">(MAX(sa-CF88*Flag_UL_Type,105%*SUM($I$7:I89),Z89)+AU89)*B89</f>
        <v>3000000</v>
      </c>
      <c r="AF89" s="136"/>
      <c r="AG89" s="18">
        <v>83</v>
      </c>
      <c r="AH89" s="30">
        <f t="shared" ca="1" si="75"/>
        <v>0</v>
      </c>
      <c r="AI89" s="138"/>
      <c r="AJ89" s="50">
        <f>IF(AND(Option_Sys_TopUp&gt;="Y",H89&gt;=sytp,H89&lt;=(dtp+sytp-1),F89=0,H89&lt;=ppt+1),atp,0)+IFERROR(VLOOKUP(H89,Input!$B$55:$C$61,2,0),0)*(F89=0)*(Option_TopUP="Y")*(Option_Sys_TopUp="N")*B89*(pt&gt;=H89+5)</f>
        <v>0</v>
      </c>
      <c r="AK89" s="50">
        <f t="shared" si="76"/>
        <v>0</v>
      </c>
      <c r="AL89" s="50">
        <f t="shared" si="97"/>
        <v>0</v>
      </c>
      <c r="AM89" s="50">
        <f t="shared" ca="1" si="98"/>
        <v>0</v>
      </c>
      <c r="AN89" s="50">
        <f ca="1">IF(B89=0,0,AT89*(_rpm1+(1+_emr1)*VLOOKUP(E89,Tab_Mort_Charge,IF(Input!$C$12="M",2,3),0))*(0.001*0.0833)*Flag_Mort_Rider_Charge*(AT89&gt;0))</f>
        <v>0</v>
      </c>
      <c r="AO89" s="50">
        <f t="shared" ca="1" si="77"/>
        <v>0</v>
      </c>
      <c r="AP89" s="50">
        <f t="shared" ca="1" si="99"/>
        <v>0</v>
      </c>
      <c r="AQ89" s="50">
        <f t="shared" ca="1" si="78"/>
        <v>0</v>
      </c>
      <c r="AR89" s="50">
        <f t="shared" ca="1" si="79"/>
        <v>0</v>
      </c>
      <c r="AS89" s="50">
        <f t="shared" si="80"/>
        <v>0</v>
      </c>
      <c r="AT89" s="50">
        <f ca="1">(MAX((MAX(AS89,105%*SUM($AJ$7:AJ89))-AM89*Flag_UL_Type),0)*B89)</f>
        <v>0</v>
      </c>
      <c r="AU89" s="50">
        <f ca="1">(MAX(AS89,AR89,105%*SUM($AJ$7:AJ89))*B89)</f>
        <v>0</v>
      </c>
      <c r="AV89" s="125"/>
      <c r="AW89" s="13"/>
      <c r="AX89" s="13"/>
      <c r="AY89" s="13"/>
      <c r="AZ89" s="13"/>
      <c r="BA89" s="13"/>
      <c r="BG89" s="51">
        <f t="shared" si="81"/>
        <v>0</v>
      </c>
      <c r="BH89" s="51">
        <f t="shared" ca="1" si="82"/>
        <v>186.67329548426801</v>
      </c>
      <c r="BI89" s="51">
        <f t="shared" ca="1" si="83"/>
        <v>0</v>
      </c>
      <c r="BJ89" s="51">
        <f t="shared" ca="1" si="84"/>
        <v>0</v>
      </c>
      <c r="BK89" s="51">
        <f t="shared" si="85"/>
        <v>90</v>
      </c>
      <c r="BL89" s="51">
        <f t="shared" ca="1" si="86"/>
        <v>460.10193496575067</v>
      </c>
      <c r="BM89" s="51">
        <f t="shared" si="87"/>
        <v>0</v>
      </c>
      <c r="BN89" s="51">
        <f t="shared" ca="1" si="88"/>
        <v>0</v>
      </c>
      <c r="BO89" s="51">
        <f t="shared" ca="1" si="89"/>
        <v>0</v>
      </c>
      <c r="BP89" s="51">
        <f t="shared" ca="1" si="90"/>
        <v>736.77523045001863</v>
      </c>
      <c r="BQ89" s="120"/>
      <c r="BR89" s="32"/>
      <c r="BS89" s="126"/>
      <c r="BT89" s="16"/>
      <c r="BU89" s="58"/>
      <c r="BW89" s="51">
        <f>IF(Input!$C$13="Offline",VLOOKUP(H89,Charges!$AT$4:$AU$33,2,FALSE)*I89,0)</f>
        <v>0</v>
      </c>
      <c r="BX89" s="51">
        <f t="shared" si="91"/>
        <v>0</v>
      </c>
      <c r="BY89" s="51">
        <f t="shared" si="100"/>
        <v>0</v>
      </c>
      <c r="BZ89" s="151"/>
      <c r="CA89" s="151"/>
      <c r="CB89" s="32"/>
      <c r="CC89" s="16">
        <f ca="1">SUM($N$7:$N89)</f>
        <v>0</v>
      </c>
      <c r="CD89" s="16">
        <f t="shared" ca="1" si="92"/>
        <v>0</v>
      </c>
      <c r="CE89" s="16">
        <f t="shared" ca="1" si="93"/>
        <v>0</v>
      </c>
      <c r="CF89" s="7">
        <f t="shared" ca="1" si="94"/>
        <v>0</v>
      </c>
      <c r="CH89" s="7">
        <f t="shared" ca="1" si="95"/>
        <v>0</v>
      </c>
    </row>
    <row r="90" spans="2:86" s="7" customFormat="1" x14ac:dyDescent="0.2">
      <c r="B90" s="14">
        <f t="shared" si="59"/>
        <v>1</v>
      </c>
      <c r="C90" s="12">
        <f t="shared" si="60"/>
        <v>1</v>
      </c>
      <c r="D90" s="17">
        <f t="shared" si="101"/>
        <v>84</v>
      </c>
      <c r="E90" s="17">
        <f t="shared" ca="1" si="61"/>
        <v>66</v>
      </c>
      <c r="F90" s="12">
        <f t="shared" si="103"/>
        <v>11</v>
      </c>
      <c r="G90" s="12">
        <f t="shared" si="102"/>
        <v>14</v>
      </c>
      <c r="H90" s="17">
        <f t="shared" si="104"/>
        <v>7</v>
      </c>
      <c r="I90" s="29">
        <f t="shared" si="62"/>
        <v>0</v>
      </c>
      <c r="J90" s="211">
        <f>IFERROR(VLOOKUP(H90,Charges!$T$6:$U$35,2,0)*C90,0)</f>
        <v>0.98</v>
      </c>
      <c r="K90" s="29">
        <f t="shared" si="63"/>
        <v>0</v>
      </c>
      <c r="L90" s="29">
        <f t="shared" si="64"/>
        <v>0</v>
      </c>
      <c r="M90" s="147">
        <f t="shared" ca="1" si="65"/>
        <v>0</v>
      </c>
      <c r="N90" s="148">
        <f ca="1">IF(AND(Option_SPW="Y",H90&gt;=Lock_In_Period,Z89&gt;SPW_Amount_pa+IF(option="Single",1/5*pr,2*pr),H90&gt;=SPW_Start_Year,H90&lt;=SPW_Start_Year+SPW_Duration-1,age+H90&gt;=Legal_Age),IF(AND(F90=0,SPW_Payout_Freq=1),SPW_Amount_pa,IF(AND(SPW_Payout_Freq=2,MOD(F90,6)=0),SPW_Amount_pa/SPW_Payout_Freq,IF(AND(SPW_Payout_Freq=4,MOD(F90,3)=0),SPW_Amount_pa/SPW_Payout_Freq,IF(SPW_Payout_Freq=12,SPW_Amount_pa/SPW_Payout_Freq,0)))),0)+IFERROR(VLOOKUP(H90,Input!$B$68:$C$74,2,0),0)*(F90=0)*(Option_PW="Y")*(Option_SPW="N")*(age+H90&gt;=Legal_Age)</f>
        <v>0</v>
      </c>
      <c r="O90" s="148">
        <f t="shared" ca="1" si="66"/>
        <v>0</v>
      </c>
      <c r="P90" s="14">
        <f ca="1">(MAX(MAX(sa-CF89*Flag_UL_Type,105%*SUM($I$7:I90))-(AD89+L90-N90)*Flag_UL_Type,0)*B90)</f>
        <v>732143.73485619854</v>
      </c>
      <c r="Q90" s="213">
        <f t="shared" ca="1" si="67"/>
        <v>1023.5308401311748</v>
      </c>
      <c r="R90" s="14">
        <f t="shared" ca="1" si="68"/>
        <v>0</v>
      </c>
      <c r="S90" s="14">
        <f t="shared" ca="1" si="69"/>
        <v>0</v>
      </c>
      <c r="T90" s="14">
        <f>IFERROR(IF(WoP_Flag="Y",IF(fq=1,VLOOKUP(ppt*fq-H90,Charges!$AN$41:$AO$59,2,FALSE),IF(fq=2,VLOOKUP(ppt*fq-G90,Charges!$AP$41:$AQ$79,2,FALSE),VLOOKUP(ppt*fq-D90,Charges!$AR$41:$AS$279,2,FALSE)))*pr/fq,0),0)</f>
        <v>0</v>
      </c>
      <c r="U90" s="14">
        <f t="shared" ca="1" si="70"/>
        <v>0</v>
      </c>
      <c r="V90" s="34">
        <f>ROUND(MIN(IF(H90&gt;=7,Charges!$C$12*(1+Charges!$C$14)^((H90-7+1)),VLOOKUP(H90,Charges!$B$7:$C$12,2,0))*pr,Charges!$C$13)*B90,Round)</f>
        <v>500</v>
      </c>
      <c r="W90" s="14">
        <f t="shared" ca="1" si="71"/>
        <v>2266058.4987524468</v>
      </c>
      <c r="X90" s="14">
        <f t="shared" ca="1" si="72"/>
        <v>2280638.3873644494</v>
      </c>
      <c r="Y90" s="213">
        <f t="shared" ca="1" si="96"/>
        <v>2567.1144756874728</v>
      </c>
      <c r="Z90" s="14">
        <f t="shared" ca="1" si="73"/>
        <v>2277609.1922831382</v>
      </c>
      <c r="AA90" s="14">
        <f>IF(AND($H90=pt,$F90=11),SUM($K$7:K90)*VLOOKUP(pt,ROC,2,FALSE),0)</f>
        <v>0</v>
      </c>
      <c r="AB90" s="14">
        <f>IF(AND($H90=pt,$F90=11),SUM($V$7:V90)*VLOOKUP(pt,ROC,2,FALSE),0)</f>
        <v>0</v>
      </c>
      <c r="AC90" s="14">
        <f>IF(AND($H90=pt,$F90=11),SUM($Q$7:Q90)*VLOOKUP(pt,ROC,2,FALSE),0)</f>
        <v>0</v>
      </c>
      <c r="AD90" s="14">
        <f t="shared" ca="1" si="74"/>
        <v>2277609.1922831382</v>
      </c>
      <c r="AE90" s="14">
        <f ca="1">(MAX(sa-CF89*Flag_UL_Type,105%*SUM($I$7:I90),Z90)+AU90)*B90</f>
        <v>3000000</v>
      </c>
      <c r="AF90" s="136"/>
      <c r="AG90" s="18">
        <v>84</v>
      </c>
      <c r="AH90" s="30">
        <f t="shared" ca="1" si="75"/>
        <v>0</v>
      </c>
      <c r="AI90" s="138"/>
      <c r="AJ90" s="50">
        <f>IF(AND(Option_Sys_TopUp&gt;="Y",H90&gt;=sytp,H90&lt;=(dtp+sytp-1),F90=0,H90&lt;=ppt+1),atp,0)+IFERROR(VLOOKUP(H90,Input!$B$55:$C$61,2,0),0)*(F90=0)*(Option_TopUP="Y")*(Option_Sys_TopUp="N")*B90*(pt&gt;=H90+5)</f>
        <v>0</v>
      </c>
      <c r="AK90" s="50">
        <f t="shared" si="76"/>
        <v>0</v>
      </c>
      <c r="AL90" s="50">
        <f t="shared" si="97"/>
        <v>0</v>
      </c>
      <c r="AM90" s="50">
        <f t="shared" ca="1" si="98"/>
        <v>0</v>
      </c>
      <c r="AN90" s="50">
        <f ca="1">IF(B90=0,0,AT90*(_rpm1+(1+_emr1)*VLOOKUP(E90,Tab_Mort_Charge,IF(Input!$C$12="M",2,3),0))*(0.001*0.0833)*Flag_Mort_Rider_Charge*(AT90&gt;0))</f>
        <v>0</v>
      </c>
      <c r="AO90" s="50">
        <f t="shared" ca="1" si="77"/>
        <v>0</v>
      </c>
      <c r="AP90" s="50">
        <f t="shared" ca="1" si="99"/>
        <v>0</v>
      </c>
      <c r="AQ90" s="50">
        <f t="shared" ca="1" si="78"/>
        <v>0</v>
      </c>
      <c r="AR90" s="50">
        <f t="shared" ca="1" si="79"/>
        <v>0</v>
      </c>
      <c r="AS90" s="50">
        <f t="shared" si="80"/>
        <v>0</v>
      </c>
      <c r="AT90" s="50">
        <f ca="1">(MAX((MAX(AS90,105%*SUM($AJ$7:AJ90))-AM90*Flag_UL_Type),0)*B90)</f>
        <v>0</v>
      </c>
      <c r="AU90" s="50">
        <f ca="1">(MAX(AS90,AR90,105%*SUM($AJ$7:AJ90))*B90)</f>
        <v>0</v>
      </c>
      <c r="AV90" s="125"/>
      <c r="AW90" s="13"/>
      <c r="AX90" s="13"/>
      <c r="AY90" s="13"/>
      <c r="AZ90" s="13"/>
      <c r="BA90" s="13"/>
      <c r="BG90" s="51">
        <f t="shared" si="81"/>
        <v>0</v>
      </c>
      <c r="BH90" s="51">
        <f t="shared" ca="1" si="82"/>
        <v>184.235551223611</v>
      </c>
      <c r="BI90" s="51">
        <f t="shared" ca="1" si="83"/>
        <v>0</v>
      </c>
      <c r="BJ90" s="51">
        <f t="shared" ca="1" si="84"/>
        <v>0</v>
      </c>
      <c r="BK90" s="51">
        <f t="shared" si="85"/>
        <v>90</v>
      </c>
      <c r="BL90" s="51">
        <f t="shared" ca="1" si="86"/>
        <v>462.0806056237451</v>
      </c>
      <c r="BM90" s="51">
        <f t="shared" si="87"/>
        <v>0</v>
      </c>
      <c r="BN90" s="51">
        <f t="shared" ca="1" si="88"/>
        <v>0</v>
      </c>
      <c r="BO90" s="51">
        <f t="shared" ca="1" si="89"/>
        <v>0</v>
      </c>
      <c r="BP90" s="51">
        <f t="shared" ca="1" si="90"/>
        <v>736.31615684735607</v>
      </c>
      <c r="BQ90" s="120"/>
      <c r="BR90" s="32"/>
      <c r="BS90" s="126"/>
      <c r="BT90" s="16"/>
      <c r="BU90" s="58"/>
      <c r="BW90" s="51">
        <f>IF(Input!$C$13="Offline",VLOOKUP(H90,Charges!$AT$4:$AU$33,2,FALSE)*I90,0)</f>
        <v>0</v>
      </c>
      <c r="BX90" s="51">
        <f t="shared" si="91"/>
        <v>0</v>
      </c>
      <c r="BY90" s="51">
        <f t="shared" si="100"/>
        <v>0</v>
      </c>
      <c r="BZ90" s="151"/>
      <c r="CA90" s="151"/>
      <c r="CB90" s="32"/>
      <c r="CC90" s="16">
        <f ca="1">SUM($N$7:$N90)</f>
        <v>0</v>
      </c>
      <c r="CD90" s="16">
        <f t="shared" ca="1" si="92"/>
        <v>0</v>
      </c>
      <c r="CE90" s="16">
        <f t="shared" ca="1" si="93"/>
        <v>0</v>
      </c>
      <c r="CF90" s="7">
        <f t="shared" ca="1" si="94"/>
        <v>0</v>
      </c>
      <c r="CH90" s="7">
        <f t="shared" ca="1" si="95"/>
        <v>0</v>
      </c>
    </row>
    <row r="91" spans="2:86" s="7" customFormat="1" x14ac:dyDescent="0.2">
      <c r="B91" s="14">
        <f t="shared" si="59"/>
        <v>1</v>
      </c>
      <c r="C91" s="12">
        <f t="shared" si="60"/>
        <v>1</v>
      </c>
      <c r="D91" s="17">
        <f t="shared" si="101"/>
        <v>85</v>
      </c>
      <c r="E91" s="17">
        <f t="shared" ca="1" si="61"/>
        <v>67</v>
      </c>
      <c r="F91" s="12">
        <f t="shared" si="103"/>
        <v>0</v>
      </c>
      <c r="G91" s="12">
        <f t="shared" si="102"/>
        <v>15</v>
      </c>
      <c r="H91" s="17">
        <f t="shared" si="104"/>
        <v>8</v>
      </c>
      <c r="I91" s="29">
        <f t="shared" si="62"/>
        <v>300000</v>
      </c>
      <c r="J91" s="211">
        <f>IFERROR(VLOOKUP(H91,Charges!$T$6:$U$35,2,0)*C91,0)</f>
        <v>0.98</v>
      </c>
      <c r="K91" s="29">
        <f t="shared" si="63"/>
        <v>6000.00000000001</v>
      </c>
      <c r="L91" s="29">
        <f t="shared" si="64"/>
        <v>292920</v>
      </c>
      <c r="M91" s="147">
        <f t="shared" ca="1" si="65"/>
        <v>0</v>
      </c>
      <c r="N91" s="148">
        <f ca="1">IF(AND(Option_SPW="Y",H91&gt;=Lock_In_Period,Z90&gt;SPW_Amount_pa+IF(option="Single",1/5*pr,2*pr),H91&gt;=SPW_Start_Year,H91&lt;=SPW_Start_Year+SPW_Duration-1,age+H91&gt;=Legal_Age),IF(AND(F91=0,SPW_Payout_Freq=1),SPW_Amount_pa,IF(AND(SPW_Payout_Freq=2,MOD(F91,6)=0),SPW_Amount_pa/SPW_Payout_Freq,IF(AND(SPW_Payout_Freq=4,MOD(F91,3)=0),SPW_Amount_pa/SPW_Payout_Freq,IF(SPW_Payout_Freq=12,SPW_Amount_pa/SPW_Payout_Freq,0)))),0)+IFERROR(VLOOKUP(H91,Input!$B$68:$C$74,2,0),0)*(F91=0)*(Option_PW="Y")*(Option_SPW="N")*(age+H91&gt;=Legal_Age)</f>
        <v>0</v>
      </c>
      <c r="O91" s="148">
        <f t="shared" ca="1" si="66"/>
        <v>0</v>
      </c>
      <c r="P91" s="14">
        <f ca="1">(MAX(MAX(sa-CF90*Flag_UL_Type,105%*SUM($I$7:I91))-(AD90+L91-N91)*Flag_UL_Type,0)*B91)</f>
        <v>429470.80771686183</v>
      </c>
      <c r="Q91" s="213">
        <f t="shared" ca="1" si="67"/>
        <v>650.25817104070256</v>
      </c>
      <c r="R91" s="14">
        <f t="shared" ca="1" si="68"/>
        <v>0</v>
      </c>
      <c r="S91" s="14">
        <f t="shared" ca="1" si="69"/>
        <v>0</v>
      </c>
      <c r="T91" s="14">
        <f>IFERROR(IF(WoP_Flag="Y",IF(fq=1,VLOOKUP(ppt*fq-H91,Charges!$AN$41:$AO$59,2,FALSE),IF(fq=2,VLOOKUP(ppt*fq-G91,Charges!$AP$41:$AQ$79,2,FALSE),VLOOKUP(ppt*fq-D91,Charges!$AR$41:$AS$279,2,FALSE)))*pr/fq,0),0)</f>
        <v>0</v>
      </c>
      <c r="U91" s="14">
        <f t="shared" ca="1" si="70"/>
        <v>0</v>
      </c>
      <c r="V91" s="34">
        <f>ROUND(MIN(IF(H91&gt;=7,Charges!$C$12*(1+Charges!$C$14)^((H91-7+1)),VLOOKUP(H91,Charges!$B$7:$C$12,2,0))*pr,Charges!$C$13)*B91,Round)</f>
        <v>500</v>
      </c>
      <c r="W91" s="14">
        <f t="shared" ca="1" si="71"/>
        <v>2569171.8876413102</v>
      </c>
      <c r="X91" s="14">
        <f t="shared" ca="1" si="72"/>
        <v>2585702.0169241689</v>
      </c>
      <c r="Y91" s="213">
        <f t="shared" ca="1" si="96"/>
        <v>2910.4978300093831</v>
      </c>
      <c r="Z91" s="14">
        <f t="shared" ca="1" si="73"/>
        <v>2582267.6294847578</v>
      </c>
      <c r="AA91" s="14">
        <f>IF(AND($H91=pt,$F91=11),SUM($K$7:K91)*VLOOKUP(pt,ROC,2,FALSE),0)</f>
        <v>0</v>
      </c>
      <c r="AB91" s="14">
        <f>IF(AND($H91=pt,$F91=11),SUM($V$7:V91)*VLOOKUP(pt,ROC,2,FALSE),0)</f>
        <v>0</v>
      </c>
      <c r="AC91" s="14">
        <f>IF(AND($H91=pt,$F91=11),SUM($Q$7:Q91)*VLOOKUP(pt,ROC,2,FALSE),0)</f>
        <v>0</v>
      </c>
      <c r="AD91" s="14">
        <f t="shared" ca="1" si="74"/>
        <v>2582267.6294847578</v>
      </c>
      <c r="AE91" s="14">
        <f ca="1">(MAX(sa-CF90*Flag_UL_Type,105%*SUM($I$7:I91),Z91)+AU91)*B91</f>
        <v>3000000</v>
      </c>
      <c r="AF91" s="136"/>
      <c r="AG91" s="18">
        <v>85</v>
      </c>
      <c r="AH91" s="30">
        <f t="shared" ca="1" si="75"/>
        <v>300000</v>
      </c>
      <c r="AI91" s="138"/>
      <c r="AJ91" s="50">
        <f>IF(AND(Option_Sys_TopUp&gt;="Y",H91&gt;=sytp,H91&lt;=(dtp+sytp-1),F91=0,H91&lt;=ppt+1),atp,0)+IFERROR(VLOOKUP(H91,Input!$B$55:$C$61,2,0),0)*(F91=0)*(Option_TopUP="Y")*(Option_Sys_TopUp="N")*B91*(pt&gt;=H91+5)</f>
        <v>0</v>
      </c>
      <c r="AK91" s="50">
        <f t="shared" si="76"/>
        <v>0</v>
      </c>
      <c r="AL91" s="50">
        <f t="shared" si="97"/>
        <v>0</v>
      </c>
      <c r="AM91" s="50">
        <f t="shared" ca="1" si="98"/>
        <v>0</v>
      </c>
      <c r="AN91" s="50">
        <f ca="1">IF(B91=0,0,AT91*(_rpm1+(1+_emr1)*VLOOKUP(E91,Tab_Mort_Charge,IF(Input!$C$12="M",2,3),0))*(0.001*0.0833)*Flag_Mort_Rider_Charge*(AT91&gt;0))</f>
        <v>0</v>
      </c>
      <c r="AO91" s="50">
        <f t="shared" ca="1" si="77"/>
        <v>0</v>
      </c>
      <c r="AP91" s="50">
        <f t="shared" ref="AP91:AP154" ca="1" si="105">AO91*(1+$F$3)*B91</f>
        <v>0</v>
      </c>
      <c r="AQ91" s="50">
        <f t="shared" ca="1" si="78"/>
        <v>0</v>
      </c>
      <c r="AR91" s="50">
        <f t="shared" ca="1" si="79"/>
        <v>0</v>
      </c>
      <c r="AS91" s="50">
        <f t="shared" si="80"/>
        <v>0</v>
      </c>
      <c r="AT91" s="50">
        <f ca="1">(MAX((MAX(AS91,105%*SUM($AJ$7:AJ91))-AM91*Flag_UL_Type),0)*B91)</f>
        <v>0</v>
      </c>
      <c r="AU91" s="50">
        <f ca="1">(MAX(AS91,AR91,105%*SUM($AJ$7:AJ91))*B91)</f>
        <v>0</v>
      </c>
      <c r="AV91" s="125"/>
      <c r="AW91" s="13"/>
      <c r="AX91" s="13"/>
      <c r="AY91" s="13"/>
      <c r="AZ91" s="13"/>
      <c r="BA91" s="13"/>
      <c r="BG91" s="51">
        <f t="shared" si="81"/>
        <v>1080</v>
      </c>
      <c r="BH91" s="51">
        <f t="shared" ca="1" si="82"/>
        <v>117.046470787326</v>
      </c>
      <c r="BI91" s="51">
        <f t="shared" ca="1" si="83"/>
        <v>0</v>
      </c>
      <c r="BJ91" s="51">
        <f t="shared" ca="1" si="84"/>
        <v>0</v>
      </c>
      <c r="BK91" s="51">
        <f t="shared" si="85"/>
        <v>90</v>
      </c>
      <c r="BL91" s="51">
        <f t="shared" ca="1" si="86"/>
        <v>523.88960940168897</v>
      </c>
      <c r="BM91" s="51">
        <f t="shared" si="87"/>
        <v>0</v>
      </c>
      <c r="BN91" s="51">
        <f t="shared" ca="1" si="88"/>
        <v>0</v>
      </c>
      <c r="BO91" s="51">
        <f t="shared" ca="1" si="89"/>
        <v>0</v>
      </c>
      <c r="BP91" s="51">
        <f t="shared" ca="1" si="90"/>
        <v>1810.9360801890148</v>
      </c>
      <c r="BQ91" s="120"/>
      <c r="BR91" s="32"/>
      <c r="BS91" s="126"/>
      <c r="BT91" s="16"/>
      <c r="BU91" s="58"/>
      <c r="BW91" s="51">
        <f>IF(Input!$C$13="Offline",VLOOKUP(H91,Charges!$AT$4:$AU$33,2,FALSE)*I91,0)</f>
        <v>1500</v>
      </c>
      <c r="BX91" s="51">
        <f t="shared" si="91"/>
        <v>0</v>
      </c>
      <c r="BY91" s="51">
        <f t="shared" si="100"/>
        <v>1500</v>
      </c>
      <c r="BZ91" s="151"/>
      <c r="CA91" s="151"/>
      <c r="CB91" s="32"/>
      <c r="CC91" s="16">
        <f ca="1">SUM($N$7:$N91)</f>
        <v>0</v>
      </c>
      <c r="CD91" s="16">
        <f t="shared" ca="1" si="92"/>
        <v>0</v>
      </c>
      <c r="CE91" s="16">
        <f t="shared" ca="1" si="93"/>
        <v>0</v>
      </c>
      <c r="CF91" s="7">
        <f t="shared" ca="1" si="94"/>
        <v>0</v>
      </c>
      <c r="CH91" s="7">
        <f t="shared" ca="1" si="95"/>
        <v>0</v>
      </c>
    </row>
    <row r="92" spans="2:86" s="7" customFormat="1" x14ac:dyDescent="0.2">
      <c r="B92" s="14">
        <f t="shared" si="59"/>
        <v>1</v>
      </c>
      <c r="C92" s="12">
        <f t="shared" si="60"/>
        <v>1</v>
      </c>
      <c r="D92" s="17">
        <f t="shared" si="101"/>
        <v>86</v>
      </c>
      <c r="E92" s="17">
        <f t="shared" ca="1" si="61"/>
        <v>67</v>
      </c>
      <c r="F92" s="12">
        <f t="shared" si="103"/>
        <v>1</v>
      </c>
      <c r="G92" s="12">
        <f t="shared" si="102"/>
        <v>15</v>
      </c>
      <c r="H92" s="17">
        <f t="shared" si="104"/>
        <v>8</v>
      </c>
      <c r="I92" s="29">
        <f t="shared" si="62"/>
        <v>0</v>
      </c>
      <c r="J92" s="211">
        <f>IFERROR(VLOOKUP(H92,Charges!$T$6:$U$35,2,0)*C92,0)</f>
        <v>0.98</v>
      </c>
      <c r="K92" s="29">
        <f t="shared" si="63"/>
        <v>0</v>
      </c>
      <c r="L92" s="29">
        <f t="shared" si="64"/>
        <v>0</v>
      </c>
      <c r="M92" s="147">
        <f t="shared" ca="1" si="65"/>
        <v>0</v>
      </c>
      <c r="N92" s="148">
        <f ca="1">IF(AND(Option_SPW="Y",H92&gt;=Lock_In_Period,Z91&gt;SPW_Amount_pa+IF(option="Single",1/5*pr,2*pr),H92&gt;=SPW_Start_Year,H92&lt;=SPW_Start_Year+SPW_Duration-1,age+H92&gt;=Legal_Age),IF(AND(F92=0,SPW_Payout_Freq=1),SPW_Amount_pa,IF(AND(SPW_Payout_Freq=2,MOD(F92,6)=0),SPW_Amount_pa/SPW_Payout_Freq,IF(AND(SPW_Payout_Freq=4,MOD(F92,3)=0),SPW_Amount_pa/SPW_Payout_Freq,IF(SPW_Payout_Freq=12,SPW_Amount_pa/SPW_Payout_Freq,0)))),0)+IFERROR(VLOOKUP(H92,Input!$B$68:$C$74,2,0),0)*(F92=0)*(Option_PW="Y")*(Option_SPW="N")*(age+H92&gt;=Legal_Age)</f>
        <v>0</v>
      </c>
      <c r="O92" s="148">
        <f t="shared" ca="1" si="66"/>
        <v>0</v>
      </c>
      <c r="P92" s="14">
        <f ca="1">(MAX(MAX(sa-CF91*Flag_UL_Type,105%*SUM($I$7:I92))-(AD91+L92-N92)*Flag_UL_Type,0)*B92)</f>
        <v>417732.37051524222</v>
      </c>
      <c r="Q92" s="213">
        <f t="shared" ca="1" si="67"/>
        <v>632.48510109404083</v>
      </c>
      <c r="R92" s="14">
        <f t="shared" ca="1" si="68"/>
        <v>0</v>
      </c>
      <c r="S92" s="14">
        <f t="shared" ca="1" si="69"/>
        <v>0</v>
      </c>
      <c r="T92" s="14">
        <f>IFERROR(IF(WoP_Flag="Y",IF(fq=1,VLOOKUP(ppt*fq-H92,Charges!$AN$41:$AO$59,2,FALSE),IF(fq=2,VLOOKUP(ppt*fq-G92,Charges!$AP$41:$AQ$79,2,FALSE),VLOOKUP(ppt*fq-D92,Charges!$AR$41:$AS$279,2,FALSE)))*pr/fq,0),0)</f>
        <v>0</v>
      </c>
      <c r="U92" s="14">
        <f t="shared" ca="1" si="70"/>
        <v>0</v>
      </c>
      <c r="V92" s="34">
        <f>ROUND(MIN(IF(H92&gt;=7,Charges!$C$12*(1+Charges!$C$14)^((H92-7+1)),VLOOKUP(H92,Charges!$B$7:$C$12,2,0))*pr,Charges!$C$13)*B92,Round)</f>
        <v>500</v>
      </c>
      <c r="W92" s="14">
        <f t="shared" ca="1" si="71"/>
        <v>2580931.2970654666</v>
      </c>
      <c r="X92" s="14">
        <f t="shared" ca="1" si="72"/>
        <v>2597537.0867426363</v>
      </c>
      <c r="Y92" s="213">
        <f t="shared" ca="1" si="96"/>
        <v>2923.8195294160432</v>
      </c>
      <c r="Z92" s="14">
        <f t="shared" ca="1" si="73"/>
        <v>2594086.9796979255</v>
      </c>
      <c r="AA92" s="14">
        <f>IF(AND($H92=pt,$F92=11),SUM($K$7:K92)*VLOOKUP(pt,ROC,2,FALSE),0)</f>
        <v>0</v>
      </c>
      <c r="AB92" s="14">
        <f>IF(AND($H92=pt,$F92=11),SUM($V$7:V92)*VLOOKUP(pt,ROC,2,FALSE),0)</f>
        <v>0</v>
      </c>
      <c r="AC92" s="14">
        <f>IF(AND($H92=pt,$F92=11),SUM($Q$7:Q92)*VLOOKUP(pt,ROC,2,FALSE),0)</f>
        <v>0</v>
      </c>
      <c r="AD92" s="14">
        <f t="shared" ca="1" si="74"/>
        <v>2594086.9796979255</v>
      </c>
      <c r="AE92" s="14">
        <f ca="1">(MAX(sa-CF91*Flag_UL_Type,105%*SUM($I$7:I92),Z92)+AU92)*B92</f>
        <v>3000000</v>
      </c>
      <c r="AF92" s="136"/>
      <c r="AG92" s="18">
        <v>86</v>
      </c>
      <c r="AH92" s="30">
        <f t="shared" ca="1" si="75"/>
        <v>0</v>
      </c>
      <c r="AI92" s="138"/>
      <c r="AJ92" s="50">
        <f>IF(AND(Option_Sys_TopUp&gt;="Y",H92&gt;=sytp,H92&lt;=(dtp+sytp-1),F92=0,H92&lt;=ppt+1),atp,0)+IFERROR(VLOOKUP(H92,Input!$B$55:$C$61,2,0),0)*(F92=0)*(Option_TopUP="Y")*(Option_Sys_TopUp="N")*B92*(pt&gt;=H92+5)</f>
        <v>0</v>
      </c>
      <c r="AK92" s="50">
        <f t="shared" si="76"/>
        <v>0</v>
      </c>
      <c r="AL92" s="50">
        <f t="shared" si="97"/>
        <v>0</v>
      </c>
      <c r="AM92" s="50">
        <f t="shared" ca="1" si="98"/>
        <v>0</v>
      </c>
      <c r="AN92" s="50">
        <f ca="1">IF(B92=0,0,AT92*(_rpm1+(1+_emr1)*VLOOKUP(E92,Tab_Mort_Charge,IF(Input!$C$12="M",2,3),0))*(0.001*0.0833)*Flag_Mort_Rider_Charge*(AT92&gt;0))</f>
        <v>0</v>
      </c>
      <c r="AO92" s="50">
        <f t="shared" ca="1" si="77"/>
        <v>0</v>
      </c>
      <c r="AP92" s="50">
        <f t="shared" ca="1" si="105"/>
        <v>0</v>
      </c>
      <c r="AQ92" s="50">
        <f t="shared" ca="1" si="78"/>
        <v>0</v>
      </c>
      <c r="AR92" s="50">
        <f t="shared" ca="1" si="79"/>
        <v>0</v>
      </c>
      <c r="AS92" s="50">
        <f t="shared" si="80"/>
        <v>0</v>
      </c>
      <c r="AT92" s="50">
        <f ca="1">(MAX((MAX(AS92,105%*SUM($AJ$7:AJ92))-AM92*Flag_UL_Type),0)*B92)</f>
        <v>0</v>
      </c>
      <c r="AU92" s="50">
        <f ca="1">(MAX(AS92,AR92,105%*SUM($AJ$7:AJ92))*B92)</f>
        <v>0</v>
      </c>
      <c r="AV92" s="125"/>
      <c r="AW92" s="13"/>
      <c r="AX92" s="13"/>
      <c r="AY92" s="13"/>
      <c r="AZ92" s="13"/>
      <c r="BA92" s="13"/>
      <c r="BG92" s="51">
        <f t="shared" si="81"/>
        <v>0</v>
      </c>
      <c r="BH92" s="51">
        <f t="shared" ca="1" si="82"/>
        <v>113.84731819692701</v>
      </c>
      <c r="BI92" s="51">
        <f t="shared" ca="1" si="83"/>
        <v>0</v>
      </c>
      <c r="BJ92" s="51">
        <f t="shared" ca="1" si="84"/>
        <v>0</v>
      </c>
      <c r="BK92" s="51">
        <f t="shared" si="85"/>
        <v>90</v>
      </c>
      <c r="BL92" s="51">
        <f t="shared" ca="1" si="86"/>
        <v>526.28751529488773</v>
      </c>
      <c r="BM92" s="51">
        <f t="shared" si="87"/>
        <v>0</v>
      </c>
      <c r="BN92" s="51">
        <f t="shared" ca="1" si="88"/>
        <v>0</v>
      </c>
      <c r="BO92" s="51">
        <f t="shared" ca="1" si="89"/>
        <v>0</v>
      </c>
      <c r="BP92" s="51">
        <f t="shared" ca="1" si="90"/>
        <v>730.13483349181479</v>
      </c>
      <c r="BQ92" s="120"/>
      <c r="BR92" s="32"/>
      <c r="BS92" s="126"/>
      <c r="BT92" s="16"/>
      <c r="BU92" s="58"/>
      <c r="BW92" s="51">
        <f>IF(Input!$C$13="Offline",VLOOKUP(H92,Charges!$AT$4:$AU$33,2,FALSE)*I92,0)</f>
        <v>0</v>
      </c>
      <c r="BX92" s="51">
        <f t="shared" si="91"/>
        <v>0</v>
      </c>
      <c r="BY92" s="51">
        <f t="shared" si="100"/>
        <v>0</v>
      </c>
      <c r="BZ92" s="151"/>
      <c r="CA92" s="151"/>
      <c r="CB92" s="32"/>
      <c r="CC92" s="16">
        <f ca="1">SUM($N$7:$N92)</f>
        <v>0</v>
      </c>
      <c r="CD92" s="16">
        <f t="shared" ca="1" si="92"/>
        <v>0</v>
      </c>
      <c r="CE92" s="16">
        <f t="shared" ca="1" si="93"/>
        <v>0</v>
      </c>
      <c r="CF92" s="7">
        <f t="shared" ca="1" si="94"/>
        <v>0</v>
      </c>
      <c r="CH92" s="7">
        <f t="shared" ca="1" si="95"/>
        <v>0</v>
      </c>
    </row>
    <row r="93" spans="2:86" s="7" customFormat="1" x14ac:dyDescent="0.2">
      <c r="B93" s="14">
        <f t="shared" si="59"/>
        <v>1</v>
      </c>
      <c r="C93" s="12">
        <f t="shared" si="60"/>
        <v>1</v>
      </c>
      <c r="D93" s="17">
        <f t="shared" si="101"/>
        <v>87</v>
      </c>
      <c r="E93" s="17">
        <f t="shared" ca="1" si="61"/>
        <v>67</v>
      </c>
      <c r="F93" s="12">
        <f t="shared" si="103"/>
        <v>2</v>
      </c>
      <c r="G93" s="12">
        <f t="shared" si="102"/>
        <v>15</v>
      </c>
      <c r="H93" s="17">
        <f t="shared" si="104"/>
        <v>8</v>
      </c>
      <c r="I93" s="29">
        <f t="shared" si="62"/>
        <v>0</v>
      </c>
      <c r="J93" s="211">
        <f>IFERROR(VLOOKUP(H93,Charges!$T$6:$U$35,2,0)*C93,0)</f>
        <v>0.98</v>
      </c>
      <c r="K93" s="29">
        <f t="shared" si="63"/>
        <v>0</v>
      </c>
      <c r="L93" s="29">
        <f t="shared" si="64"/>
        <v>0</v>
      </c>
      <c r="M93" s="147">
        <f t="shared" ca="1" si="65"/>
        <v>0</v>
      </c>
      <c r="N93" s="148">
        <f ca="1">IF(AND(Option_SPW="Y",H93&gt;=Lock_In_Period,Z92&gt;SPW_Amount_pa+IF(option="Single",1/5*pr,2*pr),H93&gt;=SPW_Start_Year,H93&lt;=SPW_Start_Year+SPW_Duration-1,age+H93&gt;=Legal_Age),IF(AND(F93=0,SPW_Payout_Freq=1),SPW_Amount_pa,IF(AND(SPW_Payout_Freq=2,MOD(F93,6)=0),SPW_Amount_pa/SPW_Payout_Freq,IF(AND(SPW_Payout_Freq=4,MOD(F93,3)=0),SPW_Amount_pa/SPW_Payout_Freq,IF(SPW_Payout_Freq=12,SPW_Amount_pa/SPW_Payout_Freq,0)))),0)+IFERROR(VLOOKUP(H93,Input!$B$68:$C$74,2,0),0)*(F93=0)*(Option_PW="Y")*(Option_SPW="N")*(age+H93&gt;=Legal_Age)</f>
        <v>0</v>
      </c>
      <c r="O93" s="148">
        <f t="shared" ca="1" si="66"/>
        <v>0</v>
      </c>
      <c r="P93" s="14">
        <f ca="1">(MAX(MAX(sa-CF92*Flag_UL_Type,105%*SUM($I$7:I93))-(AD92+L93-N93)*Flag_UL_Type,0)*B93)</f>
        <v>405913.0203020745</v>
      </c>
      <c r="Q93" s="213">
        <f t="shared" ca="1" si="67"/>
        <v>614.58952143086833</v>
      </c>
      <c r="R93" s="14">
        <f t="shared" ca="1" si="68"/>
        <v>0</v>
      </c>
      <c r="S93" s="14">
        <f t="shared" ca="1" si="69"/>
        <v>0</v>
      </c>
      <c r="T93" s="14">
        <f>IFERROR(IF(WoP_Flag="Y",IF(fq=1,VLOOKUP(ppt*fq-H93,Charges!$AN$41:$AO$59,2,FALSE),IF(fq=2,VLOOKUP(ppt*fq-G93,Charges!$AP$41:$AQ$79,2,FALSE),VLOOKUP(ppt*fq-D93,Charges!$AR$41:$AS$279,2,FALSE)))*pr/fq,0),0)</f>
        <v>0</v>
      </c>
      <c r="U93" s="14">
        <f t="shared" ca="1" si="70"/>
        <v>0</v>
      </c>
      <c r="V93" s="34">
        <f>ROUND(MIN(IF(H93&gt;=7,Charges!$C$12*(1+Charges!$C$14)^((H93-7+1)),VLOOKUP(H93,Charges!$B$7:$C$12,2,0))*pr,Charges!$C$13)*B93,Round)</f>
        <v>500</v>
      </c>
      <c r="W93" s="14">
        <f t="shared" ca="1" si="71"/>
        <v>2592771.764062637</v>
      </c>
      <c r="X93" s="14">
        <f t="shared" ca="1" si="72"/>
        <v>2609453.7356609828</v>
      </c>
      <c r="Y93" s="213">
        <f t="shared" ca="1" si="96"/>
        <v>2937.2330552557642</v>
      </c>
      <c r="Z93" s="14">
        <f t="shared" ca="1" si="73"/>
        <v>2605987.8006557808</v>
      </c>
      <c r="AA93" s="14">
        <f>IF(AND($H93=pt,$F93=11),SUM($K$7:K93)*VLOOKUP(pt,ROC,2,FALSE),0)</f>
        <v>0</v>
      </c>
      <c r="AB93" s="14">
        <f>IF(AND($H93=pt,$F93=11),SUM($V$7:V93)*VLOOKUP(pt,ROC,2,FALSE),0)</f>
        <v>0</v>
      </c>
      <c r="AC93" s="14">
        <f>IF(AND($H93=pt,$F93=11),SUM($Q$7:Q93)*VLOOKUP(pt,ROC,2,FALSE),0)</f>
        <v>0</v>
      </c>
      <c r="AD93" s="14">
        <f t="shared" ca="1" si="74"/>
        <v>2605987.8006557808</v>
      </c>
      <c r="AE93" s="14">
        <f ca="1">(MAX(sa-CF92*Flag_UL_Type,105%*SUM($I$7:I93),Z93)+AU93)*B93</f>
        <v>3000000</v>
      </c>
      <c r="AF93" s="136"/>
      <c r="AG93" s="18">
        <v>87</v>
      </c>
      <c r="AH93" s="30">
        <f t="shared" ca="1" si="75"/>
        <v>0</v>
      </c>
      <c r="AI93" s="138"/>
      <c r="AJ93" s="50">
        <f>IF(AND(Option_Sys_TopUp&gt;="Y",H93&gt;=sytp,H93&lt;=(dtp+sytp-1),F93=0,H93&lt;=ppt+1),atp,0)+IFERROR(VLOOKUP(H93,Input!$B$55:$C$61,2,0),0)*(F93=0)*(Option_TopUP="Y")*(Option_Sys_TopUp="N")*B93*(pt&gt;=H93+5)</f>
        <v>0</v>
      </c>
      <c r="AK93" s="50">
        <f t="shared" si="76"/>
        <v>0</v>
      </c>
      <c r="AL93" s="50">
        <f t="shared" si="97"/>
        <v>0</v>
      </c>
      <c r="AM93" s="50">
        <f t="shared" ca="1" si="98"/>
        <v>0</v>
      </c>
      <c r="AN93" s="50">
        <f ca="1">IF(B93=0,0,AT93*(_rpm1+(1+_emr1)*VLOOKUP(E93,Tab_Mort_Charge,IF(Input!$C$12="M",2,3),0))*(0.001*0.0833)*Flag_Mort_Rider_Charge*(AT93&gt;0))</f>
        <v>0</v>
      </c>
      <c r="AO93" s="50">
        <f t="shared" ca="1" si="77"/>
        <v>0</v>
      </c>
      <c r="AP93" s="50">
        <f t="shared" ca="1" si="105"/>
        <v>0</v>
      </c>
      <c r="AQ93" s="50">
        <f t="shared" ca="1" si="78"/>
        <v>0</v>
      </c>
      <c r="AR93" s="50">
        <f t="shared" ca="1" si="79"/>
        <v>0</v>
      </c>
      <c r="AS93" s="50">
        <f t="shared" si="80"/>
        <v>0</v>
      </c>
      <c r="AT93" s="50">
        <f ca="1">(MAX((MAX(AS93,105%*SUM($AJ$7:AJ93))-AM93*Flag_UL_Type),0)*B93)</f>
        <v>0</v>
      </c>
      <c r="AU93" s="50">
        <f ca="1">(MAX(AS93,AR93,105%*SUM($AJ$7:AJ93))*B93)</f>
        <v>0</v>
      </c>
      <c r="AV93" s="125"/>
      <c r="AW93" s="13"/>
      <c r="AX93" s="13"/>
      <c r="AY93" s="13"/>
      <c r="AZ93" s="13"/>
      <c r="BA93" s="13"/>
      <c r="BG93" s="51">
        <f t="shared" si="81"/>
        <v>0</v>
      </c>
      <c r="BH93" s="51">
        <f t="shared" ca="1" si="82"/>
        <v>110.62611385755601</v>
      </c>
      <c r="BI93" s="51">
        <f t="shared" ca="1" si="83"/>
        <v>0</v>
      </c>
      <c r="BJ93" s="51">
        <f t="shared" ca="1" si="84"/>
        <v>0</v>
      </c>
      <c r="BK93" s="51">
        <f t="shared" si="85"/>
        <v>90</v>
      </c>
      <c r="BL93" s="51">
        <f t="shared" ca="1" si="86"/>
        <v>528.70194994603753</v>
      </c>
      <c r="BM93" s="51">
        <f t="shared" si="87"/>
        <v>0</v>
      </c>
      <c r="BN93" s="51">
        <f t="shared" ca="1" si="88"/>
        <v>0</v>
      </c>
      <c r="BO93" s="51">
        <f t="shared" ca="1" si="89"/>
        <v>0</v>
      </c>
      <c r="BP93" s="51">
        <f t="shared" ca="1" si="90"/>
        <v>729.32806380359352</v>
      </c>
      <c r="BQ93" s="120"/>
      <c r="BR93" s="32"/>
      <c r="BS93" s="126"/>
      <c r="BT93" s="16"/>
      <c r="BU93" s="58"/>
      <c r="BW93" s="51">
        <f>IF(Input!$C$13="Offline",VLOOKUP(H93,Charges!$AT$4:$AU$33,2,FALSE)*I93,0)</f>
        <v>0</v>
      </c>
      <c r="BX93" s="51">
        <f t="shared" si="91"/>
        <v>0</v>
      </c>
      <c r="BY93" s="51">
        <f t="shared" si="100"/>
        <v>0</v>
      </c>
      <c r="BZ93" s="151"/>
      <c r="CA93" s="151"/>
      <c r="CB93" s="32"/>
      <c r="CC93" s="16">
        <f ca="1">SUM($N$7:$N93)</f>
        <v>0</v>
      </c>
      <c r="CD93" s="16">
        <f t="shared" ca="1" si="92"/>
        <v>0</v>
      </c>
      <c r="CE93" s="16">
        <f t="shared" ca="1" si="93"/>
        <v>0</v>
      </c>
      <c r="CF93" s="7">
        <f t="shared" ca="1" si="94"/>
        <v>0</v>
      </c>
      <c r="CH93" s="7">
        <f t="shared" ca="1" si="95"/>
        <v>0</v>
      </c>
    </row>
    <row r="94" spans="2:86" s="7" customFormat="1" x14ac:dyDescent="0.2">
      <c r="B94" s="14">
        <f t="shared" si="59"/>
        <v>1</v>
      </c>
      <c r="C94" s="12">
        <f t="shared" si="60"/>
        <v>1</v>
      </c>
      <c r="D94" s="17">
        <f t="shared" si="101"/>
        <v>88</v>
      </c>
      <c r="E94" s="17">
        <f t="shared" ca="1" si="61"/>
        <v>67</v>
      </c>
      <c r="F94" s="12">
        <f t="shared" si="103"/>
        <v>3</v>
      </c>
      <c r="G94" s="12">
        <f t="shared" si="102"/>
        <v>15</v>
      </c>
      <c r="H94" s="17">
        <f t="shared" si="104"/>
        <v>8</v>
      </c>
      <c r="I94" s="29">
        <f t="shared" si="62"/>
        <v>0</v>
      </c>
      <c r="J94" s="211">
        <f>IFERROR(VLOOKUP(H94,Charges!$T$6:$U$35,2,0)*C94,0)</f>
        <v>0.98</v>
      </c>
      <c r="K94" s="29">
        <f t="shared" si="63"/>
        <v>0</v>
      </c>
      <c r="L94" s="29">
        <f t="shared" si="64"/>
        <v>0</v>
      </c>
      <c r="M94" s="147">
        <f t="shared" ca="1" si="65"/>
        <v>0</v>
      </c>
      <c r="N94" s="148">
        <f ca="1">IF(AND(Option_SPW="Y",H94&gt;=Lock_In_Period,Z93&gt;SPW_Amount_pa+IF(option="Single",1/5*pr,2*pr),H94&gt;=SPW_Start_Year,H94&lt;=SPW_Start_Year+SPW_Duration-1,age+H94&gt;=Legal_Age),IF(AND(F94=0,SPW_Payout_Freq=1),SPW_Amount_pa,IF(AND(SPW_Payout_Freq=2,MOD(F94,6)=0),SPW_Amount_pa/SPW_Payout_Freq,IF(AND(SPW_Payout_Freq=4,MOD(F94,3)=0),SPW_Amount_pa/SPW_Payout_Freq,IF(SPW_Payout_Freq=12,SPW_Amount_pa/SPW_Payout_Freq,0)))),0)+IFERROR(VLOOKUP(H94,Input!$B$68:$C$74,2,0),0)*(F94=0)*(Option_PW="Y")*(Option_SPW="N")*(age+H94&gt;=Legal_Age)</f>
        <v>0</v>
      </c>
      <c r="O94" s="148">
        <f t="shared" ca="1" si="66"/>
        <v>0</v>
      </c>
      <c r="P94" s="14">
        <f ca="1">(MAX(MAX(sa-CF93*Flag_UL_Type,105%*SUM($I$7:I94))-(AD93+L94-N94)*Flag_UL_Type,0)*B94)</f>
        <v>394012.19934421917</v>
      </c>
      <c r="Q94" s="213">
        <f t="shared" ca="1" si="67"/>
        <v>596.57058759208746</v>
      </c>
      <c r="R94" s="14">
        <f t="shared" ca="1" si="68"/>
        <v>0</v>
      </c>
      <c r="S94" s="14">
        <f t="shared" ca="1" si="69"/>
        <v>0</v>
      </c>
      <c r="T94" s="14">
        <f>IFERROR(IF(WoP_Flag="Y",IF(fq=1,VLOOKUP(ppt*fq-H94,Charges!$AN$41:$AO$59,2,FALSE),IF(fq=2,VLOOKUP(ppt*fq-G94,Charges!$AP$41:$AQ$79,2,FALSE),VLOOKUP(ppt*fq-D94,Charges!$AR$41:$AS$279,2,FALSE)))*pr/fq,0),0)</f>
        <v>0</v>
      </c>
      <c r="U94" s="14">
        <f t="shared" ca="1" si="70"/>
        <v>0</v>
      </c>
      <c r="V94" s="34">
        <f>ROUND(MIN(IF(H94&gt;=7,Charges!$C$12*(1+Charges!$C$14)^((H94-7+1)),VLOOKUP(H94,Charges!$B$7:$C$12,2,0))*pr,Charges!$C$13)*B94,Round)</f>
        <v>500</v>
      </c>
      <c r="W94" s="14">
        <f t="shared" ca="1" si="71"/>
        <v>2604693.8473624224</v>
      </c>
      <c r="X94" s="14">
        <f t="shared" ca="1" si="72"/>
        <v>2621452.5260036928</v>
      </c>
      <c r="Y94" s="213">
        <f t="shared" ca="1" si="96"/>
        <v>2950.7390404878665</v>
      </c>
      <c r="Z94" s="14">
        <f t="shared" ca="1" si="73"/>
        <v>2617970.6539359172</v>
      </c>
      <c r="AA94" s="14">
        <f>IF(AND($H94=pt,$F94=11),SUM($K$7:K94)*VLOOKUP(pt,ROC,2,FALSE),0)</f>
        <v>0</v>
      </c>
      <c r="AB94" s="14">
        <f>IF(AND($H94=pt,$F94=11),SUM($V$7:V94)*VLOOKUP(pt,ROC,2,FALSE),0)</f>
        <v>0</v>
      </c>
      <c r="AC94" s="14">
        <f>IF(AND($H94=pt,$F94=11),SUM($Q$7:Q94)*VLOOKUP(pt,ROC,2,FALSE),0)</f>
        <v>0</v>
      </c>
      <c r="AD94" s="14">
        <f t="shared" ca="1" si="74"/>
        <v>2617970.6539359172</v>
      </c>
      <c r="AE94" s="14">
        <f ca="1">(MAX(sa-CF93*Flag_UL_Type,105%*SUM($I$7:I94),Z94)+AU94)*B94</f>
        <v>3000000</v>
      </c>
      <c r="AF94" s="136"/>
      <c r="AG94" s="18">
        <v>88</v>
      </c>
      <c r="AH94" s="30">
        <f t="shared" ca="1" si="75"/>
        <v>0</v>
      </c>
      <c r="AI94" s="138"/>
      <c r="AJ94" s="50">
        <f>IF(AND(Option_Sys_TopUp&gt;="Y",H94&gt;=sytp,H94&lt;=(dtp+sytp-1),F94=0,H94&lt;=ppt+1),atp,0)+IFERROR(VLOOKUP(H94,Input!$B$55:$C$61,2,0),0)*(F94=0)*(Option_TopUP="Y")*(Option_Sys_TopUp="N")*B94*(pt&gt;=H94+5)</f>
        <v>0</v>
      </c>
      <c r="AK94" s="50">
        <f t="shared" si="76"/>
        <v>0</v>
      </c>
      <c r="AL94" s="50">
        <f t="shared" si="97"/>
        <v>0</v>
      </c>
      <c r="AM94" s="50">
        <f t="shared" ca="1" si="98"/>
        <v>0</v>
      </c>
      <c r="AN94" s="50">
        <f ca="1">IF(B94=0,0,AT94*(_rpm1+(1+_emr1)*VLOOKUP(E94,Tab_Mort_Charge,IF(Input!$C$12="M",2,3),0))*(0.001*0.0833)*Flag_Mort_Rider_Charge*(AT94&gt;0))</f>
        <v>0</v>
      </c>
      <c r="AO94" s="50">
        <f t="shared" ca="1" si="77"/>
        <v>0</v>
      </c>
      <c r="AP94" s="50">
        <f t="shared" ca="1" si="105"/>
        <v>0</v>
      </c>
      <c r="AQ94" s="50">
        <f t="shared" ca="1" si="78"/>
        <v>0</v>
      </c>
      <c r="AR94" s="50">
        <f t="shared" ca="1" si="79"/>
        <v>0</v>
      </c>
      <c r="AS94" s="50">
        <f t="shared" si="80"/>
        <v>0</v>
      </c>
      <c r="AT94" s="50">
        <f ca="1">(MAX((MAX(AS94,105%*SUM($AJ$7:AJ94))-AM94*Flag_UL_Type),0)*B94)</f>
        <v>0</v>
      </c>
      <c r="AU94" s="50">
        <f ca="1">(MAX(AS94,AR94,105%*SUM($AJ$7:AJ94))*B94)</f>
        <v>0</v>
      </c>
      <c r="AV94" s="125"/>
      <c r="AW94" s="13"/>
      <c r="AX94" s="13"/>
      <c r="AY94" s="13"/>
      <c r="AZ94" s="13"/>
      <c r="BA94" s="13"/>
      <c r="BG94" s="51">
        <f t="shared" si="81"/>
        <v>0</v>
      </c>
      <c r="BH94" s="51">
        <f t="shared" ca="1" si="82"/>
        <v>107.382705766576</v>
      </c>
      <c r="BI94" s="51">
        <f t="shared" ca="1" si="83"/>
        <v>0</v>
      </c>
      <c r="BJ94" s="51">
        <f t="shared" ca="1" si="84"/>
        <v>0</v>
      </c>
      <c r="BK94" s="51">
        <f t="shared" si="85"/>
        <v>90</v>
      </c>
      <c r="BL94" s="51">
        <f t="shared" ca="1" si="86"/>
        <v>531.13302728781593</v>
      </c>
      <c r="BM94" s="51">
        <f t="shared" si="87"/>
        <v>0</v>
      </c>
      <c r="BN94" s="51">
        <f t="shared" ca="1" si="88"/>
        <v>0</v>
      </c>
      <c r="BO94" s="51">
        <f t="shared" ca="1" si="89"/>
        <v>0</v>
      </c>
      <c r="BP94" s="51">
        <f t="shared" ca="1" si="90"/>
        <v>728.51573305439194</v>
      </c>
      <c r="BQ94" s="120"/>
      <c r="BR94" s="32"/>
      <c r="BS94" s="126"/>
      <c r="BT94" s="16"/>
      <c r="BU94" s="58"/>
      <c r="BW94" s="51">
        <f>IF(Input!$C$13="Offline",VLOOKUP(H94,Charges!$AT$4:$AU$33,2,FALSE)*I94,0)</f>
        <v>0</v>
      </c>
      <c r="BX94" s="51">
        <f t="shared" si="91"/>
        <v>0</v>
      </c>
      <c r="BY94" s="51">
        <f t="shared" si="100"/>
        <v>0</v>
      </c>
      <c r="BZ94" s="151"/>
      <c r="CA94" s="151"/>
      <c r="CB94" s="32"/>
      <c r="CC94" s="16">
        <f ca="1">SUM($N$7:$N94)</f>
        <v>0</v>
      </c>
      <c r="CD94" s="16">
        <f t="shared" ca="1" si="92"/>
        <v>0</v>
      </c>
      <c r="CE94" s="16">
        <f t="shared" ca="1" si="93"/>
        <v>0</v>
      </c>
      <c r="CF94" s="7">
        <f t="shared" ca="1" si="94"/>
        <v>0</v>
      </c>
      <c r="CH94" s="7">
        <f t="shared" ca="1" si="95"/>
        <v>0</v>
      </c>
    </row>
    <row r="95" spans="2:86" s="7" customFormat="1" x14ac:dyDescent="0.2">
      <c r="B95" s="14">
        <f t="shared" si="59"/>
        <v>1</v>
      </c>
      <c r="C95" s="12">
        <f t="shared" si="60"/>
        <v>1</v>
      </c>
      <c r="D95" s="17">
        <f t="shared" si="101"/>
        <v>89</v>
      </c>
      <c r="E95" s="17">
        <f t="shared" ca="1" si="61"/>
        <v>67</v>
      </c>
      <c r="F95" s="12">
        <f t="shared" si="103"/>
        <v>4</v>
      </c>
      <c r="G95" s="12">
        <f t="shared" si="102"/>
        <v>15</v>
      </c>
      <c r="H95" s="17">
        <f t="shared" si="104"/>
        <v>8</v>
      </c>
      <c r="I95" s="29">
        <f t="shared" si="62"/>
        <v>0</v>
      </c>
      <c r="J95" s="211">
        <f>IFERROR(VLOOKUP(H95,Charges!$T$6:$U$35,2,0)*C95,0)</f>
        <v>0.98</v>
      </c>
      <c r="K95" s="29">
        <f t="shared" si="63"/>
        <v>0</v>
      </c>
      <c r="L95" s="29">
        <f t="shared" si="64"/>
        <v>0</v>
      </c>
      <c r="M95" s="147">
        <f t="shared" ca="1" si="65"/>
        <v>0</v>
      </c>
      <c r="N95" s="148">
        <f ca="1">IF(AND(Option_SPW="Y",H95&gt;=Lock_In_Period,Z94&gt;SPW_Amount_pa+IF(option="Single",1/5*pr,2*pr),H95&gt;=SPW_Start_Year,H95&lt;=SPW_Start_Year+SPW_Duration-1,age+H95&gt;=Legal_Age),IF(AND(F95=0,SPW_Payout_Freq=1),SPW_Amount_pa,IF(AND(SPW_Payout_Freq=2,MOD(F95,6)=0),SPW_Amount_pa/SPW_Payout_Freq,IF(AND(SPW_Payout_Freq=4,MOD(F95,3)=0),SPW_Amount_pa/SPW_Payout_Freq,IF(SPW_Payout_Freq=12,SPW_Amount_pa/SPW_Payout_Freq,0)))),0)+IFERROR(VLOOKUP(H95,Input!$B$68:$C$74,2,0),0)*(F95=0)*(Option_PW="Y")*(Option_SPW="N")*(age+H95&gt;=Legal_Age)</f>
        <v>0</v>
      </c>
      <c r="O95" s="148">
        <f t="shared" ca="1" si="66"/>
        <v>0</v>
      </c>
      <c r="P95" s="14">
        <f ca="1">(MAX(MAX(sa-CF94*Flag_UL_Type,105%*SUM($I$7:I95))-(AD94+L95-N95)*Flag_UL_Type,0)*B95)</f>
        <v>382029.34606408281</v>
      </c>
      <c r="Q95" s="213">
        <f t="shared" ca="1" si="67"/>
        <v>578.42744929774415</v>
      </c>
      <c r="R95" s="14">
        <f t="shared" ca="1" si="68"/>
        <v>0</v>
      </c>
      <c r="S95" s="14">
        <f t="shared" ca="1" si="69"/>
        <v>0</v>
      </c>
      <c r="T95" s="14">
        <f>IFERROR(IF(WoP_Flag="Y",IF(fq=1,VLOOKUP(ppt*fq-H95,Charges!$AN$41:$AO$59,2,FALSE),IF(fq=2,VLOOKUP(ppt*fq-G95,Charges!$AP$41:$AQ$79,2,FALSE),VLOOKUP(ppt*fq-D95,Charges!$AR$41:$AS$279,2,FALSE)))*pr/fq,0),0)</f>
        <v>0</v>
      </c>
      <c r="U95" s="14">
        <f t="shared" ca="1" si="70"/>
        <v>0</v>
      </c>
      <c r="V95" s="34">
        <f>ROUND(MIN(IF(H95&gt;=7,Charges!$C$12*(1+Charges!$C$14)^((H95-7+1)),VLOOKUP(H95,Charges!$B$7:$C$12,2,0))*pr,Charges!$C$13)*B95,Round)</f>
        <v>500</v>
      </c>
      <c r="W95" s="14">
        <f t="shared" ca="1" si="71"/>
        <v>2616698.1095457459</v>
      </c>
      <c r="X95" s="14">
        <f t="shared" ca="1" si="72"/>
        <v>2633534.0239713523</v>
      </c>
      <c r="Y95" s="213">
        <f t="shared" ca="1" si="96"/>
        <v>2964.3381224346581</v>
      </c>
      <c r="Z95" s="14">
        <f t="shared" ca="1" si="73"/>
        <v>2630036.1049868795</v>
      </c>
      <c r="AA95" s="14">
        <f>IF(AND($H95=pt,$F95=11),SUM($K$7:K95)*VLOOKUP(pt,ROC,2,FALSE),0)</f>
        <v>0</v>
      </c>
      <c r="AB95" s="14">
        <f>IF(AND($H95=pt,$F95=11),SUM($V$7:V95)*VLOOKUP(pt,ROC,2,FALSE),0)</f>
        <v>0</v>
      </c>
      <c r="AC95" s="14">
        <f>IF(AND($H95=pt,$F95=11),SUM($Q$7:Q95)*VLOOKUP(pt,ROC,2,FALSE),0)</f>
        <v>0</v>
      </c>
      <c r="AD95" s="14">
        <f t="shared" ca="1" si="74"/>
        <v>2630036.1049868795</v>
      </c>
      <c r="AE95" s="14">
        <f ca="1">(MAX(sa-CF94*Flag_UL_Type,105%*SUM($I$7:I95),Z95)+AU95)*B95</f>
        <v>3000000</v>
      </c>
      <c r="AF95" s="136"/>
      <c r="AG95" s="18">
        <v>89</v>
      </c>
      <c r="AH95" s="30">
        <f t="shared" ca="1" si="75"/>
        <v>0</v>
      </c>
      <c r="AI95" s="138"/>
      <c r="AJ95" s="50">
        <f>IF(AND(Option_Sys_TopUp&gt;="Y",H95&gt;=sytp,H95&lt;=(dtp+sytp-1),F95=0,H95&lt;=ppt+1),atp,0)+IFERROR(VLOOKUP(H95,Input!$B$55:$C$61,2,0),0)*(F95=0)*(Option_TopUP="Y")*(Option_Sys_TopUp="N")*B95*(pt&gt;=H95+5)</f>
        <v>0</v>
      </c>
      <c r="AK95" s="50">
        <f t="shared" si="76"/>
        <v>0</v>
      </c>
      <c r="AL95" s="50">
        <f t="shared" si="97"/>
        <v>0</v>
      </c>
      <c r="AM95" s="50">
        <f t="shared" ca="1" si="98"/>
        <v>0</v>
      </c>
      <c r="AN95" s="50">
        <f ca="1">IF(B95=0,0,AT95*(_rpm1+(1+_emr1)*VLOOKUP(E95,Tab_Mort_Charge,IF(Input!$C$12="M",2,3),0))*(0.001*0.0833)*Flag_Mort_Rider_Charge*(AT95&gt;0))</f>
        <v>0</v>
      </c>
      <c r="AO95" s="50">
        <f t="shared" ca="1" si="77"/>
        <v>0</v>
      </c>
      <c r="AP95" s="50">
        <f t="shared" ca="1" si="105"/>
        <v>0</v>
      </c>
      <c r="AQ95" s="50">
        <f t="shared" ca="1" si="78"/>
        <v>0</v>
      </c>
      <c r="AR95" s="50">
        <f t="shared" ca="1" si="79"/>
        <v>0</v>
      </c>
      <c r="AS95" s="50">
        <f t="shared" si="80"/>
        <v>0</v>
      </c>
      <c r="AT95" s="50">
        <f ca="1">(MAX((MAX(AS95,105%*SUM($AJ$7:AJ95))-AM95*Flag_UL_Type),0)*B95)</f>
        <v>0</v>
      </c>
      <c r="AU95" s="50">
        <f ca="1">(MAX(AS95,AR95,105%*SUM($AJ$7:AJ95))*B95)</f>
        <v>0</v>
      </c>
      <c r="AV95" s="125"/>
      <c r="AW95" s="13"/>
      <c r="AX95" s="13"/>
      <c r="AY95" s="13"/>
      <c r="AZ95" s="13"/>
      <c r="BA95" s="13"/>
      <c r="BG95" s="51">
        <f t="shared" si="81"/>
        <v>0</v>
      </c>
      <c r="BH95" s="51">
        <f t="shared" ca="1" si="82"/>
        <v>104.116940873594</v>
      </c>
      <c r="BI95" s="51">
        <f t="shared" ca="1" si="83"/>
        <v>0</v>
      </c>
      <c r="BJ95" s="51">
        <f t="shared" ca="1" si="84"/>
        <v>0</v>
      </c>
      <c r="BK95" s="51">
        <f t="shared" si="85"/>
        <v>90</v>
      </c>
      <c r="BL95" s="51">
        <f t="shared" ca="1" si="86"/>
        <v>533.58086203823848</v>
      </c>
      <c r="BM95" s="51">
        <f t="shared" si="87"/>
        <v>0</v>
      </c>
      <c r="BN95" s="51">
        <f t="shared" ca="1" si="88"/>
        <v>0</v>
      </c>
      <c r="BO95" s="51">
        <f t="shared" ca="1" si="89"/>
        <v>0</v>
      </c>
      <c r="BP95" s="51">
        <f t="shared" ca="1" si="90"/>
        <v>727.69780291183247</v>
      </c>
      <c r="BQ95" s="120"/>
      <c r="BR95" s="32"/>
      <c r="BS95" s="126"/>
      <c r="BT95" s="16"/>
      <c r="BU95" s="58"/>
      <c r="BW95" s="51">
        <f>IF(Input!$C$13="Offline",VLOOKUP(H95,Charges!$AT$4:$AU$33,2,FALSE)*I95,0)</f>
        <v>0</v>
      </c>
      <c r="BX95" s="51">
        <f t="shared" si="91"/>
        <v>0</v>
      </c>
      <c r="BY95" s="51">
        <f t="shared" si="100"/>
        <v>0</v>
      </c>
      <c r="BZ95" s="151"/>
      <c r="CA95" s="151"/>
      <c r="CB95" s="32"/>
      <c r="CC95" s="16">
        <f ca="1">SUM($N$7:$N95)</f>
        <v>0</v>
      </c>
      <c r="CD95" s="16">
        <f t="shared" ca="1" si="92"/>
        <v>0</v>
      </c>
      <c r="CE95" s="16">
        <f t="shared" ca="1" si="93"/>
        <v>0</v>
      </c>
      <c r="CF95" s="7">
        <f t="shared" ca="1" si="94"/>
        <v>0</v>
      </c>
      <c r="CH95" s="7">
        <f t="shared" ca="1" si="95"/>
        <v>0</v>
      </c>
    </row>
    <row r="96" spans="2:86" s="7" customFormat="1" x14ac:dyDescent="0.2">
      <c r="B96" s="14">
        <f t="shared" si="59"/>
        <v>1</v>
      </c>
      <c r="C96" s="12">
        <f t="shared" si="60"/>
        <v>1</v>
      </c>
      <c r="D96" s="17">
        <f t="shared" si="101"/>
        <v>90</v>
      </c>
      <c r="E96" s="17">
        <f t="shared" ca="1" si="61"/>
        <v>67</v>
      </c>
      <c r="F96" s="12">
        <f t="shared" si="103"/>
        <v>5</v>
      </c>
      <c r="G96" s="12">
        <f t="shared" si="102"/>
        <v>15</v>
      </c>
      <c r="H96" s="17">
        <f t="shared" si="104"/>
        <v>8</v>
      </c>
      <c r="I96" s="29">
        <f t="shared" si="62"/>
        <v>0</v>
      </c>
      <c r="J96" s="211">
        <f>IFERROR(VLOOKUP(H96,Charges!$T$6:$U$35,2,0)*C96,0)</f>
        <v>0.98</v>
      </c>
      <c r="K96" s="29">
        <f t="shared" si="63"/>
        <v>0</v>
      </c>
      <c r="L96" s="29">
        <f t="shared" si="64"/>
        <v>0</v>
      </c>
      <c r="M96" s="147">
        <f t="shared" ca="1" si="65"/>
        <v>0</v>
      </c>
      <c r="N96" s="148">
        <f ca="1">IF(AND(Option_SPW="Y",H96&gt;=Lock_In_Period,Z95&gt;SPW_Amount_pa+IF(option="Single",1/5*pr,2*pr),H96&gt;=SPW_Start_Year,H96&lt;=SPW_Start_Year+SPW_Duration-1,age+H96&gt;=Legal_Age),IF(AND(F96=0,SPW_Payout_Freq=1),SPW_Amount_pa,IF(AND(SPW_Payout_Freq=2,MOD(F96,6)=0),SPW_Amount_pa/SPW_Payout_Freq,IF(AND(SPW_Payout_Freq=4,MOD(F96,3)=0),SPW_Amount_pa/SPW_Payout_Freq,IF(SPW_Payout_Freq=12,SPW_Amount_pa/SPW_Payout_Freq,0)))),0)+IFERROR(VLOOKUP(H96,Input!$B$68:$C$74,2,0),0)*(F96=0)*(Option_PW="Y")*(Option_SPW="N")*(age+H96&gt;=Legal_Age)</f>
        <v>0</v>
      </c>
      <c r="O96" s="148">
        <f t="shared" ca="1" si="66"/>
        <v>0</v>
      </c>
      <c r="P96" s="14">
        <f ca="1">(MAX(MAX(sa-CF95*Flag_UL_Type,105%*SUM($I$7:I96))-(AD95+L96-N96)*Flag_UL_Type,0)*B96)</f>
        <v>369963.89501312049</v>
      </c>
      <c r="Q96" s="213">
        <f t="shared" ca="1" si="67"/>
        <v>560.15925040690752</v>
      </c>
      <c r="R96" s="14">
        <f t="shared" ca="1" si="68"/>
        <v>0</v>
      </c>
      <c r="S96" s="14">
        <f t="shared" ca="1" si="69"/>
        <v>0</v>
      </c>
      <c r="T96" s="14">
        <f>IFERROR(IF(WoP_Flag="Y",IF(fq=1,VLOOKUP(ppt*fq-H96,Charges!$AN$41:$AO$59,2,FALSE),IF(fq=2,VLOOKUP(ppt*fq-G96,Charges!$AP$41:$AQ$79,2,FALSE),VLOOKUP(ppt*fq-D96,Charges!$AR$41:$AS$279,2,FALSE)))*pr/fq,0),0)</f>
        <v>0</v>
      </c>
      <c r="U96" s="14">
        <f t="shared" ca="1" si="70"/>
        <v>0</v>
      </c>
      <c r="V96" s="34">
        <f>ROUND(MIN(IF(H96&gt;=7,Charges!$C$12*(1+Charges!$C$14)^((H96-7+1)),VLOOKUP(H96,Charges!$B$7:$C$12,2,0))*pr,Charges!$C$13)*B96,Round)</f>
        <v>500</v>
      </c>
      <c r="W96" s="14">
        <f t="shared" ca="1" si="71"/>
        <v>2628785.1170713995</v>
      </c>
      <c r="X96" s="14">
        <f t="shared" ca="1" si="72"/>
        <v>2645698.7996673658</v>
      </c>
      <c r="Y96" s="213">
        <f t="shared" ca="1" si="96"/>
        <v>2978.030942811507</v>
      </c>
      <c r="Z96" s="14">
        <f t="shared" ca="1" si="73"/>
        <v>2642184.7231548484</v>
      </c>
      <c r="AA96" s="14">
        <f>IF(AND($H96=pt,$F96=11),SUM($K$7:K96)*VLOOKUP(pt,ROC,2,FALSE),0)</f>
        <v>0</v>
      </c>
      <c r="AB96" s="14">
        <f>IF(AND($H96=pt,$F96=11),SUM($V$7:V96)*VLOOKUP(pt,ROC,2,FALSE),0)</f>
        <v>0</v>
      </c>
      <c r="AC96" s="14">
        <f>IF(AND($H96=pt,$F96=11),SUM($Q$7:Q96)*VLOOKUP(pt,ROC,2,FALSE),0)</f>
        <v>0</v>
      </c>
      <c r="AD96" s="14">
        <f t="shared" ca="1" si="74"/>
        <v>2642184.7231548484</v>
      </c>
      <c r="AE96" s="14">
        <f ca="1">(MAX(sa-CF95*Flag_UL_Type,105%*SUM($I$7:I96),Z96)+AU96)*B96</f>
        <v>3000000</v>
      </c>
      <c r="AF96" s="136"/>
      <c r="AG96" s="18">
        <v>90</v>
      </c>
      <c r="AH96" s="30">
        <f t="shared" ca="1" si="75"/>
        <v>0</v>
      </c>
      <c r="AI96" s="138"/>
      <c r="AJ96" s="50">
        <f>IF(AND(Option_Sys_TopUp&gt;="Y",H96&gt;=sytp,H96&lt;=(dtp+sytp-1),F96=0,H96&lt;=ppt+1),atp,0)+IFERROR(VLOOKUP(H96,Input!$B$55:$C$61,2,0),0)*(F96=0)*(Option_TopUP="Y")*(Option_Sys_TopUp="N")*B96*(pt&gt;=H96+5)</f>
        <v>0</v>
      </c>
      <c r="AK96" s="50">
        <f t="shared" si="76"/>
        <v>0</v>
      </c>
      <c r="AL96" s="50">
        <f t="shared" si="97"/>
        <v>0</v>
      </c>
      <c r="AM96" s="50">
        <f t="shared" ca="1" si="98"/>
        <v>0</v>
      </c>
      <c r="AN96" s="50">
        <f ca="1">IF(B96=0,0,AT96*(_rpm1+(1+_emr1)*VLOOKUP(E96,Tab_Mort_Charge,IF(Input!$C$12="M",2,3),0))*(0.001*0.0833)*Flag_Mort_Rider_Charge*(AT96&gt;0))</f>
        <v>0</v>
      </c>
      <c r="AO96" s="50">
        <f t="shared" ca="1" si="77"/>
        <v>0</v>
      </c>
      <c r="AP96" s="50">
        <f t="shared" ca="1" si="105"/>
        <v>0</v>
      </c>
      <c r="AQ96" s="50">
        <f t="shared" ca="1" si="78"/>
        <v>0</v>
      </c>
      <c r="AR96" s="50">
        <f t="shared" ca="1" si="79"/>
        <v>0</v>
      </c>
      <c r="AS96" s="50">
        <f t="shared" si="80"/>
        <v>0</v>
      </c>
      <c r="AT96" s="50">
        <f ca="1">(MAX((MAX(AS96,105%*SUM($AJ$7:AJ96))-AM96*Flag_UL_Type),0)*B96)</f>
        <v>0</v>
      </c>
      <c r="AU96" s="50">
        <f ca="1">(MAX(AS96,AR96,105%*SUM($AJ$7:AJ96))*B96)</f>
        <v>0</v>
      </c>
      <c r="AV96" s="125"/>
      <c r="AW96" s="13"/>
      <c r="AX96" s="13"/>
      <c r="AY96" s="13"/>
      <c r="AZ96" s="13"/>
      <c r="BA96" s="13"/>
      <c r="BG96" s="51">
        <f t="shared" si="81"/>
        <v>0</v>
      </c>
      <c r="BH96" s="51">
        <f t="shared" ca="1" si="82"/>
        <v>100.828665073243</v>
      </c>
      <c r="BI96" s="51">
        <f t="shared" ca="1" si="83"/>
        <v>0</v>
      </c>
      <c r="BJ96" s="51">
        <f t="shared" ca="1" si="84"/>
        <v>0</v>
      </c>
      <c r="BK96" s="51">
        <f t="shared" si="85"/>
        <v>90</v>
      </c>
      <c r="BL96" s="51">
        <f t="shared" ca="1" si="86"/>
        <v>536.04556970607121</v>
      </c>
      <c r="BM96" s="51">
        <f t="shared" si="87"/>
        <v>0</v>
      </c>
      <c r="BN96" s="51">
        <f t="shared" ca="1" si="88"/>
        <v>0</v>
      </c>
      <c r="BO96" s="51">
        <f t="shared" ca="1" si="89"/>
        <v>0</v>
      </c>
      <c r="BP96" s="51">
        <f t="shared" ca="1" si="90"/>
        <v>726.87423477931418</v>
      </c>
      <c r="BQ96" s="120"/>
      <c r="BR96" s="32"/>
      <c r="BS96" s="126"/>
      <c r="BT96" s="16"/>
      <c r="BU96" s="58"/>
      <c r="BW96" s="51">
        <f>IF(Input!$C$13="Offline",VLOOKUP(H96,Charges!$AT$4:$AU$33,2,FALSE)*I96,0)</f>
        <v>0</v>
      </c>
      <c r="BX96" s="51">
        <f t="shared" si="91"/>
        <v>0</v>
      </c>
      <c r="BY96" s="51">
        <f t="shared" si="100"/>
        <v>0</v>
      </c>
      <c r="BZ96" s="151"/>
      <c r="CA96" s="151"/>
      <c r="CB96" s="32"/>
      <c r="CC96" s="16">
        <f ca="1">SUM($N$7:$N96)</f>
        <v>0</v>
      </c>
      <c r="CD96" s="16">
        <f t="shared" ca="1" si="92"/>
        <v>0</v>
      </c>
      <c r="CE96" s="16">
        <f t="shared" ca="1" si="93"/>
        <v>0</v>
      </c>
      <c r="CF96" s="7">
        <f t="shared" ca="1" si="94"/>
        <v>0</v>
      </c>
      <c r="CH96" s="7">
        <f t="shared" ca="1" si="95"/>
        <v>0</v>
      </c>
    </row>
    <row r="97" spans="2:86" s="7" customFormat="1" x14ac:dyDescent="0.2">
      <c r="B97" s="14">
        <f t="shared" si="59"/>
        <v>1</v>
      </c>
      <c r="C97" s="12">
        <f t="shared" si="60"/>
        <v>1</v>
      </c>
      <c r="D97" s="17">
        <f t="shared" si="101"/>
        <v>91</v>
      </c>
      <c r="E97" s="17">
        <f t="shared" ca="1" si="61"/>
        <v>67</v>
      </c>
      <c r="F97" s="12">
        <f t="shared" si="103"/>
        <v>6</v>
      </c>
      <c r="G97" s="12">
        <f t="shared" si="102"/>
        <v>16</v>
      </c>
      <c r="H97" s="17">
        <f t="shared" si="104"/>
        <v>8</v>
      </c>
      <c r="I97" s="29">
        <f t="shared" si="62"/>
        <v>0</v>
      </c>
      <c r="J97" s="211">
        <f>IFERROR(VLOOKUP(H97,Charges!$T$6:$U$35,2,0)*C97,0)</f>
        <v>0.98</v>
      </c>
      <c r="K97" s="29">
        <f t="shared" si="63"/>
        <v>0</v>
      </c>
      <c r="L97" s="29">
        <f t="shared" si="64"/>
        <v>0</v>
      </c>
      <c r="M97" s="147">
        <f t="shared" ca="1" si="65"/>
        <v>0</v>
      </c>
      <c r="N97" s="148">
        <f ca="1">IF(AND(Option_SPW="Y",H97&gt;=Lock_In_Period,Z96&gt;SPW_Amount_pa+IF(option="Single",1/5*pr,2*pr),H97&gt;=SPW_Start_Year,H97&lt;=SPW_Start_Year+SPW_Duration-1,age+H97&gt;=Legal_Age),IF(AND(F97=0,SPW_Payout_Freq=1),SPW_Amount_pa,IF(AND(SPW_Payout_Freq=2,MOD(F97,6)=0),SPW_Amount_pa/SPW_Payout_Freq,IF(AND(SPW_Payout_Freq=4,MOD(F97,3)=0),SPW_Amount_pa/SPW_Payout_Freq,IF(SPW_Payout_Freq=12,SPW_Amount_pa/SPW_Payout_Freq,0)))),0)+IFERROR(VLOOKUP(H97,Input!$B$68:$C$74,2,0),0)*(F97=0)*(Option_PW="Y")*(Option_SPW="N")*(age+H97&gt;=Legal_Age)</f>
        <v>0</v>
      </c>
      <c r="O97" s="148">
        <f t="shared" ca="1" si="66"/>
        <v>0</v>
      </c>
      <c r="P97" s="14">
        <f ca="1">(MAX(MAX(sa-CF96*Flag_UL_Type,105%*SUM($I$7:I97))-(AD96+L97-N97)*Flag_UL_Type,0)*B97)</f>
        <v>357815.27684515156</v>
      </c>
      <c r="Q97" s="213">
        <f t="shared" ca="1" si="67"/>
        <v>541.76512887727006</v>
      </c>
      <c r="R97" s="14">
        <f t="shared" ca="1" si="68"/>
        <v>0</v>
      </c>
      <c r="S97" s="14">
        <f t="shared" ca="1" si="69"/>
        <v>0</v>
      </c>
      <c r="T97" s="14">
        <f>IFERROR(IF(WoP_Flag="Y",IF(fq=1,VLOOKUP(ppt*fq-H97,Charges!$AN$41:$AO$59,2,FALSE),IF(fq=2,VLOOKUP(ppt*fq-G97,Charges!$AP$41:$AQ$79,2,FALSE),VLOOKUP(ppt*fq-D97,Charges!$AR$41:$AS$279,2,FALSE)))*pr/fq,0),0)</f>
        <v>0</v>
      </c>
      <c r="U97" s="14">
        <f t="shared" ca="1" si="70"/>
        <v>0</v>
      </c>
      <c r="V97" s="34">
        <f>ROUND(MIN(IF(H97&gt;=7,Charges!$C$12*(1+Charges!$C$14)^((H97-7+1)),VLOOKUP(H97,Charges!$B$7:$C$12,2,0))*pr,Charges!$C$13)*B97,Round)</f>
        <v>500</v>
      </c>
      <c r="W97" s="14">
        <f t="shared" ca="1" si="71"/>
        <v>2640955.4403027734</v>
      </c>
      <c r="X97" s="14">
        <f t="shared" ca="1" si="72"/>
        <v>2657947.4271248588</v>
      </c>
      <c r="Y97" s="213">
        <f t="shared" ca="1" si="96"/>
        <v>2991.8181477571229</v>
      </c>
      <c r="Z97" s="14">
        <f t="shared" ca="1" si="73"/>
        <v>2654417.0817105053</v>
      </c>
      <c r="AA97" s="14">
        <f>IF(AND($H97=pt,$F97=11),SUM($K$7:K97)*VLOOKUP(pt,ROC,2,FALSE),0)</f>
        <v>0</v>
      </c>
      <c r="AB97" s="14">
        <f>IF(AND($H97=pt,$F97=11),SUM($V$7:V97)*VLOOKUP(pt,ROC,2,FALSE),0)</f>
        <v>0</v>
      </c>
      <c r="AC97" s="14">
        <f>IF(AND($H97=pt,$F97=11),SUM($Q$7:Q97)*VLOOKUP(pt,ROC,2,FALSE),0)</f>
        <v>0</v>
      </c>
      <c r="AD97" s="14">
        <f t="shared" ca="1" si="74"/>
        <v>2654417.0817105053</v>
      </c>
      <c r="AE97" s="14">
        <f ca="1">(MAX(sa-CF96*Flag_UL_Type,105%*SUM($I$7:I97),Z97)+AU97)*B97</f>
        <v>3000000</v>
      </c>
      <c r="AF97" s="136"/>
      <c r="AG97" s="18">
        <v>91</v>
      </c>
      <c r="AH97" s="30">
        <f t="shared" ca="1" si="75"/>
        <v>0</v>
      </c>
      <c r="AI97" s="138"/>
      <c r="AJ97" s="50">
        <f>IF(AND(Option_Sys_TopUp&gt;="Y",H97&gt;=sytp,H97&lt;=(dtp+sytp-1),F97=0,H97&lt;=ppt+1),atp,0)+IFERROR(VLOOKUP(H97,Input!$B$55:$C$61,2,0),0)*(F97=0)*(Option_TopUP="Y")*(Option_Sys_TopUp="N")*B97*(pt&gt;=H97+5)</f>
        <v>0</v>
      </c>
      <c r="AK97" s="50">
        <f t="shared" si="76"/>
        <v>0</v>
      </c>
      <c r="AL97" s="50">
        <f t="shared" si="97"/>
        <v>0</v>
      </c>
      <c r="AM97" s="50">
        <f t="shared" ca="1" si="98"/>
        <v>0</v>
      </c>
      <c r="AN97" s="50">
        <f ca="1">IF(B97=0,0,AT97*(_rpm1+(1+_emr1)*VLOOKUP(E97,Tab_Mort_Charge,IF(Input!$C$12="M",2,3),0))*(0.001*0.0833)*Flag_Mort_Rider_Charge*(AT97&gt;0))</f>
        <v>0</v>
      </c>
      <c r="AO97" s="50">
        <f t="shared" ca="1" si="77"/>
        <v>0</v>
      </c>
      <c r="AP97" s="50">
        <f t="shared" ca="1" si="105"/>
        <v>0</v>
      </c>
      <c r="AQ97" s="50">
        <f t="shared" ca="1" si="78"/>
        <v>0</v>
      </c>
      <c r="AR97" s="50">
        <f t="shared" ca="1" si="79"/>
        <v>0</v>
      </c>
      <c r="AS97" s="50">
        <f t="shared" si="80"/>
        <v>0</v>
      </c>
      <c r="AT97" s="50">
        <f ca="1">(MAX((MAX(AS97,105%*SUM($AJ$7:AJ97))-AM97*Flag_UL_Type),0)*B97)</f>
        <v>0</v>
      </c>
      <c r="AU97" s="50">
        <f ca="1">(MAX(AS97,AR97,105%*SUM($AJ$7:AJ97))*B97)</f>
        <v>0</v>
      </c>
      <c r="AV97" s="125"/>
      <c r="AW97" s="13"/>
      <c r="AX97" s="13"/>
      <c r="AY97" s="13"/>
      <c r="AZ97" s="13"/>
      <c r="BA97" s="13"/>
      <c r="BG97" s="51">
        <f t="shared" si="81"/>
        <v>0</v>
      </c>
      <c r="BH97" s="51">
        <f t="shared" ca="1" si="82"/>
        <v>97.517723197908595</v>
      </c>
      <c r="BI97" s="51">
        <f t="shared" ca="1" si="83"/>
        <v>0</v>
      </c>
      <c r="BJ97" s="51">
        <f t="shared" ca="1" si="84"/>
        <v>0</v>
      </c>
      <c r="BK97" s="51">
        <f t="shared" si="85"/>
        <v>90</v>
      </c>
      <c r="BL97" s="51">
        <f t="shared" ca="1" si="86"/>
        <v>538.52726659628206</v>
      </c>
      <c r="BM97" s="51">
        <f t="shared" si="87"/>
        <v>0</v>
      </c>
      <c r="BN97" s="51">
        <f t="shared" ca="1" si="88"/>
        <v>0</v>
      </c>
      <c r="BO97" s="51">
        <f t="shared" ca="1" si="89"/>
        <v>0</v>
      </c>
      <c r="BP97" s="51">
        <f t="shared" ca="1" si="90"/>
        <v>726.04498979419066</v>
      </c>
      <c r="BQ97" s="120"/>
      <c r="BR97" s="32"/>
      <c r="BS97" s="126"/>
      <c r="BT97" s="16"/>
      <c r="BU97" s="58"/>
      <c r="BW97" s="51">
        <f>IF(Input!$C$13="Offline",VLOOKUP(H97,Charges!$AT$4:$AU$33,2,FALSE)*I97,0)</f>
        <v>0</v>
      </c>
      <c r="BX97" s="51">
        <f t="shared" si="91"/>
        <v>0</v>
      </c>
      <c r="BY97" s="51">
        <f t="shared" si="100"/>
        <v>0</v>
      </c>
      <c r="BZ97" s="151"/>
      <c r="CA97" s="151"/>
      <c r="CB97" s="32"/>
      <c r="CC97" s="16">
        <f ca="1">SUM($N$7:$N97)</f>
        <v>0</v>
      </c>
      <c r="CD97" s="16">
        <f t="shared" ca="1" si="92"/>
        <v>0</v>
      </c>
      <c r="CE97" s="16">
        <f t="shared" ca="1" si="93"/>
        <v>0</v>
      </c>
      <c r="CF97" s="7">
        <f t="shared" ca="1" si="94"/>
        <v>0</v>
      </c>
      <c r="CH97" s="7">
        <f t="shared" ca="1" si="95"/>
        <v>0</v>
      </c>
    </row>
    <row r="98" spans="2:86" s="7" customFormat="1" x14ac:dyDescent="0.2">
      <c r="B98" s="14">
        <f t="shared" si="59"/>
        <v>1</v>
      </c>
      <c r="C98" s="12">
        <f t="shared" si="60"/>
        <v>1</v>
      </c>
      <c r="D98" s="17">
        <f t="shared" si="101"/>
        <v>92</v>
      </c>
      <c r="E98" s="17">
        <f t="shared" ca="1" si="61"/>
        <v>67</v>
      </c>
      <c r="F98" s="12">
        <f t="shared" si="103"/>
        <v>7</v>
      </c>
      <c r="G98" s="12">
        <f t="shared" si="102"/>
        <v>16</v>
      </c>
      <c r="H98" s="17">
        <f t="shared" si="104"/>
        <v>8</v>
      </c>
      <c r="I98" s="29">
        <f t="shared" si="62"/>
        <v>0</v>
      </c>
      <c r="J98" s="211">
        <f>IFERROR(VLOOKUP(H98,Charges!$T$6:$U$35,2,0)*C98,0)</f>
        <v>0.98</v>
      </c>
      <c r="K98" s="29">
        <f t="shared" si="63"/>
        <v>0</v>
      </c>
      <c r="L98" s="29">
        <f t="shared" si="64"/>
        <v>0</v>
      </c>
      <c r="M98" s="147">
        <f t="shared" ca="1" si="65"/>
        <v>0</v>
      </c>
      <c r="N98" s="148">
        <f ca="1">IF(AND(Option_SPW="Y",H98&gt;=Lock_In_Period,Z97&gt;SPW_Amount_pa+IF(option="Single",1/5*pr,2*pr),H98&gt;=SPW_Start_Year,H98&lt;=SPW_Start_Year+SPW_Duration-1,age+H98&gt;=Legal_Age),IF(AND(F98=0,SPW_Payout_Freq=1),SPW_Amount_pa,IF(AND(SPW_Payout_Freq=2,MOD(F98,6)=0),SPW_Amount_pa/SPW_Payout_Freq,IF(AND(SPW_Payout_Freq=4,MOD(F98,3)=0),SPW_Amount_pa/SPW_Payout_Freq,IF(SPW_Payout_Freq=12,SPW_Amount_pa/SPW_Payout_Freq,0)))),0)+IFERROR(VLOOKUP(H98,Input!$B$68:$C$74,2,0),0)*(F98=0)*(Option_PW="Y")*(Option_SPW="N")*(age+H98&gt;=Legal_Age)</f>
        <v>0</v>
      </c>
      <c r="O98" s="148">
        <f t="shared" ca="1" si="66"/>
        <v>0</v>
      </c>
      <c r="P98" s="14">
        <f ca="1">(MAX(MAX(sa-CF97*Flag_UL_Type,105%*SUM($I$7:I98))-(AD97+L98-N98)*Flag_UL_Type,0)*B98)</f>
        <v>345582.9182894947</v>
      </c>
      <c r="Q98" s="213">
        <f t="shared" ca="1" si="67"/>
        <v>523.24421672447158</v>
      </c>
      <c r="R98" s="14">
        <f t="shared" ca="1" si="68"/>
        <v>0</v>
      </c>
      <c r="S98" s="14">
        <f t="shared" ca="1" si="69"/>
        <v>0</v>
      </c>
      <c r="T98" s="14">
        <f>IFERROR(IF(WoP_Flag="Y",IF(fq=1,VLOOKUP(ppt*fq-H98,Charges!$AN$41:$AO$59,2,FALSE),IF(fq=2,VLOOKUP(ppt*fq-G98,Charges!$AP$41:$AQ$79,2,FALSE),VLOOKUP(ppt*fq-D98,Charges!$AR$41:$AS$279,2,FALSE)))*pr/fq,0),0)</f>
        <v>0</v>
      </c>
      <c r="U98" s="14">
        <f t="shared" ca="1" si="70"/>
        <v>0</v>
      </c>
      <c r="V98" s="34">
        <f>ROUND(MIN(IF(H98&gt;=7,Charges!$C$12*(1+Charges!$C$14)^((H98-7+1)),VLOOKUP(H98,Charges!$B$7:$C$12,2,0))*pr,Charges!$C$13)*B98,Round)</f>
        <v>500</v>
      </c>
      <c r="W98" s="14">
        <f t="shared" ca="1" si="71"/>
        <v>2653209.6535347705</v>
      </c>
      <c r="X98" s="14">
        <f t="shared" ca="1" si="72"/>
        <v>2670280.4843337648</v>
      </c>
      <c r="Y98" s="213">
        <f t="shared" ca="1" si="96"/>
        <v>3005.7003878640485</v>
      </c>
      <c r="Z98" s="14">
        <f t="shared" ca="1" si="73"/>
        <v>2666733.7578760851</v>
      </c>
      <c r="AA98" s="14">
        <f>IF(AND($H98=pt,$F98=11),SUM($K$7:K98)*VLOOKUP(pt,ROC,2,FALSE),0)</f>
        <v>0</v>
      </c>
      <c r="AB98" s="14">
        <f>IF(AND($H98=pt,$F98=11),SUM($V$7:V98)*VLOOKUP(pt,ROC,2,FALSE),0)</f>
        <v>0</v>
      </c>
      <c r="AC98" s="14">
        <f>IF(AND($H98=pt,$F98=11),SUM($Q$7:Q98)*VLOOKUP(pt,ROC,2,FALSE),0)</f>
        <v>0</v>
      </c>
      <c r="AD98" s="14">
        <f t="shared" ca="1" si="74"/>
        <v>2666733.7578760851</v>
      </c>
      <c r="AE98" s="14">
        <f ca="1">(MAX(sa-CF97*Flag_UL_Type,105%*SUM($I$7:I98),Z98)+AU98)*B98</f>
        <v>3000000</v>
      </c>
      <c r="AF98" s="136"/>
      <c r="AG98" s="18">
        <v>92</v>
      </c>
      <c r="AH98" s="30">
        <f t="shared" ca="1" si="75"/>
        <v>0</v>
      </c>
      <c r="AI98" s="138"/>
      <c r="AJ98" s="50">
        <f>IF(AND(Option_Sys_TopUp&gt;="Y",H98&gt;=sytp,H98&lt;=(dtp+sytp-1),F98=0,H98&lt;=ppt+1),atp,0)+IFERROR(VLOOKUP(H98,Input!$B$55:$C$61,2,0),0)*(F98=0)*(Option_TopUP="Y")*(Option_Sys_TopUp="N")*B98*(pt&gt;=H98+5)</f>
        <v>0</v>
      </c>
      <c r="AK98" s="50">
        <f t="shared" si="76"/>
        <v>0</v>
      </c>
      <c r="AL98" s="50">
        <f t="shared" si="97"/>
        <v>0</v>
      </c>
      <c r="AM98" s="50">
        <f t="shared" ca="1" si="98"/>
        <v>0</v>
      </c>
      <c r="AN98" s="50">
        <f ca="1">IF(B98=0,0,AT98*(_rpm1+(1+_emr1)*VLOOKUP(E98,Tab_Mort_Charge,IF(Input!$C$12="M",2,3),0))*(0.001*0.0833)*Flag_Mort_Rider_Charge*(AT98&gt;0))</f>
        <v>0</v>
      </c>
      <c r="AO98" s="50">
        <f t="shared" ca="1" si="77"/>
        <v>0</v>
      </c>
      <c r="AP98" s="50">
        <f t="shared" ca="1" si="105"/>
        <v>0</v>
      </c>
      <c r="AQ98" s="50">
        <f t="shared" ca="1" si="78"/>
        <v>0</v>
      </c>
      <c r="AR98" s="50">
        <f t="shared" ca="1" si="79"/>
        <v>0</v>
      </c>
      <c r="AS98" s="50">
        <f t="shared" si="80"/>
        <v>0</v>
      </c>
      <c r="AT98" s="50">
        <f ca="1">(MAX((MAX(AS98,105%*SUM($AJ$7:AJ98))-AM98*Flag_UL_Type),0)*B98)</f>
        <v>0</v>
      </c>
      <c r="AU98" s="50">
        <f ca="1">(MAX(AS98,AR98,105%*SUM($AJ$7:AJ98))*B98)</f>
        <v>0</v>
      </c>
      <c r="AV98" s="125"/>
      <c r="AW98" s="13"/>
      <c r="AX98" s="13"/>
      <c r="AY98" s="13"/>
      <c r="AZ98" s="13"/>
      <c r="BA98" s="13"/>
      <c r="BG98" s="51">
        <f t="shared" si="81"/>
        <v>0</v>
      </c>
      <c r="BH98" s="51">
        <f t="shared" ca="1" si="82"/>
        <v>94.183959010404905</v>
      </c>
      <c r="BI98" s="51">
        <f t="shared" ca="1" si="83"/>
        <v>0</v>
      </c>
      <c r="BJ98" s="51">
        <f t="shared" ca="1" si="84"/>
        <v>0</v>
      </c>
      <c r="BK98" s="51">
        <f t="shared" si="85"/>
        <v>90</v>
      </c>
      <c r="BL98" s="51">
        <f t="shared" ca="1" si="86"/>
        <v>541.02606981552867</v>
      </c>
      <c r="BM98" s="51">
        <f t="shared" si="87"/>
        <v>0</v>
      </c>
      <c r="BN98" s="51">
        <f t="shared" ca="1" si="88"/>
        <v>0</v>
      </c>
      <c r="BO98" s="51">
        <f t="shared" ca="1" si="89"/>
        <v>0</v>
      </c>
      <c r="BP98" s="51">
        <f t="shared" ca="1" si="90"/>
        <v>725.21002882593359</v>
      </c>
      <c r="BQ98" s="120"/>
      <c r="BR98" s="32"/>
      <c r="BS98" s="126"/>
      <c r="BT98" s="16"/>
      <c r="BU98" s="58"/>
      <c r="BW98" s="51">
        <f>IF(Input!$C$13="Offline",VLOOKUP(H98,Charges!$AT$4:$AU$33,2,FALSE)*I98,0)</f>
        <v>0</v>
      </c>
      <c r="BX98" s="51">
        <f t="shared" si="91"/>
        <v>0</v>
      </c>
      <c r="BY98" s="51">
        <f t="shared" si="100"/>
        <v>0</v>
      </c>
      <c r="BZ98" s="151"/>
      <c r="CA98" s="151"/>
      <c r="CB98" s="32"/>
      <c r="CC98" s="16">
        <f ca="1">SUM($N$7:$N98)</f>
        <v>0</v>
      </c>
      <c r="CD98" s="16">
        <f t="shared" ca="1" si="92"/>
        <v>0</v>
      </c>
      <c r="CE98" s="16">
        <f t="shared" ca="1" si="93"/>
        <v>0</v>
      </c>
      <c r="CF98" s="7">
        <f t="shared" ca="1" si="94"/>
        <v>0</v>
      </c>
      <c r="CH98" s="7">
        <f t="shared" ca="1" si="95"/>
        <v>0</v>
      </c>
    </row>
    <row r="99" spans="2:86" s="7" customFormat="1" x14ac:dyDescent="0.2">
      <c r="B99" s="14">
        <f t="shared" si="59"/>
        <v>1</v>
      </c>
      <c r="C99" s="12">
        <f t="shared" si="60"/>
        <v>1</v>
      </c>
      <c r="D99" s="17">
        <f t="shared" si="101"/>
        <v>93</v>
      </c>
      <c r="E99" s="17">
        <f t="shared" ca="1" si="61"/>
        <v>67</v>
      </c>
      <c r="F99" s="12">
        <f t="shared" si="103"/>
        <v>8</v>
      </c>
      <c r="G99" s="12">
        <f t="shared" si="102"/>
        <v>16</v>
      </c>
      <c r="H99" s="17">
        <f t="shared" si="104"/>
        <v>8</v>
      </c>
      <c r="I99" s="29">
        <f t="shared" si="62"/>
        <v>0</v>
      </c>
      <c r="J99" s="211">
        <f>IFERROR(VLOOKUP(H99,Charges!$T$6:$U$35,2,0)*C99,0)</f>
        <v>0.98</v>
      </c>
      <c r="K99" s="29">
        <f t="shared" si="63"/>
        <v>0</v>
      </c>
      <c r="L99" s="29">
        <f t="shared" si="64"/>
        <v>0</v>
      </c>
      <c r="M99" s="147">
        <f t="shared" ca="1" si="65"/>
        <v>0</v>
      </c>
      <c r="N99" s="148">
        <f ca="1">IF(AND(Option_SPW="Y",H99&gt;=Lock_In_Period,Z98&gt;SPW_Amount_pa+IF(option="Single",1/5*pr,2*pr),H99&gt;=SPW_Start_Year,H99&lt;=SPW_Start_Year+SPW_Duration-1,age+H99&gt;=Legal_Age),IF(AND(F99=0,SPW_Payout_Freq=1),SPW_Amount_pa,IF(AND(SPW_Payout_Freq=2,MOD(F99,6)=0),SPW_Amount_pa/SPW_Payout_Freq,IF(AND(SPW_Payout_Freq=4,MOD(F99,3)=0),SPW_Amount_pa/SPW_Payout_Freq,IF(SPW_Payout_Freq=12,SPW_Amount_pa/SPW_Payout_Freq,0)))),0)+IFERROR(VLOOKUP(H99,Input!$B$68:$C$74,2,0),0)*(F99=0)*(Option_PW="Y")*(Option_SPW="N")*(age+H99&gt;=Legal_Age)</f>
        <v>0</v>
      </c>
      <c r="O99" s="148">
        <f t="shared" ca="1" si="66"/>
        <v>0</v>
      </c>
      <c r="P99" s="14">
        <f ca="1">(MAX(MAX(sa-CF98*Flag_UL_Type,105%*SUM($I$7:I99))-(AD98+L99-N99)*Flag_UL_Type,0)*B99)</f>
        <v>333266.24212391488</v>
      </c>
      <c r="Q99" s="213">
        <f t="shared" ca="1" si="67"/>
        <v>504.59563998113504</v>
      </c>
      <c r="R99" s="14">
        <f t="shared" ca="1" si="68"/>
        <v>0</v>
      </c>
      <c r="S99" s="14">
        <f t="shared" ca="1" si="69"/>
        <v>0</v>
      </c>
      <c r="T99" s="14">
        <f>IFERROR(IF(WoP_Flag="Y",IF(fq=1,VLOOKUP(ppt*fq-H99,Charges!$AN$41:$AO$59,2,FALSE),IF(fq=2,VLOOKUP(ppt*fq-G99,Charges!$AP$41:$AQ$79,2,FALSE),VLOOKUP(ppt*fq-D99,Charges!$AR$41:$AS$279,2,FALSE)))*pr/fq,0),0)</f>
        <v>0</v>
      </c>
      <c r="U99" s="14">
        <f t="shared" ca="1" si="70"/>
        <v>0</v>
      </c>
      <c r="V99" s="34">
        <f>ROUND(MIN(IF(H99&gt;=7,Charges!$C$12*(1+Charges!$C$14)^((H99-7+1)),VLOOKUP(H99,Charges!$B$7:$C$12,2,0))*pr,Charges!$C$13)*B99,Round)</f>
        <v>500</v>
      </c>
      <c r="W99" s="14">
        <f t="shared" ca="1" si="71"/>
        <v>2665548.3350209072</v>
      </c>
      <c r="X99" s="14">
        <f t="shared" ca="1" si="72"/>
        <v>2682698.5532681011</v>
      </c>
      <c r="Y99" s="213">
        <f t="shared" ca="1" si="96"/>
        <v>3019.6783182093582</v>
      </c>
      <c r="Z99" s="14">
        <f t="shared" ca="1" si="73"/>
        <v>2679135.3328526141</v>
      </c>
      <c r="AA99" s="14">
        <f>IF(AND($H99=pt,$F99=11),SUM($K$7:K99)*VLOOKUP(pt,ROC,2,FALSE),0)</f>
        <v>0</v>
      </c>
      <c r="AB99" s="14">
        <f>IF(AND($H99=pt,$F99=11),SUM($V$7:V99)*VLOOKUP(pt,ROC,2,FALSE),0)</f>
        <v>0</v>
      </c>
      <c r="AC99" s="14">
        <f>IF(AND($H99=pt,$F99=11),SUM($Q$7:Q99)*VLOOKUP(pt,ROC,2,FALSE),0)</f>
        <v>0</v>
      </c>
      <c r="AD99" s="14">
        <f t="shared" ca="1" si="74"/>
        <v>2679135.3328526141</v>
      </c>
      <c r="AE99" s="14">
        <f ca="1">(MAX(sa-CF98*Flag_UL_Type,105%*SUM($I$7:I99),Z99)+AU99)*B99</f>
        <v>3000000</v>
      </c>
      <c r="AF99" s="136"/>
      <c r="AG99" s="18">
        <v>93</v>
      </c>
      <c r="AH99" s="30">
        <f t="shared" ca="1" si="75"/>
        <v>0</v>
      </c>
      <c r="AI99" s="138"/>
      <c r="AJ99" s="50">
        <f>IF(AND(Option_Sys_TopUp&gt;="Y",H99&gt;=sytp,H99&lt;=(dtp+sytp-1),F99=0,H99&lt;=ppt+1),atp,0)+IFERROR(VLOOKUP(H99,Input!$B$55:$C$61,2,0),0)*(F99=0)*(Option_TopUP="Y")*(Option_Sys_TopUp="N")*B99*(pt&gt;=H99+5)</f>
        <v>0</v>
      </c>
      <c r="AK99" s="50">
        <f t="shared" si="76"/>
        <v>0</v>
      </c>
      <c r="AL99" s="50">
        <f t="shared" si="97"/>
        <v>0</v>
      </c>
      <c r="AM99" s="50">
        <f t="shared" ca="1" si="98"/>
        <v>0</v>
      </c>
      <c r="AN99" s="50">
        <f ca="1">IF(B99=0,0,AT99*(_rpm1+(1+_emr1)*VLOOKUP(E99,Tab_Mort_Charge,IF(Input!$C$12="M",2,3),0))*(0.001*0.0833)*Flag_Mort_Rider_Charge*(AT99&gt;0))</f>
        <v>0</v>
      </c>
      <c r="AO99" s="50">
        <f t="shared" ca="1" si="77"/>
        <v>0</v>
      </c>
      <c r="AP99" s="50">
        <f t="shared" ca="1" si="105"/>
        <v>0</v>
      </c>
      <c r="AQ99" s="50">
        <f t="shared" ca="1" si="78"/>
        <v>0</v>
      </c>
      <c r="AR99" s="50">
        <f t="shared" ca="1" si="79"/>
        <v>0</v>
      </c>
      <c r="AS99" s="50">
        <f t="shared" si="80"/>
        <v>0</v>
      </c>
      <c r="AT99" s="50">
        <f ca="1">(MAX((MAX(AS99,105%*SUM($AJ$7:AJ99))-AM99*Flag_UL_Type),0)*B99)</f>
        <v>0</v>
      </c>
      <c r="AU99" s="50">
        <f ca="1">(MAX(AS99,AR99,105%*SUM($AJ$7:AJ99))*B99)</f>
        <v>0</v>
      </c>
      <c r="AV99" s="125"/>
      <c r="AW99" s="13"/>
      <c r="AX99" s="13"/>
      <c r="AY99" s="13"/>
      <c r="AZ99" s="13"/>
      <c r="BA99" s="13"/>
      <c r="BG99" s="51">
        <f t="shared" si="81"/>
        <v>0</v>
      </c>
      <c r="BH99" s="51">
        <f t="shared" ca="1" si="82"/>
        <v>90.8272151966043</v>
      </c>
      <c r="BI99" s="51">
        <f t="shared" ca="1" si="83"/>
        <v>0</v>
      </c>
      <c r="BJ99" s="51">
        <f t="shared" ca="1" si="84"/>
        <v>0</v>
      </c>
      <c r="BK99" s="51">
        <f t="shared" si="85"/>
        <v>90</v>
      </c>
      <c r="BL99" s="51">
        <f t="shared" ca="1" si="86"/>
        <v>543.54209727768443</v>
      </c>
      <c r="BM99" s="51">
        <f t="shared" si="87"/>
        <v>0</v>
      </c>
      <c r="BN99" s="51">
        <f t="shared" ca="1" si="88"/>
        <v>0</v>
      </c>
      <c r="BO99" s="51">
        <f t="shared" ca="1" si="89"/>
        <v>0</v>
      </c>
      <c r="BP99" s="51">
        <f t="shared" ca="1" si="90"/>
        <v>724.36931247428879</v>
      </c>
      <c r="BQ99" s="120"/>
      <c r="BR99" s="32"/>
      <c r="BS99" s="126"/>
      <c r="BT99" s="16"/>
      <c r="BU99" s="58"/>
      <c r="BW99" s="51">
        <f>IF(Input!$C$13="Offline",VLOOKUP(H99,Charges!$AT$4:$AU$33,2,FALSE)*I99,0)</f>
        <v>0</v>
      </c>
      <c r="BX99" s="51">
        <f t="shared" si="91"/>
        <v>0</v>
      </c>
      <c r="BY99" s="51">
        <f t="shared" si="100"/>
        <v>0</v>
      </c>
      <c r="BZ99" s="151"/>
      <c r="CA99" s="151"/>
      <c r="CB99" s="32"/>
      <c r="CC99" s="16">
        <f ca="1">SUM($N$7:$N99)</f>
        <v>0</v>
      </c>
      <c r="CD99" s="16">
        <f t="shared" ca="1" si="92"/>
        <v>0</v>
      </c>
      <c r="CE99" s="16">
        <f t="shared" ca="1" si="93"/>
        <v>0</v>
      </c>
      <c r="CF99" s="7">
        <f t="shared" ca="1" si="94"/>
        <v>0</v>
      </c>
      <c r="CH99" s="7">
        <f t="shared" ca="1" si="95"/>
        <v>0</v>
      </c>
    </row>
    <row r="100" spans="2:86" s="7" customFormat="1" x14ac:dyDescent="0.2">
      <c r="B100" s="14">
        <f t="shared" si="59"/>
        <v>1</v>
      </c>
      <c r="C100" s="12">
        <f t="shared" si="60"/>
        <v>1</v>
      </c>
      <c r="D100" s="17">
        <f t="shared" si="101"/>
        <v>94</v>
      </c>
      <c r="E100" s="17">
        <f t="shared" ca="1" si="61"/>
        <v>67</v>
      </c>
      <c r="F100" s="12">
        <f t="shared" si="103"/>
        <v>9</v>
      </c>
      <c r="G100" s="12">
        <f t="shared" si="102"/>
        <v>16</v>
      </c>
      <c r="H100" s="17">
        <f t="shared" si="104"/>
        <v>8</v>
      </c>
      <c r="I100" s="29">
        <f t="shared" si="62"/>
        <v>0</v>
      </c>
      <c r="J100" s="211">
        <f>IFERROR(VLOOKUP(H100,Charges!$T$6:$U$35,2,0)*C100,0)</f>
        <v>0.98</v>
      </c>
      <c r="K100" s="29">
        <f t="shared" si="63"/>
        <v>0</v>
      </c>
      <c r="L100" s="29">
        <f t="shared" si="64"/>
        <v>0</v>
      </c>
      <c r="M100" s="147">
        <f t="shared" ca="1" si="65"/>
        <v>0</v>
      </c>
      <c r="N100" s="148">
        <f ca="1">IF(AND(Option_SPW="Y",H100&gt;=Lock_In_Period,Z99&gt;SPW_Amount_pa+IF(option="Single",1/5*pr,2*pr),H100&gt;=SPW_Start_Year,H100&lt;=SPW_Start_Year+SPW_Duration-1,age+H100&gt;=Legal_Age),IF(AND(F100=0,SPW_Payout_Freq=1),SPW_Amount_pa,IF(AND(SPW_Payout_Freq=2,MOD(F100,6)=0),SPW_Amount_pa/SPW_Payout_Freq,IF(AND(SPW_Payout_Freq=4,MOD(F100,3)=0),SPW_Amount_pa/SPW_Payout_Freq,IF(SPW_Payout_Freq=12,SPW_Amount_pa/SPW_Payout_Freq,0)))),0)+IFERROR(VLOOKUP(H100,Input!$B$68:$C$74,2,0),0)*(F100=0)*(Option_PW="Y")*(Option_SPW="N")*(age+H100&gt;=Legal_Age)</f>
        <v>0</v>
      </c>
      <c r="O100" s="148">
        <f t="shared" ca="1" si="66"/>
        <v>0</v>
      </c>
      <c r="P100" s="14">
        <f ca="1">(MAX(MAX(sa-CF99*Flag_UL_Type,105%*SUM($I$7:I100))-(AD99+L100-N100)*Flag_UL_Type,0)*B100)</f>
        <v>320864.66714738589</v>
      </c>
      <c r="Q100" s="213">
        <f t="shared" ca="1" si="67"/>
        <v>485.81851865563084</v>
      </c>
      <c r="R100" s="14">
        <f t="shared" ca="1" si="68"/>
        <v>0</v>
      </c>
      <c r="S100" s="14">
        <f t="shared" ca="1" si="69"/>
        <v>0</v>
      </c>
      <c r="T100" s="14">
        <f>IFERROR(IF(WoP_Flag="Y",IF(fq=1,VLOOKUP(ppt*fq-H100,Charges!$AN$41:$AO$59,2,FALSE),IF(fq=2,VLOOKUP(ppt*fq-G100,Charges!$AP$41:$AQ$79,2,FALSE),VLOOKUP(ppt*fq-D100,Charges!$AR$41:$AS$279,2,FALSE)))*pr/fq,0),0)</f>
        <v>0</v>
      </c>
      <c r="U100" s="14">
        <f t="shared" ca="1" si="70"/>
        <v>0</v>
      </c>
      <c r="V100" s="34">
        <f>ROUND(MIN(IF(H100&gt;=7,Charges!$C$12*(1+Charges!$C$14)^((H100-7+1)),VLOOKUP(H100,Charges!$B$7:$C$12,2,0))*pr,Charges!$C$13)*B100,Round)</f>
        <v>500</v>
      </c>
      <c r="W100" s="14">
        <f t="shared" ca="1" si="71"/>
        <v>2677972.0670006005</v>
      </c>
      <c r="X100" s="14">
        <f t="shared" ca="1" si="72"/>
        <v>2695202.2199134305</v>
      </c>
      <c r="Y100" s="213">
        <f t="shared" ca="1" si="96"/>
        <v>3033.7525983855721</v>
      </c>
      <c r="Z100" s="14">
        <f t="shared" ca="1" si="73"/>
        <v>2691622.3918473357</v>
      </c>
      <c r="AA100" s="14">
        <f>IF(AND($H100=pt,$F100=11),SUM($K$7:K100)*VLOOKUP(pt,ROC,2,FALSE),0)</f>
        <v>0</v>
      </c>
      <c r="AB100" s="14">
        <f>IF(AND($H100=pt,$F100=11),SUM($V$7:V100)*VLOOKUP(pt,ROC,2,FALSE),0)</f>
        <v>0</v>
      </c>
      <c r="AC100" s="14">
        <f>IF(AND($H100=pt,$F100=11),SUM($Q$7:Q100)*VLOOKUP(pt,ROC,2,FALSE),0)</f>
        <v>0</v>
      </c>
      <c r="AD100" s="14">
        <f t="shared" ca="1" si="74"/>
        <v>2691622.3918473357</v>
      </c>
      <c r="AE100" s="14">
        <f ca="1">(MAX(sa-CF99*Flag_UL_Type,105%*SUM($I$7:I100),Z100)+AU100)*B100</f>
        <v>3000000</v>
      </c>
      <c r="AF100" s="136"/>
      <c r="AG100" s="18">
        <v>94</v>
      </c>
      <c r="AH100" s="30">
        <f t="shared" ca="1" si="75"/>
        <v>0</v>
      </c>
      <c r="AI100" s="58"/>
      <c r="AJ100" s="50">
        <f>IF(AND(Option_Sys_TopUp&gt;="Y",H100&gt;=sytp,H100&lt;=(dtp+sytp-1),F100=0,H100&lt;=ppt+1),atp,0)+IFERROR(VLOOKUP(H100,Input!$B$55:$C$61,2,0),0)*(F100=0)*(Option_TopUP="Y")*(Option_Sys_TopUp="N")*B100*(pt&gt;=H100+5)</f>
        <v>0</v>
      </c>
      <c r="AK100" s="50">
        <f t="shared" si="76"/>
        <v>0</v>
      </c>
      <c r="AL100" s="50">
        <f t="shared" si="97"/>
        <v>0</v>
      </c>
      <c r="AM100" s="50">
        <f t="shared" ca="1" si="98"/>
        <v>0</v>
      </c>
      <c r="AN100" s="50">
        <f ca="1">IF(B100=0,0,AT100*(_rpm1+(1+_emr1)*VLOOKUP(E100,Tab_Mort_Charge,IF(Input!$C$12="M",2,3),0))*(0.001*0.0833)*Flag_Mort_Rider_Charge*(AT100&gt;0))</f>
        <v>0</v>
      </c>
      <c r="AO100" s="50">
        <f t="shared" ca="1" si="77"/>
        <v>0</v>
      </c>
      <c r="AP100" s="50">
        <f t="shared" ca="1" si="105"/>
        <v>0</v>
      </c>
      <c r="AQ100" s="50">
        <f t="shared" ca="1" si="78"/>
        <v>0</v>
      </c>
      <c r="AR100" s="50">
        <f t="shared" ca="1" si="79"/>
        <v>0</v>
      </c>
      <c r="AS100" s="50">
        <f t="shared" si="80"/>
        <v>0</v>
      </c>
      <c r="AT100" s="50">
        <f ca="1">(MAX((MAX(AS100,105%*SUM($AJ$7:AJ100))-AM100*Flag_UL_Type),0)*B100)</f>
        <v>0</v>
      </c>
      <c r="AU100" s="50">
        <f ca="1">(MAX(AS100,AR100,105%*SUM($AJ$7:AJ100))*B100)</f>
        <v>0</v>
      </c>
      <c r="AV100" s="125"/>
      <c r="AW100" s="13"/>
      <c r="AX100" s="13"/>
      <c r="AY100" s="13"/>
      <c r="AZ100" s="13"/>
      <c r="BA100" s="13"/>
      <c r="BG100" s="51">
        <f t="shared" si="81"/>
        <v>0</v>
      </c>
      <c r="BH100" s="51">
        <f t="shared" ca="1" si="82"/>
        <v>87.447333358013594</v>
      </c>
      <c r="BI100" s="51">
        <f t="shared" ca="1" si="83"/>
        <v>0</v>
      </c>
      <c r="BJ100" s="51">
        <f t="shared" ca="1" si="84"/>
        <v>0</v>
      </c>
      <c r="BK100" s="51">
        <f t="shared" si="85"/>
        <v>90</v>
      </c>
      <c r="BL100" s="51">
        <f t="shared" ca="1" si="86"/>
        <v>546.07546770940291</v>
      </c>
      <c r="BM100" s="51">
        <f t="shared" si="87"/>
        <v>0</v>
      </c>
      <c r="BN100" s="51">
        <f t="shared" ca="1" si="88"/>
        <v>0</v>
      </c>
      <c r="BO100" s="51">
        <f t="shared" ca="1" si="89"/>
        <v>0</v>
      </c>
      <c r="BP100" s="51">
        <f t="shared" ca="1" si="90"/>
        <v>723.52280106741648</v>
      </c>
      <c r="BQ100" s="120"/>
      <c r="BR100" s="32"/>
      <c r="BS100" s="126"/>
      <c r="BT100" s="16"/>
      <c r="BU100" s="58"/>
      <c r="BW100" s="51">
        <f>IF(Input!$C$13="Offline",VLOOKUP(H100,Charges!$AT$4:$AU$33,2,FALSE)*I100,0)</f>
        <v>0</v>
      </c>
      <c r="BX100" s="51">
        <f t="shared" si="91"/>
        <v>0</v>
      </c>
      <c r="BY100" s="51">
        <f t="shared" si="100"/>
        <v>0</v>
      </c>
      <c r="BZ100" s="151"/>
      <c r="CA100" s="151"/>
      <c r="CB100" s="32"/>
      <c r="CC100" s="16">
        <f ca="1">SUM($N$7:$N100)</f>
        <v>0</v>
      </c>
      <c r="CD100" s="16">
        <f t="shared" ca="1" si="92"/>
        <v>0</v>
      </c>
      <c r="CE100" s="16">
        <f t="shared" ca="1" si="93"/>
        <v>0</v>
      </c>
      <c r="CF100" s="7">
        <f t="shared" ca="1" si="94"/>
        <v>0</v>
      </c>
      <c r="CH100" s="7">
        <f t="shared" ca="1" si="95"/>
        <v>0</v>
      </c>
    </row>
    <row r="101" spans="2:86" s="7" customFormat="1" x14ac:dyDescent="0.2">
      <c r="B101" s="14">
        <f t="shared" si="59"/>
        <v>1</v>
      </c>
      <c r="C101" s="12">
        <f t="shared" si="60"/>
        <v>1</v>
      </c>
      <c r="D101" s="17">
        <f t="shared" si="101"/>
        <v>95</v>
      </c>
      <c r="E101" s="17">
        <f t="shared" ca="1" si="61"/>
        <v>67</v>
      </c>
      <c r="F101" s="12">
        <f t="shared" si="103"/>
        <v>10</v>
      </c>
      <c r="G101" s="12">
        <f t="shared" si="102"/>
        <v>16</v>
      </c>
      <c r="H101" s="17">
        <f t="shared" si="104"/>
        <v>8</v>
      </c>
      <c r="I101" s="29">
        <f t="shared" si="62"/>
        <v>0</v>
      </c>
      <c r="J101" s="211">
        <f>IFERROR(VLOOKUP(H101,Charges!$T$6:$U$35,2,0)*C101,0)</f>
        <v>0.98</v>
      </c>
      <c r="K101" s="29">
        <f t="shared" si="63"/>
        <v>0</v>
      </c>
      <c r="L101" s="29">
        <f t="shared" si="64"/>
        <v>0</v>
      </c>
      <c r="M101" s="147">
        <f t="shared" ca="1" si="65"/>
        <v>0</v>
      </c>
      <c r="N101" s="148">
        <f ca="1">IF(AND(Option_SPW="Y",H101&gt;=Lock_In_Period,Z100&gt;SPW_Amount_pa+IF(option="Single",1/5*pr,2*pr),H101&gt;=SPW_Start_Year,H101&lt;=SPW_Start_Year+SPW_Duration-1,age+H101&gt;=Legal_Age),IF(AND(F101=0,SPW_Payout_Freq=1),SPW_Amount_pa,IF(AND(SPW_Payout_Freq=2,MOD(F101,6)=0),SPW_Amount_pa/SPW_Payout_Freq,IF(AND(SPW_Payout_Freq=4,MOD(F101,3)=0),SPW_Amount_pa/SPW_Payout_Freq,IF(SPW_Payout_Freq=12,SPW_Amount_pa/SPW_Payout_Freq,0)))),0)+IFERROR(VLOOKUP(H101,Input!$B$68:$C$74,2,0),0)*(F101=0)*(Option_PW="Y")*(Option_SPW="N")*(age+H101&gt;=Legal_Age)</f>
        <v>0</v>
      </c>
      <c r="O101" s="148">
        <f t="shared" ca="1" si="66"/>
        <v>0</v>
      </c>
      <c r="P101" s="14">
        <f ca="1">(MAX(MAX(sa-CF100*Flag_UL_Type,105%*SUM($I$7:I101))-(AD100+L101-N101)*Flag_UL_Type,0)*B101)</f>
        <v>308377.60815266427</v>
      </c>
      <c r="Q101" s="213">
        <f t="shared" ca="1" si="67"/>
        <v>466.9119666905475</v>
      </c>
      <c r="R101" s="14">
        <f t="shared" ca="1" si="68"/>
        <v>0</v>
      </c>
      <c r="S101" s="14">
        <f t="shared" ca="1" si="69"/>
        <v>0</v>
      </c>
      <c r="T101" s="14">
        <f>IFERROR(IF(WoP_Flag="Y",IF(fq=1,VLOOKUP(ppt*fq-H101,Charges!$AN$41:$AO$59,2,FALSE),IF(fq=2,VLOOKUP(ppt*fq-G101,Charges!$AP$41:$AQ$79,2,FALSE),VLOOKUP(ppt*fq-D101,Charges!$AR$41:$AS$279,2,FALSE)))*pr/fq,0),0)</f>
        <v>0</v>
      </c>
      <c r="U101" s="14">
        <f t="shared" ca="1" si="70"/>
        <v>0</v>
      </c>
      <c r="V101" s="34">
        <f>ROUND(MIN(IF(H101&gt;=7,Charges!$C$12*(1+Charges!$C$14)^((H101-7+1)),VLOOKUP(H101,Charges!$B$7:$C$12,2,0))*pr,Charges!$C$13)*B101,Round)</f>
        <v>500</v>
      </c>
      <c r="W101" s="14">
        <f t="shared" ca="1" si="71"/>
        <v>2690481.4357266407</v>
      </c>
      <c r="X101" s="14">
        <f t="shared" ca="1" si="72"/>
        <v>2707792.0742945112</v>
      </c>
      <c r="Y101" s="213">
        <f t="shared" ca="1" si="96"/>
        <v>3047.9238925317777</v>
      </c>
      <c r="Z101" s="14">
        <f t="shared" ca="1" si="73"/>
        <v>2704195.5241013239</v>
      </c>
      <c r="AA101" s="14">
        <f>IF(AND($H101=pt,$F101=11),SUM($K$7:K101)*VLOOKUP(pt,ROC,2,FALSE),0)</f>
        <v>0</v>
      </c>
      <c r="AB101" s="14">
        <f>IF(AND($H101=pt,$F101=11),SUM($V$7:V101)*VLOOKUP(pt,ROC,2,FALSE),0)</f>
        <v>0</v>
      </c>
      <c r="AC101" s="14">
        <f>IF(AND($H101=pt,$F101=11),SUM($Q$7:Q101)*VLOOKUP(pt,ROC,2,FALSE),0)</f>
        <v>0</v>
      </c>
      <c r="AD101" s="14">
        <f t="shared" ca="1" si="74"/>
        <v>2704195.5241013239</v>
      </c>
      <c r="AE101" s="14">
        <f ca="1">(MAX(sa-CF100*Flag_UL_Type,105%*SUM($I$7:I101),Z101)+AU101)*B101</f>
        <v>3000000</v>
      </c>
      <c r="AF101" s="136"/>
      <c r="AG101" s="18">
        <v>95</v>
      </c>
      <c r="AH101" s="30">
        <f t="shared" ca="1" si="75"/>
        <v>0</v>
      </c>
      <c r="AI101" s="58"/>
      <c r="AJ101" s="50">
        <f>IF(AND(Option_Sys_TopUp&gt;="Y",H101&gt;=sytp,H101&lt;=(dtp+sytp-1),F101=0,H101&lt;=ppt+1),atp,0)+IFERROR(VLOOKUP(H101,Input!$B$55:$C$61,2,0),0)*(F101=0)*(Option_TopUP="Y")*(Option_Sys_TopUp="N")*B101*(pt&gt;=H101+5)</f>
        <v>0</v>
      </c>
      <c r="AK101" s="50">
        <f t="shared" si="76"/>
        <v>0</v>
      </c>
      <c r="AL101" s="50">
        <f t="shared" si="97"/>
        <v>0</v>
      </c>
      <c r="AM101" s="50">
        <f t="shared" ca="1" si="98"/>
        <v>0</v>
      </c>
      <c r="AN101" s="50">
        <f ca="1">IF(B101=0,0,AT101*(_rpm1+(1+_emr1)*VLOOKUP(E101,Tab_Mort_Charge,IF(Input!$C$12="M",2,3),0))*(0.001*0.0833)*Flag_Mort_Rider_Charge*(AT101&gt;0))</f>
        <v>0</v>
      </c>
      <c r="AO101" s="50">
        <f t="shared" ca="1" si="77"/>
        <v>0</v>
      </c>
      <c r="AP101" s="50">
        <f t="shared" ca="1" si="105"/>
        <v>0</v>
      </c>
      <c r="AQ101" s="50">
        <f t="shared" ca="1" si="78"/>
        <v>0</v>
      </c>
      <c r="AR101" s="50">
        <f t="shared" ca="1" si="79"/>
        <v>0</v>
      </c>
      <c r="AS101" s="50">
        <f t="shared" si="80"/>
        <v>0</v>
      </c>
      <c r="AT101" s="50">
        <f ca="1">(MAX((MAX(AS101,105%*SUM($AJ$7:AJ101))-AM101*Flag_UL_Type),0)*B101)</f>
        <v>0</v>
      </c>
      <c r="AU101" s="50">
        <f ca="1">(MAX(AS101,AR101,105%*SUM($AJ$7:AJ101))*B101)</f>
        <v>0</v>
      </c>
      <c r="AV101" s="125"/>
      <c r="AW101" s="13"/>
      <c r="AX101" s="13"/>
      <c r="AY101" s="13"/>
      <c r="AZ101" s="13"/>
      <c r="BA101" s="13"/>
      <c r="BG101" s="51">
        <f t="shared" si="81"/>
        <v>0</v>
      </c>
      <c r="BH101" s="51">
        <f t="shared" ca="1" si="82"/>
        <v>84.044154004298505</v>
      </c>
      <c r="BI101" s="51">
        <f t="shared" ca="1" si="83"/>
        <v>0</v>
      </c>
      <c r="BJ101" s="51">
        <f t="shared" ca="1" si="84"/>
        <v>0</v>
      </c>
      <c r="BK101" s="51">
        <f t="shared" si="85"/>
        <v>90</v>
      </c>
      <c r="BL101" s="51">
        <f t="shared" ca="1" si="86"/>
        <v>548.62630065572</v>
      </c>
      <c r="BM101" s="51">
        <f t="shared" si="87"/>
        <v>0</v>
      </c>
      <c r="BN101" s="51">
        <f t="shared" ca="1" si="88"/>
        <v>0</v>
      </c>
      <c r="BO101" s="51">
        <f t="shared" ca="1" si="89"/>
        <v>0</v>
      </c>
      <c r="BP101" s="51">
        <f t="shared" ca="1" si="90"/>
        <v>722.67045466001855</v>
      </c>
      <c r="BQ101" s="120"/>
      <c r="BR101" s="32"/>
      <c r="BS101" s="126"/>
      <c r="BT101" s="16"/>
      <c r="BU101" s="58"/>
      <c r="BW101" s="51">
        <f>IF(Input!$C$13="Offline",VLOOKUP(H101,Charges!$AT$4:$AU$33,2,FALSE)*I101,0)</f>
        <v>0</v>
      </c>
      <c r="BX101" s="51">
        <f t="shared" si="91"/>
        <v>0</v>
      </c>
      <c r="BY101" s="51">
        <f t="shared" si="100"/>
        <v>0</v>
      </c>
      <c r="BZ101" s="151"/>
      <c r="CA101" s="151"/>
      <c r="CB101" s="32"/>
      <c r="CC101" s="16">
        <f ca="1">SUM($N$7:$N101)</f>
        <v>0</v>
      </c>
      <c r="CD101" s="16">
        <f t="shared" ca="1" si="92"/>
        <v>0</v>
      </c>
      <c r="CE101" s="16">
        <f t="shared" ca="1" si="93"/>
        <v>0</v>
      </c>
      <c r="CF101" s="7">
        <f t="shared" ca="1" si="94"/>
        <v>0</v>
      </c>
      <c r="CH101" s="7">
        <f t="shared" ca="1" si="95"/>
        <v>0</v>
      </c>
    </row>
    <row r="102" spans="2:86" s="7" customFormat="1" x14ac:dyDescent="0.2">
      <c r="B102" s="14">
        <f t="shared" si="59"/>
        <v>1</v>
      </c>
      <c r="C102" s="12">
        <f t="shared" si="60"/>
        <v>1</v>
      </c>
      <c r="D102" s="17">
        <f t="shared" si="101"/>
        <v>96</v>
      </c>
      <c r="E102" s="17">
        <f t="shared" ca="1" si="61"/>
        <v>67</v>
      </c>
      <c r="F102" s="12">
        <f t="shared" si="103"/>
        <v>11</v>
      </c>
      <c r="G102" s="12">
        <f t="shared" si="102"/>
        <v>16</v>
      </c>
      <c r="H102" s="17">
        <f t="shared" si="104"/>
        <v>8</v>
      </c>
      <c r="I102" s="29">
        <f t="shared" si="62"/>
        <v>0</v>
      </c>
      <c r="J102" s="211">
        <f>IFERROR(VLOOKUP(H102,Charges!$T$6:$U$35,2,0)*C102,0)</f>
        <v>0.98</v>
      </c>
      <c r="K102" s="29">
        <f t="shared" si="63"/>
        <v>0</v>
      </c>
      <c r="L102" s="29">
        <f t="shared" si="64"/>
        <v>0</v>
      </c>
      <c r="M102" s="147">
        <f t="shared" ca="1" si="65"/>
        <v>0</v>
      </c>
      <c r="N102" s="148">
        <f ca="1">IF(AND(Option_SPW="Y",H102&gt;=Lock_In_Period,Z101&gt;SPW_Amount_pa+IF(option="Single",1/5*pr,2*pr),H102&gt;=SPW_Start_Year,H102&lt;=SPW_Start_Year+SPW_Duration-1,age+H102&gt;=Legal_Age),IF(AND(F102=0,SPW_Payout_Freq=1),SPW_Amount_pa,IF(AND(SPW_Payout_Freq=2,MOD(F102,6)=0),SPW_Amount_pa/SPW_Payout_Freq,IF(AND(SPW_Payout_Freq=4,MOD(F102,3)=0),SPW_Amount_pa/SPW_Payout_Freq,IF(SPW_Payout_Freq=12,SPW_Amount_pa/SPW_Payout_Freq,0)))),0)+IFERROR(VLOOKUP(H102,Input!$B$68:$C$74,2,0),0)*(F102=0)*(Option_PW="Y")*(Option_SPW="N")*(age+H102&gt;=Legal_Age)</f>
        <v>0</v>
      </c>
      <c r="O102" s="148">
        <f t="shared" ca="1" si="66"/>
        <v>0</v>
      </c>
      <c r="P102" s="14">
        <f ca="1">(MAX(MAX(sa-CF101*Flag_UL_Type,105%*SUM($I$7:I102))-(AD101+L102-N102)*Flag_UL_Type,0)*B102)</f>
        <v>295804.47589867609</v>
      </c>
      <c r="Q102" s="213">
        <f t="shared" ca="1" si="67"/>
        <v>447.87509192088663</v>
      </c>
      <c r="R102" s="14">
        <f t="shared" ca="1" si="68"/>
        <v>0</v>
      </c>
      <c r="S102" s="14">
        <f t="shared" ca="1" si="69"/>
        <v>0</v>
      </c>
      <c r="T102" s="14">
        <f>IFERROR(IF(WoP_Flag="Y",IF(fq=1,VLOOKUP(ppt*fq-H102,Charges!$AN$41:$AO$59,2,FALSE),IF(fq=2,VLOOKUP(ppt*fq-G102,Charges!$AP$41:$AQ$79,2,FALSE),VLOOKUP(ppt*fq-D102,Charges!$AR$41:$AS$279,2,FALSE)))*pr/fq,0),0)</f>
        <v>0</v>
      </c>
      <c r="U102" s="14">
        <f t="shared" ca="1" si="70"/>
        <v>0</v>
      </c>
      <c r="V102" s="34">
        <f>ROUND(MIN(IF(H102&gt;=7,Charges!$C$12*(1+Charges!$C$14)^((H102-7+1)),VLOOKUP(H102,Charges!$B$7:$C$12,2,0))*pr,Charges!$C$13)*B102,Round)</f>
        <v>500</v>
      </c>
      <c r="W102" s="14">
        <f t="shared" ca="1" si="71"/>
        <v>2703077.0314928573</v>
      </c>
      <c r="X102" s="14">
        <f t="shared" ca="1" si="72"/>
        <v>2720468.7105031409</v>
      </c>
      <c r="Y102" s="213">
        <f t="shared" ca="1" si="96"/>
        <v>3062.192869364972</v>
      </c>
      <c r="Z102" s="14">
        <f t="shared" ca="1" si="73"/>
        <v>2716855.32291729</v>
      </c>
      <c r="AA102" s="14">
        <f>IF(AND($H102=pt,$F102=11),SUM($K$7:K102)*VLOOKUP(pt,ROC,2,FALSE),0)</f>
        <v>0</v>
      </c>
      <c r="AB102" s="14">
        <f>IF(AND($H102=pt,$F102=11),SUM($V$7:V102)*VLOOKUP(pt,ROC,2,FALSE),0)</f>
        <v>0</v>
      </c>
      <c r="AC102" s="14">
        <f>IF(AND($H102=pt,$F102=11),SUM($Q$7:Q102)*VLOOKUP(pt,ROC,2,FALSE),0)</f>
        <v>0</v>
      </c>
      <c r="AD102" s="14">
        <f t="shared" ca="1" si="74"/>
        <v>2716855.32291729</v>
      </c>
      <c r="AE102" s="14">
        <f ca="1">(MAX(sa-CF101*Flag_UL_Type,105%*SUM($I$7:I102),Z102)+AU102)*B102</f>
        <v>3000000</v>
      </c>
      <c r="AF102" s="136"/>
      <c r="AG102" s="18">
        <v>96</v>
      </c>
      <c r="AH102" s="30">
        <f t="shared" ca="1" si="75"/>
        <v>0</v>
      </c>
      <c r="AI102" s="58"/>
      <c r="AJ102" s="50">
        <f>IF(AND(Option_Sys_TopUp&gt;="Y",H102&gt;=sytp,H102&lt;=(dtp+sytp-1),F102=0,H102&lt;=ppt+1),atp,0)+IFERROR(VLOOKUP(H102,Input!$B$55:$C$61,2,0),0)*(F102=0)*(Option_TopUP="Y")*(Option_Sys_TopUp="N")*B102*(pt&gt;=H102+5)</f>
        <v>0</v>
      </c>
      <c r="AK102" s="50">
        <f t="shared" si="76"/>
        <v>0</v>
      </c>
      <c r="AL102" s="50">
        <f t="shared" si="97"/>
        <v>0</v>
      </c>
      <c r="AM102" s="50">
        <f t="shared" ca="1" si="98"/>
        <v>0</v>
      </c>
      <c r="AN102" s="50">
        <f ca="1">IF(B102=0,0,AT102*(_rpm1+(1+_emr1)*VLOOKUP(E102,Tab_Mort_Charge,IF(Input!$C$12="M",2,3),0))*(0.001*0.0833)*Flag_Mort_Rider_Charge*(AT102&gt;0))</f>
        <v>0</v>
      </c>
      <c r="AO102" s="50">
        <f t="shared" ca="1" si="77"/>
        <v>0</v>
      </c>
      <c r="AP102" s="50">
        <f t="shared" ca="1" si="105"/>
        <v>0</v>
      </c>
      <c r="AQ102" s="50">
        <f t="shared" ca="1" si="78"/>
        <v>0</v>
      </c>
      <c r="AR102" s="50">
        <f t="shared" ca="1" si="79"/>
        <v>0</v>
      </c>
      <c r="AS102" s="50">
        <f t="shared" si="80"/>
        <v>0</v>
      </c>
      <c r="AT102" s="50">
        <f ca="1">(MAX((MAX(AS102,105%*SUM($AJ$7:AJ102))-AM102*Flag_UL_Type),0)*B102)</f>
        <v>0</v>
      </c>
      <c r="AU102" s="50">
        <f ca="1">(MAX(AS102,AR102,105%*SUM($AJ$7:AJ102))*B102)</f>
        <v>0</v>
      </c>
      <c r="AV102" s="125"/>
      <c r="AW102" s="13"/>
      <c r="AX102" s="13"/>
      <c r="AY102" s="13"/>
      <c r="AZ102" s="13"/>
      <c r="BA102" s="13"/>
      <c r="BG102" s="51">
        <f t="shared" si="81"/>
        <v>0</v>
      </c>
      <c r="BH102" s="51">
        <f t="shared" ca="1" si="82"/>
        <v>80.617516545759599</v>
      </c>
      <c r="BI102" s="51">
        <f t="shared" ca="1" si="83"/>
        <v>0</v>
      </c>
      <c r="BJ102" s="51">
        <f t="shared" ca="1" si="84"/>
        <v>0</v>
      </c>
      <c r="BK102" s="51">
        <f t="shared" si="85"/>
        <v>90</v>
      </c>
      <c r="BL102" s="51">
        <f t="shared" ca="1" si="86"/>
        <v>551.19471648569493</v>
      </c>
      <c r="BM102" s="51">
        <f t="shared" si="87"/>
        <v>0</v>
      </c>
      <c r="BN102" s="51">
        <f t="shared" ca="1" si="88"/>
        <v>0</v>
      </c>
      <c r="BO102" s="51">
        <f t="shared" ca="1" si="89"/>
        <v>0</v>
      </c>
      <c r="BP102" s="51">
        <f t="shared" ca="1" si="90"/>
        <v>721.81223303145453</v>
      </c>
      <c r="BQ102" s="120"/>
      <c r="BR102" s="32"/>
      <c r="BS102" s="126"/>
      <c r="BT102" s="16"/>
      <c r="BU102" s="58"/>
      <c r="BW102" s="51">
        <f>IF(Input!$C$13="Offline",VLOOKUP(H102,Charges!$AT$4:$AU$33,2,FALSE)*I102,0)</f>
        <v>0</v>
      </c>
      <c r="BX102" s="51">
        <f t="shared" si="91"/>
        <v>0</v>
      </c>
      <c r="BY102" s="51">
        <f t="shared" si="100"/>
        <v>0</v>
      </c>
      <c r="BZ102" s="151"/>
      <c r="CA102" s="151"/>
      <c r="CB102" s="32"/>
      <c r="CC102" s="16">
        <f ca="1">SUM($N$7:$N102)</f>
        <v>0</v>
      </c>
      <c r="CD102" s="16">
        <f t="shared" ca="1" si="92"/>
        <v>0</v>
      </c>
      <c r="CE102" s="16">
        <f t="shared" ca="1" si="93"/>
        <v>0</v>
      </c>
      <c r="CF102" s="7">
        <f t="shared" ca="1" si="94"/>
        <v>0</v>
      </c>
      <c r="CH102" s="7">
        <f t="shared" ca="1" si="95"/>
        <v>0</v>
      </c>
    </row>
    <row r="103" spans="2:86" s="7" customFormat="1" x14ac:dyDescent="0.2">
      <c r="B103" s="14">
        <f t="shared" si="59"/>
        <v>1</v>
      </c>
      <c r="C103" s="12">
        <f t="shared" si="60"/>
        <v>1</v>
      </c>
      <c r="D103" s="17">
        <f t="shared" si="101"/>
        <v>97</v>
      </c>
      <c r="E103" s="17">
        <f t="shared" ca="1" si="61"/>
        <v>68</v>
      </c>
      <c r="F103" s="12">
        <f t="shared" si="103"/>
        <v>0</v>
      </c>
      <c r="G103" s="12">
        <f t="shared" si="102"/>
        <v>17</v>
      </c>
      <c r="H103" s="17">
        <f t="shared" si="104"/>
        <v>9</v>
      </c>
      <c r="I103" s="29">
        <f t="shared" si="62"/>
        <v>300000</v>
      </c>
      <c r="J103" s="211">
        <f>IFERROR(VLOOKUP(H103,Charges!$T$6:$U$35,2,0)*C103,0)</f>
        <v>0.98</v>
      </c>
      <c r="K103" s="29">
        <f t="shared" si="63"/>
        <v>6000.00000000001</v>
      </c>
      <c r="L103" s="29">
        <f t="shared" si="64"/>
        <v>292920</v>
      </c>
      <c r="M103" s="147">
        <f t="shared" ca="1" si="65"/>
        <v>0</v>
      </c>
      <c r="N103" s="148">
        <f ca="1">IF(AND(Option_SPW="Y",H103&gt;=Lock_In_Period,Z102&gt;SPW_Amount_pa+IF(option="Single",1/5*pr,2*pr),H103&gt;=SPW_Start_Year,H103&lt;=SPW_Start_Year+SPW_Duration-1,age+H103&gt;=Legal_Age),IF(AND(F103=0,SPW_Payout_Freq=1),SPW_Amount_pa,IF(AND(SPW_Payout_Freq=2,MOD(F103,6)=0),SPW_Amount_pa/SPW_Payout_Freq,IF(AND(SPW_Payout_Freq=4,MOD(F103,3)=0),SPW_Amount_pa/SPW_Payout_Freq,IF(SPW_Payout_Freq=12,SPW_Amount_pa/SPW_Payout_Freq,0)))),0)+IFERROR(VLOOKUP(H103,Input!$B$68:$C$74,2,0),0)*(F103=0)*(Option_PW="Y")*(Option_SPW="N")*(age+H103&gt;=Legal_Age)</f>
        <v>0</v>
      </c>
      <c r="O103" s="148">
        <f t="shared" ca="1" si="66"/>
        <v>0</v>
      </c>
      <c r="P103" s="14">
        <f ca="1">(MAX(MAX(sa-CF102*Flag_UL_Type,105%*SUM($I$7:I103))-(AD102+L103-N103)*Flag_UL_Type,0)*B103)</f>
        <v>0</v>
      </c>
      <c r="Q103" s="213">
        <f t="shared" ca="1" si="67"/>
        <v>0</v>
      </c>
      <c r="R103" s="14">
        <f t="shared" ca="1" si="68"/>
        <v>0</v>
      </c>
      <c r="S103" s="14">
        <f t="shared" ca="1" si="69"/>
        <v>0</v>
      </c>
      <c r="T103" s="14">
        <f>IFERROR(IF(WoP_Flag="Y",IF(fq=1,VLOOKUP(ppt*fq-H103,Charges!$AN$41:$AO$59,2,FALSE),IF(fq=2,VLOOKUP(ppt*fq-G103,Charges!$AP$41:$AQ$79,2,FALSE),VLOOKUP(ppt*fq-D103,Charges!$AR$41:$AS$279,2,FALSE)))*pr/fq,0),0)</f>
        <v>0</v>
      </c>
      <c r="U103" s="14">
        <f t="shared" ca="1" si="70"/>
        <v>0</v>
      </c>
      <c r="V103" s="34">
        <f>ROUND(MIN(IF(H103&gt;=7,Charges!$C$12*(1+Charges!$C$14)^((H103-7+1)),VLOOKUP(H103,Charges!$B$7:$C$12,2,0))*pr,Charges!$C$13)*B103,Round)</f>
        <v>500</v>
      </c>
      <c r="W103" s="14">
        <f t="shared" ca="1" si="71"/>
        <v>3009185.32291729</v>
      </c>
      <c r="X103" s="14">
        <f t="shared" ca="1" si="72"/>
        <v>3028546.5118915201</v>
      </c>
      <c r="Y103" s="213">
        <f t="shared" ca="1" si="96"/>
        <v>3408.9690123799214</v>
      </c>
      <c r="Z103" s="14">
        <f t="shared" ca="1" si="73"/>
        <v>3024523.9284569118</v>
      </c>
      <c r="AA103" s="14">
        <f>IF(AND($H103=pt,$F103=11),SUM($K$7:K103)*VLOOKUP(pt,ROC,2,FALSE),0)</f>
        <v>0</v>
      </c>
      <c r="AB103" s="14">
        <f>IF(AND($H103=pt,$F103=11),SUM($V$7:V103)*VLOOKUP(pt,ROC,2,FALSE),0)</f>
        <v>0</v>
      </c>
      <c r="AC103" s="14">
        <f>IF(AND($H103=pt,$F103=11),SUM($Q$7:Q103)*VLOOKUP(pt,ROC,2,FALSE),0)</f>
        <v>0</v>
      </c>
      <c r="AD103" s="14">
        <f t="shared" ca="1" si="74"/>
        <v>3024523.9284569118</v>
      </c>
      <c r="AE103" s="14">
        <f ca="1">(MAX(sa-CF102*Flag_UL_Type,105%*SUM($I$7:I103),Z103)+AU103)*B103</f>
        <v>3024523.9284569118</v>
      </c>
      <c r="AF103" s="136"/>
      <c r="AG103" s="18">
        <v>97</v>
      </c>
      <c r="AH103" s="30">
        <f t="shared" ca="1" si="75"/>
        <v>300000</v>
      </c>
      <c r="AI103" s="58"/>
      <c r="AJ103" s="50">
        <f>IF(AND(Option_Sys_TopUp&gt;="Y",H103&gt;=sytp,H103&lt;=(dtp+sytp-1),F103=0,H103&lt;=ppt+1),atp,0)+IFERROR(VLOOKUP(H103,Input!$B$55:$C$61,2,0),0)*(F103=0)*(Option_TopUP="Y")*(Option_Sys_TopUp="N")*B103*(pt&gt;=H103+5)</f>
        <v>0</v>
      </c>
      <c r="AK103" s="50">
        <f t="shared" si="76"/>
        <v>0</v>
      </c>
      <c r="AL103" s="50">
        <f t="shared" si="97"/>
        <v>0</v>
      </c>
      <c r="AM103" s="50">
        <f t="shared" ca="1" si="98"/>
        <v>0</v>
      </c>
      <c r="AN103" s="50">
        <f ca="1">IF(B103=0,0,AT103*(_rpm1+(1+_emr1)*VLOOKUP(E103,Tab_Mort_Charge,IF(Input!$C$12="M",2,3),0))*(0.001*0.0833)*Flag_Mort_Rider_Charge*(AT103&gt;0))</f>
        <v>0</v>
      </c>
      <c r="AO103" s="50">
        <f t="shared" ca="1" si="77"/>
        <v>0</v>
      </c>
      <c r="AP103" s="50">
        <f t="shared" ca="1" si="105"/>
        <v>0</v>
      </c>
      <c r="AQ103" s="50">
        <f t="shared" ca="1" si="78"/>
        <v>0</v>
      </c>
      <c r="AR103" s="50">
        <f t="shared" ca="1" si="79"/>
        <v>0</v>
      </c>
      <c r="AS103" s="50">
        <f t="shared" si="80"/>
        <v>0</v>
      </c>
      <c r="AT103" s="50">
        <f ca="1">(MAX((MAX(AS103,105%*SUM($AJ$7:AJ103))-AM103*Flag_UL_Type),0)*B103)</f>
        <v>0</v>
      </c>
      <c r="AU103" s="50">
        <f ca="1">(MAX(AS103,AR103,105%*SUM($AJ$7:AJ103))*B103)</f>
        <v>0</v>
      </c>
      <c r="AV103" s="125"/>
      <c r="AW103" s="13"/>
      <c r="AX103" s="13"/>
      <c r="AY103" s="13"/>
      <c r="AZ103" s="13"/>
      <c r="BA103" s="13"/>
      <c r="BG103" s="51">
        <f t="shared" si="81"/>
        <v>1080</v>
      </c>
      <c r="BH103" s="51">
        <f t="shared" ca="1" si="82"/>
        <v>0</v>
      </c>
      <c r="BI103" s="51">
        <f t="shared" ca="1" si="83"/>
        <v>0</v>
      </c>
      <c r="BJ103" s="51">
        <f t="shared" ca="1" si="84"/>
        <v>0</v>
      </c>
      <c r="BK103" s="51">
        <f t="shared" si="85"/>
        <v>90</v>
      </c>
      <c r="BL103" s="51">
        <f t="shared" ca="1" si="86"/>
        <v>613.61442222838582</v>
      </c>
      <c r="BM103" s="51">
        <f t="shared" si="87"/>
        <v>0</v>
      </c>
      <c r="BN103" s="51">
        <f t="shared" ca="1" si="88"/>
        <v>0</v>
      </c>
      <c r="BO103" s="51">
        <f t="shared" ca="1" si="89"/>
        <v>0</v>
      </c>
      <c r="BP103" s="51">
        <f t="shared" ca="1" si="90"/>
        <v>1783.6144222283858</v>
      </c>
      <c r="BQ103" s="120"/>
      <c r="BR103" s="32"/>
      <c r="BS103" s="126"/>
      <c r="BT103" s="16"/>
      <c r="BU103" s="58"/>
      <c r="BW103" s="51">
        <f>IF(Input!$C$13="Offline",VLOOKUP(H103,Charges!$AT$4:$AU$33,2,FALSE)*I103,0)</f>
        <v>1500</v>
      </c>
      <c r="BX103" s="51">
        <f t="shared" si="91"/>
        <v>0</v>
      </c>
      <c r="BY103" s="51">
        <f t="shared" si="100"/>
        <v>1500</v>
      </c>
      <c r="BZ103" s="151"/>
      <c r="CA103" s="151"/>
      <c r="CB103" s="32"/>
      <c r="CC103" s="16">
        <f ca="1">SUM($N$7:$N103)</f>
        <v>0</v>
      </c>
      <c r="CD103" s="16">
        <f t="shared" ca="1" si="92"/>
        <v>0</v>
      </c>
      <c r="CE103" s="16">
        <f t="shared" ca="1" si="93"/>
        <v>0</v>
      </c>
      <c r="CF103" s="7">
        <f t="shared" ca="1" si="94"/>
        <v>0</v>
      </c>
      <c r="CH103" s="7">
        <f t="shared" ca="1" si="95"/>
        <v>0</v>
      </c>
    </row>
    <row r="104" spans="2:86" s="7" customFormat="1" x14ac:dyDescent="0.2">
      <c r="B104" s="14">
        <f t="shared" si="59"/>
        <v>1</v>
      </c>
      <c r="C104" s="12">
        <f t="shared" si="60"/>
        <v>1</v>
      </c>
      <c r="D104" s="17">
        <f t="shared" si="101"/>
        <v>98</v>
      </c>
      <c r="E104" s="17">
        <f t="shared" ca="1" si="61"/>
        <v>68</v>
      </c>
      <c r="F104" s="12">
        <f t="shared" si="103"/>
        <v>1</v>
      </c>
      <c r="G104" s="12">
        <f t="shared" si="102"/>
        <v>17</v>
      </c>
      <c r="H104" s="17">
        <f t="shared" si="104"/>
        <v>9</v>
      </c>
      <c r="I104" s="29">
        <f t="shared" si="62"/>
        <v>0</v>
      </c>
      <c r="J104" s="211">
        <f>IFERROR(VLOOKUP(H104,Charges!$T$6:$U$35,2,0)*C104,0)</f>
        <v>0.98</v>
      </c>
      <c r="K104" s="29">
        <f t="shared" si="63"/>
        <v>0</v>
      </c>
      <c r="L104" s="29">
        <f t="shared" si="64"/>
        <v>0</v>
      </c>
      <c r="M104" s="147">
        <f t="shared" ca="1" si="65"/>
        <v>0</v>
      </c>
      <c r="N104" s="148">
        <f ca="1">IF(AND(Option_SPW="Y",H104&gt;=Lock_In_Period,Z103&gt;SPW_Amount_pa+IF(option="Single",1/5*pr,2*pr),H104&gt;=SPW_Start_Year,H104&lt;=SPW_Start_Year+SPW_Duration-1,age+H104&gt;=Legal_Age),IF(AND(F104=0,SPW_Payout_Freq=1),SPW_Amount_pa,IF(AND(SPW_Payout_Freq=2,MOD(F104,6)=0),SPW_Amount_pa/SPW_Payout_Freq,IF(AND(SPW_Payout_Freq=4,MOD(F104,3)=0),SPW_Amount_pa/SPW_Payout_Freq,IF(SPW_Payout_Freq=12,SPW_Amount_pa/SPW_Payout_Freq,0)))),0)+IFERROR(VLOOKUP(H104,Input!$B$68:$C$74,2,0),0)*(F104=0)*(Option_PW="Y")*(Option_SPW="N")*(age+H104&gt;=Legal_Age)</f>
        <v>0</v>
      </c>
      <c r="O104" s="148">
        <f t="shared" ca="1" si="66"/>
        <v>0</v>
      </c>
      <c r="P104" s="14">
        <f ca="1">(MAX(MAX(sa-CF103*Flag_UL_Type,105%*SUM($I$7:I104))-(AD103+L104-N104)*Flag_UL_Type,0)*B104)</f>
        <v>0</v>
      </c>
      <c r="Q104" s="213">
        <f t="shared" ca="1" si="67"/>
        <v>0</v>
      </c>
      <c r="R104" s="14">
        <f t="shared" ca="1" si="68"/>
        <v>0</v>
      </c>
      <c r="S104" s="14">
        <f t="shared" ca="1" si="69"/>
        <v>0</v>
      </c>
      <c r="T104" s="14">
        <f>IFERROR(IF(WoP_Flag="Y",IF(fq=1,VLOOKUP(ppt*fq-H104,Charges!$AN$41:$AO$59,2,FALSE),IF(fq=2,VLOOKUP(ppt*fq-G104,Charges!$AP$41:$AQ$79,2,FALSE),VLOOKUP(ppt*fq-D104,Charges!$AR$41:$AS$279,2,FALSE)))*pr/fq,0),0)</f>
        <v>0</v>
      </c>
      <c r="U104" s="14">
        <f t="shared" ca="1" si="70"/>
        <v>0</v>
      </c>
      <c r="V104" s="34">
        <f>ROUND(MIN(IF(H104&gt;=7,Charges!$C$12*(1+Charges!$C$14)^((H104-7+1)),VLOOKUP(H104,Charges!$B$7:$C$12,2,0))*pr,Charges!$C$13)*B104,Round)</f>
        <v>500</v>
      </c>
      <c r="W104" s="14">
        <f t="shared" ca="1" si="71"/>
        <v>3023933.9284569118</v>
      </c>
      <c r="X104" s="14">
        <f t="shared" ca="1" si="72"/>
        <v>3043390.0104032643</v>
      </c>
      <c r="Y104" s="213">
        <f t="shared" ca="1" si="96"/>
        <v>3425.677035936159</v>
      </c>
      <c r="Z104" s="14">
        <f t="shared" ca="1" si="73"/>
        <v>3039347.7115008598</v>
      </c>
      <c r="AA104" s="14">
        <f>IF(AND($H104=pt,$F104=11),SUM($K$7:K104)*VLOOKUP(pt,ROC,2,FALSE),0)</f>
        <v>0</v>
      </c>
      <c r="AB104" s="14">
        <f>IF(AND($H104=pt,$F104=11),SUM($V$7:V104)*VLOOKUP(pt,ROC,2,FALSE),0)</f>
        <v>0</v>
      </c>
      <c r="AC104" s="14">
        <f>IF(AND($H104=pt,$F104=11),SUM($Q$7:Q104)*VLOOKUP(pt,ROC,2,FALSE),0)</f>
        <v>0</v>
      </c>
      <c r="AD104" s="14">
        <f t="shared" ca="1" si="74"/>
        <v>3039347.7115008598</v>
      </c>
      <c r="AE104" s="14">
        <f ca="1">(MAX(sa-CF103*Flag_UL_Type,105%*SUM($I$7:I104),Z104)+AU104)*B104</f>
        <v>3039347.7115008598</v>
      </c>
      <c r="AF104" s="136"/>
      <c r="AG104" s="18">
        <v>98</v>
      </c>
      <c r="AH104" s="30">
        <f t="shared" ca="1" si="75"/>
        <v>0</v>
      </c>
      <c r="AI104" s="58"/>
      <c r="AJ104" s="50">
        <f>IF(AND(Option_Sys_TopUp&gt;="Y",H104&gt;=sytp,H104&lt;=(dtp+sytp-1),F104=0,H104&lt;=ppt+1),atp,0)+IFERROR(VLOOKUP(H104,Input!$B$55:$C$61,2,0),0)*(F104=0)*(Option_TopUP="Y")*(Option_Sys_TopUp="N")*B104*(pt&gt;=H104+5)</f>
        <v>0</v>
      </c>
      <c r="AK104" s="50">
        <f t="shared" si="76"/>
        <v>0</v>
      </c>
      <c r="AL104" s="50">
        <f t="shared" si="97"/>
        <v>0</v>
      </c>
      <c r="AM104" s="50">
        <f t="shared" ca="1" si="98"/>
        <v>0</v>
      </c>
      <c r="AN104" s="50">
        <f ca="1">IF(B104=0,0,AT104*(_rpm1+(1+_emr1)*VLOOKUP(E104,Tab_Mort_Charge,IF(Input!$C$12="M",2,3),0))*(0.001*0.0833)*Flag_Mort_Rider_Charge*(AT104&gt;0))</f>
        <v>0</v>
      </c>
      <c r="AO104" s="50">
        <f t="shared" ca="1" si="77"/>
        <v>0</v>
      </c>
      <c r="AP104" s="50">
        <f t="shared" ca="1" si="105"/>
        <v>0</v>
      </c>
      <c r="AQ104" s="50">
        <f t="shared" ca="1" si="78"/>
        <v>0</v>
      </c>
      <c r="AR104" s="50">
        <f t="shared" ca="1" si="79"/>
        <v>0</v>
      </c>
      <c r="AS104" s="50">
        <f t="shared" si="80"/>
        <v>0</v>
      </c>
      <c r="AT104" s="50">
        <f ca="1">(MAX((MAX(AS104,105%*SUM($AJ$7:AJ104))-AM104*Flag_UL_Type),0)*B104)</f>
        <v>0</v>
      </c>
      <c r="AU104" s="50">
        <f ca="1">(MAX(AS104,AR104,105%*SUM($AJ$7:AJ104))*B104)</f>
        <v>0</v>
      </c>
      <c r="AV104" s="125"/>
      <c r="AW104" s="13"/>
      <c r="AX104" s="13"/>
      <c r="AY104" s="13"/>
      <c r="AZ104" s="13"/>
      <c r="BA104" s="13"/>
      <c r="BG104" s="51">
        <f t="shared" si="81"/>
        <v>0</v>
      </c>
      <c r="BH104" s="51">
        <f t="shared" ca="1" si="82"/>
        <v>0</v>
      </c>
      <c r="BI104" s="51">
        <f t="shared" ca="1" si="83"/>
        <v>0</v>
      </c>
      <c r="BJ104" s="51">
        <f t="shared" ca="1" si="84"/>
        <v>0</v>
      </c>
      <c r="BK104" s="51">
        <f t="shared" si="85"/>
        <v>90</v>
      </c>
      <c r="BL104" s="51">
        <f t="shared" ca="1" si="86"/>
        <v>616.62186646850864</v>
      </c>
      <c r="BM104" s="51">
        <f t="shared" si="87"/>
        <v>0</v>
      </c>
      <c r="BN104" s="51">
        <f t="shared" ca="1" si="88"/>
        <v>0</v>
      </c>
      <c r="BO104" s="51">
        <f t="shared" ca="1" si="89"/>
        <v>0</v>
      </c>
      <c r="BP104" s="51">
        <f t="shared" ca="1" si="90"/>
        <v>706.62186646850864</v>
      </c>
      <c r="BQ104" s="120"/>
      <c r="BR104" s="32"/>
      <c r="BS104" s="126"/>
      <c r="BT104" s="16"/>
      <c r="BU104" s="58"/>
      <c r="BW104" s="51">
        <f>IF(Input!$C$13="Offline",VLOOKUP(H104,Charges!$AT$4:$AU$33,2,FALSE)*I104,0)</f>
        <v>0</v>
      </c>
      <c r="BX104" s="51">
        <f t="shared" si="91"/>
        <v>0</v>
      </c>
      <c r="BY104" s="51">
        <f t="shared" si="100"/>
        <v>0</v>
      </c>
      <c r="BZ104" s="151"/>
      <c r="CA104" s="151"/>
      <c r="CB104" s="32"/>
      <c r="CC104" s="16">
        <f ca="1">SUM($N$7:$N104)</f>
        <v>0</v>
      </c>
      <c r="CD104" s="16">
        <f t="shared" ca="1" si="92"/>
        <v>0</v>
      </c>
      <c r="CE104" s="16">
        <f t="shared" ca="1" si="93"/>
        <v>0</v>
      </c>
      <c r="CF104" s="7">
        <f t="shared" ca="1" si="94"/>
        <v>0</v>
      </c>
      <c r="CH104" s="7">
        <f t="shared" ca="1" si="95"/>
        <v>0</v>
      </c>
    </row>
    <row r="105" spans="2:86" s="7" customFormat="1" x14ac:dyDescent="0.2">
      <c r="B105" s="14">
        <f t="shared" si="59"/>
        <v>1</v>
      </c>
      <c r="C105" s="12">
        <f t="shared" si="60"/>
        <v>1</v>
      </c>
      <c r="D105" s="17">
        <f t="shared" si="101"/>
        <v>99</v>
      </c>
      <c r="E105" s="17">
        <f t="shared" ca="1" si="61"/>
        <v>68</v>
      </c>
      <c r="F105" s="12">
        <f t="shared" si="103"/>
        <v>2</v>
      </c>
      <c r="G105" s="12">
        <f t="shared" si="102"/>
        <v>17</v>
      </c>
      <c r="H105" s="17">
        <f t="shared" si="104"/>
        <v>9</v>
      </c>
      <c r="I105" s="29">
        <f t="shared" si="62"/>
        <v>0</v>
      </c>
      <c r="J105" s="211">
        <f>IFERROR(VLOOKUP(H105,Charges!$T$6:$U$35,2,0)*C105,0)</f>
        <v>0.98</v>
      </c>
      <c r="K105" s="29">
        <f t="shared" si="63"/>
        <v>0</v>
      </c>
      <c r="L105" s="29">
        <f t="shared" si="64"/>
        <v>0</v>
      </c>
      <c r="M105" s="147">
        <f t="shared" ca="1" si="65"/>
        <v>0</v>
      </c>
      <c r="N105" s="148">
        <f ca="1">IF(AND(Option_SPW="Y",H105&gt;=Lock_In_Period,Z104&gt;SPW_Amount_pa+IF(option="Single",1/5*pr,2*pr),H105&gt;=SPW_Start_Year,H105&lt;=SPW_Start_Year+SPW_Duration-1,age+H105&gt;=Legal_Age),IF(AND(F105=0,SPW_Payout_Freq=1),SPW_Amount_pa,IF(AND(SPW_Payout_Freq=2,MOD(F105,6)=0),SPW_Amount_pa/SPW_Payout_Freq,IF(AND(SPW_Payout_Freq=4,MOD(F105,3)=0),SPW_Amount_pa/SPW_Payout_Freq,IF(SPW_Payout_Freq=12,SPW_Amount_pa/SPW_Payout_Freq,0)))),0)+IFERROR(VLOOKUP(H105,Input!$B$68:$C$74,2,0),0)*(F105=0)*(Option_PW="Y")*(Option_SPW="N")*(age+H105&gt;=Legal_Age)</f>
        <v>0</v>
      </c>
      <c r="O105" s="148">
        <f t="shared" ca="1" si="66"/>
        <v>0</v>
      </c>
      <c r="P105" s="14">
        <f ca="1">(MAX(MAX(sa-CF104*Flag_UL_Type,105%*SUM($I$7:I105))-(AD104+L105-N105)*Flag_UL_Type,0)*B105)</f>
        <v>0</v>
      </c>
      <c r="Q105" s="213">
        <f t="shared" ca="1" si="67"/>
        <v>0</v>
      </c>
      <c r="R105" s="14">
        <f t="shared" ca="1" si="68"/>
        <v>0</v>
      </c>
      <c r="S105" s="14">
        <f t="shared" ca="1" si="69"/>
        <v>0</v>
      </c>
      <c r="T105" s="14">
        <f>IFERROR(IF(WoP_Flag="Y",IF(fq=1,VLOOKUP(ppt*fq-H105,Charges!$AN$41:$AO$59,2,FALSE),IF(fq=2,VLOOKUP(ppt*fq-G105,Charges!$AP$41:$AQ$79,2,FALSE),VLOOKUP(ppt*fq-D105,Charges!$AR$41:$AS$279,2,FALSE)))*pr/fq,0),0)</f>
        <v>0</v>
      </c>
      <c r="U105" s="14">
        <f t="shared" ca="1" si="70"/>
        <v>0</v>
      </c>
      <c r="V105" s="34">
        <f>ROUND(MIN(IF(H105&gt;=7,Charges!$C$12*(1+Charges!$C$14)^((H105-7+1)),VLOOKUP(H105,Charges!$B$7:$C$12,2,0))*pr,Charges!$C$13)*B105,Round)</f>
        <v>500</v>
      </c>
      <c r="W105" s="14">
        <f t="shared" ca="1" si="71"/>
        <v>3038757.7115008598</v>
      </c>
      <c r="X105" s="14">
        <f t="shared" ca="1" si="72"/>
        <v>3058309.1701136613</v>
      </c>
      <c r="Y105" s="213">
        <f t="shared" ca="1" si="96"/>
        <v>3442.4702246634224</v>
      </c>
      <c r="Z105" s="14">
        <f t="shared" ca="1" si="73"/>
        <v>3054247.0552485585</v>
      </c>
      <c r="AA105" s="14">
        <f>IF(AND($H105=pt,$F105=11),SUM($K$7:K105)*VLOOKUP(pt,ROC,2,FALSE),0)</f>
        <v>0</v>
      </c>
      <c r="AB105" s="14">
        <f>IF(AND($H105=pt,$F105=11),SUM($V$7:V105)*VLOOKUP(pt,ROC,2,FALSE),0)</f>
        <v>0</v>
      </c>
      <c r="AC105" s="14">
        <f>IF(AND($H105=pt,$F105=11),SUM($Q$7:Q105)*VLOOKUP(pt,ROC,2,FALSE),0)</f>
        <v>0</v>
      </c>
      <c r="AD105" s="14">
        <f t="shared" ca="1" si="74"/>
        <v>3054247.0552485585</v>
      </c>
      <c r="AE105" s="14">
        <f ca="1">(MAX(sa-CF104*Flag_UL_Type,105%*SUM($I$7:I105),Z105)+AU105)*B105</f>
        <v>3054247.0552485585</v>
      </c>
      <c r="AF105" s="136"/>
      <c r="AG105" s="18">
        <v>99</v>
      </c>
      <c r="AH105" s="30">
        <f t="shared" ca="1" si="75"/>
        <v>0</v>
      </c>
      <c r="AI105" s="58"/>
      <c r="AJ105" s="50">
        <f>IF(AND(Option_Sys_TopUp&gt;="Y",H105&gt;=sytp,H105&lt;=(dtp+sytp-1),F105=0,H105&lt;=ppt+1),atp,0)+IFERROR(VLOOKUP(H105,Input!$B$55:$C$61,2,0),0)*(F105=0)*(Option_TopUP="Y")*(Option_Sys_TopUp="N")*B105*(pt&gt;=H105+5)</f>
        <v>0</v>
      </c>
      <c r="AK105" s="50">
        <f t="shared" si="76"/>
        <v>0</v>
      </c>
      <c r="AL105" s="50">
        <f t="shared" si="97"/>
        <v>0</v>
      </c>
      <c r="AM105" s="50">
        <f t="shared" ca="1" si="98"/>
        <v>0</v>
      </c>
      <c r="AN105" s="50">
        <f ca="1">IF(B105=0,0,AT105*(_rpm1+(1+_emr1)*VLOOKUP(E105,Tab_Mort_Charge,IF(Input!$C$12="M",2,3),0))*(0.001*0.0833)*Flag_Mort_Rider_Charge*(AT105&gt;0))</f>
        <v>0</v>
      </c>
      <c r="AO105" s="50">
        <f t="shared" ca="1" si="77"/>
        <v>0</v>
      </c>
      <c r="AP105" s="50">
        <f t="shared" ca="1" si="105"/>
        <v>0</v>
      </c>
      <c r="AQ105" s="50">
        <f t="shared" ca="1" si="78"/>
        <v>0</v>
      </c>
      <c r="AR105" s="50">
        <f t="shared" ca="1" si="79"/>
        <v>0</v>
      </c>
      <c r="AS105" s="50">
        <f t="shared" si="80"/>
        <v>0</v>
      </c>
      <c r="AT105" s="50">
        <f ca="1">(MAX((MAX(AS105,105%*SUM($AJ$7:AJ105))-AM105*Flag_UL_Type),0)*B105)</f>
        <v>0</v>
      </c>
      <c r="AU105" s="50">
        <f ca="1">(MAX(AS105,AR105,105%*SUM($AJ$7:AJ105))*B105)</f>
        <v>0</v>
      </c>
      <c r="AV105" s="125"/>
      <c r="AW105" s="13"/>
      <c r="AX105" s="13"/>
      <c r="AY105" s="13"/>
      <c r="AZ105" s="13"/>
      <c r="BA105" s="13"/>
      <c r="BG105" s="51">
        <f t="shared" si="81"/>
        <v>0</v>
      </c>
      <c r="BH105" s="51">
        <f t="shared" ca="1" si="82"/>
        <v>0</v>
      </c>
      <c r="BI105" s="51">
        <f t="shared" ca="1" si="83"/>
        <v>0</v>
      </c>
      <c r="BJ105" s="51">
        <f t="shared" ca="1" si="84"/>
        <v>0</v>
      </c>
      <c r="BK105" s="51">
        <f t="shared" si="85"/>
        <v>90</v>
      </c>
      <c r="BL105" s="51">
        <f t="shared" ca="1" si="86"/>
        <v>619.64464043941598</v>
      </c>
      <c r="BM105" s="51">
        <f t="shared" si="87"/>
        <v>0</v>
      </c>
      <c r="BN105" s="51">
        <f t="shared" ca="1" si="88"/>
        <v>0</v>
      </c>
      <c r="BO105" s="51">
        <f t="shared" ca="1" si="89"/>
        <v>0</v>
      </c>
      <c r="BP105" s="51">
        <f t="shared" ca="1" si="90"/>
        <v>709.64464043941598</v>
      </c>
      <c r="BQ105" s="120"/>
      <c r="BR105" s="32"/>
      <c r="BS105" s="126"/>
      <c r="BT105" s="16"/>
      <c r="BU105" s="58"/>
      <c r="BW105" s="51">
        <f>IF(Input!$C$13="Offline",VLOOKUP(H105,Charges!$AT$4:$AU$33,2,FALSE)*I105,0)</f>
        <v>0</v>
      </c>
      <c r="BX105" s="51">
        <f t="shared" si="91"/>
        <v>0</v>
      </c>
      <c r="BY105" s="51">
        <f t="shared" si="100"/>
        <v>0</v>
      </c>
      <c r="BZ105" s="151"/>
      <c r="CA105" s="151"/>
      <c r="CB105" s="32"/>
      <c r="CC105" s="16">
        <f ca="1">SUM($N$7:$N105)</f>
        <v>0</v>
      </c>
      <c r="CD105" s="16">
        <f t="shared" ca="1" si="92"/>
        <v>0</v>
      </c>
      <c r="CE105" s="16">
        <f t="shared" ca="1" si="93"/>
        <v>0</v>
      </c>
      <c r="CF105" s="7">
        <f t="shared" ca="1" si="94"/>
        <v>0</v>
      </c>
      <c r="CH105" s="7">
        <f t="shared" ca="1" si="95"/>
        <v>0</v>
      </c>
    </row>
    <row r="106" spans="2:86" s="7" customFormat="1" x14ac:dyDescent="0.2">
      <c r="B106" s="14">
        <f t="shared" si="59"/>
        <v>1</v>
      </c>
      <c r="C106" s="12">
        <f t="shared" si="60"/>
        <v>1</v>
      </c>
      <c r="D106" s="17">
        <f t="shared" si="101"/>
        <v>100</v>
      </c>
      <c r="E106" s="17">
        <f t="shared" ca="1" si="61"/>
        <v>68</v>
      </c>
      <c r="F106" s="12">
        <f t="shared" si="103"/>
        <v>3</v>
      </c>
      <c r="G106" s="12">
        <f t="shared" si="102"/>
        <v>17</v>
      </c>
      <c r="H106" s="17">
        <f t="shared" si="104"/>
        <v>9</v>
      </c>
      <c r="I106" s="29">
        <f t="shared" si="62"/>
        <v>0</v>
      </c>
      <c r="J106" s="211">
        <f>IFERROR(VLOOKUP(H106,Charges!$T$6:$U$35,2,0)*C106,0)</f>
        <v>0.98</v>
      </c>
      <c r="K106" s="29">
        <f t="shared" si="63"/>
        <v>0</v>
      </c>
      <c r="L106" s="29">
        <f t="shared" si="64"/>
        <v>0</v>
      </c>
      <c r="M106" s="147">
        <f t="shared" ca="1" si="65"/>
        <v>0</v>
      </c>
      <c r="N106" s="148">
        <f ca="1">IF(AND(Option_SPW="Y",H106&gt;=Lock_In_Period,Z105&gt;SPW_Amount_pa+IF(option="Single",1/5*pr,2*pr),H106&gt;=SPW_Start_Year,H106&lt;=SPW_Start_Year+SPW_Duration-1,age+H106&gt;=Legal_Age),IF(AND(F106=0,SPW_Payout_Freq=1),SPW_Amount_pa,IF(AND(SPW_Payout_Freq=2,MOD(F106,6)=0),SPW_Amount_pa/SPW_Payout_Freq,IF(AND(SPW_Payout_Freq=4,MOD(F106,3)=0),SPW_Amount_pa/SPW_Payout_Freq,IF(SPW_Payout_Freq=12,SPW_Amount_pa/SPW_Payout_Freq,0)))),0)+IFERROR(VLOOKUP(H106,Input!$B$68:$C$74,2,0),0)*(F106=0)*(Option_PW="Y")*(Option_SPW="N")*(age+H106&gt;=Legal_Age)</f>
        <v>0</v>
      </c>
      <c r="O106" s="148">
        <f t="shared" ca="1" si="66"/>
        <v>0</v>
      </c>
      <c r="P106" s="14">
        <f ca="1">(MAX(MAX(sa-CF105*Flag_UL_Type,105%*SUM($I$7:I106))-(AD105+L106-N106)*Flag_UL_Type,0)*B106)</f>
        <v>0</v>
      </c>
      <c r="Q106" s="213">
        <f t="shared" ca="1" si="67"/>
        <v>0</v>
      </c>
      <c r="R106" s="14">
        <f t="shared" ca="1" si="68"/>
        <v>0</v>
      </c>
      <c r="S106" s="14">
        <f t="shared" ca="1" si="69"/>
        <v>0</v>
      </c>
      <c r="T106" s="14">
        <f>IFERROR(IF(WoP_Flag="Y",IF(fq=1,VLOOKUP(ppt*fq-H106,Charges!$AN$41:$AO$59,2,FALSE),IF(fq=2,VLOOKUP(ppt*fq-G106,Charges!$AP$41:$AQ$79,2,FALSE),VLOOKUP(ppt*fq-D106,Charges!$AR$41:$AS$279,2,FALSE)))*pr/fq,0),0)</f>
        <v>0</v>
      </c>
      <c r="U106" s="14">
        <f t="shared" ca="1" si="70"/>
        <v>0</v>
      </c>
      <c r="V106" s="34">
        <f>ROUND(MIN(IF(H106&gt;=7,Charges!$C$12*(1+Charges!$C$14)^((H106-7+1)),VLOOKUP(H106,Charges!$B$7:$C$12,2,0))*pr,Charges!$C$13)*B106,Round)</f>
        <v>500</v>
      </c>
      <c r="W106" s="14">
        <f t="shared" ca="1" si="71"/>
        <v>3053657.0552485585</v>
      </c>
      <c r="X106" s="14">
        <f t="shared" ca="1" si="72"/>
        <v>3073304.376687652</v>
      </c>
      <c r="Y106" s="213">
        <f t="shared" ca="1" si="96"/>
        <v>3459.3490126708894</v>
      </c>
      <c r="Z106" s="14">
        <f t="shared" ca="1" si="73"/>
        <v>3069222.3448527004</v>
      </c>
      <c r="AA106" s="14">
        <f>IF(AND($H106=pt,$F106=11),SUM($K$7:K106)*VLOOKUP(pt,ROC,2,FALSE),0)</f>
        <v>0</v>
      </c>
      <c r="AB106" s="14">
        <f>IF(AND($H106=pt,$F106=11),SUM($V$7:V106)*VLOOKUP(pt,ROC,2,FALSE),0)</f>
        <v>0</v>
      </c>
      <c r="AC106" s="14">
        <f>IF(AND($H106=pt,$F106=11),SUM($Q$7:Q106)*VLOOKUP(pt,ROC,2,FALSE),0)</f>
        <v>0</v>
      </c>
      <c r="AD106" s="14">
        <f t="shared" ca="1" si="74"/>
        <v>3069222.3448527004</v>
      </c>
      <c r="AE106" s="14">
        <f ca="1">(MAX(sa-CF105*Flag_UL_Type,105%*SUM($I$7:I106),Z106)+AU106)*B106</f>
        <v>3069222.3448527004</v>
      </c>
      <c r="AF106" s="136"/>
      <c r="AG106" s="18">
        <v>100</v>
      </c>
      <c r="AH106" s="30">
        <f t="shared" ca="1" si="75"/>
        <v>0</v>
      </c>
      <c r="AI106" s="58"/>
      <c r="AJ106" s="50">
        <f>IF(AND(Option_Sys_TopUp&gt;="Y",H106&gt;=sytp,H106&lt;=(dtp+sytp-1),F106=0,H106&lt;=ppt+1),atp,0)+IFERROR(VLOOKUP(H106,Input!$B$55:$C$61,2,0),0)*(F106=0)*(Option_TopUP="Y")*(Option_Sys_TopUp="N")*B106*(pt&gt;=H106+5)</f>
        <v>0</v>
      </c>
      <c r="AK106" s="50">
        <f t="shared" si="76"/>
        <v>0</v>
      </c>
      <c r="AL106" s="50">
        <f t="shared" si="97"/>
        <v>0</v>
      </c>
      <c r="AM106" s="50">
        <f t="shared" ca="1" si="98"/>
        <v>0</v>
      </c>
      <c r="AN106" s="50">
        <f ca="1">IF(B106=0,0,AT106*(_rpm1+(1+_emr1)*VLOOKUP(E106,Tab_Mort_Charge,IF(Input!$C$12="M",2,3),0))*(0.001*0.0833)*Flag_Mort_Rider_Charge*(AT106&gt;0))</f>
        <v>0</v>
      </c>
      <c r="AO106" s="50">
        <f t="shared" ca="1" si="77"/>
        <v>0</v>
      </c>
      <c r="AP106" s="50">
        <f t="shared" ca="1" si="105"/>
        <v>0</v>
      </c>
      <c r="AQ106" s="50">
        <f t="shared" ca="1" si="78"/>
        <v>0</v>
      </c>
      <c r="AR106" s="50">
        <f t="shared" ca="1" si="79"/>
        <v>0</v>
      </c>
      <c r="AS106" s="50">
        <f t="shared" si="80"/>
        <v>0</v>
      </c>
      <c r="AT106" s="50">
        <f ca="1">(MAX((MAX(AS106,105%*SUM($AJ$7:AJ106))-AM106*Flag_UL_Type),0)*B106)</f>
        <v>0</v>
      </c>
      <c r="AU106" s="50">
        <f ca="1">(MAX(AS106,AR106,105%*SUM($AJ$7:AJ106))*B106)</f>
        <v>0</v>
      </c>
      <c r="AV106" s="125"/>
      <c r="AW106" s="13"/>
      <c r="AX106" s="13"/>
      <c r="AY106" s="13"/>
      <c r="AZ106" s="13"/>
      <c r="BA106" s="13"/>
      <c r="BG106" s="51">
        <f t="shared" si="81"/>
        <v>0</v>
      </c>
      <c r="BH106" s="51">
        <f t="shared" ca="1" si="82"/>
        <v>0</v>
      </c>
      <c r="BI106" s="51">
        <f t="shared" ca="1" si="83"/>
        <v>0</v>
      </c>
      <c r="BJ106" s="51">
        <f t="shared" ca="1" si="84"/>
        <v>0</v>
      </c>
      <c r="BK106" s="51">
        <f t="shared" si="85"/>
        <v>90</v>
      </c>
      <c r="BL106" s="51">
        <f t="shared" ca="1" si="86"/>
        <v>622.68282228076009</v>
      </c>
      <c r="BM106" s="51">
        <f t="shared" si="87"/>
        <v>0</v>
      </c>
      <c r="BN106" s="51">
        <f t="shared" ca="1" si="88"/>
        <v>0</v>
      </c>
      <c r="BO106" s="51">
        <f t="shared" ca="1" si="89"/>
        <v>0</v>
      </c>
      <c r="BP106" s="51">
        <f t="shared" ca="1" si="90"/>
        <v>712.68282228076009</v>
      </c>
      <c r="BQ106" s="120"/>
      <c r="BR106" s="32"/>
      <c r="BS106" s="126"/>
      <c r="BT106" s="16"/>
      <c r="BU106" s="58"/>
      <c r="BW106" s="51">
        <f>IF(Input!$C$13="Offline",VLOOKUP(H106,Charges!$AT$4:$AU$33,2,FALSE)*I106,0)</f>
        <v>0</v>
      </c>
      <c r="BX106" s="51">
        <f t="shared" si="91"/>
        <v>0</v>
      </c>
      <c r="BY106" s="51">
        <f t="shared" si="100"/>
        <v>0</v>
      </c>
      <c r="BZ106" s="151"/>
      <c r="CA106" s="151"/>
      <c r="CB106" s="32"/>
      <c r="CC106" s="16">
        <f ca="1">SUM($N$7:$N106)</f>
        <v>0</v>
      </c>
      <c r="CD106" s="16">
        <f t="shared" ca="1" si="92"/>
        <v>0</v>
      </c>
      <c r="CE106" s="16">
        <f t="shared" ca="1" si="93"/>
        <v>0</v>
      </c>
      <c r="CF106" s="7">
        <f t="shared" ca="1" si="94"/>
        <v>0</v>
      </c>
      <c r="CH106" s="7">
        <f t="shared" ca="1" si="95"/>
        <v>0</v>
      </c>
    </row>
    <row r="107" spans="2:86" s="7" customFormat="1" x14ac:dyDescent="0.2">
      <c r="B107" s="14">
        <f t="shared" si="59"/>
        <v>1</v>
      </c>
      <c r="C107" s="12">
        <f t="shared" si="60"/>
        <v>1</v>
      </c>
      <c r="D107" s="17">
        <f t="shared" si="101"/>
        <v>101</v>
      </c>
      <c r="E107" s="17">
        <f t="shared" ca="1" si="61"/>
        <v>68</v>
      </c>
      <c r="F107" s="12">
        <f t="shared" si="103"/>
        <v>4</v>
      </c>
      <c r="G107" s="12">
        <f t="shared" si="102"/>
        <v>17</v>
      </c>
      <c r="H107" s="17">
        <f t="shared" si="104"/>
        <v>9</v>
      </c>
      <c r="I107" s="29">
        <f t="shared" si="62"/>
        <v>0</v>
      </c>
      <c r="J107" s="211">
        <f>IFERROR(VLOOKUP(H107,Charges!$T$6:$U$35,2,0)*C107,0)</f>
        <v>0.98</v>
      </c>
      <c r="K107" s="29">
        <f t="shared" si="63"/>
        <v>0</v>
      </c>
      <c r="L107" s="29">
        <f t="shared" si="64"/>
        <v>0</v>
      </c>
      <c r="M107" s="147">
        <f t="shared" ca="1" si="65"/>
        <v>0</v>
      </c>
      <c r="N107" s="148">
        <f ca="1">IF(AND(Option_SPW="Y",H107&gt;=Lock_In_Period,Z106&gt;SPW_Amount_pa+IF(option="Single",1/5*pr,2*pr),H107&gt;=SPW_Start_Year,H107&lt;=SPW_Start_Year+SPW_Duration-1,age+H107&gt;=Legal_Age),IF(AND(F107=0,SPW_Payout_Freq=1),SPW_Amount_pa,IF(AND(SPW_Payout_Freq=2,MOD(F107,6)=0),SPW_Amount_pa/SPW_Payout_Freq,IF(AND(SPW_Payout_Freq=4,MOD(F107,3)=0),SPW_Amount_pa/SPW_Payout_Freq,IF(SPW_Payout_Freq=12,SPW_Amount_pa/SPW_Payout_Freq,0)))),0)+IFERROR(VLOOKUP(H107,Input!$B$68:$C$74,2,0),0)*(F107=0)*(Option_PW="Y")*(Option_SPW="N")*(age+H107&gt;=Legal_Age)</f>
        <v>0</v>
      </c>
      <c r="O107" s="148">
        <f t="shared" ca="1" si="66"/>
        <v>0</v>
      </c>
      <c r="P107" s="14">
        <f ca="1">(MAX(MAX(sa-CF106*Flag_UL_Type,105%*SUM($I$7:I107))-(AD106+L107-N107)*Flag_UL_Type,0)*B107)</f>
        <v>0</v>
      </c>
      <c r="Q107" s="213">
        <f t="shared" ca="1" si="67"/>
        <v>0</v>
      </c>
      <c r="R107" s="14">
        <f t="shared" ca="1" si="68"/>
        <v>0</v>
      </c>
      <c r="S107" s="14">
        <f t="shared" ca="1" si="69"/>
        <v>0</v>
      </c>
      <c r="T107" s="14">
        <f>IFERROR(IF(WoP_Flag="Y",IF(fq=1,VLOOKUP(ppt*fq-H107,Charges!$AN$41:$AO$59,2,FALSE),IF(fq=2,VLOOKUP(ppt*fq-G107,Charges!$AP$41:$AQ$79,2,FALSE),VLOOKUP(ppt*fq-D107,Charges!$AR$41:$AS$279,2,FALSE)))*pr/fq,0),0)</f>
        <v>0</v>
      </c>
      <c r="U107" s="14">
        <f t="shared" ca="1" si="70"/>
        <v>0</v>
      </c>
      <c r="V107" s="34">
        <f>ROUND(MIN(IF(H107&gt;=7,Charges!$C$12*(1+Charges!$C$14)^((H107-7+1)),VLOOKUP(H107,Charges!$B$7:$C$12,2,0))*pr,Charges!$C$13)*B107,Round)</f>
        <v>500</v>
      </c>
      <c r="W107" s="14">
        <f t="shared" ca="1" si="71"/>
        <v>3068632.3448527004</v>
      </c>
      <c r="X107" s="14">
        <f t="shared" ca="1" si="72"/>
        <v>3088376.0177560132</v>
      </c>
      <c r="Y107" s="213">
        <f t="shared" ca="1" si="96"/>
        <v>3476.3138362805048</v>
      </c>
      <c r="Z107" s="14">
        <f t="shared" ca="1" si="73"/>
        <v>3084273.967429202</v>
      </c>
      <c r="AA107" s="14">
        <f>IF(AND($H107=pt,$F107=11),SUM($K$7:K107)*VLOOKUP(pt,ROC,2,FALSE),0)</f>
        <v>0</v>
      </c>
      <c r="AB107" s="14">
        <f>IF(AND($H107=pt,$F107=11),SUM($V$7:V107)*VLOOKUP(pt,ROC,2,FALSE),0)</f>
        <v>0</v>
      </c>
      <c r="AC107" s="14">
        <f>IF(AND($H107=pt,$F107=11),SUM($Q$7:Q107)*VLOOKUP(pt,ROC,2,FALSE),0)</f>
        <v>0</v>
      </c>
      <c r="AD107" s="14">
        <f t="shared" ca="1" si="74"/>
        <v>3084273.967429202</v>
      </c>
      <c r="AE107" s="14">
        <f ca="1">(MAX(sa-CF106*Flag_UL_Type,105%*SUM($I$7:I107),Z107)+AU107)*B107</f>
        <v>3084273.967429202</v>
      </c>
      <c r="AF107" s="136"/>
      <c r="AG107" s="18">
        <v>101</v>
      </c>
      <c r="AH107" s="30">
        <f t="shared" ca="1" si="75"/>
        <v>0</v>
      </c>
      <c r="AI107" s="58"/>
      <c r="AJ107" s="50">
        <f>IF(AND(Option_Sys_TopUp&gt;="Y",H107&gt;=sytp,H107&lt;=(dtp+sytp-1),F107=0,H107&lt;=ppt+1),atp,0)+IFERROR(VLOOKUP(H107,Input!$B$55:$C$61,2,0),0)*(F107=0)*(Option_TopUP="Y")*(Option_Sys_TopUp="N")*B107*(pt&gt;=H107+5)</f>
        <v>0</v>
      </c>
      <c r="AK107" s="50">
        <f t="shared" si="76"/>
        <v>0</v>
      </c>
      <c r="AL107" s="50">
        <f t="shared" si="97"/>
        <v>0</v>
      </c>
      <c r="AM107" s="50">
        <f t="shared" ca="1" si="98"/>
        <v>0</v>
      </c>
      <c r="AN107" s="50">
        <f ca="1">IF(B107=0,0,AT107*(_rpm1+(1+_emr1)*VLOOKUP(E107,Tab_Mort_Charge,IF(Input!$C$12="M",2,3),0))*(0.001*0.0833)*Flag_Mort_Rider_Charge*(AT107&gt;0))</f>
        <v>0</v>
      </c>
      <c r="AO107" s="50">
        <f t="shared" ca="1" si="77"/>
        <v>0</v>
      </c>
      <c r="AP107" s="50">
        <f t="shared" ca="1" si="105"/>
        <v>0</v>
      </c>
      <c r="AQ107" s="50">
        <f t="shared" ca="1" si="78"/>
        <v>0</v>
      </c>
      <c r="AR107" s="50">
        <f t="shared" ca="1" si="79"/>
        <v>0</v>
      </c>
      <c r="AS107" s="50">
        <f t="shared" si="80"/>
        <v>0</v>
      </c>
      <c r="AT107" s="50">
        <f ca="1">(MAX((MAX(AS107,105%*SUM($AJ$7:AJ107))-AM107*Flag_UL_Type),0)*B107)</f>
        <v>0</v>
      </c>
      <c r="AU107" s="50">
        <f ca="1">(MAX(AS107,AR107,105%*SUM($AJ$7:AJ107))*B107)</f>
        <v>0</v>
      </c>
      <c r="AV107" s="125"/>
      <c r="AW107" s="13"/>
      <c r="AX107" s="13"/>
      <c r="AY107" s="13"/>
      <c r="AZ107" s="13"/>
      <c r="BA107" s="13"/>
      <c r="BG107" s="51">
        <f t="shared" si="81"/>
        <v>0</v>
      </c>
      <c r="BH107" s="51">
        <f t="shared" ca="1" si="82"/>
        <v>0</v>
      </c>
      <c r="BI107" s="51">
        <f t="shared" ca="1" si="83"/>
        <v>0</v>
      </c>
      <c r="BJ107" s="51">
        <f t="shared" ca="1" si="84"/>
        <v>0</v>
      </c>
      <c r="BK107" s="51">
        <f t="shared" si="85"/>
        <v>90</v>
      </c>
      <c r="BL107" s="51">
        <f t="shared" ca="1" si="86"/>
        <v>625.73649053049087</v>
      </c>
      <c r="BM107" s="51">
        <f t="shared" si="87"/>
        <v>0</v>
      </c>
      <c r="BN107" s="51">
        <f t="shared" ca="1" si="88"/>
        <v>0</v>
      </c>
      <c r="BO107" s="51">
        <f t="shared" ca="1" si="89"/>
        <v>0</v>
      </c>
      <c r="BP107" s="51">
        <f t="shared" ca="1" si="90"/>
        <v>715.73649053049087</v>
      </c>
      <c r="BQ107" s="120"/>
      <c r="BR107" s="32"/>
      <c r="BS107" s="126"/>
      <c r="BT107" s="16"/>
      <c r="BU107" s="58"/>
      <c r="BW107" s="51">
        <f>IF(Input!$C$13="Offline",VLOOKUP(H107,Charges!$AT$4:$AU$33,2,FALSE)*I107,0)</f>
        <v>0</v>
      </c>
      <c r="BX107" s="51">
        <f t="shared" si="91"/>
        <v>0</v>
      </c>
      <c r="BY107" s="51">
        <f t="shared" si="100"/>
        <v>0</v>
      </c>
      <c r="BZ107" s="151"/>
      <c r="CA107" s="151"/>
      <c r="CB107" s="32"/>
      <c r="CC107" s="16">
        <f ca="1">SUM($N$7:$N107)</f>
        <v>0</v>
      </c>
      <c r="CD107" s="16">
        <f t="shared" ca="1" si="92"/>
        <v>0</v>
      </c>
      <c r="CE107" s="16">
        <f t="shared" ca="1" si="93"/>
        <v>0</v>
      </c>
      <c r="CF107" s="7">
        <f t="shared" ca="1" si="94"/>
        <v>0</v>
      </c>
      <c r="CH107" s="7">
        <f t="shared" ca="1" si="95"/>
        <v>0</v>
      </c>
    </row>
    <row r="108" spans="2:86" s="7" customFormat="1" x14ac:dyDescent="0.2">
      <c r="B108" s="14">
        <f t="shared" si="59"/>
        <v>1</v>
      </c>
      <c r="C108" s="12">
        <f t="shared" si="60"/>
        <v>1</v>
      </c>
      <c r="D108" s="17">
        <f t="shared" si="101"/>
        <v>102</v>
      </c>
      <c r="E108" s="17">
        <f t="shared" ca="1" si="61"/>
        <v>68</v>
      </c>
      <c r="F108" s="12">
        <f t="shared" si="103"/>
        <v>5</v>
      </c>
      <c r="G108" s="12">
        <f t="shared" si="102"/>
        <v>17</v>
      </c>
      <c r="H108" s="17">
        <f t="shared" si="104"/>
        <v>9</v>
      </c>
      <c r="I108" s="29">
        <f t="shared" si="62"/>
        <v>0</v>
      </c>
      <c r="J108" s="211">
        <f>IFERROR(VLOOKUP(H108,Charges!$T$6:$U$35,2,0)*C108,0)</f>
        <v>0.98</v>
      </c>
      <c r="K108" s="29">
        <f t="shared" si="63"/>
        <v>0</v>
      </c>
      <c r="L108" s="29">
        <f t="shared" si="64"/>
        <v>0</v>
      </c>
      <c r="M108" s="147">
        <f t="shared" ca="1" si="65"/>
        <v>0</v>
      </c>
      <c r="N108" s="148">
        <f ca="1">IF(AND(Option_SPW="Y",H108&gt;=Lock_In_Period,Z107&gt;SPW_Amount_pa+IF(option="Single",1/5*pr,2*pr),H108&gt;=SPW_Start_Year,H108&lt;=SPW_Start_Year+SPW_Duration-1,age+H108&gt;=Legal_Age),IF(AND(F108=0,SPW_Payout_Freq=1),SPW_Amount_pa,IF(AND(SPW_Payout_Freq=2,MOD(F108,6)=0),SPW_Amount_pa/SPW_Payout_Freq,IF(AND(SPW_Payout_Freq=4,MOD(F108,3)=0),SPW_Amount_pa/SPW_Payout_Freq,IF(SPW_Payout_Freq=12,SPW_Amount_pa/SPW_Payout_Freq,0)))),0)+IFERROR(VLOOKUP(H108,Input!$B$68:$C$74,2,0),0)*(F108=0)*(Option_PW="Y")*(Option_SPW="N")*(age+H108&gt;=Legal_Age)</f>
        <v>0</v>
      </c>
      <c r="O108" s="148">
        <f t="shared" ca="1" si="66"/>
        <v>0</v>
      </c>
      <c r="P108" s="14">
        <f ca="1">(MAX(MAX(sa-CF107*Flag_UL_Type,105%*SUM($I$7:I108))-(AD107+L108-N108)*Flag_UL_Type,0)*B108)</f>
        <v>0</v>
      </c>
      <c r="Q108" s="213">
        <f t="shared" ca="1" si="67"/>
        <v>0</v>
      </c>
      <c r="R108" s="14">
        <f t="shared" ca="1" si="68"/>
        <v>0</v>
      </c>
      <c r="S108" s="14">
        <f t="shared" ca="1" si="69"/>
        <v>0</v>
      </c>
      <c r="T108" s="14">
        <f>IFERROR(IF(WoP_Flag="Y",IF(fq=1,VLOOKUP(ppt*fq-H108,Charges!$AN$41:$AO$59,2,FALSE),IF(fq=2,VLOOKUP(ppt*fq-G108,Charges!$AP$41:$AQ$79,2,FALSE),VLOOKUP(ppt*fq-D108,Charges!$AR$41:$AS$279,2,FALSE)))*pr/fq,0),0)</f>
        <v>0</v>
      </c>
      <c r="U108" s="14">
        <f t="shared" ca="1" si="70"/>
        <v>0</v>
      </c>
      <c r="V108" s="34">
        <f>ROUND(MIN(IF(H108&gt;=7,Charges!$C$12*(1+Charges!$C$14)^((H108-7+1)),VLOOKUP(H108,Charges!$B$7:$C$12,2,0))*pr,Charges!$C$13)*B108,Round)</f>
        <v>500</v>
      </c>
      <c r="W108" s="14">
        <f t="shared" ca="1" si="71"/>
        <v>3083683.967429202</v>
      </c>
      <c r="X108" s="14">
        <f t="shared" ca="1" si="72"/>
        <v>3103524.4829253764</v>
      </c>
      <c r="Y108" s="213">
        <f t="shared" ca="1" si="96"/>
        <v>3493.3651340382607</v>
      </c>
      <c r="Z108" s="14">
        <f t="shared" ca="1" si="73"/>
        <v>3099402.3120672111</v>
      </c>
      <c r="AA108" s="14">
        <f>IF(AND($H108=pt,$F108=11),SUM($K$7:K108)*VLOOKUP(pt,ROC,2,FALSE),0)</f>
        <v>0</v>
      </c>
      <c r="AB108" s="14">
        <f>IF(AND($H108=pt,$F108=11),SUM($V$7:V108)*VLOOKUP(pt,ROC,2,FALSE),0)</f>
        <v>0</v>
      </c>
      <c r="AC108" s="14">
        <f>IF(AND($H108=pt,$F108=11),SUM($Q$7:Q108)*VLOOKUP(pt,ROC,2,FALSE),0)</f>
        <v>0</v>
      </c>
      <c r="AD108" s="14">
        <f t="shared" ca="1" si="74"/>
        <v>3099402.3120672111</v>
      </c>
      <c r="AE108" s="14">
        <f ca="1">(MAX(sa-CF107*Flag_UL_Type,105%*SUM($I$7:I108),Z108)+AU108)*B108</f>
        <v>3099402.3120672111</v>
      </c>
      <c r="AF108" s="136"/>
      <c r="AG108" s="18">
        <v>102</v>
      </c>
      <c r="AH108" s="30">
        <f t="shared" ca="1" si="75"/>
        <v>0</v>
      </c>
      <c r="AI108" s="58"/>
      <c r="AJ108" s="50">
        <f>IF(AND(Option_Sys_TopUp&gt;="Y",H108&gt;=sytp,H108&lt;=(dtp+sytp-1),F108=0,H108&lt;=ppt+1),atp,0)+IFERROR(VLOOKUP(H108,Input!$B$55:$C$61,2,0),0)*(F108=0)*(Option_TopUP="Y")*(Option_Sys_TopUp="N")*B108*(pt&gt;=H108+5)</f>
        <v>0</v>
      </c>
      <c r="AK108" s="50">
        <f t="shared" si="76"/>
        <v>0</v>
      </c>
      <c r="AL108" s="50">
        <f t="shared" si="97"/>
        <v>0</v>
      </c>
      <c r="AM108" s="50">
        <f t="shared" ca="1" si="98"/>
        <v>0</v>
      </c>
      <c r="AN108" s="50">
        <f ca="1">IF(B108=0,0,AT108*(_rpm1+(1+_emr1)*VLOOKUP(E108,Tab_Mort_Charge,IF(Input!$C$12="M",2,3),0))*(0.001*0.0833)*Flag_Mort_Rider_Charge*(AT108&gt;0))</f>
        <v>0</v>
      </c>
      <c r="AO108" s="50">
        <f t="shared" ca="1" si="77"/>
        <v>0</v>
      </c>
      <c r="AP108" s="50">
        <f t="shared" ca="1" si="105"/>
        <v>0</v>
      </c>
      <c r="AQ108" s="50">
        <f t="shared" ca="1" si="78"/>
        <v>0</v>
      </c>
      <c r="AR108" s="50">
        <f t="shared" ca="1" si="79"/>
        <v>0</v>
      </c>
      <c r="AS108" s="50">
        <f t="shared" si="80"/>
        <v>0</v>
      </c>
      <c r="AT108" s="50">
        <f ca="1">(MAX((MAX(AS108,105%*SUM($AJ$7:AJ108))-AM108*Flag_UL_Type),0)*B108)</f>
        <v>0</v>
      </c>
      <c r="AU108" s="50">
        <f ca="1">(MAX(AS108,AR108,105%*SUM($AJ$7:AJ108))*B108)</f>
        <v>0</v>
      </c>
      <c r="AV108" s="125"/>
      <c r="AW108" s="13"/>
      <c r="AX108" s="13"/>
      <c r="AY108" s="13"/>
      <c r="AZ108" s="13"/>
      <c r="BA108" s="13"/>
      <c r="BG108" s="51">
        <f t="shared" si="81"/>
        <v>0</v>
      </c>
      <c r="BH108" s="51">
        <f t="shared" ca="1" si="82"/>
        <v>0</v>
      </c>
      <c r="BI108" s="51">
        <f t="shared" ca="1" si="83"/>
        <v>0</v>
      </c>
      <c r="BJ108" s="51">
        <f t="shared" ca="1" si="84"/>
        <v>0</v>
      </c>
      <c r="BK108" s="51">
        <f t="shared" si="85"/>
        <v>90</v>
      </c>
      <c r="BL108" s="51">
        <f t="shared" ca="1" si="86"/>
        <v>628.80572412688696</v>
      </c>
      <c r="BM108" s="51">
        <f t="shared" si="87"/>
        <v>0</v>
      </c>
      <c r="BN108" s="51">
        <f t="shared" ca="1" si="88"/>
        <v>0</v>
      </c>
      <c r="BO108" s="51">
        <f t="shared" ca="1" si="89"/>
        <v>0</v>
      </c>
      <c r="BP108" s="51">
        <f t="shared" ca="1" si="90"/>
        <v>718.80572412688696</v>
      </c>
      <c r="BQ108" s="120"/>
      <c r="BR108" s="32"/>
      <c r="BS108" s="126"/>
      <c r="BT108" s="16"/>
      <c r="BU108" s="58"/>
      <c r="BW108" s="51">
        <f>IF(Input!$C$13="Offline",VLOOKUP(H108,Charges!$AT$4:$AU$33,2,FALSE)*I108,0)</f>
        <v>0</v>
      </c>
      <c r="BX108" s="51">
        <f t="shared" si="91"/>
        <v>0</v>
      </c>
      <c r="BY108" s="51">
        <f t="shared" si="100"/>
        <v>0</v>
      </c>
      <c r="BZ108" s="151"/>
      <c r="CA108" s="151"/>
      <c r="CB108" s="32"/>
      <c r="CC108" s="16">
        <f ca="1">SUM($N$7:$N108)</f>
        <v>0</v>
      </c>
      <c r="CD108" s="16">
        <f t="shared" ca="1" si="92"/>
        <v>0</v>
      </c>
      <c r="CE108" s="16">
        <f t="shared" ca="1" si="93"/>
        <v>0</v>
      </c>
      <c r="CF108" s="7">
        <f t="shared" ca="1" si="94"/>
        <v>0</v>
      </c>
      <c r="CH108" s="7">
        <f t="shared" ca="1" si="95"/>
        <v>0</v>
      </c>
    </row>
    <row r="109" spans="2:86" s="7" customFormat="1" x14ac:dyDescent="0.2">
      <c r="B109" s="14">
        <f t="shared" si="59"/>
        <v>1</v>
      </c>
      <c r="C109" s="12">
        <f t="shared" si="60"/>
        <v>1</v>
      </c>
      <c r="D109" s="17">
        <f t="shared" si="101"/>
        <v>103</v>
      </c>
      <c r="E109" s="17">
        <f t="shared" ca="1" si="61"/>
        <v>68</v>
      </c>
      <c r="F109" s="12">
        <f t="shared" si="103"/>
        <v>6</v>
      </c>
      <c r="G109" s="12">
        <f t="shared" si="102"/>
        <v>18</v>
      </c>
      <c r="H109" s="17">
        <f t="shared" si="104"/>
        <v>9</v>
      </c>
      <c r="I109" s="29">
        <f t="shared" si="62"/>
        <v>0</v>
      </c>
      <c r="J109" s="211">
        <f>IFERROR(VLOOKUP(H109,Charges!$T$6:$U$35,2,0)*C109,0)</f>
        <v>0.98</v>
      </c>
      <c r="K109" s="29">
        <f t="shared" si="63"/>
        <v>0</v>
      </c>
      <c r="L109" s="29">
        <f t="shared" si="64"/>
        <v>0</v>
      </c>
      <c r="M109" s="147">
        <f t="shared" ca="1" si="65"/>
        <v>0</v>
      </c>
      <c r="N109" s="148">
        <f ca="1">IF(AND(Option_SPW="Y",H109&gt;=Lock_In_Period,Z108&gt;SPW_Amount_pa+IF(option="Single",1/5*pr,2*pr),H109&gt;=SPW_Start_Year,H109&lt;=SPW_Start_Year+SPW_Duration-1,age+H109&gt;=Legal_Age),IF(AND(F109=0,SPW_Payout_Freq=1),SPW_Amount_pa,IF(AND(SPW_Payout_Freq=2,MOD(F109,6)=0),SPW_Amount_pa/SPW_Payout_Freq,IF(AND(SPW_Payout_Freq=4,MOD(F109,3)=0),SPW_Amount_pa/SPW_Payout_Freq,IF(SPW_Payout_Freq=12,SPW_Amount_pa/SPW_Payout_Freq,0)))),0)+IFERROR(VLOOKUP(H109,Input!$B$68:$C$74,2,0),0)*(F109=0)*(Option_PW="Y")*(Option_SPW="N")*(age+H109&gt;=Legal_Age)</f>
        <v>0</v>
      </c>
      <c r="O109" s="148">
        <f t="shared" ca="1" si="66"/>
        <v>0</v>
      </c>
      <c r="P109" s="14">
        <f ca="1">(MAX(MAX(sa-CF108*Flag_UL_Type,105%*SUM($I$7:I109))-(AD108+L109-N109)*Flag_UL_Type,0)*B109)</f>
        <v>0</v>
      </c>
      <c r="Q109" s="213">
        <f t="shared" ca="1" si="67"/>
        <v>0</v>
      </c>
      <c r="R109" s="14">
        <f t="shared" ca="1" si="68"/>
        <v>0</v>
      </c>
      <c r="S109" s="14">
        <f t="shared" ca="1" si="69"/>
        <v>0</v>
      </c>
      <c r="T109" s="14">
        <f>IFERROR(IF(WoP_Flag="Y",IF(fq=1,VLOOKUP(ppt*fq-H109,Charges!$AN$41:$AO$59,2,FALSE),IF(fq=2,VLOOKUP(ppt*fq-G109,Charges!$AP$41:$AQ$79,2,FALSE),VLOOKUP(ppt*fq-D109,Charges!$AR$41:$AS$279,2,FALSE)))*pr/fq,0),0)</f>
        <v>0</v>
      </c>
      <c r="U109" s="14">
        <f t="shared" ca="1" si="70"/>
        <v>0</v>
      </c>
      <c r="V109" s="34">
        <f>ROUND(MIN(IF(H109&gt;=7,Charges!$C$12*(1+Charges!$C$14)^((H109-7+1)),VLOOKUP(H109,Charges!$B$7:$C$12,2,0))*pr,Charges!$C$13)*B109,Round)</f>
        <v>500</v>
      </c>
      <c r="W109" s="14">
        <f t="shared" ca="1" si="71"/>
        <v>3098812.3120672111</v>
      </c>
      <c r="X109" s="14">
        <f t="shared" ca="1" si="72"/>
        <v>3118750.1637883009</v>
      </c>
      <c r="Y109" s="213">
        <f t="shared" ca="1" si="96"/>
        <v>3510.5033467255339</v>
      </c>
      <c r="Z109" s="14">
        <f t="shared" ca="1" si="73"/>
        <v>3114607.7698391648</v>
      </c>
      <c r="AA109" s="14">
        <f>IF(AND($H109=pt,$F109=11),SUM($K$7:K109)*VLOOKUP(pt,ROC,2,FALSE),0)</f>
        <v>0</v>
      </c>
      <c r="AB109" s="14">
        <f>IF(AND($H109=pt,$F109=11),SUM($V$7:V109)*VLOOKUP(pt,ROC,2,FALSE),0)</f>
        <v>0</v>
      </c>
      <c r="AC109" s="14">
        <f>IF(AND($H109=pt,$F109=11),SUM($Q$7:Q109)*VLOOKUP(pt,ROC,2,FALSE),0)</f>
        <v>0</v>
      </c>
      <c r="AD109" s="14">
        <f t="shared" ca="1" si="74"/>
        <v>3114607.7698391648</v>
      </c>
      <c r="AE109" s="14">
        <f ca="1">(MAX(sa-CF108*Flag_UL_Type,105%*SUM($I$7:I109),Z109)+AU109)*B109</f>
        <v>3114607.7698391648</v>
      </c>
      <c r="AF109" s="136"/>
      <c r="AG109" s="18">
        <v>103</v>
      </c>
      <c r="AH109" s="30">
        <f t="shared" ca="1" si="75"/>
        <v>0</v>
      </c>
      <c r="AI109" s="58"/>
      <c r="AJ109" s="50">
        <f>IF(AND(Option_Sys_TopUp&gt;="Y",H109&gt;=sytp,H109&lt;=(dtp+sytp-1),F109=0,H109&lt;=ppt+1),atp,0)+IFERROR(VLOOKUP(H109,Input!$B$55:$C$61,2,0),0)*(F109=0)*(Option_TopUP="Y")*(Option_Sys_TopUp="N")*B109*(pt&gt;=H109+5)</f>
        <v>0</v>
      </c>
      <c r="AK109" s="50">
        <f t="shared" si="76"/>
        <v>0</v>
      </c>
      <c r="AL109" s="50">
        <f t="shared" si="97"/>
        <v>0</v>
      </c>
      <c r="AM109" s="50">
        <f t="shared" ca="1" si="98"/>
        <v>0</v>
      </c>
      <c r="AN109" s="50">
        <f ca="1">IF(B109=0,0,AT109*(_rpm1+(1+_emr1)*VLOOKUP(E109,Tab_Mort_Charge,IF(Input!$C$12="M",2,3),0))*(0.001*0.0833)*Flag_Mort_Rider_Charge*(AT109&gt;0))</f>
        <v>0</v>
      </c>
      <c r="AO109" s="50">
        <f t="shared" ca="1" si="77"/>
        <v>0</v>
      </c>
      <c r="AP109" s="50">
        <f t="shared" ca="1" si="105"/>
        <v>0</v>
      </c>
      <c r="AQ109" s="50">
        <f t="shared" ca="1" si="78"/>
        <v>0</v>
      </c>
      <c r="AR109" s="50">
        <f t="shared" ca="1" si="79"/>
        <v>0</v>
      </c>
      <c r="AS109" s="50">
        <f t="shared" si="80"/>
        <v>0</v>
      </c>
      <c r="AT109" s="50">
        <f ca="1">(MAX((MAX(AS109,105%*SUM($AJ$7:AJ109))-AM109*Flag_UL_Type),0)*B109)</f>
        <v>0</v>
      </c>
      <c r="AU109" s="50">
        <f ca="1">(MAX(AS109,AR109,105%*SUM($AJ$7:AJ109))*B109)</f>
        <v>0</v>
      </c>
      <c r="AV109" s="125"/>
      <c r="AW109" s="13"/>
      <c r="AX109" s="13"/>
      <c r="AY109" s="13"/>
      <c r="AZ109" s="13"/>
      <c r="BA109" s="13"/>
      <c r="BG109" s="51">
        <f t="shared" si="81"/>
        <v>0</v>
      </c>
      <c r="BH109" s="51">
        <f t="shared" ca="1" si="82"/>
        <v>0</v>
      </c>
      <c r="BI109" s="51">
        <f t="shared" ca="1" si="83"/>
        <v>0</v>
      </c>
      <c r="BJ109" s="51">
        <f t="shared" ca="1" si="84"/>
        <v>0</v>
      </c>
      <c r="BK109" s="51">
        <f t="shared" si="85"/>
        <v>90</v>
      </c>
      <c r="BL109" s="51">
        <f t="shared" ca="1" si="86"/>
        <v>631.8906024105961</v>
      </c>
      <c r="BM109" s="51">
        <f t="shared" si="87"/>
        <v>0</v>
      </c>
      <c r="BN109" s="51">
        <f t="shared" ca="1" si="88"/>
        <v>0</v>
      </c>
      <c r="BO109" s="51">
        <f t="shared" ca="1" si="89"/>
        <v>0</v>
      </c>
      <c r="BP109" s="51">
        <f t="shared" ca="1" si="90"/>
        <v>721.8906024105961</v>
      </c>
      <c r="BQ109" s="120"/>
      <c r="BR109" s="32"/>
      <c r="BS109" s="126"/>
      <c r="BT109" s="16"/>
      <c r="BU109" s="58"/>
      <c r="BW109" s="51">
        <f>IF(Input!$C$13="Offline",VLOOKUP(H109,Charges!$AT$4:$AU$33,2,FALSE)*I109,0)</f>
        <v>0</v>
      </c>
      <c r="BX109" s="51">
        <f t="shared" si="91"/>
        <v>0</v>
      </c>
      <c r="BY109" s="51">
        <f t="shared" si="100"/>
        <v>0</v>
      </c>
      <c r="BZ109" s="151"/>
      <c r="CA109" s="151"/>
      <c r="CB109" s="32"/>
      <c r="CC109" s="16">
        <f ca="1">SUM($N$7:$N109)</f>
        <v>0</v>
      </c>
      <c r="CD109" s="16">
        <f t="shared" ca="1" si="92"/>
        <v>0</v>
      </c>
      <c r="CE109" s="16">
        <f t="shared" ca="1" si="93"/>
        <v>0</v>
      </c>
      <c r="CF109" s="7">
        <f t="shared" ca="1" si="94"/>
        <v>0</v>
      </c>
      <c r="CH109" s="7">
        <f t="shared" ca="1" si="95"/>
        <v>0</v>
      </c>
    </row>
    <row r="110" spans="2:86" s="7" customFormat="1" x14ac:dyDescent="0.2">
      <c r="B110" s="14">
        <f t="shared" si="59"/>
        <v>1</v>
      </c>
      <c r="C110" s="12">
        <f t="shared" si="60"/>
        <v>1</v>
      </c>
      <c r="D110" s="17">
        <f t="shared" si="101"/>
        <v>104</v>
      </c>
      <c r="E110" s="17">
        <f t="shared" ca="1" si="61"/>
        <v>68</v>
      </c>
      <c r="F110" s="12">
        <f t="shared" si="103"/>
        <v>7</v>
      </c>
      <c r="G110" s="12">
        <f t="shared" si="102"/>
        <v>18</v>
      </c>
      <c r="H110" s="17">
        <f t="shared" si="104"/>
        <v>9</v>
      </c>
      <c r="I110" s="29">
        <f t="shared" si="62"/>
        <v>0</v>
      </c>
      <c r="J110" s="211">
        <f>IFERROR(VLOOKUP(H110,Charges!$T$6:$U$35,2,0)*C110,0)</f>
        <v>0.98</v>
      </c>
      <c r="K110" s="29">
        <f t="shared" si="63"/>
        <v>0</v>
      </c>
      <c r="L110" s="29">
        <f t="shared" si="64"/>
        <v>0</v>
      </c>
      <c r="M110" s="147">
        <f t="shared" ca="1" si="65"/>
        <v>0</v>
      </c>
      <c r="N110" s="148">
        <f ca="1">IF(AND(Option_SPW="Y",H110&gt;=Lock_In_Period,Z109&gt;SPW_Amount_pa+IF(option="Single",1/5*pr,2*pr),H110&gt;=SPW_Start_Year,H110&lt;=SPW_Start_Year+SPW_Duration-1,age+H110&gt;=Legal_Age),IF(AND(F110=0,SPW_Payout_Freq=1),SPW_Amount_pa,IF(AND(SPW_Payout_Freq=2,MOD(F110,6)=0),SPW_Amount_pa/SPW_Payout_Freq,IF(AND(SPW_Payout_Freq=4,MOD(F110,3)=0),SPW_Amount_pa/SPW_Payout_Freq,IF(SPW_Payout_Freq=12,SPW_Amount_pa/SPW_Payout_Freq,0)))),0)+IFERROR(VLOOKUP(H110,Input!$B$68:$C$74,2,0),0)*(F110=0)*(Option_PW="Y")*(Option_SPW="N")*(age+H110&gt;=Legal_Age)</f>
        <v>0</v>
      </c>
      <c r="O110" s="148">
        <f t="shared" ca="1" si="66"/>
        <v>0</v>
      </c>
      <c r="P110" s="14">
        <f ca="1">(MAX(MAX(sa-CF109*Flag_UL_Type,105%*SUM($I$7:I110))-(AD109+L110-N110)*Flag_UL_Type,0)*B110)</f>
        <v>0</v>
      </c>
      <c r="Q110" s="213">
        <f t="shared" ca="1" si="67"/>
        <v>0</v>
      </c>
      <c r="R110" s="14">
        <f t="shared" ca="1" si="68"/>
        <v>0</v>
      </c>
      <c r="S110" s="14">
        <f t="shared" ca="1" si="69"/>
        <v>0</v>
      </c>
      <c r="T110" s="14">
        <f>IFERROR(IF(WoP_Flag="Y",IF(fq=1,VLOOKUP(ppt*fq-H110,Charges!$AN$41:$AO$59,2,FALSE),IF(fq=2,VLOOKUP(ppt*fq-G110,Charges!$AP$41:$AQ$79,2,FALSE),VLOOKUP(ppt*fq-D110,Charges!$AR$41:$AS$279,2,FALSE)))*pr/fq,0),0)</f>
        <v>0</v>
      </c>
      <c r="U110" s="14">
        <f t="shared" ca="1" si="70"/>
        <v>0</v>
      </c>
      <c r="V110" s="34">
        <f>ROUND(MIN(IF(H110&gt;=7,Charges!$C$12*(1+Charges!$C$14)^((H110-7+1)),VLOOKUP(H110,Charges!$B$7:$C$12,2,0))*pr,Charges!$C$13)*B110,Round)</f>
        <v>500</v>
      </c>
      <c r="W110" s="14">
        <f t="shared" ca="1" si="71"/>
        <v>3114017.7698391648</v>
      </c>
      <c r="X110" s="14">
        <f t="shared" ca="1" si="72"/>
        <v>3134053.4539333959</v>
      </c>
      <c r="Y110" s="213">
        <f t="shared" ca="1" si="96"/>
        <v>3527.7289173704785</v>
      </c>
      <c r="Z110" s="14">
        <f t="shared" ca="1" si="73"/>
        <v>3129890.7338108988</v>
      </c>
      <c r="AA110" s="14">
        <f>IF(AND($H110=pt,$F110=11),SUM($K$7:K110)*VLOOKUP(pt,ROC,2,FALSE),0)</f>
        <v>0</v>
      </c>
      <c r="AB110" s="14">
        <f>IF(AND($H110=pt,$F110=11),SUM($V$7:V110)*VLOOKUP(pt,ROC,2,FALSE),0)</f>
        <v>0</v>
      </c>
      <c r="AC110" s="14">
        <f>IF(AND($H110=pt,$F110=11),SUM($Q$7:Q110)*VLOOKUP(pt,ROC,2,FALSE),0)</f>
        <v>0</v>
      </c>
      <c r="AD110" s="14">
        <f t="shared" ca="1" si="74"/>
        <v>3129890.7338108988</v>
      </c>
      <c r="AE110" s="14">
        <f ca="1">(MAX(sa-CF109*Flag_UL_Type,105%*SUM($I$7:I110),Z110)+AU110)*B110</f>
        <v>3129890.7338108988</v>
      </c>
      <c r="AF110" s="136"/>
      <c r="AG110" s="18">
        <v>104</v>
      </c>
      <c r="AH110" s="30">
        <f t="shared" ca="1" si="75"/>
        <v>0</v>
      </c>
      <c r="AI110" s="58"/>
      <c r="AJ110" s="50">
        <f>IF(AND(Option_Sys_TopUp&gt;="Y",H110&gt;=sytp,H110&lt;=(dtp+sytp-1),F110=0,H110&lt;=ppt+1),atp,0)+IFERROR(VLOOKUP(H110,Input!$B$55:$C$61,2,0),0)*(F110=0)*(Option_TopUP="Y")*(Option_Sys_TopUp="N")*B110*(pt&gt;=H110+5)</f>
        <v>0</v>
      </c>
      <c r="AK110" s="50">
        <f t="shared" si="76"/>
        <v>0</v>
      </c>
      <c r="AL110" s="50">
        <f t="shared" si="97"/>
        <v>0</v>
      </c>
      <c r="AM110" s="50">
        <f t="shared" ca="1" si="98"/>
        <v>0</v>
      </c>
      <c r="AN110" s="50">
        <f ca="1">IF(B110=0,0,AT110*(_rpm1+(1+_emr1)*VLOOKUP(E110,Tab_Mort_Charge,IF(Input!$C$12="M",2,3),0))*(0.001*0.0833)*Flag_Mort_Rider_Charge*(AT110&gt;0))</f>
        <v>0</v>
      </c>
      <c r="AO110" s="50">
        <f t="shared" ca="1" si="77"/>
        <v>0</v>
      </c>
      <c r="AP110" s="50">
        <f t="shared" ca="1" si="105"/>
        <v>0</v>
      </c>
      <c r="AQ110" s="50">
        <f t="shared" ca="1" si="78"/>
        <v>0</v>
      </c>
      <c r="AR110" s="50">
        <f t="shared" ca="1" si="79"/>
        <v>0</v>
      </c>
      <c r="AS110" s="50">
        <f t="shared" si="80"/>
        <v>0</v>
      </c>
      <c r="AT110" s="50">
        <f ca="1">(MAX((MAX(AS110,105%*SUM($AJ$7:AJ110))-AM110*Flag_UL_Type),0)*B110)</f>
        <v>0</v>
      </c>
      <c r="AU110" s="50">
        <f ca="1">(MAX(AS110,AR110,105%*SUM($AJ$7:AJ110))*B110)</f>
        <v>0</v>
      </c>
      <c r="AV110" s="125"/>
      <c r="AW110" s="13"/>
      <c r="AX110" s="13"/>
      <c r="AY110" s="13"/>
      <c r="AZ110" s="13"/>
      <c r="BA110" s="13"/>
      <c r="BG110" s="51">
        <f t="shared" si="81"/>
        <v>0</v>
      </c>
      <c r="BH110" s="51">
        <f t="shared" ca="1" si="82"/>
        <v>0</v>
      </c>
      <c r="BI110" s="51">
        <f t="shared" ca="1" si="83"/>
        <v>0</v>
      </c>
      <c r="BJ110" s="51">
        <f t="shared" ca="1" si="84"/>
        <v>0</v>
      </c>
      <c r="BK110" s="51">
        <f t="shared" si="85"/>
        <v>90</v>
      </c>
      <c r="BL110" s="51">
        <f t="shared" ca="1" si="86"/>
        <v>634.99120512668605</v>
      </c>
      <c r="BM110" s="51">
        <f t="shared" si="87"/>
        <v>0</v>
      </c>
      <c r="BN110" s="51">
        <f t="shared" ca="1" si="88"/>
        <v>0</v>
      </c>
      <c r="BO110" s="51">
        <f t="shared" ca="1" si="89"/>
        <v>0</v>
      </c>
      <c r="BP110" s="51">
        <f t="shared" ca="1" si="90"/>
        <v>724.99120512668605</v>
      </c>
      <c r="BQ110" s="120"/>
      <c r="BR110" s="32"/>
      <c r="BS110" s="126"/>
      <c r="BT110" s="16"/>
      <c r="BU110" s="58"/>
      <c r="BW110" s="51">
        <f>IF(Input!$C$13="Offline",VLOOKUP(H110,Charges!$AT$4:$AU$33,2,FALSE)*I110,0)</f>
        <v>0</v>
      </c>
      <c r="BX110" s="51">
        <f t="shared" si="91"/>
        <v>0</v>
      </c>
      <c r="BY110" s="51">
        <f t="shared" si="100"/>
        <v>0</v>
      </c>
      <c r="BZ110" s="151"/>
      <c r="CA110" s="151"/>
      <c r="CB110" s="32"/>
      <c r="CC110" s="16">
        <f ca="1">SUM($N$7:$N110)</f>
        <v>0</v>
      </c>
      <c r="CD110" s="16">
        <f t="shared" ca="1" si="92"/>
        <v>0</v>
      </c>
      <c r="CE110" s="16">
        <f t="shared" ca="1" si="93"/>
        <v>0</v>
      </c>
      <c r="CF110" s="7">
        <f t="shared" ca="1" si="94"/>
        <v>0</v>
      </c>
      <c r="CH110" s="7">
        <f t="shared" ca="1" si="95"/>
        <v>0</v>
      </c>
    </row>
    <row r="111" spans="2:86" s="7" customFormat="1" x14ac:dyDescent="0.2">
      <c r="B111" s="14">
        <f t="shared" si="59"/>
        <v>1</v>
      </c>
      <c r="C111" s="12">
        <f t="shared" si="60"/>
        <v>1</v>
      </c>
      <c r="D111" s="17">
        <f t="shared" si="101"/>
        <v>105</v>
      </c>
      <c r="E111" s="17">
        <f t="shared" ca="1" si="61"/>
        <v>68</v>
      </c>
      <c r="F111" s="12">
        <f t="shared" si="103"/>
        <v>8</v>
      </c>
      <c r="G111" s="12">
        <f t="shared" si="102"/>
        <v>18</v>
      </c>
      <c r="H111" s="17">
        <f t="shared" si="104"/>
        <v>9</v>
      </c>
      <c r="I111" s="29">
        <f t="shared" si="62"/>
        <v>0</v>
      </c>
      <c r="J111" s="211">
        <f>IFERROR(VLOOKUP(H111,Charges!$T$6:$U$35,2,0)*C111,0)</f>
        <v>0.98</v>
      </c>
      <c r="K111" s="29">
        <f t="shared" si="63"/>
        <v>0</v>
      </c>
      <c r="L111" s="29">
        <f t="shared" si="64"/>
        <v>0</v>
      </c>
      <c r="M111" s="147">
        <f t="shared" ca="1" si="65"/>
        <v>0</v>
      </c>
      <c r="N111" s="148">
        <f ca="1">IF(AND(Option_SPW="Y",H111&gt;=Lock_In_Period,Z110&gt;SPW_Amount_pa+IF(option="Single",1/5*pr,2*pr),H111&gt;=SPW_Start_Year,H111&lt;=SPW_Start_Year+SPW_Duration-1,age+H111&gt;=Legal_Age),IF(AND(F111=0,SPW_Payout_Freq=1),SPW_Amount_pa,IF(AND(SPW_Payout_Freq=2,MOD(F111,6)=0),SPW_Amount_pa/SPW_Payout_Freq,IF(AND(SPW_Payout_Freq=4,MOD(F111,3)=0),SPW_Amount_pa/SPW_Payout_Freq,IF(SPW_Payout_Freq=12,SPW_Amount_pa/SPW_Payout_Freq,0)))),0)+IFERROR(VLOOKUP(H111,Input!$B$68:$C$74,2,0),0)*(F111=0)*(Option_PW="Y")*(Option_SPW="N")*(age+H111&gt;=Legal_Age)</f>
        <v>0</v>
      </c>
      <c r="O111" s="148">
        <f t="shared" ca="1" si="66"/>
        <v>0</v>
      </c>
      <c r="P111" s="14">
        <f ca="1">(MAX(MAX(sa-CF110*Flag_UL_Type,105%*SUM($I$7:I111))-(AD110+L111-N111)*Flag_UL_Type,0)*B111)</f>
        <v>0</v>
      </c>
      <c r="Q111" s="213">
        <f t="shared" ca="1" si="67"/>
        <v>0</v>
      </c>
      <c r="R111" s="14">
        <f t="shared" ca="1" si="68"/>
        <v>0</v>
      </c>
      <c r="S111" s="14">
        <f t="shared" ca="1" si="69"/>
        <v>0</v>
      </c>
      <c r="T111" s="14">
        <f>IFERROR(IF(WoP_Flag="Y",IF(fq=1,VLOOKUP(ppt*fq-H111,Charges!$AN$41:$AO$59,2,FALSE),IF(fq=2,VLOOKUP(ppt*fq-G111,Charges!$AP$41:$AQ$79,2,FALSE),VLOOKUP(ppt*fq-D111,Charges!$AR$41:$AS$279,2,FALSE)))*pr/fq,0),0)</f>
        <v>0</v>
      </c>
      <c r="U111" s="14">
        <f t="shared" ca="1" si="70"/>
        <v>0</v>
      </c>
      <c r="V111" s="34">
        <f>ROUND(MIN(IF(H111&gt;=7,Charges!$C$12*(1+Charges!$C$14)^((H111-7+1)),VLOOKUP(H111,Charges!$B$7:$C$12,2,0))*pr,Charges!$C$13)*B111,Round)</f>
        <v>500</v>
      </c>
      <c r="W111" s="14">
        <f t="shared" ca="1" si="71"/>
        <v>3129300.7338108988</v>
      </c>
      <c r="X111" s="14">
        <f t="shared" ca="1" si="72"/>
        <v>3149434.7489554938</v>
      </c>
      <c r="Y111" s="213">
        <f t="shared" ca="1" si="96"/>
        <v>3545.0422912594786</v>
      </c>
      <c r="Z111" s="14">
        <f t="shared" ca="1" si="73"/>
        <v>3145251.5990518075</v>
      </c>
      <c r="AA111" s="14">
        <f>IF(AND($H111=pt,$F111=11),SUM($K$7:K111)*VLOOKUP(pt,ROC,2,FALSE),0)</f>
        <v>0</v>
      </c>
      <c r="AB111" s="14">
        <f>IF(AND($H111=pt,$F111=11),SUM($V$7:V111)*VLOOKUP(pt,ROC,2,FALSE),0)</f>
        <v>0</v>
      </c>
      <c r="AC111" s="14">
        <f>IF(AND($H111=pt,$F111=11),SUM($Q$7:Q111)*VLOOKUP(pt,ROC,2,FALSE),0)</f>
        <v>0</v>
      </c>
      <c r="AD111" s="14">
        <f t="shared" ca="1" si="74"/>
        <v>3145251.5990518075</v>
      </c>
      <c r="AE111" s="14">
        <f ca="1">(MAX(sa-CF110*Flag_UL_Type,105%*SUM($I$7:I111),Z111)+AU111)*B111</f>
        <v>3145251.5990518075</v>
      </c>
      <c r="AF111" s="136"/>
      <c r="AG111" s="18">
        <v>105</v>
      </c>
      <c r="AH111" s="30">
        <f t="shared" ca="1" si="75"/>
        <v>0</v>
      </c>
      <c r="AI111" s="58"/>
      <c r="AJ111" s="50">
        <f>IF(AND(Option_Sys_TopUp&gt;="Y",H111&gt;=sytp,H111&lt;=(dtp+sytp-1),F111=0,H111&lt;=ppt+1),atp,0)+IFERROR(VLOOKUP(H111,Input!$B$55:$C$61,2,0),0)*(F111=0)*(Option_TopUP="Y")*(Option_Sys_TopUp="N")*B111*(pt&gt;=H111+5)</f>
        <v>0</v>
      </c>
      <c r="AK111" s="50">
        <f t="shared" si="76"/>
        <v>0</v>
      </c>
      <c r="AL111" s="50">
        <f t="shared" si="97"/>
        <v>0</v>
      </c>
      <c r="AM111" s="50">
        <f t="shared" ca="1" si="98"/>
        <v>0</v>
      </c>
      <c r="AN111" s="50">
        <f ca="1">IF(B111=0,0,AT111*(_rpm1+(1+_emr1)*VLOOKUP(E111,Tab_Mort_Charge,IF(Input!$C$12="M",2,3),0))*(0.001*0.0833)*Flag_Mort_Rider_Charge*(AT111&gt;0))</f>
        <v>0</v>
      </c>
      <c r="AO111" s="50">
        <f t="shared" ca="1" si="77"/>
        <v>0</v>
      </c>
      <c r="AP111" s="50">
        <f t="shared" ca="1" si="105"/>
        <v>0</v>
      </c>
      <c r="AQ111" s="50">
        <f t="shared" ca="1" si="78"/>
        <v>0</v>
      </c>
      <c r="AR111" s="50">
        <f t="shared" ca="1" si="79"/>
        <v>0</v>
      </c>
      <c r="AS111" s="50">
        <f t="shared" si="80"/>
        <v>0</v>
      </c>
      <c r="AT111" s="50">
        <f ca="1">(MAX((MAX(AS111,105%*SUM($AJ$7:AJ111))-AM111*Flag_UL_Type),0)*B111)</f>
        <v>0</v>
      </c>
      <c r="AU111" s="50">
        <f ca="1">(MAX(AS111,AR111,105%*SUM($AJ$7:AJ111))*B111)</f>
        <v>0</v>
      </c>
      <c r="AV111" s="125"/>
      <c r="AW111" s="13"/>
      <c r="AX111" s="13"/>
      <c r="AY111" s="13"/>
      <c r="AZ111" s="13"/>
      <c r="BA111" s="13"/>
      <c r="BG111" s="51">
        <f t="shared" si="81"/>
        <v>0</v>
      </c>
      <c r="BH111" s="51">
        <f t="shared" ca="1" si="82"/>
        <v>0</v>
      </c>
      <c r="BI111" s="51">
        <f t="shared" ca="1" si="83"/>
        <v>0</v>
      </c>
      <c r="BJ111" s="51">
        <f t="shared" ca="1" si="84"/>
        <v>0</v>
      </c>
      <c r="BK111" s="51">
        <f t="shared" si="85"/>
        <v>90</v>
      </c>
      <c r="BL111" s="51">
        <f t="shared" ca="1" si="86"/>
        <v>638.10761242670617</v>
      </c>
      <c r="BM111" s="51">
        <f t="shared" si="87"/>
        <v>0</v>
      </c>
      <c r="BN111" s="51">
        <f t="shared" ca="1" si="88"/>
        <v>0</v>
      </c>
      <c r="BO111" s="51">
        <f t="shared" ca="1" si="89"/>
        <v>0</v>
      </c>
      <c r="BP111" s="51">
        <f t="shared" ca="1" si="90"/>
        <v>728.10761242670617</v>
      </c>
      <c r="BQ111" s="120"/>
      <c r="BR111" s="32"/>
      <c r="BS111" s="126"/>
      <c r="BT111" s="16"/>
      <c r="BU111" s="58"/>
      <c r="BW111" s="51">
        <f>IF(Input!$C$13="Offline",VLOOKUP(H111,Charges!$AT$4:$AU$33,2,FALSE)*I111,0)</f>
        <v>0</v>
      </c>
      <c r="BX111" s="51">
        <f t="shared" si="91"/>
        <v>0</v>
      </c>
      <c r="BY111" s="51">
        <f t="shared" si="100"/>
        <v>0</v>
      </c>
      <c r="BZ111" s="151"/>
      <c r="CA111" s="151"/>
      <c r="CB111" s="32"/>
      <c r="CC111" s="16">
        <f ca="1">SUM($N$7:$N111)</f>
        <v>0</v>
      </c>
      <c r="CD111" s="16">
        <f t="shared" ca="1" si="92"/>
        <v>0</v>
      </c>
      <c r="CE111" s="16">
        <f t="shared" ca="1" si="93"/>
        <v>0</v>
      </c>
      <c r="CF111" s="7">
        <f t="shared" ca="1" si="94"/>
        <v>0</v>
      </c>
      <c r="CH111" s="7">
        <f t="shared" ca="1" si="95"/>
        <v>0</v>
      </c>
    </row>
    <row r="112" spans="2:86" s="7" customFormat="1" x14ac:dyDescent="0.2">
      <c r="B112" s="14">
        <f t="shared" si="59"/>
        <v>1</v>
      </c>
      <c r="C112" s="12">
        <f t="shared" si="60"/>
        <v>1</v>
      </c>
      <c r="D112" s="17">
        <f t="shared" si="101"/>
        <v>106</v>
      </c>
      <c r="E112" s="17">
        <f t="shared" ca="1" si="61"/>
        <v>68</v>
      </c>
      <c r="F112" s="12">
        <f t="shared" si="103"/>
        <v>9</v>
      </c>
      <c r="G112" s="12">
        <f t="shared" si="102"/>
        <v>18</v>
      </c>
      <c r="H112" s="17">
        <f t="shared" si="104"/>
        <v>9</v>
      </c>
      <c r="I112" s="29">
        <f t="shared" si="62"/>
        <v>0</v>
      </c>
      <c r="J112" s="211">
        <f>IFERROR(VLOOKUP(H112,Charges!$T$6:$U$35,2,0)*C112,0)</f>
        <v>0.98</v>
      </c>
      <c r="K112" s="29">
        <f t="shared" si="63"/>
        <v>0</v>
      </c>
      <c r="L112" s="29">
        <f t="shared" si="64"/>
        <v>0</v>
      </c>
      <c r="M112" s="147">
        <f t="shared" ca="1" si="65"/>
        <v>0</v>
      </c>
      <c r="N112" s="148">
        <f ca="1">IF(AND(Option_SPW="Y",H112&gt;=Lock_In_Period,Z111&gt;SPW_Amount_pa+IF(option="Single",1/5*pr,2*pr),H112&gt;=SPW_Start_Year,H112&lt;=SPW_Start_Year+SPW_Duration-1,age+H112&gt;=Legal_Age),IF(AND(F112=0,SPW_Payout_Freq=1),SPW_Amount_pa,IF(AND(SPW_Payout_Freq=2,MOD(F112,6)=0),SPW_Amount_pa/SPW_Payout_Freq,IF(AND(SPW_Payout_Freq=4,MOD(F112,3)=0),SPW_Amount_pa/SPW_Payout_Freq,IF(SPW_Payout_Freq=12,SPW_Amount_pa/SPW_Payout_Freq,0)))),0)+IFERROR(VLOOKUP(H112,Input!$B$68:$C$74,2,0),0)*(F112=0)*(Option_PW="Y")*(Option_SPW="N")*(age+H112&gt;=Legal_Age)</f>
        <v>0</v>
      </c>
      <c r="O112" s="148">
        <f t="shared" ca="1" si="66"/>
        <v>0</v>
      </c>
      <c r="P112" s="14">
        <f ca="1">(MAX(MAX(sa-CF111*Flag_UL_Type,105%*SUM($I$7:I112))-(AD111+L112-N112)*Flag_UL_Type,0)*B112)</f>
        <v>0</v>
      </c>
      <c r="Q112" s="213">
        <f t="shared" ca="1" si="67"/>
        <v>0</v>
      </c>
      <c r="R112" s="14">
        <f t="shared" ca="1" si="68"/>
        <v>0</v>
      </c>
      <c r="S112" s="14">
        <f t="shared" ca="1" si="69"/>
        <v>0</v>
      </c>
      <c r="T112" s="14">
        <f>IFERROR(IF(WoP_Flag="Y",IF(fq=1,VLOOKUP(ppt*fq-H112,Charges!$AN$41:$AO$59,2,FALSE),IF(fq=2,VLOOKUP(ppt*fq-G112,Charges!$AP$41:$AQ$79,2,FALSE),VLOOKUP(ppt*fq-D112,Charges!$AR$41:$AS$279,2,FALSE)))*pr/fq,0),0)</f>
        <v>0</v>
      </c>
      <c r="U112" s="14">
        <f t="shared" ca="1" si="70"/>
        <v>0</v>
      </c>
      <c r="V112" s="34">
        <f>ROUND(MIN(IF(H112&gt;=7,Charges!$C$12*(1+Charges!$C$14)^((H112-7+1)),VLOOKUP(H112,Charges!$B$7:$C$12,2,0))*pr,Charges!$C$13)*B112,Round)</f>
        <v>500</v>
      </c>
      <c r="W112" s="14">
        <f t="shared" ca="1" si="71"/>
        <v>3144661.5990518075</v>
      </c>
      <c r="X112" s="14">
        <f t="shared" ca="1" si="72"/>
        <v>3164894.4464658783</v>
      </c>
      <c r="Y112" s="213">
        <f t="shared" ca="1" si="96"/>
        <v>3562.4439159486606</v>
      </c>
      <c r="Z112" s="14">
        <f t="shared" ca="1" si="73"/>
        <v>3160690.7626450588</v>
      </c>
      <c r="AA112" s="14">
        <f>IF(AND($H112=pt,$F112=11),SUM($K$7:K112)*VLOOKUP(pt,ROC,2,FALSE),0)</f>
        <v>0</v>
      </c>
      <c r="AB112" s="14">
        <f>IF(AND($H112=pt,$F112=11),SUM($V$7:V112)*VLOOKUP(pt,ROC,2,FALSE),0)</f>
        <v>0</v>
      </c>
      <c r="AC112" s="14">
        <f>IF(AND($H112=pt,$F112=11),SUM($Q$7:Q112)*VLOOKUP(pt,ROC,2,FALSE),0)</f>
        <v>0</v>
      </c>
      <c r="AD112" s="14">
        <f t="shared" ca="1" si="74"/>
        <v>3160690.7626450588</v>
      </c>
      <c r="AE112" s="14">
        <f ca="1">(MAX(sa-CF111*Flag_UL_Type,105%*SUM($I$7:I112),Z112)+AU112)*B112</f>
        <v>3160690.7626450588</v>
      </c>
      <c r="AF112" s="136"/>
      <c r="AG112" s="18">
        <v>106</v>
      </c>
      <c r="AH112" s="30">
        <f t="shared" ca="1" si="75"/>
        <v>0</v>
      </c>
      <c r="AI112" s="58"/>
      <c r="AJ112" s="50">
        <f>IF(AND(Option_Sys_TopUp&gt;="Y",H112&gt;=sytp,H112&lt;=(dtp+sytp-1),F112=0,H112&lt;=ppt+1),atp,0)+IFERROR(VLOOKUP(H112,Input!$B$55:$C$61,2,0),0)*(F112=0)*(Option_TopUP="Y")*(Option_Sys_TopUp="N")*B112*(pt&gt;=H112+5)</f>
        <v>0</v>
      </c>
      <c r="AK112" s="50">
        <f t="shared" si="76"/>
        <v>0</v>
      </c>
      <c r="AL112" s="50">
        <f t="shared" si="97"/>
        <v>0</v>
      </c>
      <c r="AM112" s="50">
        <f t="shared" ca="1" si="98"/>
        <v>0</v>
      </c>
      <c r="AN112" s="50">
        <f ca="1">IF(B112=0,0,AT112*(_rpm1+(1+_emr1)*VLOOKUP(E112,Tab_Mort_Charge,IF(Input!$C$12="M",2,3),0))*(0.001*0.0833)*Flag_Mort_Rider_Charge*(AT112&gt;0))</f>
        <v>0</v>
      </c>
      <c r="AO112" s="50">
        <f t="shared" ca="1" si="77"/>
        <v>0</v>
      </c>
      <c r="AP112" s="50">
        <f t="shared" ca="1" si="105"/>
        <v>0</v>
      </c>
      <c r="AQ112" s="50">
        <f t="shared" ca="1" si="78"/>
        <v>0</v>
      </c>
      <c r="AR112" s="50">
        <f t="shared" ca="1" si="79"/>
        <v>0</v>
      </c>
      <c r="AS112" s="50">
        <f t="shared" si="80"/>
        <v>0</v>
      </c>
      <c r="AT112" s="50">
        <f ca="1">(MAX((MAX(AS112,105%*SUM($AJ$7:AJ112))-AM112*Flag_UL_Type),0)*B112)</f>
        <v>0</v>
      </c>
      <c r="AU112" s="50">
        <f ca="1">(MAX(AS112,AR112,105%*SUM($AJ$7:AJ112))*B112)</f>
        <v>0</v>
      </c>
      <c r="AV112" s="125"/>
      <c r="AW112" s="13"/>
      <c r="AX112" s="13"/>
      <c r="AY112" s="13"/>
      <c r="AZ112" s="13"/>
      <c r="BA112" s="13"/>
      <c r="BG112" s="51">
        <f t="shared" si="81"/>
        <v>0</v>
      </c>
      <c r="BH112" s="51">
        <f t="shared" ca="1" si="82"/>
        <v>0</v>
      </c>
      <c r="BI112" s="51">
        <f t="shared" ca="1" si="83"/>
        <v>0</v>
      </c>
      <c r="BJ112" s="51">
        <f t="shared" ca="1" si="84"/>
        <v>0</v>
      </c>
      <c r="BK112" s="51">
        <f t="shared" si="85"/>
        <v>90</v>
      </c>
      <c r="BL112" s="51">
        <f t="shared" ca="1" si="86"/>
        <v>641.23990487075889</v>
      </c>
      <c r="BM112" s="51">
        <f t="shared" si="87"/>
        <v>0</v>
      </c>
      <c r="BN112" s="51">
        <f t="shared" ca="1" si="88"/>
        <v>0</v>
      </c>
      <c r="BO112" s="51">
        <f t="shared" ca="1" si="89"/>
        <v>0</v>
      </c>
      <c r="BP112" s="51">
        <f t="shared" ca="1" si="90"/>
        <v>731.23990487075889</v>
      </c>
      <c r="BQ112" s="120"/>
      <c r="BR112" s="32"/>
      <c r="BS112" s="126"/>
      <c r="BT112" s="16"/>
      <c r="BU112" s="58"/>
      <c r="BW112" s="51">
        <f>IF(Input!$C$13="Offline",VLOOKUP(H112,Charges!$AT$4:$AU$33,2,FALSE)*I112,0)</f>
        <v>0</v>
      </c>
      <c r="BX112" s="51">
        <f t="shared" si="91"/>
        <v>0</v>
      </c>
      <c r="BY112" s="51">
        <f t="shared" si="100"/>
        <v>0</v>
      </c>
      <c r="BZ112" s="151"/>
      <c r="CA112" s="151"/>
      <c r="CB112" s="32"/>
      <c r="CC112" s="16">
        <f ca="1">SUM($N$7:$N112)</f>
        <v>0</v>
      </c>
      <c r="CD112" s="16">
        <f t="shared" ca="1" si="92"/>
        <v>0</v>
      </c>
      <c r="CE112" s="16">
        <f t="shared" ca="1" si="93"/>
        <v>0</v>
      </c>
      <c r="CF112" s="7">
        <f t="shared" ca="1" si="94"/>
        <v>0</v>
      </c>
      <c r="CH112" s="7">
        <f t="shared" ca="1" si="95"/>
        <v>0</v>
      </c>
    </row>
    <row r="113" spans="2:86" s="7" customFormat="1" x14ac:dyDescent="0.2">
      <c r="B113" s="14">
        <f t="shared" si="59"/>
        <v>1</v>
      </c>
      <c r="C113" s="12">
        <f t="shared" si="60"/>
        <v>1</v>
      </c>
      <c r="D113" s="17">
        <f t="shared" si="101"/>
        <v>107</v>
      </c>
      <c r="E113" s="17">
        <f t="shared" ca="1" si="61"/>
        <v>68</v>
      </c>
      <c r="F113" s="12">
        <f t="shared" si="103"/>
        <v>10</v>
      </c>
      <c r="G113" s="12">
        <f t="shared" si="102"/>
        <v>18</v>
      </c>
      <c r="H113" s="17">
        <f t="shared" si="104"/>
        <v>9</v>
      </c>
      <c r="I113" s="29">
        <f t="shared" si="62"/>
        <v>0</v>
      </c>
      <c r="J113" s="211">
        <f>IFERROR(VLOOKUP(H113,Charges!$T$6:$U$35,2,0)*C113,0)</f>
        <v>0.98</v>
      </c>
      <c r="K113" s="29">
        <f t="shared" si="63"/>
        <v>0</v>
      </c>
      <c r="L113" s="29">
        <f t="shared" si="64"/>
        <v>0</v>
      </c>
      <c r="M113" s="147">
        <f t="shared" ca="1" si="65"/>
        <v>0</v>
      </c>
      <c r="N113" s="148">
        <f ca="1">IF(AND(Option_SPW="Y",H113&gt;=Lock_In_Period,Z112&gt;SPW_Amount_pa+IF(option="Single",1/5*pr,2*pr),H113&gt;=SPW_Start_Year,H113&lt;=SPW_Start_Year+SPW_Duration-1,age+H113&gt;=Legal_Age),IF(AND(F113=0,SPW_Payout_Freq=1),SPW_Amount_pa,IF(AND(SPW_Payout_Freq=2,MOD(F113,6)=0),SPW_Amount_pa/SPW_Payout_Freq,IF(AND(SPW_Payout_Freq=4,MOD(F113,3)=0),SPW_Amount_pa/SPW_Payout_Freq,IF(SPW_Payout_Freq=12,SPW_Amount_pa/SPW_Payout_Freq,0)))),0)+IFERROR(VLOOKUP(H113,Input!$B$68:$C$74,2,0),0)*(F113=0)*(Option_PW="Y")*(Option_SPW="N")*(age+H113&gt;=Legal_Age)</f>
        <v>0</v>
      </c>
      <c r="O113" s="148">
        <f t="shared" ca="1" si="66"/>
        <v>0</v>
      </c>
      <c r="P113" s="14">
        <f ca="1">(MAX(MAX(sa-CF112*Flag_UL_Type,105%*SUM($I$7:I113))-(AD112+L113-N113)*Flag_UL_Type,0)*B113)</f>
        <v>0</v>
      </c>
      <c r="Q113" s="213">
        <f t="shared" ca="1" si="67"/>
        <v>0</v>
      </c>
      <c r="R113" s="14">
        <f t="shared" ca="1" si="68"/>
        <v>0</v>
      </c>
      <c r="S113" s="14">
        <f t="shared" ca="1" si="69"/>
        <v>0</v>
      </c>
      <c r="T113" s="14">
        <f>IFERROR(IF(WoP_Flag="Y",IF(fq=1,VLOOKUP(ppt*fq-H113,Charges!$AN$41:$AO$59,2,FALSE),IF(fq=2,VLOOKUP(ppt*fq-G113,Charges!$AP$41:$AQ$79,2,FALSE),VLOOKUP(ppt*fq-D113,Charges!$AR$41:$AS$279,2,FALSE)))*pr/fq,0),0)</f>
        <v>0</v>
      </c>
      <c r="U113" s="14">
        <f t="shared" ca="1" si="70"/>
        <v>0</v>
      </c>
      <c r="V113" s="34">
        <f>ROUND(MIN(IF(H113&gt;=7,Charges!$C$12*(1+Charges!$C$14)^((H113-7+1)),VLOOKUP(H113,Charges!$B$7:$C$12,2,0))*pr,Charges!$C$13)*B113,Round)</f>
        <v>500</v>
      </c>
      <c r="W113" s="14">
        <f t="shared" ca="1" si="71"/>
        <v>3160100.7626450588</v>
      </c>
      <c r="X113" s="14">
        <f t="shared" ca="1" si="72"/>
        <v>3180432.9461025619</v>
      </c>
      <c r="Y113" s="213">
        <f t="shared" ca="1" si="96"/>
        <v>3579.9342412754618</v>
      </c>
      <c r="Z113" s="14">
        <f t="shared" ca="1" si="73"/>
        <v>3176208.6236978569</v>
      </c>
      <c r="AA113" s="14">
        <f>IF(AND($H113=pt,$F113=11),SUM($K$7:K113)*VLOOKUP(pt,ROC,2,FALSE),0)</f>
        <v>0</v>
      </c>
      <c r="AB113" s="14">
        <f>IF(AND($H113=pt,$F113=11),SUM($V$7:V113)*VLOOKUP(pt,ROC,2,FALSE),0)</f>
        <v>0</v>
      </c>
      <c r="AC113" s="14">
        <f>IF(AND($H113=pt,$F113=11),SUM($Q$7:Q113)*VLOOKUP(pt,ROC,2,FALSE),0)</f>
        <v>0</v>
      </c>
      <c r="AD113" s="14">
        <f t="shared" ca="1" si="74"/>
        <v>3176208.6236978569</v>
      </c>
      <c r="AE113" s="14">
        <f ca="1">(MAX(sa-CF112*Flag_UL_Type,105%*SUM($I$7:I113),Z113)+AU113)*B113</f>
        <v>3176208.6236978569</v>
      </c>
      <c r="AF113" s="136"/>
      <c r="AG113" s="18">
        <v>107</v>
      </c>
      <c r="AH113" s="30">
        <f t="shared" ca="1" si="75"/>
        <v>0</v>
      </c>
      <c r="AI113" s="58"/>
      <c r="AJ113" s="50">
        <f>IF(AND(Option_Sys_TopUp&gt;="Y",H113&gt;=sytp,H113&lt;=(dtp+sytp-1),F113=0,H113&lt;=ppt+1),atp,0)+IFERROR(VLOOKUP(H113,Input!$B$55:$C$61,2,0),0)*(F113=0)*(Option_TopUP="Y")*(Option_Sys_TopUp="N")*B113*(pt&gt;=H113+5)</f>
        <v>0</v>
      </c>
      <c r="AK113" s="50">
        <f t="shared" si="76"/>
        <v>0</v>
      </c>
      <c r="AL113" s="50">
        <f t="shared" si="97"/>
        <v>0</v>
      </c>
      <c r="AM113" s="50">
        <f t="shared" ca="1" si="98"/>
        <v>0</v>
      </c>
      <c r="AN113" s="50">
        <f ca="1">IF(B113=0,0,AT113*(_rpm1+(1+_emr1)*VLOOKUP(E113,Tab_Mort_Charge,IF(Input!$C$12="M",2,3),0))*(0.001*0.0833)*Flag_Mort_Rider_Charge*(AT113&gt;0))</f>
        <v>0</v>
      </c>
      <c r="AO113" s="50">
        <f t="shared" ca="1" si="77"/>
        <v>0</v>
      </c>
      <c r="AP113" s="50">
        <f t="shared" ca="1" si="105"/>
        <v>0</v>
      </c>
      <c r="AQ113" s="50">
        <f t="shared" ca="1" si="78"/>
        <v>0</v>
      </c>
      <c r="AR113" s="50">
        <f t="shared" ca="1" si="79"/>
        <v>0</v>
      </c>
      <c r="AS113" s="50">
        <f t="shared" si="80"/>
        <v>0</v>
      </c>
      <c r="AT113" s="50">
        <f ca="1">(MAX((MAX(AS113,105%*SUM($AJ$7:AJ113))-AM113*Flag_UL_Type),0)*B113)</f>
        <v>0</v>
      </c>
      <c r="AU113" s="50">
        <f ca="1">(MAX(AS113,AR113,105%*SUM($AJ$7:AJ113))*B113)</f>
        <v>0</v>
      </c>
      <c r="AV113" s="125"/>
      <c r="AW113" s="13"/>
      <c r="AX113" s="13"/>
      <c r="AY113" s="13"/>
      <c r="AZ113" s="13"/>
      <c r="BA113" s="13"/>
      <c r="BG113" s="51">
        <f t="shared" si="81"/>
        <v>0</v>
      </c>
      <c r="BH113" s="51">
        <f t="shared" ca="1" si="82"/>
        <v>0</v>
      </c>
      <c r="BI113" s="51">
        <f t="shared" ca="1" si="83"/>
        <v>0</v>
      </c>
      <c r="BJ113" s="51">
        <f t="shared" ca="1" si="84"/>
        <v>0</v>
      </c>
      <c r="BK113" s="51">
        <f t="shared" si="85"/>
        <v>90</v>
      </c>
      <c r="BL113" s="51">
        <f t="shared" ca="1" si="86"/>
        <v>644.38816342958307</v>
      </c>
      <c r="BM113" s="51">
        <f t="shared" si="87"/>
        <v>0</v>
      </c>
      <c r="BN113" s="51">
        <f t="shared" ca="1" si="88"/>
        <v>0</v>
      </c>
      <c r="BO113" s="51">
        <f t="shared" ca="1" si="89"/>
        <v>0</v>
      </c>
      <c r="BP113" s="51">
        <f t="shared" ca="1" si="90"/>
        <v>734.38816342958307</v>
      </c>
      <c r="BQ113" s="120"/>
      <c r="BR113" s="32"/>
      <c r="BS113" s="126"/>
      <c r="BT113" s="16"/>
      <c r="BU113" s="58"/>
      <c r="BW113" s="51">
        <f>IF(Input!$C$13="Offline",VLOOKUP(H113,Charges!$AT$4:$AU$33,2,FALSE)*I113,0)</f>
        <v>0</v>
      </c>
      <c r="BX113" s="51">
        <f t="shared" si="91"/>
        <v>0</v>
      </c>
      <c r="BY113" s="51">
        <f t="shared" si="100"/>
        <v>0</v>
      </c>
      <c r="BZ113" s="151"/>
      <c r="CA113" s="151"/>
      <c r="CB113" s="32"/>
      <c r="CC113" s="16">
        <f ca="1">SUM($N$7:$N113)</f>
        <v>0</v>
      </c>
      <c r="CD113" s="16">
        <f t="shared" ca="1" si="92"/>
        <v>0</v>
      </c>
      <c r="CE113" s="16">
        <f t="shared" ca="1" si="93"/>
        <v>0</v>
      </c>
      <c r="CF113" s="7">
        <f t="shared" ca="1" si="94"/>
        <v>0</v>
      </c>
      <c r="CH113" s="7">
        <f t="shared" ca="1" si="95"/>
        <v>0</v>
      </c>
    </row>
    <row r="114" spans="2:86" s="7" customFormat="1" ht="13.5" customHeight="1" x14ac:dyDescent="0.2">
      <c r="B114" s="14">
        <f t="shared" si="59"/>
        <v>1</v>
      </c>
      <c r="C114" s="12">
        <f t="shared" si="60"/>
        <v>1</v>
      </c>
      <c r="D114" s="17">
        <f t="shared" si="101"/>
        <v>108</v>
      </c>
      <c r="E114" s="17">
        <f t="shared" ca="1" si="61"/>
        <v>68</v>
      </c>
      <c r="F114" s="12">
        <f t="shared" si="103"/>
        <v>11</v>
      </c>
      <c r="G114" s="12">
        <f t="shared" si="102"/>
        <v>18</v>
      </c>
      <c r="H114" s="17">
        <f t="shared" si="104"/>
        <v>9</v>
      </c>
      <c r="I114" s="29">
        <f t="shared" si="62"/>
        <v>0</v>
      </c>
      <c r="J114" s="211">
        <f>IFERROR(VLOOKUP(H114,Charges!$T$6:$U$35,2,0)*C114,0)</f>
        <v>0.98</v>
      </c>
      <c r="K114" s="29">
        <f t="shared" si="63"/>
        <v>0</v>
      </c>
      <c r="L114" s="29">
        <f t="shared" si="64"/>
        <v>0</v>
      </c>
      <c r="M114" s="147">
        <f t="shared" ca="1" si="65"/>
        <v>0</v>
      </c>
      <c r="N114" s="148">
        <f ca="1">IF(AND(Option_SPW="Y",H114&gt;=Lock_In_Period,Z113&gt;SPW_Amount_pa+IF(option="Single",1/5*pr,2*pr),H114&gt;=SPW_Start_Year,H114&lt;=SPW_Start_Year+SPW_Duration-1,age+H114&gt;=Legal_Age),IF(AND(F114=0,SPW_Payout_Freq=1),SPW_Amount_pa,IF(AND(SPW_Payout_Freq=2,MOD(F114,6)=0),SPW_Amount_pa/SPW_Payout_Freq,IF(AND(SPW_Payout_Freq=4,MOD(F114,3)=0),SPW_Amount_pa/SPW_Payout_Freq,IF(SPW_Payout_Freq=12,SPW_Amount_pa/SPW_Payout_Freq,0)))),0)+IFERROR(VLOOKUP(H114,Input!$B$68:$C$74,2,0),0)*(F114=0)*(Option_PW="Y")*(Option_SPW="N")*(age+H114&gt;=Legal_Age)</f>
        <v>0</v>
      </c>
      <c r="O114" s="148">
        <f t="shared" ca="1" si="66"/>
        <v>0</v>
      </c>
      <c r="P114" s="14">
        <f ca="1">(MAX(MAX(sa-CF113*Flag_UL_Type,105%*SUM($I$7:I114))-(AD113+L114-N114)*Flag_UL_Type,0)*B114)</f>
        <v>0</v>
      </c>
      <c r="Q114" s="213">
        <f t="shared" ca="1" si="67"/>
        <v>0</v>
      </c>
      <c r="R114" s="14">
        <f t="shared" ca="1" si="68"/>
        <v>0</v>
      </c>
      <c r="S114" s="14">
        <f t="shared" ca="1" si="69"/>
        <v>0</v>
      </c>
      <c r="T114" s="14">
        <f>IFERROR(IF(WoP_Flag="Y",IF(fq=1,VLOOKUP(ppt*fq-H114,Charges!$AN$41:$AO$59,2,FALSE),IF(fq=2,VLOOKUP(ppt*fq-G114,Charges!$AP$41:$AQ$79,2,FALSE),VLOOKUP(ppt*fq-D114,Charges!$AR$41:$AS$279,2,FALSE)))*pr/fq,0),0)</f>
        <v>0</v>
      </c>
      <c r="U114" s="14">
        <f t="shared" ca="1" si="70"/>
        <v>0</v>
      </c>
      <c r="V114" s="34">
        <f>ROUND(MIN(IF(H114&gt;=7,Charges!$C$12*(1+Charges!$C$14)^((H114-7+1)),VLOOKUP(H114,Charges!$B$7:$C$12,2,0))*pr,Charges!$C$13)*B114,Round)</f>
        <v>500</v>
      </c>
      <c r="W114" s="14">
        <f t="shared" ca="1" si="71"/>
        <v>3175618.6236978569</v>
      </c>
      <c r="X114" s="14">
        <f t="shared" ca="1" si="72"/>
        <v>3196050.6495406167</v>
      </c>
      <c r="Y114" s="213">
        <f t="shared" ca="1" si="96"/>
        <v>3597.5137193702576</v>
      </c>
      <c r="Z114" s="14">
        <f t="shared" ca="1" si="73"/>
        <v>3191805.5833517597</v>
      </c>
      <c r="AA114" s="14">
        <f>IF(AND($H114=pt,$F114=11),SUM($K$7:K114)*VLOOKUP(pt,ROC,2,FALSE),0)</f>
        <v>0</v>
      </c>
      <c r="AB114" s="14">
        <f>IF(AND($H114=pt,$F114=11),SUM($V$7:V114)*VLOOKUP(pt,ROC,2,FALSE),0)</f>
        <v>0</v>
      </c>
      <c r="AC114" s="14">
        <f>IF(AND($H114=pt,$F114=11),SUM($Q$7:Q114)*VLOOKUP(pt,ROC,2,FALSE),0)</f>
        <v>0</v>
      </c>
      <c r="AD114" s="14">
        <f t="shared" ca="1" si="74"/>
        <v>3191805.5833517597</v>
      </c>
      <c r="AE114" s="14">
        <f ca="1">(MAX(sa-CF113*Flag_UL_Type,105%*SUM($I$7:I114),Z114)+AU114)*B114</f>
        <v>3191805.5833517597</v>
      </c>
      <c r="AF114" s="136"/>
      <c r="AG114" s="18">
        <v>108</v>
      </c>
      <c r="AH114" s="30">
        <f t="shared" ca="1" si="75"/>
        <v>0</v>
      </c>
      <c r="AI114" s="58"/>
      <c r="AJ114" s="50">
        <f>IF(AND(Option_Sys_TopUp&gt;="Y",H114&gt;=sytp,H114&lt;=(dtp+sytp-1),F114=0,H114&lt;=ppt+1),atp,0)+IFERROR(VLOOKUP(H114,Input!$B$55:$C$61,2,0),0)*(F114=0)*(Option_TopUP="Y")*(Option_Sys_TopUp="N")*B114*(pt&gt;=H114+5)</f>
        <v>0</v>
      </c>
      <c r="AK114" s="50">
        <f t="shared" si="76"/>
        <v>0</v>
      </c>
      <c r="AL114" s="50">
        <f t="shared" si="97"/>
        <v>0</v>
      </c>
      <c r="AM114" s="50">
        <f t="shared" ca="1" si="98"/>
        <v>0</v>
      </c>
      <c r="AN114" s="50">
        <f ca="1">IF(B114=0,0,AT114*(_rpm1+(1+_emr1)*VLOOKUP(E114,Tab_Mort_Charge,IF(Input!$C$12="M",2,3),0))*(0.001*0.0833)*Flag_Mort_Rider_Charge*(AT114&gt;0))</f>
        <v>0</v>
      </c>
      <c r="AO114" s="50">
        <f t="shared" ca="1" si="77"/>
        <v>0</v>
      </c>
      <c r="AP114" s="50">
        <f t="shared" ca="1" si="105"/>
        <v>0</v>
      </c>
      <c r="AQ114" s="50">
        <f t="shared" ca="1" si="78"/>
        <v>0</v>
      </c>
      <c r="AR114" s="50">
        <f t="shared" ca="1" si="79"/>
        <v>0</v>
      </c>
      <c r="AS114" s="50">
        <f t="shared" si="80"/>
        <v>0</v>
      </c>
      <c r="AT114" s="50">
        <f ca="1">(MAX((MAX(AS114,105%*SUM($AJ$7:AJ114))-AM114*Flag_UL_Type),0)*B114)</f>
        <v>0</v>
      </c>
      <c r="AU114" s="50">
        <f ca="1">(MAX(AS114,AR114,105%*SUM($AJ$7:AJ114))*B114)</f>
        <v>0</v>
      </c>
      <c r="AV114" s="125"/>
      <c r="AW114" s="13"/>
      <c r="AX114" s="13"/>
      <c r="AY114" s="13"/>
      <c r="AZ114" s="13"/>
      <c r="BA114" s="13"/>
      <c r="BG114" s="51">
        <f t="shared" si="81"/>
        <v>0</v>
      </c>
      <c r="BH114" s="51">
        <f t="shared" ca="1" si="82"/>
        <v>0</v>
      </c>
      <c r="BI114" s="51">
        <f t="shared" ca="1" si="83"/>
        <v>0</v>
      </c>
      <c r="BJ114" s="51">
        <f t="shared" ca="1" si="84"/>
        <v>0</v>
      </c>
      <c r="BK114" s="51">
        <f t="shared" si="85"/>
        <v>90</v>
      </c>
      <c r="BL114" s="51">
        <f t="shared" ca="1" si="86"/>
        <v>647.55246948664637</v>
      </c>
      <c r="BM114" s="51">
        <f t="shared" si="87"/>
        <v>0</v>
      </c>
      <c r="BN114" s="51">
        <f t="shared" ca="1" si="88"/>
        <v>0</v>
      </c>
      <c r="BO114" s="51">
        <f t="shared" ca="1" si="89"/>
        <v>0</v>
      </c>
      <c r="BP114" s="51">
        <f t="shared" ca="1" si="90"/>
        <v>737.55246948664637</v>
      </c>
      <c r="BQ114" s="120"/>
      <c r="BR114" s="32"/>
      <c r="BS114" s="126"/>
      <c r="BT114" s="16"/>
      <c r="BU114" s="58"/>
      <c r="BW114" s="51">
        <f>IF(Input!$C$13="Offline",VLOOKUP(H114,Charges!$AT$4:$AU$33,2,FALSE)*I114,0)</f>
        <v>0</v>
      </c>
      <c r="BX114" s="51">
        <f t="shared" si="91"/>
        <v>0</v>
      </c>
      <c r="BY114" s="51">
        <f t="shared" si="100"/>
        <v>0</v>
      </c>
      <c r="BZ114" s="151"/>
      <c r="CA114" s="151"/>
      <c r="CB114" s="32"/>
      <c r="CC114" s="16">
        <f ca="1">SUM($N$7:$N114)</f>
        <v>0</v>
      </c>
      <c r="CD114" s="16">
        <f t="shared" ca="1" si="92"/>
        <v>0</v>
      </c>
      <c r="CE114" s="16">
        <f t="shared" ca="1" si="93"/>
        <v>0</v>
      </c>
      <c r="CF114" s="7">
        <f t="shared" ca="1" si="94"/>
        <v>0</v>
      </c>
      <c r="CH114" s="7">
        <f t="shared" ca="1" si="95"/>
        <v>0</v>
      </c>
    </row>
    <row r="115" spans="2:86" s="7" customFormat="1" x14ac:dyDescent="0.2">
      <c r="B115" s="14">
        <f t="shared" si="59"/>
        <v>1</v>
      </c>
      <c r="C115" s="12">
        <f t="shared" si="60"/>
        <v>1</v>
      </c>
      <c r="D115" s="17">
        <f t="shared" si="101"/>
        <v>109</v>
      </c>
      <c r="E115" s="17">
        <f t="shared" ca="1" si="61"/>
        <v>69</v>
      </c>
      <c r="F115" s="12">
        <f t="shared" si="103"/>
        <v>0</v>
      </c>
      <c r="G115" s="12">
        <f t="shared" si="102"/>
        <v>19</v>
      </c>
      <c r="H115" s="17">
        <f t="shared" si="104"/>
        <v>10</v>
      </c>
      <c r="I115" s="29">
        <f t="shared" si="62"/>
        <v>300000</v>
      </c>
      <c r="J115" s="211">
        <f>IFERROR(VLOOKUP(H115,Charges!$T$6:$U$35,2,0)*C115,0)</f>
        <v>0.98</v>
      </c>
      <c r="K115" s="29">
        <f t="shared" si="63"/>
        <v>6000.00000000001</v>
      </c>
      <c r="L115" s="29">
        <f t="shared" si="64"/>
        <v>292920</v>
      </c>
      <c r="M115" s="147">
        <f t="shared" ca="1" si="65"/>
        <v>0</v>
      </c>
      <c r="N115" s="148">
        <f ca="1">IF(AND(Option_SPW="Y",H115&gt;=Lock_In_Period,Z114&gt;SPW_Amount_pa+IF(option="Single",1/5*pr,2*pr),H115&gt;=SPW_Start_Year,H115&lt;=SPW_Start_Year+SPW_Duration-1,age+H115&gt;=Legal_Age),IF(AND(F115=0,SPW_Payout_Freq=1),SPW_Amount_pa,IF(AND(SPW_Payout_Freq=2,MOD(F115,6)=0),SPW_Amount_pa/SPW_Payout_Freq,IF(AND(SPW_Payout_Freq=4,MOD(F115,3)=0),SPW_Amount_pa/SPW_Payout_Freq,IF(SPW_Payout_Freq=12,SPW_Amount_pa/SPW_Payout_Freq,0)))),0)+IFERROR(VLOOKUP(H115,Input!$B$68:$C$74,2,0),0)*(F115=0)*(Option_PW="Y")*(Option_SPW="N")*(age+H115&gt;=Legal_Age)</f>
        <v>0</v>
      </c>
      <c r="O115" s="148">
        <f t="shared" ca="1" si="66"/>
        <v>0</v>
      </c>
      <c r="P115" s="14">
        <f ca="1">(MAX(MAX(sa-CF114*Flag_UL_Type,105%*SUM($I$7:I115))-(AD114+L115-N115)*Flag_UL_Type,0)*B115)</f>
        <v>0</v>
      </c>
      <c r="Q115" s="213">
        <f t="shared" ca="1" si="67"/>
        <v>0</v>
      </c>
      <c r="R115" s="14">
        <f t="shared" ca="1" si="68"/>
        <v>0</v>
      </c>
      <c r="S115" s="14">
        <f t="shared" ca="1" si="69"/>
        <v>0</v>
      </c>
      <c r="T115" s="14">
        <f>IFERROR(IF(WoP_Flag="Y",IF(fq=1,VLOOKUP(ppt*fq-H115,Charges!$AN$41:$AO$59,2,FALSE),IF(fq=2,VLOOKUP(ppt*fq-G115,Charges!$AP$41:$AQ$79,2,FALSE),VLOOKUP(ppt*fq-D115,Charges!$AR$41:$AS$279,2,FALSE)))*pr/fq,0),0)</f>
        <v>0</v>
      </c>
      <c r="U115" s="14">
        <f t="shared" ca="1" si="70"/>
        <v>0</v>
      </c>
      <c r="V115" s="34">
        <f>ROUND(MIN(IF(H115&gt;=7,Charges!$C$12*(1+Charges!$C$14)^((H115-7+1)),VLOOKUP(H115,Charges!$B$7:$C$12,2,0))*pr,Charges!$C$13)*B115,Round)</f>
        <v>500</v>
      </c>
      <c r="W115" s="14">
        <f t="shared" ca="1" si="71"/>
        <v>3484135.5833517597</v>
      </c>
      <c r="X115" s="14">
        <f t="shared" ca="1" si="72"/>
        <v>3506552.6166023794</v>
      </c>
      <c r="Y115" s="213">
        <f t="shared" ca="1" si="96"/>
        <v>3947.0185329302994</v>
      </c>
      <c r="Z115" s="14">
        <f t="shared" ca="1" si="73"/>
        <v>3501895.1347335214</v>
      </c>
      <c r="AA115" s="14">
        <f>IF(AND($H115=pt,$F115=11),SUM($K$7:K115)*VLOOKUP(pt,ROC,2,FALSE),0)</f>
        <v>0</v>
      </c>
      <c r="AB115" s="14">
        <f>IF(AND($H115=pt,$F115=11),SUM($V$7:V115)*VLOOKUP(pt,ROC,2,FALSE),0)</f>
        <v>0</v>
      </c>
      <c r="AC115" s="14">
        <f>IF(AND($H115=pt,$F115=11),SUM($Q$7:Q115)*VLOOKUP(pt,ROC,2,FALSE),0)</f>
        <v>0</v>
      </c>
      <c r="AD115" s="14">
        <f t="shared" ca="1" si="74"/>
        <v>3501895.1347335214</v>
      </c>
      <c r="AE115" s="14">
        <f ca="1">(MAX(sa-CF114*Flag_UL_Type,105%*SUM($I$7:I115),Z115)+AU115)*B115</f>
        <v>3501895.1347335214</v>
      </c>
      <c r="AF115" s="136"/>
      <c r="AG115" s="18">
        <v>109</v>
      </c>
      <c r="AH115" s="30">
        <f t="shared" ca="1" si="75"/>
        <v>300000</v>
      </c>
      <c r="AI115" s="58"/>
      <c r="AJ115" s="50">
        <f>IF(AND(Option_Sys_TopUp&gt;="Y",H115&gt;=sytp,H115&lt;=(dtp+sytp-1),F115=0,H115&lt;=ppt+1),atp,0)+IFERROR(VLOOKUP(H115,Input!$B$55:$C$61,2,0),0)*(F115=0)*(Option_TopUP="Y")*(Option_Sys_TopUp="N")*B115*(pt&gt;=H115+5)</f>
        <v>0</v>
      </c>
      <c r="AK115" s="50">
        <f t="shared" si="76"/>
        <v>0</v>
      </c>
      <c r="AL115" s="50">
        <f t="shared" si="97"/>
        <v>0</v>
      </c>
      <c r="AM115" s="50">
        <f t="shared" ca="1" si="98"/>
        <v>0</v>
      </c>
      <c r="AN115" s="50">
        <f ca="1">IF(B115=0,0,AT115*(_rpm1+(1+_emr1)*VLOOKUP(E115,Tab_Mort_Charge,IF(Input!$C$12="M",2,3),0))*(0.001*0.0833)*Flag_Mort_Rider_Charge*(AT115&gt;0))</f>
        <v>0</v>
      </c>
      <c r="AO115" s="50">
        <f t="shared" ca="1" si="77"/>
        <v>0</v>
      </c>
      <c r="AP115" s="50">
        <f t="shared" ca="1" si="105"/>
        <v>0</v>
      </c>
      <c r="AQ115" s="50">
        <f t="shared" ca="1" si="78"/>
        <v>0</v>
      </c>
      <c r="AR115" s="50">
        <f t="shared" ca="1" si="79"/>
        <v>0</v>
      </c>
      <c r="AS115" s="50">
        <f t="shared" si="80"/>
        <v>0</v>
      </c>
      <c r="AT115" s="50">
        <f ca="1">(MAX((MAX(AS115,105%*SUM($AJ$7:AJ115))-AM115*Flag_UL_Type),0)*B115)</f>
        <v>0</v>
      </c>
      <c r="AU115" s="50">
        <f ca="1">(MAX(AS115,AR115,105%*SUM($AJ$7:AJ115))*B115)</f>
        <v>0</v>
      </c>
      <c r="AV115" s="125"/>
      <c r="AW115" s="13"/>
      <c r="AX115" s="13"/>
      <c r="AY115" s="13"/>
      <c r="AZ115" s="13"/>
      <c r="BA115" s="13"/>
      <c r="BG115" s="51">
        <f t="shared" si="81"/>
        <v>1080</v>
      </c>
      <c r="BH115" s="51">
        <f t="shared" ca="1" si="82"/>
        <v>0</v>
      </c>
      <c r="BI115" s="51">
        <f t="shared" ca="1" si="83"/>
        <v>0</v>
      </c>
      <c r="BJ115" s="51">
        <f t="shared" ca="1" si="84"/>
        <v>0</v>
      </c>
      <c r="BK115" s="51">
        <f t="shared" si="85"/>
        <v>90</v>
      </c>
      <c r="BL115" s="51">
        <f t="shared" ca="1" si="86"/>
        <v>710.46333592745384</v>
      </c>
      <c r="BM115" s="51">
        <f t="shared" si="87"/>
        <v>0</v>
      </c>
      <c r="BN115" s="51">
        <f t="shared" ca="1" si="88"/>
        <v>0</v>
      </c>
      <c r="BO115" s="51">
        <f t="shared" ca="1" si="89"/>
        <v>0</v>
      </c>
      <c r="BP115" s="51">
        <f t="shared" ca="1" si="90"/>
        <v>1880.463335927454</v>
      </c>
      <c r="BQ115" s="120"/>
      <c r="BR115" s="32"/>
      <c r="BS115" s="126"/>
      <c r="BT115" s="16"/>
      <c r="BU115" s="58"/>
      <c r="BW115" s="51">
        <f>IF(Input!$C$13="Offline",VLOOKUP(H115,Charges!$AT$4:$AU$33,2,FALSE)*I115,0)</f>
        <v>1500</v>
      </c>
      <c r="BX115" s="51">
        <f t="shared" si="91"/>
        <v>0</v>
      </c>
      <c r="BY115" s="51">
        <f t="shared" si="100"/>
        <v>1500</v>
      </c>
      <c r="BZ115" s="151"/>
      <c r="CA115" s="151"/>
      <c r="CB115" s="32"/>
      <c r="CC115" s="16">
        <f ca="1">SUM($N$7:$N115)</f>
        <v>0</v>
      </c>
      <c r="CD115" s="16">
        <f t="shared" ca="1" si="92"/>
        <v>0</v>
      </c>
      <c r="CE115" s="16">
        <f t="shared" ca="1" si="93"/>
        <v>0</v>
      </c>
      <c r="CF115" s="7">
        <f t="shared" ca="1" si="94"/>
        <v>0</v>
      </c>
      <c r="CH115" s="7">
        <f t="shared" ca="1" si="95"/>
        <v>0</v>
      </c>
    </row>
    <row r="116" spans="2:86" s="7" customFormat="1" x14ac:dyDescent="0.2">
      <c r="B116" s="14">
        <f t="shared" si="59"/>
        <v>1</v>
      </c>
      <c r="C116" s="12">
        <f t="shared" si="60"/>
        <v>1</v>
      </c>
      <c r="D116" s="17">
        <f t="shared" si="101"/>
        <v>110</v>
      </c>
      <c r="E116" s="17">
        <f t="shared" ca="1" si="61"/>
        <v>69</v>
      </c>
      <c r="F116" s="12">
        <f t="shared" si="103"/>
        <v>1</v>
      </c>
      <c r="G116" s="12">
        <f t="shared" si="102"/>
        <v>19</v>
      </c>
      <c r="H116" s="17">
        <f t="shared" si="104"/>
        <v>10</v>
      </c>
      <c r="I116" s="29">
        <f t="shared" si="62"/>
        <v>0</v>
      </c>
      <c r="J116" s="211">
        <f>IFERROR(VLOOKUP(H116,Charges!$T$6:$U$35,2,0)*C116,0)</f>
        <v>0.98</v>
      </c>
      <c r="K116" s="29">
        <f t="shared" si="63"/>
        <v>0</v>
      </c>
      <c r="L116" s="29">
        <f t="shared" si="64"/>
        <v>0</v>
      </c>
      <c r="M116" s="147">
        <f t="shared" ca="1" si="65"/>
        <v>0</v>
      </c>
      <c r="N116" s="148">
        <f ca="1">IF(AND(Option_SPW="Y",H116&gt;=Lock_In_Period,Z115&gt;SPW_Amount_pa+IF(option="Single",1/5*pr,2*pr),H116&gt;=SPW_Start_Year,H116&lt;=SPW_Start_Year+SPW_Duration-1,age+H116&gt;=Legal_Age),IF(AND(F116=0,SPW_Payout_Freq=1),SPW_Amount_pa,IF(AND(SPW_Payout_Freq=2,MOD(F116,6)=0),SPW_Amount_pa/SPW_Payout_Freq,IF(AND(SPW_Payout_Freq=4,MOD(F116,3)=0),SPW_Amount_pa/SPW_Payout_Freq,IF(SPW_Payout_Freq=12,SPW_Amount_pa/SPW_Payout_Freq,0)))),0)+IFERROR(VLOOKUP(H116,Input!$B$68:$C$74,2,0),0)*(F116=0)*(Option_PW="Y")*(Option_SPW="N")*(age+H116&gt;=Legal_Age)</f>
        <v>0</v>
      </c>
      <c r="O116" s="148">
        <f t="shared" ca="1" si="66"/>
        <v>0</v>
      </c>
      <c r="P116" s="14">
        <f ca="1">(MAX(MAX(sa-CF115*Flag_UL_Type,105%*SUM($I$7:I116))-(AD115+L116-N116)*Flag_UL_Type,0)*B116)</f>
        <v>0</v>
      </c>
      <c r="Q116" s="213">
        <f t="shared" ca="1" si="67"/>
        <v>0</v>
      </c>
      <c r="R116" s="14">
        <f t="shared" ca="1" si="68"/>
        <v>0</v>
      </c>
      <c r="S116" s="14">
        <f t="shared" ca="1" si="69"/>
        <v>0</v>
      </c>
      <c r="T116" s="14">
        <f>IFERROR(IF(WoP_Flag="Y",IF(fq=1,VLOOKUP(ppt*fq-H116,Charges!$AN$41:$AO$59,2,FALSE),IF(fq=2,VLOOKUP(ppt*fq-G116,Charges!$AP$41:$AQ$79,2,FALSE),VLOOKUP(ppt*fq-D116,Charges!$AR$41:$AS$279,2,FALSE)))*pr/fq,0),0)</f>
        <v>0</v>
      </c>
      <c r="U116" s="14">
        <f t="shared" ca="1" si="70"/>
        <v>0</v>
      </c>
      <c r="V116" s="34">
        <f>ROUND(MIN(IF(H116&gt;=7,Charges!$C$12*(1+Charges!$C$14)^((H116-7+1)),VLOOKUP(H116,Charges!$B$7:$C$12,2,0))*pr,Charges!$C$13)*B116,Round)</f>
        <v>500</v>
      </c>
      <c r="W116" s="14">
        <f t="shared" ca="1" si="71"/>
        <v>3501305.1347335214</v>
      </c>
      <c r="X116" s="14">
        <f t="shared" ca="1" si="72"/>
        <v>3523832.6373947063</v>
      </c>
      <c r="Y116" s="213">
        <f t="shared" ca="1" si="96"/>
        <v>3966.4691357798924</v>
      </c>
      <c r="Z116" s="14">
        <f t="shared" ca="1" si="73"/>
        <v>3519152.203814486</v>
      </c>
      <c r="AA116" s="14">
        <f>IF(AND($H116=pt,$F116=11),SUM($K$7:K116)*VLOOKUP(pt,ROC,2,FALSE),0)</f>
        <v>0</v>
      </c>
      <c r="AB116" s="14">
        <f>IF(AND($H116=pt,$F116=11),SUM($V$7:V116)*VLOOKUP(pt,ROC,2,FALSE),0)</f>
        <v>0</v>
      </c>
      <c r="AC116" s="14">
        <f>IF(AND($H116=pt,$F116=11),SUM($Q$7:Q116)*VLOOKUP(pt,ROC,2,FALSE),0)</f>
        <v>0</v>
      </c>
      <c r="AD116" s="14">
        <f t="shared" ca="1" si="74"/>
        <v>3519152.203814486</v>
      </c>
      <c r="AE116" s="14">
        <f ca="1">(MAX(sa-CF115*Flag_UL_Type,105%*SUM($I$7:I116),Z116)+AU116)*B116</f>
        <v>3519152.203814486</v>
      </c>
      <c r="AF116" s="136"/>
      <c r="AG116" s="18">
        <v>110</v>
      </c>
      <c r="AH116" s="30">
        <f t="shared" ca="1" si="75"/>
        <v>0</v>
      </c>
      <c r="AI116" s="58"/>
      <c r="AJ116" s="50">
        <f>IF(AND(Option_Sys_TopUp&gt;="Y",H116&gt;=sytp,H116&lt;=(dtp+sytp-1),F116=0,H116&lt;=ppt+1),atp,0)+IFERROR(VLOOKUP(H116,Input!$B$55:$C$61,2,0),0)*(F116=0)*(Option_TopUP="Y")*(Option_Sys_TopUp="N")*B116*(pt&gt;=H116+5)</f>
        <v>0</v>
      </c>
      <c r="AK116" s="50">
        <f t="shared" si="76"/>
        <v>0</v>
      </c>
      <c r="AL116" s="50">
        <f t="shared" si="97"/>
        <v>0</v>
      </c>
      <c r="AM116" s="50">
        <f t="shared" ca="1" si="98"/>
        <v>0</v>
      </c>
      <c r="AN116" s="50">
        <f ca="1">IF(B116=0,0,AT116*(_rpm1+(1+_emr1)*VLOOKUP(E116,Tab_Mort_Charge,IF(Input!$C$12="M",2,3),0))*(0.001*0.0833)*Flag_Mort_Rider_Charge*(AT116&gt;0))</f>
        <v>0</v>
      </c>
      <c r="AO116" s="50">
        <f t="shared" ca="1" si="77"/>
        <v>0</v>
      </c>
      <c r="AP116" s="50">
        <f t="shared" ca="1" si="105"/>
        <v>0</v>
      </c>
      <c r="AQ116" s="50">
        <f t="shared" ca="1" si="78"/>
        <v>0</v>
      </c>
      <c r="AR116" s="50">
        <f t="shared" ca="1" si="79"/>
        <v>0</v>
      </c>
      <c r="AS116" s="50">
        <f t="shared" si="80"/>
        <v>0</v>
      </c>
      <c r="AT116" s="50">
        <f ca="1">(MAX((MAX(AS116,105%*SUM($AJ$7:AJ116))-AM116*Flag_UL_Type),0)*B116)</f>
        <v>0</v>
      </c>
      <c r="AU116" s="50">
        <f ca="1">(MAX(AS116,AR116,105%*SUM($AJ$7:AJ116))*B116)</f>
        <v>0</v>
      </c>
      <c r="AV116" s="125"/>
      <c r="AW116" s="13"/>
      <c r="AX116" s="13"/>
      <c r="AY116" s="13"/>
      <c r="AZ116" s="13"/>
      <c r="BA116" s="13"/>
      <c r="BG116" s="51">
        <f t="shared" si="81"/>
        <v>0</v>
      </c>
      <c r="BH116" s="51">
        <f t="shared" ca="1" si="82"/>
        <v>0</v>
      </c>
      <c r="BI116" s="51">
        <f t="shared" ca="1" si="83"/>
        <v>0</v>
      </c>
      <c r="BJ116" s="51">
        <f t="shared" ca="1" si="84"/>
        <v>0</v>
      </c>
      <c r="BK116" s="51">
        <f t="shared" si="85"/>
        <v>90</v>
      </c>
      <c r="BL116" s="51">
        <f t="shared" ca="1" si="86"/>
        <v>713.96444444038059</v>
      </c>
      <c r="BM116" s="51">
        <f t="shared" si="87"/>
        <v>0</v>
      </c>
      <c r="BN116" s="51">
        <f t="shared" ca="1" si="88"/>
        <v>0</v>
      </c>
      <c r="BO116" s="51">
        <f t="shared" ca="1" si="89"/>
        <v>0</v>
      </c>
      <c r="BP116" s="51">
        <f t="shared" ca="1" si="90"/>
        <v>803.96444444038059</v>
      </c>
      <c r="BQ116" s="120"/>
      <c r="BR116" s="32"/>
      <c r="BS116" s="126"/>
      <c r="BT116" s="16"/>
      <c r="BU116" s="58"/>
      <c r="BW116" s="51">
        <f>IF(Input!$C$13="Offline",VLOOKUP(H116,Charges!$AT$4:$AU$33,2,FALSE)*I116,0)</f>
        <v>0</v>
      </c>
      <c r="BX116" s="51">
        <f t="shared" si="91"/>
        <v>0</v>
      </c>
      <c r="BY116" s="51">
        <f t="shared" si="100"/>
        <v>0</v>
      </c>
      <c r="BZ116" s="151"/>
      <c r="CA116" s="151"/>
      <c r="CB116" s="32"/>
      <c r="CC116" s="16">
        <f ca="1">SUM($N$7:$N116)</f>
        <v>0</v>
      </c>
      <c r="CD116" s="16">
        <f t="shared" ca="1" si="92"/>
        <v>0</v>
      </c>
      <c r="CE116" s="16">
        <f t="shared" ca="1" si="93"/>
        <v>0</v>
      </c>
      <c r="CF116" s="7">
        <f t="shared" ca="1" si="94"/>
        <v>0</v>
      </c>
      <c r="CH116" s="7">
        <f t="shared" ca="1" si="95"/>
        <v>0</v>
      </c>
    </row>
    <row r="117" spans="2:86" s="7" customFormat="1" x14ac:dyDescent="0.2">
      <c r="B117" s="14">
        <f t="shared" si="59"/>
        <v>1</v>
      </c>
      <c r="C117" s="12">
        <f t="shared" si="60"/>
        <v>1</v>
      </c>
      <c r="D117" s="17">
        <f t="shared" si="101"/>
        <v>111</v>
      </c>
      <c r="E117" s="17">
        <f t="shared" ca="1" si="61"/>
        <v>69</v>
      </c>
      <c r="F117" s="12">
        <f t="shared" si="103"/>
        <v>2</v>
      </c>
      <c r="G117" s="12">
        <f t="shared" si="102"/>
        <v>19</v>
      </c>
      <c r="H117" s="17">
        <f t="shared" si="104"/>
        <v>10</v>
      </c>
      <c r="I117" s="29">
        <f t="shared" si="62"/>
        <v>0</v>
      </c>
      <c r="J117" s="211">
        <f>IFERROR(VLOOKUP(H117,Charges!$T$6:$U$35,2,0)*C117,0)</f>
        <v>0.98</v>
      </c>
      <c r="K117" s="29">
        <f t="shared" si="63"/>
        <v>0</v>
      </c>
      <c r="L117" s="29">
        <f t="shared" si="64"/>
        <v>0</v>
      </c>
      <c r="M117" s="147">
        <f t="shared" ca="1" si="65"/>
        <v>0</v>
      </c>
      <c r="N117" s="148">
        <f ca="1">IF(AND(Option_SPW="Y",H117&gt;=Lock_In_Period,Z116&gt;SPW_Amount_pa+IF(option="Single",1/5*pr,2*pr),H117&gt;=SPW_Start_Year,H117&lt;=SPW_Start_Year+SPW_Duration-1,age+H117&gt;=Legal_Age),IF(AND(F117=0,SPW_Payout_Freq=1),SPW_Amount_pa,IF(AND(SPW_Payout_Freq=2,MOD(F117,6)=0),SPW_Amount_pa/SPW_Payout_Freq,IF(AND(SPW_Payout_Freq=4,MOD(F117,3)=0),SPW_Amount_pa/SPW_Payout_Freq,IF(SPW_Payout_Freq=12,SPW_Amount_pa/SPW_Payout_Freq,0)))),0)+IFERROR(VLOOKUP(H117,Input!$B$68:$C$74,2,0),0)*(F117=0)*(Option_PW="Y")*(Option_SPW="N")*(age+H117&gt;=Legal_Age)</f>
        <v>0</v>
      </c>
      <c r="O117" s="148">
        <f t="shared" ca="1" si="66"/>
        <v>0</v>
      </c>
      <c r="P117" s="14">
        <f ca="1">(MAX(MAX(sa-CF116*Flag_UL_Type,105%*SUM($I$7:I117))-(AD116+L117-N117)*Flag_UL_Type,0)*B117)</f>
        <v>0</v>
      </c>
      <c r="Q117" s="213">
        <f t="shared" ca="1" si="67"/>
        <v>0</v>
      </c>
      <c r="R117" s="14">
        <f t="shared" ca="1" si="68"/>
        <v>0</v>
      </c>
      <c r="S117" s="14">
        <f t="shared" ca="1" si="69"/>
        <v>0</v>
      </c>
      <c r="T117" s="14">
        <f>IFERROR(IF(WoP_Flag="Y",IF(fq=1,VLOOKUP(ppt*fq-H117,Charges!$AN$41:$AO$59,2,FALSE),IF(fq=2,VLOOKUP(ppt*fq-G117,Charges!$AP$41:$AQ$79,2,FALSE),VLOOKUP(ppt*fq-D117,Charges!$AR$41:$AS$279,2,FALSE)))*pr/fq,0),0)</f>
        <v>0</v>
      </c>
      <c r="U117" s="14">
        <f t="shared" ca="1" si="70"/>
        <v>0</v>
      </c>
      <c r="V117" s="34">
        <f>ROUND(MIN(IF(H117&gt;=7,Charges!$C$12*(1+Charges!$C$14)^((H117-7+1)),VLOOKUP(H117,Charges!$B$7:$C$12,2,0))*pr,Charges!$C$13)*B117,Round)</f>
        <v>500</v>
      </c>
      <c r="W117" s="14">
        <f t="shared" ca="1" si="71"/>
        <v>3518562.203814486</v>
      </c>
      <c r="X117" s="14">
        <f t="shared" ca="1" si="72"/>
        <v>3541200.7389777484</v>
      </c>
      <c r="Y117" s="213">
        <f t="shared" ca="1" si="96"/>
        <v>3986.0188834453093</v>
      </c>
      <c r="Z117" s="14">
        <f t="shared" ca="1" si="73"/>
        <v>3536497.2366952831</v>
      </c>
      <c r="AA117" s="14">
        <f>IF(AND($H117=pt,$F117=11),SUM($K$7:K117)*VLOOKUP(pt,ROC,2,FALSE),0)</f>
        <v>0</v>
      </c>
      <c r="AB117" s="14">
        <f>IF(AND($H117=pt,$F117=11),SUM($V$7:V117)*VLOOKUP(pt,ROC,2,FALSE),0)</f>
        <v>0</v>
      </c>
      <c r="AC117" s="14">
        <f>IF(AND($H117=pt,$F117=11),SUM($Q$7:Q117)*VLOOKUP(pt,ROC,2,FALSE),0)</f>
        <v>0</v>
      </c>
      <c r="AD117" s="14">
        <f t="shared" ca="1" si="74"/>
        <v>3536497.2366952831</v>
      </c>
      <c r="AE117" s="14">
        <f ca="1">(MAX(sa-CF116*Flag_UL_Type,105%*SUM($I$7:I117),Z117)+AU117)*B117</f>
        <v>3536497.2366952831</v>
      </c>
      <c r="AF117" s="136"/>
      <c r="AG117" s="18">
        <v>111</v>
      </c>
      <c r="AH117" s="30">
        <f t="shared" ca="1" si="75"/>
        <v>0</v>
      </c>
      <c r="AI117" s="58"/>
      <c r="AJ117" s="50">
        <f>IF(AND(Option_Sys_TopUp&gt;="Y",H117&gt;=sytp,H117&lt;=(dtp+sytp-1),F117=0,H117&lt;=ppt+1),atp,0)+IFERROR(VLOOKUP(H117,Input!$B$55:$C$61,2,0),0)*(F117=0)*(Option_TopUP="Y")*(Option_Sys_TopUp="N")*B117*(pt&gt;=H117+5)</f>
        <v>0</v>
      </c>
      <c r="AK117" s="50">
        <f t="shared" si="76"/>
        <v>0</v>
      </c>
      <c r="AL117" s="50">
        <f t="shared" si="97"/>
        <v>0</v>
      </c>
      <c r="AM117" s="50">
        <f t="shared" ca="1" si="98"/>
        <v>0</v>
      </c>
      <c r="AN117" s="50">
        <f ca="1">IF(B117=0,0,AT117*(_rpm1+(1+_emr1)*VLOOKUP(E117,Tab_Mort_Charge,IF(Input!$C$12="M",2,3),0))*(0.001*0.0833)*Flag_Mort_Rider_Charge*(AT117&gt;0))</f>
        <v>0</v>
      </c>
      <c r="AO117" s="50">
        <f t="shared" ca="1" si="77"/>
        <v>0</v>
      </c>
      <c r="AP117" s="50">
        <f t="shared" ca="1" si="105"/>
        <v>0</v>
      </c>
      <c r="AQ117" s="50">
        <f t="shared" ca="1" si="78"/>
        <v>0</v>
      </c>
      <c r="AR117" s="50">
        <f t="shared" ca="1" si="79"/>
        <v>0</v>
      </c>
      <c r="AS117" s="50">
        <f t="shared" si="80"/>
        <v>0</v>
      </c>
      <c r="AT117" s="50">
        <f ca="1">(MAX((MAX(AS117,105%*SUM($AJ$7:AJ117))-AM117*Flag_UL_Type),0)*B117)</f>
        <v>0</v>
      </c>
      <c r="AU117" s="50">
        <f ca="1">(MAX(AS117,AR117,105%*SUM($AJ$7:AJ117))*B117)</f>
        <v>0</v>
      </c>
      <c r="AV117" s="125"/>
      <c r="AW117" s="13"/>
      <c r="AX117" s="13"/>
      <c r="AY117" s="13"/>
      <c r="AZ117" s="13"/>
      <c r="BA117" s="13"/>
      <c r="BG117" s="51">
        <f t="shared" si="81"/>
        <v>0</v>
      </c>
      <c r="BH117" s="51">
        <f t="shared" ca="1" si="82"/>
        <v>0</v>
      </c>
      <c r="BI117" s="51">
        <f t="shared" ca="1" si="83"/>
        <v>0</v>
      </c>
      <c r="BJ117" s="51">
        <f t="shared" ca="1" si="84"/>
        <v>0</v>
      </c>
      <c r="BK117" s="51">
        <f t="shared" si="85"/>
        <v>90</v>
      </c>
      <c r="BL117" s="51">
        <f t="shared" ca="1" si="86"/>
        <v>717.48339902015562</v>
      </c>
      <c r="BM117" s="51">
        <f t="shared" si="87"/>
        <v>0</v>
      </c>
      <c r="BN117" s="51">
        <f t="shared" ca="1" si="88"/>
        <v>0</v>
      </c>
      <c r="BO117" s="51">
        <f t="shared" ca="1" si="89"/>
        <v>0</v>
      </c>
      <c r="BP117" s="51">
        <f t="shared" ca="1" si="90"/>
        <v>807.48339902015562</v>
      </c>
      <c r="BQ117" s="120"/>
      <c r="BR117" s="32"/>
      <c r="BS117" s="126"/>
      <c r="BT117" s="16"/>
      <c r="BU117" s="58"/>
      <c r="BW117" s="51">
        <f>IF(Input!$C$13="Offline",VLOOKUP(H117,Charges!$AT$4:$AU$33,2,FALSE)*I117,0)</f>
        <v>0</v>
      </c>
      <c r="BX117" s="51">
        <f t="shared" si="91"/>
        <v>0</v>
      </c>
      <c r="BY117" s="51">
        <f t="shared" si="100"/>
        <v>0</v>
      </c>
      <c r="BZ117" s="151"/>
      <c r="CA117" s="151"/>
      <c r="CB117" s="32"/>
      <c r="CC117" s="16">
        <f ca="1">SUM($N$7:$N117)</f>
        <v>0</v>
      </c>
      <c r="CD117" s="16">
        <f t="shared" ca="1" si="92"/>
        <v>0</v>
      </c>
      <c r="CE117" s="16">
        <f t="shared" ca="1" si="93"/>
        <v>0</v>
      </c>
      <c r="CF117" s="7">
        <f t="shared" ca="1" si="94"/>
        <v>0</v>
      </c>
      <c r="CH117" s="7">
        <f t="shared" ca="1" si="95"/>
        <v>0</v>
      </c>
    </row>
    <row r="118" spans="2:86" s="7" customFormat="1" x14ac:dyDescent="0.2">
      <c r="B118" s="14">
        <f t="shared" si="59"/>
        <v>1</v>
      </c>
      <c r="C118" s="12">
        <f t="shared" si="60"/>
        <v>1</v>
      </c>
      <c r="D118" s="17">
        <f t="shared" si="101"/>
        <v>112</v>
      </c>
      <c r="E118" s="17">
        <f t="shared" ca="1" si="61"/>
        <v>69</v>
      </c>
      <c r="F118" s="12">
        <f t="shared" si="103"/>
        <v>3</v>
      </c>
      <c r="G118" s="12">
        <f t="shared" si="102"/>
        <v>19</v>
      </c>
      <c r="H118" s="17">
        <f t="shared" si="104"/>
        <v>10</v>
      </c>
      <c r="I118" s="29">
        <f t="shared" si="62"/>
        <v>0</v>
      </c>
      <c r="J118" s="211">
        <f>IFERROR(VLOOKUP(H118,Charges!$T$6:$U$35,2,0)*C118,0)</f>
        <v>0.98</v>
      </c>
      <c r="K118" s="29">
        <f t="shared" si="63"/>
        <v>0</v>
      </c>
      <c r="L118" s="29">
        <f t="shared" si="64"/>
        <v>0</v>
      </c>
      <c r="M118" s="147">
        <f t="shared" ca="1" si="65"/>
        <v>0</v>
      </c>
      <c r="N118" s="148">
        <f ca="1">IF(AND(Option_SPW="Y",H118&gt;=Lock_In_Period,Z117&gt;SPW_Amount_pa+IF(option="Single",1/5*pr,2*pr),H118&gt;=SPW_Start_Year,H118&lt;=SPW_Start_Year+SPW_Duration-1,age+H118&gt;=Legal_Age),IF(AND(F118=0,SPW_Payout_Freq=1),SPW_Amount_pa,IF(AND(SPW_Payout_Freq=2,MOD(F118,6)=0),SPW_Amount_pa/SPW_Payout_Freq,IF(AND(SPW_Payout_Freq=4,MOD(F118,3)=0),SPW_Amount_pa/SPW_Payout_Freq,IF(SPW_Payout_Freq=12,SPW_Amount_pa/SPW_Payout_Freq,0)))),0)+IFERROR(VLOOKUP(H118,Input!$B$68:$C$74,2,0),0)*(F118=0)*(Option_PW="Y")*(Option_SPW="N")*(age+H118&gt;=Legal_Age)</f>
        <v>0</v>
      </c>
      <c r="O118" s="148">
        <f t="shared" ca="1" si="66"/>
        <v>0</v>
      </c>
      <c r="P118" s="14">
        <f ca="1">(MAX(MAX(sa-CF117*Flag_UL_Type,105%*SUM($I$7:I118))-(AD117+L118-N118)*Flag_UL_Type,0)*B118)</f>
        <v>0</v>
      </c>
      <c r="Q118" s="213">
        <f t="shared" ca="1" si="67"/>
        <v>0</v>
      </c>
      <c r="R118" s="14">
        <f t="shared" ca="1" si="68"/>
        <v>0</v>
      </c>
      <c r="S118" s="14">
        <f t="shared" ca="1" si="69"/>
        <v>0</v>
      </c>
      <c r="T118" s="14">
        <f>IFERROR(IF(WoP_Flag="Y",IF(fq=1,VLOOKUP(ppt*fq-H118,Charges!$AN$41:$AO$59,2,FALSE),IF(fq=2,VLOOKUP(ppt*fq-G118,Charges!$AP$41:$AQ$79,2,FALSE),VLOOKUP(ppt*fq-D118,Charges!$AR$41:$AS$279,2,FALSE)))*pr/fq,0),0)</f>
        <v>0</v>
      </c>
      <c r="U118" s="14">
        <f t="shared" ca="1" si="70"/>
        <v>0</v>
      </c>
      <c r="V118" s="34">
        <f>ROUND(MIN(IF(H118&gt;=7,Charges!$C$12*(1+Charges!$C$14)^((H118-7+1)),VLOOKUP(H118,Charges!$B$7:$C$12,2,0))*pr,Charges!$C$13)*B118,Round)</f>
        <v>500</v>
      </c>
      <c r="W118" s="14">
        <f t="shared" ca="1" si="71"/>
        <v>3535907.2366952831</v>
      </c>
      <c r="X118" s="14">
        <f t="shared" ca="1" si="72"/>
        <v>3558657.3703223597</v>
      </c>
      <c r="Y118" s="213">
        <f t="shared" ca="1" si="96"/>
        <v>4005.6682812936365</v>
      </c>
      <c r="Z118" s="14">
        <f t="shared" ca="1" si="73"/>
        <v>3553930.6817504331</v>
      </c>
      <c r="AA118" s="14">
        <f>IF(AND($H118=pt,$F118=11),SUM($K$7:K118)*VLOOKUP(pt,ROC,2,FALSE),0)</f>
        <v>0</v>
      </c>
      <c r="AB118" s="14">
        <f>IF(AND($H118=pt,$F118=11),SUM($V$7:V118)*VLOOKUP(pt,ROC,2,FALSE),0)</f>
        <v>0</v>
      </c>
      <c r="AC118" s="14">
        <f>IF(AND($H118=pt,$F118=11),SUM($Q$7:Q118)*VLOOKUP(pt,ROC,2,FALSE),0)</f>
        <v>0</v>
      </c>
      <c r="AD118" s="14">
        <f t="shared" ca="1" si="74"/>
        <v>3553930.6817504331</v>
      </c>
      <c r="AE118" s="14">
        <f ca="1">(MAX(sa-CF117*Flag_UL_Type,105%*SUM($I$7:I118),Z118)+AU118)*B118</f>
        <v>3553930.6817504331</v>
      </c>
      <c r="AF118" s="136"/>
      <c r="AG118" s="18">
        <v>112</v>
      </c>
      <c r="AH118" s="30">
        <f t="shared" ca="1" si="75"/>
        <v>0</v>
      </c>
      <c r="AI118" s="58"/>
      <c r="AJ118" s="50">
        <f>IF(AND(Option_Sys_TopUp&gt;="Y",H118&gt;=sytp,H118&lt;=(dtp+sytp-1),F118=0,H118&lt;=ppt+1),atp,0)+IFERROR(VLOOKUP(H118,Input!$B$55:$C$61,2,0),0)*(F118=0)*(Option_TopUP="Y")*(Option_Sys_TopUp="N")*B118*(pt&gt;=H118+5)</f>
        <v>0</v>
      </c>
      <c r="AK118" s="50">
        <f t="shared" si="76"/>
        <v>0</v>
      </c>
      <c r="AL118" s="50">
        <f t="shared" si="97"/>
        <v>0</v>
      </c>
      <c r="AM118" s="50">
        <f t="shared" ca="1" si="98"/>
        <v>0</v>
      </c>
      <c r="AN118" s="50">
        <f ca="1">IF(B118=0,0,AT118*(_rpm1+(1+_emr1)*VLOOKUP(E118,Tab_Mort_Charge,IF(Input!$C$12="M",2,3),0))*(0.001*0.0833)*Flag_Mort_Rider_Charge*(AT118&gt;0))</f>
        <v>0</v>
      </c>
      <c r="AO118" s="50">
        <f t="shared" ca="1" si="77"/>
        <v>0</v>
      </c>
      <c r="AP118" s="50">
        <f t="shared" ca="1" si="105"/>
        <v>0</v>
      </c>
      <c r="AQ118" s="50">
        <f t="shared" ca="1" si="78"/>
        <v>0</v>
      </c>
      <c r="AR118" s="50">
        <f t="shared" ca="1" si="79"/>
        <v>0</v>
      </c>
      <c r="AS118" s="50">
        <f t="shared" si="80"/>
        <v>0</v>
      </c>
      <c r="AT118" s="50">
        <f ca="1">(MAX((MAX(AS118,105%*SUM($AJ$7:AJ118))-AM118*Flag_UL_Type),0)*B118)</f>
        <v>0</v>
      </c>
      <c r="AU118" s="50">
        <f ca="1">(MAX(AS118,AR118,105%*SUM($AJ$7:AJ118))*B118)</f>
        <v>0</v>
      </c>
      <c r="AV118" s="125"/>
      <c r="AW118" s="13"/>
      <c r="AX118" s="13"/>
      <c r="AY118" s="13"/>
      <c r="AZ118" s="13"/>
      <c r="BA118" s="13"/>
      <c r="BG118" s="51">
        <f t="shared" si="81"/>
        <v>0</v>
      </c>
      <c r="BH118" s="51">
        <f t="shared" ca="1" si="82"/>
        <v>0</v>
      </c>
      <c r="BI118" s="51">
        <f t="shared" ca="1" si="83"/>
        <v>0</v>
      </c>
      <c r="BJ118" s="51">
        <f t="shared" ca="1" si="84"/>
        <v>0</v>
      </c>
      <c r="BK118" s="51">
        <f t="shared" si="85"/>
        <v>90</v>
      </c>
      <c r="BL118" s="51">
        <f t="shared" ca="1" si="86"/>
        <v>721.02029063285454</v>
      </c>
      <c r="BM118" s="51">
        <f t="shared" si="87"/>
        <v>0</v>
      </c>
      <c r="BN118" s="51">
        <f t="shared" ca="1" si="88"/>
        <v>0</v>
      </c>
      <c r="BO118" s="51">
        <f t="shared" ca="1" si="89"/>
        <v>0</v>
      </c>
      <c r="BP118" s="51">
        <f t="shared" ca="1" si="90"/>
        <v>811.02029063285454</v>
      </c>
      <c r="BQ118" s="120"/>
      <c r="BR118" s="32"/>
      <c r="BS118" s="126"/>
      <c r="BT118" s="16"/>
      <c r="BU118" s="58"/>
      <c r="BW118" s="51">
        <f>IF(Input!$C$13="Offline",VLOOKUP(H118,Charges!$AT$4:$AU$33,2,FALSE)*I118,0)</f>
        <v>0</v>
      </c>
      <c r="BX118" s="51">
        <f t="shared" si="91"/>
        <v>0</v>
      </c>
      <c r="BY118" s="51">
        <f t="shared" si="100"/>
        <v>0</v>
      </c>
      <c r="BZ118" s="151"/>
      <c r="CA118" s="151"/>
      <c r="CB118" s="32"/>
      <c r="CC118" s="16">
        <f ca="1">SUM($N$7:$N118)</f>
        <v>0</v>
      </c>
      <c r="CD118" s="16">
        <f t="shared" ca="1" si="92"/>
        <v>0</v>
      </c>
      <c r="CE118" s="16">
        <f t="shared" ca="1" si="93"/>
        <v>0</v>
      </c>
      <c r="CF118" s="7">
        <f t="shared" ca="1" si="94"/>
        <v>0</v>
      </c>
      <c r="CH118" s="7">
        <f t="shared" ca="1" si="95"/>
        <v>0</v>
      </c>
    </row>
    <row r="119" spans="2:86" s="7" customFormat="1" x14ac:dyDescent="0.2">
      <c r="B119" s="14">
        <f t="shared" si="59"/>
        <v>1</v>
      </c>
      <c r="C119" s="12">
        <f t="shared" si="60"/>
        <v>1</v>
      </c>
      <c r="D119" s="17">
        <f t="shared" si="101"/>
        <v>113</v>
      </c>
      <c r="E119" s="17">
        <f t="shared" ca="1" si="61"/>
        <v>69</v>
      </c>
      <c r="F119" s="12">
        <f t="shared" si="103"/>
        <v>4</v>
      </c>
      <c r="G119" s="12">
        <f t="shared" si="102"/>
        <v>19</v>
      </c>
      <c r="H119" s="17">
        <f t="shared" si="104"/>
        <v>10</v>
      </c>
      <c r="I119" s="29">
        <f t="shared" si="62"/>
        <v>0</v>
      </c>
      <c r="J119" s="211">
        <f>IFERROR(VLOOKUP(H119,Charges!$T$6:$U$35,2,0)*C119,0)</f>
        <v>0.98</v>
      </c>
      <c r="K119" s="29">
        <f t="shared" si="63"/>
        <v>0</v>
      </c>
      <c r="L119" s="29">
        <f t="shared" si="64"/>
        <v>0</v>
      </c>
      <c r="M119" s="147">
        <f t="shared" ca="1" si="65"/>
        <v>0</v>
      </c>
      <c r="N119" s="148">
        <f ca="1">IF(AND(Option_SPW="Y",H119&gt;=Lock_In_Period,Z118&gt;SPW_Amount_pa+IF(option="Single",1/5*pr,2*pr),H119&gt;=SPW_Start_Year,H119&lt;=SPW_Start_Year+SPW_Duration-1,age+H119&gt;=Legal_Age),IF(AND(F119=0,SPW_Payout_Freq=1),SPW_Amount_pa,IF(AND(SPW_Payout_Freq=2,MOD(F119,6)=0),SPW_Amount_pa/SPW_Payout_Freq,IF(AND(SPW_Payout_Freq=4,MOD(F119,3)=0),SPW_Amount_pa/SPW_Payout_Freq,IF(SPW_Payout_Freq=12,SPW_Amount_pa/SPW_Payout_Freq,0)))),0)+IFERROR(VLOOKUP(H119,Input!$B$68:$C$74,2,0),0)*(F119=0)*(Option_PW="Y")*(Option_SPW="N")*(age+H119&gt;=Legal_Age)</f>
        <v>0</v>
      </c>
      <c r="O119" s="148">
        <f t="shared" ca="1" si="66"/>
        <v>0</v>
      </c>
      <c r="P119" s="14">
        <f ca="1">(MAX(MAX(sa-CF118*Flag_UL_Type,105%*SUM($I$7:I119))-(AD118+L119-N119)*Flag_UL_Type,0)*B119)</f>
        <v>0</v>
      </c>
      <c r="Q119" s="213">
        <f t="shared" ca="1" si="67"/>
        <v>0</v>
      </c>
      <c r="R119" s="14">
        <f t="shared" ca="1" si="68"/>
        <v>0</v>
      </c>
      <c r="S119" s="14">
        <f t="shared" ca="1" si="69"/>
        <v>0</v>
      </c>
      <c r="T119" s="14">
        <f>IFERROR(IF(WoP_Flag="Y",IF(fq=1,VLOOKUP(ppt*fq-H119,Charges!$AN$41:$AO$59,2,FALSE),IF(fq=2,VLOOKUP(ppt*fq-G119,Charges!$AP$41:$AQ$79,2,FALSE),VLOOKUP(ppt*fq-D119,Charges!$AR$41:$AS$279,2,FALSE)))*pr/fq,0),0)</f>
        <v>0</v>
      </c>
      <c r="U119" s="14">
        <f t="shared" ca="1" si="70"/>
        <v>0</v>
      </c>
      <c r="V119" s="34">
        <f>ROUND(MIN(IF(H119&gt;=7,Charges!$C$12*(1+Charges!$C$14)^((H119-7+1)),VLOOKUP(H119,Charges!$B$7:$C$12,2,0))*pr,Charges!$C$13)*B119,Round)</f>
        <v>500</v>
      </c>
      <c r="W119" s="14">
        <f t="shared" ca="1" si="71"/>
        <v>3553340.6817504331</v>
      </c>
      <c r="X119" s="14">
        <f t="shared" ca="1" si="72"/>
        <v>3576202.9826879157</v>
      </c>
      <c r="Y119" s="213">
        <f t="shared" ca="1" si="96"/>
        <v>4025.4178372679489</v>
      </c>
      <c r="Z119" s="14">
        <f t="shared" ca="1" si="73"/>
        <v>3571452.9896399393</v>
      </c>
      <c r="AA119" s="14">
        <f>IF(AND($H119=pt,$F119=11),SUM($K$7:K119)*VLOOKUP(pt,ROC,2,FALSE),0)</f>
        <v>0</v>
      </c>
      <c r="AB119" s="14">
        <f>IF(AND($H119=pt,$F119=11),SUM($V$7:V119)*VLOOKUP(pt,ROC,2,FALSE),0)</f>
        <v>0</v>
      </c>
      <c r="AC119" s="14">
        <f>IF(AND($H119=pt,$F119=11),SUM($Q$7:Q119)*VLOOKUP(pt,ROC,2,FALSE),0)</f>
        <v>0</v>
      </c>
      <c r="AD119" s="14">
        <f t="shared" ca="1" si="74"/>
        <v>3571452.9896399393</v>
      </c>
      <c r="AE119" s="14">
        <f ca="1">(MAX(sa-CF118*Flag_UL_Type,105%*SUM($I$7:I119),Z119)+AU119)*B119</f>
        <v>3571452.9896399393</v>
      </c>
      <c r="AF119" s="136"/>
      <c r="AG119" s="18">
        <v>113</v>
      </c>
      <c r="AH119" s="30">
        <f t="shared" ca="1" si="75"/>
        <v>0</v>
      </c>
      <c r="AI119" s="58"/>
      <c r="AJ119" s="50">
        <f>IF(AND(Option_Sys_TopUp&gt;="Y",H119&gt;=sytp,H119&lt;=(dtp+sytp-1),F119=0,H119&lt;=ppt+1),atp,0)+IFERROR(VLOOKUP(H119,Input!$B$55:$C$61,2,0),0)*(F119=0)*(Option_TopUP="Y")*(Option_Sys_TopUp="N")*B119*(pt&gt;=H119+5)</f>
        <v>0</v>
      </c>
      <c r="AK119" s="50">
        <f t="shared" si="76"/>
        <v>0</v>
      </c>
      <c r="AL119" s="50">
        <f t="shared" si="97"/>
        <v>0</v>
      </c>
      <c r="AM119" s="50">
        <f t="shared" ca="1" si="98"/>
        <v>0</v>
      </c>
      <c r="AN119" s="50">
        <f ca="1">IF(B119=0,0,AT119*(_rpm1+(1+_emr1)*VLOOKUP(E119,Tab_Mort_Charge,IF(Input!$C$12="M",2,3),0))*(0.001*0.0833)*Flag_Mort_Rider_Charge*(AT119&gt;0))</f>
        <v>0</v>
      </c>
      <c r="AO119" s="50">
        <f t="shared" ca="1" si="77"/>
        <v>0</v>
      </c>
      <c r="AP119" s="50">
        <f t="shared" ca="1" si="105"/>
        <v>0</v>
      </c>
      <c r="AQ119" s="50">
        <f t="shared" ca="1" si="78"/>
        <v>0</v>
      </c>
      <c r="AR119" s="50">
        <f t="shared" ca="1" si="79"/>
        <v>0</v>
      </c>
      <c r="AS119" s="50">
        <f t="shared" si="80"/>
        <v>0</v>
      </c>
      <c r="AT119" s="50">
        <f ca="1">(MAX((MAX(AS119,105%*SUM($AJ$7:AJ119))-AM119*Flag_UL_Type),0)*B119)</f>
        <v>0</v>
      </c>
      <c r="AU119" s="50">
        <f ca="1">(MAX(AS119,AR119,105%*SUM($AJ$7:AJ119))*B119)</f>
        <v>0</v>
      </c>
      <c r="AV119" s="125"/>
      <c r="AW119" s="13"/>
      <c r="AX119" s="13"/>
      <c r="AY119" s="13"/>
      <c r="AZ119" s="13"/>
      <c r="BA119" s="13"/>
      <c r="BG119" s="51">
        <f t="shared" si="81"/>
        <v>0</v>
      </c>
      <c r="BH119" s="51">
        <f t="shared" ca="1" si="82"/>
        <v>0</v>
      </c>
      <c r="BI119" s="51">
        <f t="shared" ca="1" si="83"/>
        <v>0</v>
      </c>
      <c r="BJ119" s="51">
        <f t="shared" ca="1" si="84"/>
        <v>0</v>
      </c>
      <c r="BK119" s="51">
        <f t="shared" si="85"/>
        <v>90</v>
      </c>
      <c r="BL119" s="51">
        <f t="shared" ca="1" si="86"/>
        <v>724.57521070823077</v>
      </c>
      <c r="BM119" s="51">
        <f t="shared" si="87"/>
        <v>0</v>
      </c>
      <c r="BN119" s="51">
        <f t="shared" ca="1" si="88"/>
        <v>0</v>
      </c>
      <c r="BO119" s="51">
        <f t="shared" ca="1" si="89"/>
        <v>0</v>
      </c>
      <c r="BP119" s="51">
        <f t="shared" ca="1" si="90"/>
        <v>814.57521070823077</v>
      </c>
      <c r="BQ119" s="120"/>
      <c r="BR119" s="32"/>
      <c r="BS119" s="126"/>
      <c r="BT119" s="16"/>
      <c r="BU119" s="58"/>
      <c r="BW119" s="51">
        <f>IF(Input!$C$13="Offline",VLOOKUP(H119,Charges!$AT$4:$AU$33,2,FALSE)*I119,0)</f>
        <v>0</v>
      </c>
      <c r="BX119" s="51">
        <f t="shared" si="91"/>
        <v>0</v>
      </c>
      <c r="BY119" s="51">
        <f t="shared" si="100"/>
        <v>0</v>
      </c>
      <c r="BZ119" s="151"/>
      <c r="CA119" s="151"/>
      <c r="CB119" s="32"/>
      <c r="CC119" s="16">
        <f ca="1">SUM($N$7:$N119)</f>
        <v>0</v>
      </c>
      <c r="CD119" s="16">
        <f t="shared" ca="1" si="92"/>
        <v>0</v>
      </c>
      <c r="CE119" s="16">
        <f t="shared" ca="1" si="93"/>
        <v>0</v>
      </c>
      <c r="CF119" s="7">
        <f t="shared" ca="1" si="94"/>
        <v>0</v>
      </c>
      <c r="CH119" s="7">
        <f t="shared" ca="1" si="95"/>
        <v>0</v>
      </c>
    </row>
    <row r="120" spans="2:86" s="7" customFormat="1" x14ac:dyDescent="0.2">
      <c r="B120" s="14">
        <f t="shared" si="59"/>
        <v>1</v>
      </c>
      <c r="C120" s="12">
        <f t="shared" si="60"/>
        <v>1</v>
      </c>
      <c r="D120" s="17">
        <f t="shared" si="101"/>
        <v>114</v>
      </c>
      <c r="E120" s="17">
        <f t="shared" ca="1" si="61"/>
        <v>69</v>
      </c>
      <c r="F120" s="12">
        <f t="shared" si="103"/>
        <v>5</v>
      </c>
      <c r="G120" s="12">
        <f t="shared" si="102"/>
        <v>19</v>
      </c>
      <c r="H120" s="17">
        <f t="shared" si="104"/>
        <v>10</v>
      </c>
      <c r="I120" s="29">
        <f t="shared" si="62"/>
        <v>0</v>
      </c>
      <c r="J120" s="211">
        <f>IFERROR(VLOOKUP(H120,Charges!$T$6:$U$35,2,0)*C120,0)</f>
        <v>0.98</v>
      </c>
      <c r="K120" s="29">
        <f t="shared" si="63"/>
        <v>0</v>
      </c>
      <c r="L120" s="29">
        <f t="shared" si="64"/>
        <v>0</v>
      </c>
      <c r="M120" s="147">
        <f t="shared" ca="1" si="65"/>
        <v>0</v>
      </c>
      <c r="N120" s="148">
        <f ca="1">IF(AND(Option_SPW="Y",H120&gt;=Lock_In_Period,Z119&gt;SPW_Amount_pa+IF(option="Single",1/5*pr,2*pr),H120&gt;=SPW_Start_Year,H120&lt;=SPW_Start_Year+SPW_Duration-1,age+H120&gt;=Legal_Age),IF(AND(F120=0,SPW_Payout_Freq=1),SPW_Amount_pa,IF(AND(SPW_Payout_Freq=2,MOD(F120,6)=0),SPW_Amount_pa/SPW_Payout_Freq,IF(AND(SPW_Payout_Freq=4,MOD(F120,3)=0),SPW_Amount_pa/SPW_Payout_Freq,IF(SPW_Payout_Freq=12,SPW_Amount_pa/SPW_Payout_Freq,0)))),0)+IFERROR(VLOOKUP(H120,Input!$B$68:$C$74,2,0),0)*(F120=0)*(Option_PW="Y")*(Option_SPW="N")*(age+H120&gt;=Legal_Age)</f>
        <v>0</v>
      </c>
      <c r="O120" s="148">
        <f t="shared" ca="1" si="66"/>
        <v>0</v>
      </c>
      <c r="P120" s="14">
        <f ca="1">(MAX(MAX(sa-CF119*Flag_UL_Type,105%*SUM($I$7:I120))-(AD119+L120-N120)*Flag_UL_Type,0)*B120)</f>
        <v>0</v>
      </c>
      <c r="Q120" s="213">
        <f t="shared" ca="1" si="67"/>
        <v>0</v>
      </c>
      <c r="R120" s="14">
        <f t="shared" ca="1" si="68"/>
        <v>0</v>
      </c>
      <c r="S120" s="14">
        <f t="shared" ca="1" si="69"/>
        <v>0</v>
      </c>
      <c r="T120" s="14">
        <f>IFERROR(IF(WoP_Flag="Y",IF(fq=1,VLOOKUP(ppt*fq-H120,Charges!$AN$41:$AO$59,2,FALSE),IF(fq=2,VLOOKUP(ppt*fq-G120,Charges!$AP$41:$AQ$79,2,FALSE),VLOOKUP(ppt*fq-D120,Charges!$AR$41:$AS$279,2,FALSE)))*pr/fq,0),0)</f>
        <v>0</v>
      </c>
      <c r="U120" s="14">
        <f t="shared" ca="1" si="70"/>
        <v>0</v>
      </c>
      <c r="V120" s="34">
        <f>ROUND(MIN(IF(H120&gt;=7,Charges!$C$12*(1+Charges!$C$14)^((H120-7+1)),VLOOKUP(H120,Charges!$B$7:$C$12,2,0))*pr,Charges!$C$13)*B120,Round)</f>
        <v>500</v>
      </c>
      <c r="W120" s="14">
        <f t="shared" ca="1" si="71"/>
        <v>3570862.9896399393</v>
      </c>
      <c r="X120" s="14">
        <f t="shared" ca="1" si="72"/>
        <v>3593838.0296339793</v>
      </c>
      <c r="Y120" s="213">
        <f t="shared" ca="1" si="96"/>
        <v>4045.2680619004409</v>
      </c>
      <c r="Z120" s="14">
        <f t="shared" ca="1" si="73"/>
        <v>3589064.6133209369</v>
      </c>
      <c r="AA120" s="14">
        <f>IF(AND($H120=pt,$F120=11),SUM($K$7:K120)*VLOOKUP(pt,ROC,2,FALSE),0)</f>
        <v>0</v>
      </c>
      <c r="AB120" s="14">
        <f>IF(AND($H120=pt,$F120=11),SUM($V$7:V120)*VLOOKUP(pt,ROC,2,FALSE),0)</f>
        <v>0</v>
      </c>
      <c r="AC120" s="14">
        <f>IF(AND($H120=pt,$F120=11),SUM($Q$7:Q120)*VLOOKUP(pt,ROC,2,FALSE),0)</f>
        <v>0</v>
      </c>
      <c r="AD120" s="14">
        <f t="shared" ca="1" si="74"/>
        <v>3589064.6133209369</v>
      </c>
      <c r="AE120" s="14">
        <f ca="1">(MAX(sa-CF119*Flag_UL_Type,105%*SUM($I$7:I120),Z120)+AU120)*B120</f>
        <v>3589064.6133209369</v>
      </c>
      <c r="AF120" s="136"/>
      <c r="AG120" s="18">
        <v>114</v>
      </c>
      <c r="AH120" s="30">
        <f t="shared" ca="1" si="75"/>
        <v>0</v>
      </c>
      <c r="AI120" s="58"/>
      <c r="AJ120" s="50">
        <f>IF(AND(Option_Sys_TopUp&gt;="Y",H120&gt;=sytp,H120&lt;=(dtp+sytp-1),F120=0,H120&lt;=ppt+1),atp,0)+IFERROR(VLOOKUP(H120,Input!$B$55:$C$61,2,0),0)*(F120=0)*(Option_TopUP="Y")*(Option_Sys_TopUp="N")*B120*(pt&gt;=H120+5)</f>
        <v>0</v>
      </c>
      <c r="AK120" s="50">
        <f t="shared" si="76"/>
        <v>0</v>
      </c>
      <c r="AL120" s="50">
        <f t="shared" si="97"/>
        <v>0</v>
      </c>
      <c r="AM120" s="50">
        <f t="shared" ca="1" si="98"/>
        <v>0</v>
      </c>
      <c r="AN120" s="50">
        <f ca="1">IF(B120=0,0,AT120*(_rpm1+(1+_emr1)*VLOOKUP(E120,Tab_Mort_Charge,IF(Input!$C$12="M",2,3),0))*(0.001*0.0833)*Flag_Mort_Rider_Charge*(AT120&gt;0))</f>
        <v>0</v>
      </c>
      <c r="AO120" s="50">
        <f t="shared" ca="1" si="77"/>
        <v>0</v>
      </c>
      <c r="AP120" s="50">
        <f t="shared" ca="1" si="105"/>
        <v>0</v>
      </c>
      <c r="AQ120" s="50">
        <f t="shared" ca="1" si="78"/>
        <v>0</v>
      </c>
      <c r="AR120" s="50">
        <f t="shared" ca="1" si="79"/>
        <v>0</v>
      </c>
      <c r="AS120" s="50">
        <f t="shared" si="80"/>
        <v>0</v>
      </c>
      <c r="AT120" s="50">
        <f ca="1">(MAX((MAX(AS120,105%*SUM($AJ$7:AJ120))-AM120*Flag_UL_Type),0)*B120)</f>
        <v>0</v>
      </c>
      <c r="AU120" s="50">
        <f ca="1">(MAX(AS120,AR120,105%*SUM($AJ$7:AJ120))*B120)</f>
        <v>0</v>
      </c>
      <c r="AV120" s="125"/>
      <c r="AW120" s="13"/>
      <c r="AX120" s="13"/>
      <c r="AY120" s="13"/>
      <c r="AZ120" s="13"/>
      <c r="BA120" s="13"/>
      <c r="BG120" s="51">
        <f t="shared" si="81"/>
        <v>0</v>
      </c>
      <c r="BH120" s="51">
        <f t="shared" ca="1" si="82"/>
        <v>0</v>
      </c>
      <c r="BI120" s="51">
        <f t="shared" ca="1" si="83"/>
        <v>0</v>
      </c>
      <c r="BJ120" s="51">
        <f t="shared" ca="1" si="84"/>
        <v>0</v>
      </c>
      <c r="BK120" s="51">
        <f t="shared" si="85"/>
        <v>90</v>
      </c>
      <c r="BL120" s="51">
        <f t="shared" ca="1" si="86"/>
        <v>728.14825114207929</v>
      </c>
      <c r="BM120" s="51">
        <f t="shared" si="87"/>
        <v>0</v>
      </c>
      <c r="BN120" s="51">
        <f t="shared" ca="1" si="88"/>
        <v>0</v>
      </c>
      <c r="BO120" s="51">
        <f t="shared" ca="1" si="89"/>
        <v>0</v>
      </c>
      <c r="BP120" s="51">
        <f t="shared" ca="1" si="90"/>
        <v>818.14825114207929</v>
      </c>
      <c r="BQ120" s="120"/>
      <c r="BR120" s="32"/>
      <c r="BS120" s="126"/>
      <c r="BT120" s="16"/>
      <c r="BU120" s="58"/>
      <c r="BW120" s="51">
        <f>IF(Input!$C$13="Offline",VLOOKUP(H120,Charges!$AT$4:$AU$33,2,FALSE)*I120,0)</f>
        <v>0</v>
      </c>
      <c r="BX120" s="51">
        <f t="shared" si="91"/>
        <v>0</v>
      </c>
      <c r="BY120" s="51">
        <f t="shared" si="100"/>
        <v>0</v>
      </c>
      <c r="BZ120" s="151"/>
      <c r="CA120" s="151"/>
      <c r="CB120" s="32"/>
      <c r="CC120" s="16">
        <f ca="1">SUM($N$7:$N120)</f>
        <v>0</v>
      </c>
      <c r="CD120" s="16">
        <f t="shared" ca="1" si="92"/>
        <v>0</v>
      </c>
      <c r="CE120" s="16">
        <f t="shared" ca="1" si="93"/>
        <v>0</v>
      </c>
      <c r="CF120" s="7">
        <f t="shared" ca="1" si="94"/>
        <v>0</v>
      </c>
      <c r="CH120" s="7">
        <f t="shared" ca="1" si="95"/>
        <v>0</v>
      </c>
    </row>
    <row r="121" spans="2:86" s="7" customFormat="1" x14ac:dyDescent="0.2">
      <c r="B121" s="14">
        <f t="shared" si="59"/>
        <v>1</v>
      </c>
      <c r="C121" s="12">
        <f t="shared" si="60"/>
        <v>1</v>
      </c>
      <c r="D121" s="17">
        <f t="shared" si="101"/>
        <v>115</v>
      </c>
      <c r="E121" s="17">
        <f t="shared" ca="1" si="61"/>
        <v>69</v>
      </c>
      <c r="F121" s="12">
        <f t="shared" si="103"/>
        <v>6</v>
      </c>
      <c r="G121" s="12">
        <f t="shared" si="102"/>
        <v>20</v>
      </c>
      <c r="H121" s="17">
        <f t="shared" si="104"/>
        <v>10</v>
      </c>
      <c r="I121" s="29">
        <f t="shared" si="62"/>
        <v>0</v>
      </c>
      <c r="J121" s="211">
        <f>IFERROR(VLOOKUP(H121,Charges!$T$6:$U$35,2,0)*C121,0)</f>
        <v>0.98</v>
      </c>
      <c r="K121" s="29">
        <f t="shared" si="63"/>
        <v>0</v>
      </c>
      <c r="L121" s="29">
        <f t="shared" si="64"/>
        <v>0</v>
      </c>
      <c r="M121" s="147">
        <f t="shared" ca="1" si="65"/>
        <v>0</v>
      </c>
      <c r="N121" s="148">
        <f ca="1">IF(AND(Option_SPW="Y",H121&gt;=Lock_In_Period,Z120&gt;SPW_Amount_pa+IF(option="Single",1/5*pr,2*pr),H121&gt;=SPW_Start_Year,H121&lt;=SPW_Start_Year+SPW_Duration-1,age+H121&gt;=Legal_Age),IF(AND(F121=0,SPW_Payout_Freq=1),SPW_Amount_pa,IF(AND(SPW_Payout_Freq=2,MOD(F121,6)=0),SPW_Amount_pa/SPW_Payout_Freq,IF(AND(SPW_Payout_Freq=4,MOD(F121,3)=0),SPW_Amount_pa/SPW_Payout_Freq,IF(SPW_Payout_Freq=12,SPW_Amount_pa/SPW_Payout_Freq,0)))),0)+IFERROR(VLOOKUP(H121,Input!$B$68:$C$74,2,0),0)*(F121=0)*(Option_PW="Y")*(Option_SPW="N")*(age+H121&gt;=Legal_Age)</f>
        <v>0</v>
      </c>
      <c r="O121" s="148">
        <f t="shared" ca="1" si="66"/>
        <v>0</v>
      </c>
      <c r="P121" s="14">
        <f ca="1">(MAX(MAX(sa-CF120*Flag_UL_Type,105%*SUM($I$7:I121))-(AD120+L121-N121)*Flag_UL_Type,0)*B121)</f>
        <v>0</v>
      </c>
      <c r="Q121" s="213">
        <f t="shared" ca="1" si="67"/>
        <v>0</v>
      </c>
      <c r="R121" s="14">
        <f t="shared" ca="1" si="68"/>
        <v>0</v>
      </c>
      <c r="S121" s="14">
        <f t="shared" ca="1" si="69"/>
        <v>0</v>
      </c>
      <c r="T121" s="14">
        <f>IFERROR(IF(WoP_Flag="Y",IF(fq=1,VLOOKUP(ppt*fq-H121,Charges!$AN$41:$AO$59,2,FALSE),IF(fq=2,VLOOKUP(ppt*fq-G121,Charges!$AP$41:$AQ$79,2,FALSE),VLOOKUP(ppt*fq-D121,Charges!$AR$41:$AS$279,2,FALSE)))*pr/fq,0),0)</f>
        <v>0</v>
      </c>
      <c r="U121" s="14">
        <f t="shared" ca="1" si="70"/>
        <v>0</v>
      </c>
      <c r="V121" s="34">
        <f>ROUND(MIN(IF(H121&gt;=7,Charges!$C$12*(1+Charges!$C$14)^((H121-7+1)),VLOOKUP(H121,Charges!$B$7:$C$12,2,0))*pr,Charges!$C$13)*B121,Round)</f>
        <v>500</v>
      </c>
      <c r="W121" s="14">
        <f t="shared" ca="1" si="71"/>
        <v>3588474.6133209369</v>
      </c>
      <c r="X121" s="14">
        <f t="shared" ca="1" si="72"/>
        <v>3611562.967032027</v>
      </c>
      <c r="Y121" s="213">
        <f t="shared" ca="1" si="96"/>
        <v>4065.2194683256239</v>
      </c>
      <c r="Z121" s="14">
        <f t="shared" ca="1" si="73"/>
        <v>3606766.0080594029</v>
      </c>
      <c r="AA121" s="14">
        <f>IF(AND($H121=pt,$F121=11),SUM($K$7:K121)*VLOOKUP(pt,ROC,2,FALSE),0)</f>
        <v>0</v>
      </c>
      <c r="AB121" s="14">
        <f>IF(AND($H121=pt,$F121=11),SUM($V$7:V121)*VLOOKUP(pt,ROC,2,FALSE),0)</f>
        <v>0</v>
      </c>
      <c r="AC121" s="14">
        <f>IF(AND($H121=pt,$F121=11),SUM($Q$7:Q121)*VLOOKUP(pt,ROC,2,FALSE),0)</f>
        <v>0</v>
      </c>
      <c r="AD121" s="14">
        <f t="shared" ca="1" si="74"/>
        <v>3606766.0080594029</v>
      </c>
      <c r="AE121" s="14">
        <f ca="1">(MAX(sa-CF120*Flag_UL_Type,105%*SUM($I$7:I121),Z121)+AU121)*B121</f>
        <v>3606766.0080594029</v>
      </c>
      <c r="AF121" s="136"/>
      <c r="AG121" s="18">
        <v>115</v>
      </c>
      <c r="AH121" s="30">
        <f t="shared" ca="1" si="75"/>
        <v>0</v>
      </c>
      <c r="AI121" s="58"/>
      <c r="AJ121" s="50">
        <f>IF(AND(Option_Sys_TopUp&gt;="Y",H121&gt;=sytp,H121&lt;=(dtp+sytp-1),F121=0,H121&lt;=ppt+1),atp,0)+IFERROR(VLOOKUP(H121,Input!$B$55:$C$61,2,0),0)*(F121=0)*(Option_TopUP="Y")*(Option_Sys_TopUp="N")*B121*(pt&gt;=H121+5)</f>
        <v>0</v>
      </c>
      <c r="AK121" s="50">
        <f t="shared" si="76"/>
        <v>0</v>
      </c>
      <c r="AL121" s="50">
        <f t="shared" si="97"/>
        <v>0</v>
      </c>
      <c r="AM121" s="50">
        <f t="shared" ca="1" si="98"/>
        <v>0</v>
      </c>
      <c r="AN121" s="50">
        <f ca="1">IF(B121=0,0,AT121*(_rpm1+(1+_emr1)*VLOOKUP(E121,Tab_Mort_Charge,IF(Input!$C$12="M",2,3),0))*(0.001*0.0833)*Flag_Mort_Rider_Charge*(AT121&gt;0))</f>
        <v>0</v>
      </c>
      <c r="AO121" s="50">
        <f t="shared" ca="1" si="77"/>
        <v>0</v>
      </c>
      <c r="AP121" s="50">
        <f t="shared" ca="1" si="105"/>
        <v>0</v>
      </c>
      <c r="AQ121" s="50">
        <f t="shared" ca="1" si="78"/>
        <v>0</v>
      </c>
      <c r="AR121" s="50">
        <f t="shared" ca="1" si="79"/>
        <v>0</v>
      </c>
      <c r="AS121" s="50">
        <f t="shared" si="80"/>
        <v>0</v>
      </c>
      <c r="AT121" s="50">
        <f ca="1">(MAX((MAX(AS121,105%*SUM($AJ$7:AJ121))-AM121*Flag_UL_Type),0)*B121)</f>
        <v>0</v>
      </c>
      <c r="AU121" s="50">
        <f ca="1">(MAX(AS121,AR121,105%*SUM($AJ$7:AJ121))*B121)</f>
        <v>0</v>
      </c>
      <c r="AV121" s="125"/>
      <c r="AW121" s="13"/>
      <c r="AX121" s="13"/>
      <c r="AY121" s="13"/>
      <c r="AZ121" s="13"/>
      <c r="BA121" s="13"/>
      <c r="BG121" s="51">
        <f t="shared" si="81"/>
        <v>0</v>
      </c>
      <c r="BH121" s="51">
        <f t="shared" ca="1" si="82"/>
        <v>0</v>
      </c>
      <c r="BI121" s="51">
        <f t="shared" ca="1" si="83"/>
        <v>0</v>
      </c>
      <c r="BJ121" s="51">
        <f t="shared" ca="1" si="84"/>
        <v>0</v>
      </c>
      <c r="BK121" s="51">
        <f t="shared" si="85"/>
        <v>90</v>
      </c>
      <c r="BL121" s="51">
        <f t="shared" ca="1" si="86"/>
        <v>731.73950429861225</v>
      </c>
      <c r="BM121" s="51">
        <f t="shared" si="87"/>
        <v>0</v>
      </c>
      <c r="BN121" s="51">
        <f t="shared" ca="1" si="88"/>
        <v>0</v>
      </c>
      <c r="BO121" s="51">
        <f t="shared" ca="1" si="89"/>
        <v>0</v>
      </c>
      <c r="BP121" s="51">
        <f t="shared" ca="1" si="90"/>
        <v>821.73950429861225</v>
      </c>
      <c r="BQ121" s="120"/>
      <c r="BR121" s="32"/>
      <c r="BS121" s="126"/>
      <c r="BT121" s="16"/>
      <c r="BU121" s="58"/>
      <c r="BW121" s="51">
        <f>IF(Input!$C$13="Offline",VLOOKUP(H121,Charges!$AT$4:$AU$33,2,FALSE)*I121,0)</f>
        <v>0</v>
      </c>
      <c r="BX121" s="51">
        <f t="shared" si="91"/>
        <v>0</v>
      </c>
      <c r="BY121" s="51">
        <f t="shared" si="100"/>
        <v>0</v>
      </c>
      <c r="BZ121" s="151"/>
      <c r="CA121" s="151"/>
      <c r="CB121" s="32"/>
      <c r="CC121" s="16">
        <f ca="1">SUM($N$7:$N121)</f>
        <v>0</v>
      </c>
      <c r="CD121" s="16">
        <f t="shared" ca="1" si="92"/>
        <v>0</v>
      </c>
      <c r="CE121" s="16">
        <f t="shared" ca="1" si="93"/>
        <v>0</v>
      </c>
      <c r="CF121" s="7">
        <f t="shared" ca="1" si="94"/>
        <v>0</v>
      </c>
      <c r="CH121" s="7">
        <f t="shared" ca="1" si="95"/>
        <v>0</v>
      </c>
    </row>
    <row r="122" spans="2:86" s="7" customFormat="1" x14ac:dyDescent="0.2">
      <c r="B122" s="14">
        <f t="shared" si="59"/>
        <v>1</v>
      </c>
      <c r="C122" s="12">
        <f t="shared" si="60"/>
        <v>1</v>
      </c>
      <c r="D122" s="17">
        <f t="shared" si="101"/>
        <v>116</v>
      </c>
      <c r="E122" s="17">
        <f t="shared" ca="1" si="61"/>
        <v>69</v>
      </c>
      <c r="F122" s="12">
        <f t="shared" si="103"/>
        <v>7</v>
      </c>
      <c r="G122" s="12">
        <f t="shared" si="102"/>
        <v>20</v>
      </c>
      <c r="H122" s="17">
        <f t="shared" si="104"/>
        <v>10</v>
      </c>
      <c r="I122" s="29">
        <f t="shared" si="62"/>
        <v>0</v>
      </c>
      <c r="J122" s="211">
        <f>IFERROR(VLOOKUP(H122,Charges!$T$6:$U$35,2,0)*C122,0)</f>
        <v>0.98</v>
      </c>
      <c r="K122" s="29">
        <f t="shared" si="63"/>
        <v>0</v>
      </c>
      <c r="L122" s="29">
        <f t="shared" si="64"/>
        <v>0</v>
      </c>
      <c r="M122" s="147">
        <f t="shared" ca="1" si="65"/>
        <v>0</v>
      </c>
      <c r="N122" s="148">
        <f ca="1">IF(AND(Option_SPW="Y",H122&gt;=Lock_In_Period,Z121&gt;SPW_Amount_pa+IF(option="Single",1/5*pr,2*pr),H122&gt;=SPW_Start_Year,H122&lt;=SPW_Start_Year+SPW_Duration-1,age+H122&gt;=Legal_Age),IF(AND(F122=0,SPW_Payout_Freq=1),SPW_Amount_pa,IF(AND(SPW_Payout_Freq=2,MOD(F122,6)=0),SPW_Amount_pa/SPW_Payout_Freq,IF(AND(SPW_Payout_Freq=4,MOD(F122,3)=0),SPW_Amount_pa/SPW_Payout_Freq,IF(SPW_Payout_Freq=12,SPW_Amount_pa/SPW_Payout_Freq,0)))),0)+IFERROR(VLOOKUP(H122,Input!$B$68:$C$74,2,0),0)*(F122=0)*(Option_PW="Y")*(Option_SPW="N")*(age+H122&gt;=Legal_Age)</f>
        <v>0</v>
      </c>
      <c r="O122" s="148">
        <f t="shared" ca="1" si="66"/>
        <v>0</v>
      </c>
      <c r="P122" s="14">
        <f ca="1">(MAX(MAX(sa-CF121*Flag_UL_Type,105%*SUM($I$7:I122))-(AD121+L122-N122)*Flag_UL_Type,0)*B122)</f>
        <v>0</v>
      </c>
      <c r="Q122" s="213">
        <f t="shared" ca="1" si="67"/>
        <v>0</v>
      </c>
      <c r="R122" s="14">
        <f t="shared" ca="1" si="68"/>
        <v>0</v>
      </c>
      <c r="S122" s="14">
        <f t="shared" ca="1" si="69"/>
        <v>0</v>
      </c>
      <c r="T122" s="14">
        <f>IFERROR(IF(WoP_Flag="Y",IF(fq=1,VLOOKUP(ppt*fq-H122,Charges!$AN$41:$AO$59,2,FALSE),IF(fq=2,VLOOKUP(ppt*fq-G122,Charges!$AP$41:$AQ$79,2,FALSE),VLOOKUP(ppt*fq-D122,Charges!$AR$41:$AS$279,2,FALSE)))*pr/fq,0),0)</f>
        <v>0</v>
      </c>
      <c r="U122" s="14">
        <f t="shared" ca="1" si="70"/>
        <v>0</v>
      </c>
      <c r="V122" s="34">
        <f>ROUND(MIN(IF(H122&gt;=7,Charges!$C$12*(1+Charges!$C$14)^((H122-7+1)),VLOOKUP(H122,Charges!$B$7:$C$12,2,0))*pr,Charges!$C$13)*B122,Round)</f>
        <v>500</v>
      </c>
      <c r="W122" s="14">
        <f t="shared" ca="1" si="71"/>
        <v>3606176.0080594029</v>
      </c>
      <c r="X122" s="14">
        <f t="shared" ca="1" si="72"/>
        <v>3629378.253077229</v>
      </c>
      <c r="Y122" s="213">
        <f t="shared" ca="1" si="96"/>
        <v>4085.2725722935888</v>
      </c>
      <c r="Z122" s="14">
        <f t="shared" ca="1" si="73"/>
        <v>3624557.6314419224</v>
      </c>
      <c r="AA122" s="14">
        <f>IF(AND($H122=pt,$F122=11),SUM($K$7:K122)*VLOOKUP(pt,ROC,2,FALSE),0)</f>
        <v>0</v>
      </c>
      <c r="AB122" s="14">
        <f>IF(AND($H122=pt,$F122=11),SUM($V$7:V122)*VLOOKUP(pt,ROC,2,FALSE),0)</f>
        <v>0</v>
      </c>
      <c r="AC122" s="14">
        <f>IF(AND($H122=pt,$F122=11),SUM($Q$7:Q122)*VLOOKUP(pt,ROC,2,FALSE),0)</f>
        <v>0</v>
      </c>
      <c r="AD122" s="14">
        <f t="shared" ca="1" si="74"/>
        <v>3624557.6314419224</v>
      </c>
      <c r="AE122" s="14">
        <f ca="1">(MAX(sa-CF121*Flag_UL_Type,105%*SUM($I$7:I122),Z122)+AU122)*B122</f>
        <v>3624557.6314419224</v>
      </c>
      <c r="AF122" s="136"/>
      <c r="AG122" s="18">
        <v>116</v>
      </c>
      <c r="AH122" s="30">
        <f t="shared" ca="1" si="75"/>
        <v>0</v>
      </c>
      <c r="AI122" s="58"/>
      <c r="AJ122" s="50">
        <f>IF(AND(Option_Sys_TopUp&gt;="Y",H122&gt;=sytp,H122&lt;=(dtp+sytp-1),F122=0,H122&lt;=ppt+1),atp,0)+IFERROR(VLOOKUP(H122,Input!$B$55:$C$61,2,0),0)*(F122=0)*(Option_TopUP="Y")*(Option_Sys_TopUp="N")*B122*(pt&gt;=H122+5)</f>
        <v>0</v>
      </c>
      <c r="AK122" s="50">
        <f t="shared" si="76"/>
        <v>0</v>
      </c>
      <c r="AL122" s="50">
        <f t="shared" si="97"/>
        <v>0</v>
      </c>
      <c r="AM122" s="50">
        <f t="shared" ca="1" si="98"/>
        <v>0</v>
      </c>
      <c r="AN122" s="50">
        <f ca="1">IF(B122=0,0,AT122*(_rpm1+(1+_emr1)*VLOOKUP(E122,Tab_Mort_Charge,IF(Input!$C$12="M",2,3),0))*(0.001*0.0833)*Flag_Mort_Rider_Charge*(AT122&gt;0))</f>
        <v>0</v>
      </c>
      <c r="AO122" s="50">
        <f t="shared" ca="1" si="77"/>
        <v>0</v>
      </c>
      <c r="AP122" s="50">
        <f t="shared" ca="1" si="105"/>
        <v>0</v>
      </c>
      <c r="AQ122" s="50">
        <f t="shared" ca="1" si="78"/>
        <v>0</v>
      </c>
      <c r="AR122" s="50">
        <f t="shared" ca="1" si="79"/>
        <v>0</v>
      </c>
      <c r="AS122" s="50">
        <f t="shared" si="80"/>
        <v>0</v>
      </c>
      <c r="AT122" s="50">
        <f ca="1">(MAX((MAX(AS122,105%*SUM($AJ$7:AJ122))-AM122*Flag_UL_Type),0)*B122)</f>
        <v>0</v>
      </c>
      <c r="AU122" s="50">
        <f ca="1">(MAX(AS122,AR122,105%*SUM($AJ$7:AJ122))*B122)</f>
        <v>0</v>
      </c>
      <c r="AV122" s="125"/>
      <c r="AW122" s="13"/>
      <c r="AX122" s="13"/>
      <c r="AY122" s="13"/>
      <c r="AZ122" s="13"/>
      <c r="BA122" s="13"/>
      <c r="BG122" s="51">
        <f t="shared" si="81"/>
        <v>0</v>
      </c>
      <c r="BH122" s="51">
        <f t="shared" ca="1" si="82"/>
        <v>0</v>
      </c>
      <c r="BI122" s="51">
        <f t="shared" ca="1" si="83"/>
        <v>0</v>
      </c>
      <c r="BJ122" s="51">
        <f t="shared" ca="1" si="84"/>
        <v>0</v>
      </c>
      <c r="BK122" s="51">
        <f t="shared" si="85"/>
        <v>90</v>
      </c>
      <c r="BL122" s="51">
        <f t="shared" ca="1" si="86"/>
        <v>735.34906301284593</v>
      </c>
      <c r="BM122" s="51">
        <f t="shared" si="87"/>
        <v>0</v>
      </c>
      <c r="BN122" s="51">
        <f t="shared" ca="1" si="88"/>
        <v>0</v>
      </c>
      <c r="BO122" s="51">
        <f t="shared" ca="1" si="89"/>
        <v>0</v>
      </c>
      <c r="BP122" s="51">
        <f t="shared" ca="1" si="90"/>
        <v>825.34906301284593</v>
      </c>
      <c r="BQ122" s="120"/>
      <c r="BR122" s="32"/>
      <c r="BS122" s="126"/>
      <c r="BT122" s="16"/>
      <c r="BU122" s="58"/>
      <c r="BW122" s="51">
        <f>IF(Input!$C$13="Offline",VLOOKUP(H122,Charges!$AT$4:$AU$33,2,FALSE)*I122,0)</f>
        <v>0</v>
      </c>
      <c r="BX122" s="51">
        <f t="shared" si="91"/>
        <v>0</v>
      </c>
      <c r="BY122" s="51">
        <f t="shared" si="100"/>
        <v>0</v>
      </c>
      <c r="BZ122" s="151"/>
      <c r="CA122" s="151"/>
      <c r="CB122" s="32"/>
      <c r="CC122" s="16">
        <f ca="1">SUM($N$7:$N122)</f>
        <v>0</v>
      </c>
      <c r="CD122" s="16">
        <f t="shared" ca="1" si="92"/>
        <v>0</v>
      </c>
      <c r="CE122" s="16">
        <f t="shared" ca="1" si="93"/>
        <v>0</v>
      </c>
      <c r="CF122" s="7">
        <f t="shared" ca="1" si="94"/>
        <v>0</v>
      </c>
      <c r="CH122" s="7">
        <f t="shared" ca="1" si="95"/>
        <v>0</v>
      </c>
    </row>
    <row r="123" spans="2:86" s="7" customFormat="1" ht="12.75" customHeight="1" x14ac:dyDescent="0.2">
      <c r="B123" s="14">
        <f t="shared" si="59"/>
        <v>1</v>
      </c>
      <c r="C123" s="12">
        <f t="shared" si="60"/>
        <v>1</v>
      </c>
      <c r="D123" s="17">
        <f t="shared" si="101"/>
        <v>117</v>
      </c>
      <c r="E123" s="17">
        <f t="shared" ca="1" si="61"/>
        <v>69</v>
      </c>
      <c r="F123" s="12">
        <f t="shared" si="103"/>
        <v>8</v>
      </c>
      <c r="G123" s="12">
        <f t="shared" si="102"/>
        <v>20</v>
      </c>
      <c r="H123" s="17">
        <f t="shared" si="104"/>
        <v>10</v>
      </c>
      <c r="I123" s="29">
        <f t="shared" si="62"/>
        <v>0</v>
      </c>
      <c r="J123" s="211">
        <f>IFERROR(VLOOKUP(H123,Charges!$T$6:$U$35,2,0)*C123,0)</f>
        <v>0.98</v>
      </c>
      <c r="K123" s="29">
        <f t="shared" si="63"/>
        <v>0</v>
      </c>
      <c r="L123" s="29">
        <f t="shared" si="64"/>
        <v>0</v>
      </c>
      <c r="M123" s="147">
        <f t="shared" ca="1" si="65"/>
        <v>0</v>
      </c>
      <c r="N123" s="148">
        <f ca="1">IF(AND(Option_SPW="Y",H123&gt;=Lock_In_Period,Z122&gt;SPW_Amount_pa+IF(option="Single",1/5*pr,2*pr),H123&gt;=SPW_Start_Year,H123&lt;=SPW_Start_Year+SPW_Duration-1,age+H123&gt;=Legal_Age),IF(AND(F123=0,SPW_Payout_Freq=1),SPW_Amount_pa,IF(AND(SPW_Payout_Freq=2,MOD(F123,6)=0),SPW_Amount_pa/SPW_Payout_Freq,IF(AND(SPW_Payout_Freq=4,MOD(F123,3)=0),SPW_Amount_pa/SPW_Payout_Freq,IF(SPW_Payout_Freq=12,SPW_Amount_pa/SPW_Payout_Freq,0)))),0)+IFERROR(VLOOKUP(H123,Input!$B$68:$C$74,2,0),0)*(F123=0)*(Option_PW="Y")*(Option_SPW="N")*(age+H123&gt;=Legal_Age)</f>
        <v>0</v>
      </c>
      <c r="O123" s="148">
        <f t="shared" ca="1" si="66"/>
        <v>0</v>
      </c>
      <c r="P123" s="14">
        <f ca="1">(MAX(MAX(sa-CF122*Flag_UL_Type,105%*SUM($I$7:I123))-(AD122+L123-N123)*Flag_UL_Type,0)*B123)</f>
        <v>0</v>
      </c>
      <c r="Q123" s="213">
        <f t="shared" ca="1" si="67"/>
        <v>0</v>
      </c>
      <c r="R123" s="14">
        <f t="shared" ca="1" si="68"/>
        <v>0</v>
      </c>
      <c r="S123" s="14">
        <f t="shared" ca="1" si="69"/>
        <v>0</v>
      </c>
      <c r="T123" s="14">
        <f>IFERROR(IF(WoP_Flag="Y",IF(fq=1,VLOOKUP(ppt*fq-H123,Charges!$AN$41:$AO$59,2,FALSE),IF(fq=2,VLOOKUP(ppt*fq-G123,Charges!$AP$41:$AQ$79,2,FALSE),VLOOKUP(ppt*fq-D123,Charges!$AR$41:$AS$279,2,FALSE)))*pr/fq,0),0)</f>
        <v>0</v>
      </c>
      <c r="U123" s="14">
        <f t="shared" ca="1" si="70"/>
        <v>0</v>
      </c>
      <c r="V123" s="34">
        <f>ROUND(MIN(IF(H123&gt;=7,Charges!$C$12*(1+Charges!$C$14)^((H123-7+1)),VLOOKUP(H123,Charges!$B$7:$C$12,2,0))*pr,Charges!$C$13)*B123,Round)</f>
        <v>500</v>
      </c>
      <c r="W123" s="14">
        <f t="shared" ca="1" si="71"/>
        <v>3623967.6314419224</v>
      </c>
      <c r="X123" s="14">
        <f t="shared" ca="1" si="72"/>
        <v>3647284.3483002977</v>
      </c>
      <c r="Y123" s="213">
        <f t="shared" ca="1" si="96"/>
        <v>4105.4278921833411</v>
      </c>
      <c r="Z123" s="14">
        <f t="shared" ca="1" si="73"/>
        <v>3642439.9433875214</v>
      </c>
      <c r="AA123" s="14">
        <f>IF(AND($H123=pt,$F123=11),SUM($K$7:K123)*VLOOKUP(pt,ROC,2,FALSE),0)</f>
        <v>0</v>
      </c>
      <c r="AB123" s="14">
        <f>IF(AND($H123=pt,$F123=11),SUM($V$7:V123)*VLOOKUP(pt,ROC,2,FALSE),0)</f>
        <v>0</v>
      </c>
      <c r="AC123" s="14">
        <f>IF(AND($H123=pt,$F123=11),SUM($Q$7:Q123)*VLOOKUP(pt,ROC,2,FALSE),0)</f>
        <v>0</v>
      </c>
      <c r="AD123" s="14">
        <f t="shared" ca="1" si="74"/>
        <v>3642439.9433875214</v>
      </c>
      <c r="AE123" s="14">
        <f ca="1">(MAX(sa-CF122*Flag_UL_Type,105%*SUM($I$7:I123),Z123)+AU123)*B123</f>
        <v>3642439.9433875214</v>
      </c>
      <c r="AF123" s="136"/>
      <c r="AG123" s="18">
        <v>117</v>
      </c>
      <c r="AH123" s="30">
        <f t="shared" ca="1" si="75"/>
        <v>0</v>
      </c>
      <c r="AI123" s="58"/>
      <c r="AJ123" s="50">
        <f>IF(AND(Option_Sys_TopUp&gt;="Y",H123&gt;=sytp,H123&lt;=(dtp+sytp-1),F123=0,H123&lt;=ppt+1),atp,0)+IFERROR(VLOOKUP(H123,Input!$B$55:$C$61,2,0),0)*(F123=0)*(Option_TopUP="Y")*(Option_Sys_TopUp="N")*B123*(pt&gt;=H123+5)</f>
        <v>0</v>
      </c>
      <c r="AK123" s="50">
        <f t="shared" si="76"/>
        <v>0</v>
      </c>
      <c r="AL123" s="50">
        <f t="shared" si="97"/>
        <v>0</v>
      </c>
      <c r="AM123" s="50">
        <f t="shared" ca="1" si="98"/>
        <v>0</v>
      </c>
      <c r="AN123" s="50">
        <f ca="1">IF(B123=0,0,AT123*(_rpm1+(1+_emr1)*VLOOKUP(E123,Tab_Mort_Charge,IF(Input!$C$12="M",2,3),0))*(0.001*0.0833)*Flag_Mort_Rider_Charge*(AT123&gt;0))</f>
        <v>0</v>
      </c>
      <c r="AO123" s="50">
        <f t="shared" ca="1" si="77"/>
        <v>0</v>
      </c>
      <c r="AP123" s="50">
        <f t="shared" ca="1" si="105"/>
        <v>0</v>
      </c>
      <c r="AQ123" s="50">
        <f t="shared" ca="1" si="78"/>
        <v>0</v>
      </c>
      <c r="AR123" s="50">
        <f t="shared" ca="1" si="79"/>
        <v>0</v>
      </c>
      <c r="AS123" s="50">
        <f t="shared" si="80"/>
        <v>0</v>
      </c>
      <c r="AT123" s="50">
        <f ca="1">(MAX((MAX(AS123,105%*SUM($AJ$7:AJ123))-AM123*Flag_UL_Type),0)*B123)</f>
        <v>0</v>
      </c>
      <c r="AU123" s="50">
        <f ca="1">(MAX(AS123,AR123,105%*SUM($AJ$7:AJ123))*B123)</f>
        <v>0</v>
      </c>
      <c r="AV123" s="125"/>
      <c r="AW123" s="13"/>
      <c r="AX123" s="13"/>
      <c r="AY123" s="13"/>
      <c r="AZ123" s="13"/>
      <c r="BA123" s="13"/>
      <c r="BG123" s="51">
        <f t="shared" si="81"/>
        <v>0</v>
      </c>
      <c r="BH123" s="51">
        <f t="shared" ca="1" si="82"/>
        <v>0</v>
      </c>
      <c r="BI123" s="51">
        <f t="shared" ca="1" si="83"/>
        <v>0</v>
      </c>
      <c r="BJ123" s="51">
        <f t="shared" ca="1" si="84"/>
        <v>0</v>
      </c>
      <c r="BK123" s="51">
        <f t="shared" si="85"/>
        <v>90</v>
      </c>
      <c r="BL123" s="51">
        <f t="shared" ca="1" si="86"/>
        <v>738.97702059300138</v>
      </c>
      <c r="BM123" s="51">
        <f t="shared" si="87"/>
        <v>0</v>
      </c>
      <c r="BN123" s="51">
        <f t="shared" ca="1" si="88"/>
        <v>0</v>
      </c>
      <c r="BO123" s="51">
        <f t="shared" ca="1" si="89"/>
        <v>0</v>
      </c>
      <c r="BP123" s="51">
        <f t="shared" ca="1" si="90"/>
        <v>828.97702059300138</v>
      </c>
      <c r="BQ123" s="120"/>
      <c r="BR123" s="32"/>
      <c r="BS123" s="126"/>
      <c r="BT123" s="16"/>
      <c r="BU123" s="58"/>
      <c r="BW123" s="51">
        <f>IF(Input!$C$13="Offline",VLOOKUP(H123,Charges!$AT$4:$AU$33,2,FALSE)*I123,0)</f>
        <v>0</v>
      </c>
      <c r="BX123" s="51">
        <f t="shared" si="91"/>
        <v>0</v>
      </c>
      <c r="BY123" s="51">
        <f t="shared" si="100"/>
        <v>0</v>
      </c>
      <c r="BZ123" s="151"/>
      <c r="CA123" s="151"/>
      <c r="CB123" s="32"/>
      <c r="CC123" s="16">
        <f ca="1">SUM($N$7:$N123)</f>
        <v>0</v>
      </c>
      <c r="CD123" s="16">
        <f t="shared" ca="1" si="92"/>
        <v>0</v>
      </c>
      <c r="CE123" s="16">
        <f t="shared" ca="1" si="93"/>
        <v>0</v>
      </c>
      <c r="CF123" s="7">
        <f t="shared" ca="1" si="94"/>
        <v>0</v>
      </c>
      <c r="CH123" s="7">
        <f t="shared" ca="1" si="95"/>
        <v>0</v>
      </c>
    </row>
    <row r="124" spans="2:86" s="7" customFormat="1" x14ac:dyDescent="0.2">
      <c r="B124" s="14">
        <f t="shared" si="59"/>
        <v>1</v>
      </c>
      <c r="C124" s="12">
        <f t="shared" si="60"/>
        <v>1</v>
      </c>
      <c r="D124" s="17">
        <f t="shared" si="101"/>
        <v>118</v>
      </c>
      <c r="E124" s="17">
        <f t="shared" ca="1" si="61"/>
        <v>69</v>
      </c>
      <c r="F124" s="12">
        <f t="shared" si="103"/>
        <v>9</v>
      </c>
      <c r="G124" s="12">
        <f t="shared" si="102"/>
        <v>20</v>
      </c>
      <c r="H124" s="17">
        <f t="shared" si="104"/>
        <v>10</v>
      </c>
      <c r="I124" s="29">
        <f t="shared" si="62"/>
        <v>0</v>
      </c>
      <c r="J124" s="211">
        <f>IFERROR(VLOOKUP(H124,Charges!$T$6:$U$35,2,0)*C124,0)</f>
        <v>0.98</v>
      </c>
      <c r="K124" s="29">
        <f t="shared" si="63"/>
        <v>0</v>
      </c>
      <c r="L124" s="29">
        <f t="shared" si="64"/>
        <v>0</v>
      </c>
      <c r="M124" s="147">
        <f t="shared" ca="1" si="65"/>
        <v>0</v>
      </c>
      <c r="N124" s="148">
        <f ca="1">IF(AND(Option_SPW="Y",H124&gt;=Lock_In_Period,Z123&gt;SPW_Amount_pa+IF(option="Single",1/5*pr,2*pr),H124&gt;=SPW_Start_Year,H124&lt;=SPW_Start_Year+SPW_Duration-1,age+H124&gt;=Legal_Age),IF(AND(F124=0,SPW_Payout_Freq=1),SPW_Amount_pa,IF(AND(SPW_Payout_Freq=2,MOD(F124,6)=0),SPW_Amount_pa/SPW_Payout_Freq,IF(AND(SPW_Payout_Freq=4,MOD(F124,3)=0),SPW_Amount_pa/SPW_Payout_Freq,IF(SPW_Payout_Freq=12,SPW_Amount_pa/SPW_Payout_Freq,0)))),0)+IFERROR(VLOOKUP(H124,Input!$B$68:$C$74,2,0),0)*(F124=0)*(Option_PW="Y")*(Option_SPW="N")*(age+H124&gt;=Legal_Age)</f>
        <v>0</v>
      </c>
      <c r="O124" s="148">
        <f t="shared" ca="1" si="66"/>
        <v>0</v>
      </c>
      <c r="P124" s="14">
        <f ca="1">(MAX(MAX(sa-CF123*Flag_UL_Type,105%*SUM($I$7:I124))-(AD123+L124-N124)*Flag_UL_Type,0)*B124)</f>
        <v>0</v>
      </c>
      <c r="Q124" s="213">
        <f t="shared" ca="1" si="67"/>
        <v>0</v>
      </c>
      <c r="R124" s="14">
        <f t="shared" ca="1" si="68"/>
        <v>0</v>
      </c>
      <c r="S124" s="14">
        <f t="shared" ca="1" si="69"/>
        <v>0</v>
      </c>
      <c r="T124" s="14">
        <f>IFERROR(IF(WoP_Flag="Y",IF(fq=1,VLOOKUP(ppt*fq-H124,Charges!$AN$41:$AO$59,2,FALSE),IF(fq=2,VLOOKUP(ppt*fq-G124,Charges!$AP$41:$AQ$79,2,FALSE),VLOOKUP(ppt*fq-D124,Charges!$AR$41:$AS$279,2,FALSE)))*pr/fq,0),0)</f>
        <v>0</v>
      </c>
      <c r="U124" s="14">
        <f t="shared" ca="1" si="70"/>
        <v>0</v>
      </c>
      <c r="V124" s="34">
        <f>ROUND(MIN(IF(H124&gt;=7,Charges!$C$12*(1+Charges!$C$14)^((H124-7+1)),VLOOKUP(H124,Charges!$B$7:$C$12,2,0))*pr,Charges!$C$13)*B124,Round)</f>
        <v>500</v>
      </c>
      <c r="W124" s="14">
        <f t="shared" ca="1" si="71"/>
        <v>3641849.9433875214</v>
      </c>
      <c r="X124" s="14">
        <f t="shared" ca="1" si="72"/>
        <v>3665281.715579391</v>
      </c>
      <c r="Y124" s="213">
        <f t="shared" ca="1" si="96"/>
        <v>4125.6859490161978</v>
      </c>
      <c r="Z124" s="14">
        <f t="shared" ca="1" si="73"/>
        <v>3660413.4061595518</v>
      </c>
      <c r="AA124" s="14">
        <f>IF(AND($H124=pt,$F124=11),SUM($K$7:K124)*VLOOKUP(pt,ROC,2,FALSE),0)</f>
        <v>0</v>
      </c>
      <c r="AB124" s="14">
        <f>IF(AND($H124=pt,$F124=11),SUM($V$7:V124)*VLOOKUP(pt,ROC,2,FALSE),0)</f>
        <v>0</v>
      </c>
      <c r="AC124" s="14">
        <f>IF(AND($H124=pt,$F124=11),SUM($Q$7:Q124)*VLOOKUP(pt,ROC,2,FALSE),0)</f>
        <v>0</v>
      </c>
      <c r="AD124" s="14">
        <f t="shared" ca="1" si="74"/>
        <v>3660413.4061595518</v>
      </c>
      <c r="AE124" s="14">
        <f ca="1">(MAX(sa-CF123*Flag_UL_Type,105%*SUM($I$7:I124),Z124)+AU124)*B124</f>
        <v>3660413.4061595518</v>
      </c>
      <c r="AF124" s="136"/>
      <c r="AG124" s="18">
        <v>118</v>
      </c>
      <c r="AH124" s="30">
        <f t="shared" ca="1" si="75"/>
        <v>0</v>
      </c>
      <c r="AI124" s="58"/>
      <c r="AJ124" s="50">
        <f>IF(AND(Option_Sys_TopUp&gt;="Y",H124&gt;=sytp,H124&lt;=(dtp+sytp-1),F124=0,H124&lt;=ppt+1),atp,0)+IFERROR(VLOOKUP(H124,Input!$B$55:$C$61,2,0),0)*(F124=0)*(Option_TopUP="Y")*(Option_Sys_TopUp="N")*B124*(pt&gt;=H124+5)</f>
        <v>0</v>
      </c>
      <c r="AK124" s="50">
        <f t="shared" si="76"/>
        <v>0</v>
      </c>
      <c r="AL124" s="50">
        <f t="shared" si="97"/>
        <v>0</v>
      </c>
      <c r="AM124" s="50">
        <f t="shared" ca="1" si="98"/>
        <v>0</v>
      </c>
      <c r="AN124" s="50">
        <f ca="1">IF(B124=0,0,AT124*(_rpm1+(1+_emr1)*VLOOKUP(E124,Tab_Mort_Charge,IF(Input!$C$12="M",2,3),0))*(0.001*0.0833)*Flag_Mort_Rider_Charge*(AT124&gt;0))</f>
        <v>0</v>
      </c>
      <c r="AO124" s="50">
        <f t="shared" ca="1" si="77"/>
        <v>0</v>
      </c>
      <c r="AP124" s="50">
        <f t="shared" ca="1" si="105"/>
        <v>0</v>
      </c>
      <c r="AQ124" s="50">
        <f t="shared" ca="1" si="78"/>
        <v>0</v>
      </c>
      <c r="AR124" s="50">
        <f t="shared" ca="1" si="79"/>
        <v>0</v>
      </c>
      <c r="AS124" s="50">
        <f t="shared" si="80"/>
        <v>0</v>
      </c>
      <c r="AT124" s="50">
        <f ca="1">(MAX((MAX(AS124,105%*SUM($AJ$7:AJ124))-AM124*Flag_UL_Type),0)*B124)</f>
        <v>0</v>
      </c>
      <c r="AU124" s="50">
        <f ca="1">(MAX(AS124,AR124,105%*SUM($AJ$7:AJ124))*B124)</f>
        <v>0</v>
      </c>
      <c r="AV124" s="125"/>
      <c r="AW124" s="13"/>
      <c r="AX124" s="13"/>
      <c r="AY124" s="13"/>
      <c r="AZ124" s="13"/>
      <c r="BA124" s="13"/>
      <c r="BG124" s="51">
        <f t="shared" si="81"/>
        <v>0</v>
      </c>
      <c r="BH124" s="51">
        <f t="shared" ca="1" si="82"/>
        <v>0</v>
      </c>
      <c r="BI124" s="51">
        <f t="shared" ca="1" si="83"/>
        <v>0</v>
      </c>
      <c r="BJ124" s="51">
        <f t="shared" ca="1" si="84"/>
        <v>0</v>
      </c>
      <c r="BK124" s="51">
        <f t="shared" si="85"/>
        <v>90</v>
      </c>
      <c r="BL124" s="51">
        <f t="shared" ca="1" si="86"/>
        <v>742.62347082291558</v>
      </c>
      <c r="BM124" s="51">
        <f t="shared" si="87"/>
        <v>0</v>
      </c>
      <c r="BN124" s="51">
        <f t="shared" ca="1" si="88"/>
        <v>0</v>
      </c>
      <c r="BO124" s="51">
        <f t="shared" ca="1" si="89"/>
        <v>0</v>
      </c>
      <c r="BP124" s="51">
        <f t="shared" ca="1" si="90"/>
        <v>832.62347082291558</v>
      </c>
      <c r="BQ124" s="120"/>
      <c r="BR124" s="32"/>
      <c r="BS124" s="126"/>
      <c r="BT124" s="16"/>
      <c r="BU124" s="58"/>
      <c r="BW124" s="51">
        <f>IF(Input!$C$13="Offline",VLOOKUP(H124,Charges!$AT$4:$AU$33,2,FALSE)*I124,0)</f>
        <v>0</v>
      </c>
      <c r="BX124" s="51">
        <f t="shared" si="91"/>
        <v>0</v>
      </c>
      <c r="BY124" s="51">
        <f t="shared" si="100"/>
        <v>0</v>
      </c>
      <c r="BZ124" s="151"/>
      <c r="CA124" s="151"/>
      <c r="CB124" s="32"/>
      <c r="CC124" s="16">
        <f ca="1">SUM($N$7:$N124)</f>
        <v>0</v>
      </c>
      <c r="CD124" s="16">
        <f t="shared" ca="1" si="92"/>
        <v>0</v>
      </c>
      <c r="CE124" s="16">
        <f t="shared" ca="1" si="93"/>
        <v>0</v>
      </c>
      <c r="CF124" s="7">
        <f t="shared" ca="1" si="94"/>
        <v>0</v>
      </c>
      <c r="CH124" s="7">
        <f t="shared" ca="1" si="95"/>
        <v>0</v>
      </c>
    </row>
    <row r="125" spans="2:86" s="7" customFormat="1" x14ac:dyDescent="0.2">
      <c r="B125" s="14">
        <f t="shared" si="59"/>
        <v>1</v>
      </c>
      <c r="C125" s="12">
        <f t="shared" si="60"/>
        <v>1</v>
      </c>
      <c r="D125" s="17">
        <f t="shared" si="101"/>
        <v>119</v>
      </c>
      <c r="E125" s="17">
        <f t="shared" ca="1" si="61"/>
        <v>69</v>
      </c>
      <c r="F125" s="12">
        <f t="shared" si="103"/>
        <v>10</v>
      </c>
      <c r="G125" s="12">
        <f t="shared" si="102"/>
        <v>20</v>
      </c>
      <c r="H125" s="17">
        <f t="shared" si="104"/>
        <v>10</v>
      </c>
      <c r="I125" s="29">
        <f t="shared" si="62"/>
        <v>0</v>
      </c>
      <c r="J125" s="211">
        <f>IFERROR(VLOOKUP(H125,Charges!$T$6:$U$35,2,0)*C125,0)</f>
        <v>0.98</v>
      </c>
      <c r="K125" s="29">
        <f t="shared" si="63"/>
        <v>0</v>
      </c>
      <c r="L125" s="29">
        <f t="shared" si="64"/>
        <v>0</v>
      </c>
      <c r="M125" s="147">
        <f t="shared" ca="1" si="65"/>
        <v>0</v>
      </c>
      <c r="N125" s="148">
        <f ca="1">IF(AND(Option_SPW="Y",H125&gt;=Lock_In_Period,Z124&gt;SPW_Amount_pa+IF(option="Single",1/5*pr,2*pr),H125&gt;=SPW_Start_Year,H125&lt;=SPW_Start_Year+SPW_Duration-1,age+H125&gt;=Legal_Age),IF(AND(F125=0,SPW_Payout_Freq=1),SPW_Amount_pa,IF(AND(SPW_Payout_Freq=2,MOD(F125,6)=0),SPW_Amount_pa/SPW_Payout_Freq,IF(AND(SPW_Payout_Freq=4,MOD(F125,3)=0),SPW_Amount_pa/SPW_Payout_Freq,IF(SPW_Payout_Freq=12,SPW_Amount_pa/SPW_Payout_Freq,0)))),0)+IFERROR(VLOOKUP(H125,Input!$B$68:$C$74,2,0),0)*(F125=0)*(Option_PW="Y")*(Option_SPW="N")*(age+H125&gt;=Legal_Age)</f>
        <v>0</v>
      </c>
      <c r="O125" s="148">
        <f t="shared" ca="1" si="66"/>
        <v>0</v>
      </c>
      <c r="P125" s="14">
        <f ca="1">(MAX(MAX(sa-CF124*Flag_UL_Type,105%*SUM($I$7:I125))-(AD124+L125-N125)*Flag_UL_Type,0)*B125)</f>
        <v>0</v>
      </c>
      <c r="Q125" s="213">
        <f t="shared" ca="1" si="67"/>
        <v>0</v>
      </c>
      <c r="R125" s="14">
        <f t="shared" ca="1" si="68"/>
        <v>0</v>
      </c>
      <c r="S125" s="14">
        <f t="shared" ca="1" si="69"/>
        <v>0</v>
      </c>
      <c r="T125" s="14">
        <f>IFERROR(IF(WoP_Flag="Y",IF(fq=1,VLOOKUP(ppt*fq-H125,Charges!$AN$41:$AO$59,2,FALSE),IF(fq=2,VLOOKUP(ppt*fq-G125,Charges!$AP$41:$AQ$79,2,FALSE),VLOOKUP(ppt*fq-D125,Charges!$AR$41:$AS$279,2,FALSE)))*pr/fq,0),0)</f>
        <v>0</v>
      </c>
      <c r="U125" s="14">
        <f t="shared" ca="1" si="70"/>
        <v>0</v>
      </c>
      <c r="V125" s="34">
        <f>ROUND(MIN(IF(H125&gt;=7,Charges!$C$12*(1+Charges!$C$14)^((H125-7+1)),VLOOKUP(H125,Charges!$B$7:$C$12,2,0))*pr,Charges!$C$13)*B125,Round)</f>
        <v>500</v>
      </c>
      <c r="W125" s="14">
        <f t="shared" ca="1" si="71"/>
        <v>3659823.4061595518</v>
      </c>
      <c r="X125" s="14">
        <f t="shared" ca="1" si="72"/>
        <v>3683370.8201520778</v>
      </c>
      <c r="Y125" s="213">
        <f t="shared" ca="1" si="96"/>
        <v>4146.0472664692606</v>
      </c>
      <c r="Z125" s="14">
        <f t="shared" ca="1" si="73"/>
        <v>3678478.484377644</v>
      </c>
      <c r="AA125" s="14">
        <f>IF(AND($H125=pt,$F125=11),SUM($K$7:K125)*VLOOKUP(pt,ROC,2,FALSE),0)</f>
        <v>0</v>
      </c>
      <c r="AB125" s="14">
        <f>IF(AND($H125=pt,$F125=11),SUM($V$7:V125)*VLOOKUP(pt,ROC,2,FALSE),0)</f>
        <v>0</v>
      </c>
      <c r="AC125" s="14">
        <f>IF(AND($H125=pt,$F125=11),SUM($Q$7:Q125)*VLOOKUP(pt,ROC,2,FALSE),0)</f>
        <v>0</v>
      </c>
      <c r="AD125" s="14">
        <f t="shared" ca="1" si="74"/>
        <v>3678478.484377644</v>
      </c>
      <c r="AE125" s="14">
        <f ca="1">(MAX(sa-CF124*Flag_UL_Type,105%*SUM($I$7:I125),Z125)+AU125)*B125</f>
        <v>3678478.484377644</v>
      </c>
      <c r="AF125" s="136"/>
      <c r="AG125" s="18">
        <v>119</v>
      </c>
      <c r="AH125" s="30">
        <f t="shared" ca="1" si="75"/>
        <v>0</v>
      </c>
      <c r="AI125" s="58"/>
      <c r="AJ125" s="50">
        <f>IF(AND(Option_Sys_TopUp&gt;="Y",H125&gt;=sytp,H125&lt;=(dtp+sytp-1),F125=0,H125&lt;=ppt+1),atp,0)+IFERROR(VLOOKUP(H125,Input!$B$55:$C$61,2,0),0)*(F125=0)*(Option_TopUP="Y")*(Option_Sys_TopUp="N")*B125*(pt&gt;=H125+5)</f>
        <v>0</v>
      </c>
      <c r="AK125" s="50">
        <f t="shared" si="76"/>
        <v>0</v>
      </c>
      <c r="AL125" s="50">
        <f t="shared" si="97"/>
        <v>0</v>
      </c>
      <c r="AM125" s="50">
        <f t="shared" ca="1" si="98"/>
        <v>0</v>
      </c>
      <c r="AN125" s="50">
        <f ca="1">IF(B125=0,0,AT125*(_rpm1+(1+_emr1)*VLOOKUP(E125,Tab_Mort_Charge,IF(Input!$C$12="M",2,3),0))*(0.001*0.0833)*Flag_Mort_Rider_Charge*(AT125&gt;0))</f>
        <v>0</v>
      </c>
      <c r="AO125" s="50">
        <f t="shared" ca="1" si="77"/>
        <v>0</v>
      </c>
      <c r="AP125" s="50">
        <f t="shared" ca="1" si="105"/>
        <v>0</v>
      </c>
      <c r="AQ125" s="50">
        <f t="shared" ca="1" si="78"/>
        <v>0</v>
      </c>
      <c r="AR125" s="50">
        <f t="shared" ca="1" si="79"/>
        <v>0</v>
      </c>
      <c r="AS125" s="50">
        <f t="shared" si="80"/>
        <v>0</v>
      </c>
      <c r="AT125" s="50">
        <f ca="1">(MAX((MAX(AS125,105%*SUM($AJ$7:AJ125))-AM125*Flag_UL_Type),0)*B125)</f>
        <v>0</v>
      </c>
      <c r="AU125" s="50">
        <f ca="1">(MAX(AS125,AR125,105%*SUM($AJ$7:AJ125))*B125)</f>
        <v>0</v>
      </c>
      <c r="AV125" s="125"/>
      <c r="AW125" s="13"/>
      <c r="AX125" s="13"/>
      <c r="AY125" s="13"/>
      <c r="AZ125" s="13"/>
      <c r="BA125" s="13"/>
      <c r="BG125" s="51">
        <f t="shared" si="81"/>
        <v>0</v>
      </c>
      <c r="BH125" s="51">
        <f t="shared" ca="1" si="82"/>
        <v>0</v>
      </c>
      <c r="BI125" s="51">
        <f t="shared" ca="1" si="83"/>
        <v>0</v>
      </c>
      <c r="BJ125" s="51">
        <f t="shared" ca="1" si="84"/>
        <v>0</v>
      </c>
      <c r="BK125" s="51">
        <f t="shared" si="85"/>
        <v>90</v>
      </c>
      <c r="BL125" s="51">
        <f t="shared" ca="1" si="86"/>
        <v>746.28850796446693</v>
      </c>
      <c r="BM125" s="51">
        <f t="shared" si="87"/>
        <v>0</v>
      </c>
      <c r="BN125" s="51">
        <f t="shared" ca="1" si="88"/>
        <v>0</v>
      </c>
      <c r="BO125" s="51">
        <f t="shared" ca="1" si="89"/>
        <v>0</v>
      </c>
      <c r="BP125" s="51">
        <f t="shared" ca="1" si="90"/>
        <v>836.28850796446693</v>
      </c>
      <c r="BQ125" s="120"/>
      <c r="BR125" s="32"/>
      <c r="BS125" s="126"/>
      <c r="BT125" s="16"/>
      <c r="BU125" s="58"/>
      <c r="BW125" s="51">
        <f>IF(Input!$C$13="Offline",VLOOKUP(H125,Charges!$AT$4:$AU$33,2,FALSE)*I125,0)</f>
        <v>0</v>
      </c>
      <c r="BX125" s="51">
        <f t="shared" si="91"/>
        <v>0</v>
      </c>
      <c r="BY125" s="51">
        <f t="shared" si="100"/>
        <v>0</v>
      </c>
      <c r="BZ125" s="151"/>
      <c r="CA125" s="151"/>
      <c r="CB125" s="32"/>
      <c r="CC125" s="16">
        <f ca="1">SUM($N$7:$N125)</f>
        <v>0</v>
      </c>
      <c r="CD125" s="16">
        <f t="shared" ca="1" si="92"/>
        <v>0</v>
      </c>
      <c r="CE125" s="16">
        <f t="shared" ca="1" si="93"/>
        <v>0</v>
      </c>
      <c r="CF125" s="7">
        <f t="shared" ca="1" si="94"/>
        <v>0</v>
      </c>
      <c r="CH125" s="7">
        <f t="shared" ca="1" si="95"/>
        <v>0</v>
      </c>
    </row>
    <row r="126" spans="2:86" s="7" customFormat="1" x14ac:dyDescent="0.2">
      <c r="B126" s="14">
        <f t="shared" si="59"/>
        <v>1</v>
      </c>
      <c r="C126" s="12">
        <f t="shared" si="60"/>
        <v>1</v>
      </c>
      <c r="D126" s="17">
        <f t="shared" si="101"/>
        <v>120</v>
      </c>
      <c r="E126" s="17">
        <f t="shared" ca="1" si="61"/>
        <v>69</v>
      </c>
      <c r="F126" s="12">
        <f t="shared" si="103"/>
        <v>11</v>
      </c>
      <c r="G126" s="12">
        <f t="shared" si="102"/>
        <v>20</v>
      </c>
      <c r="H126" s="17">
        <f t="shared" si="104"/>
        <v>10</v>
      </c>
      <c r="I126" s="29">
        <f t="shared" si="62"/>
        <v>0</v>
      </c>
      <c r="J126" s="211">
        <f>IFERROR(VLOOKUP(H126,Charges!$T$6:$U$35,2,0)*C126,0)</f>
        <v>0.98</v>
      </c>
      <c r="K126" s="29">
        <f t="shared" si="63"/>
        <v>0</v>
      </c>
      <c r="L126" s="29">
        <f t="shared" si="64"/>
        <v>0</v>
      </c>
      <c r="M126" s="147">
        <f t="shared" ca="1" si="65"/>
        <v>0</v>
      </c>
      <c r="N126" s="148">
        <f ca="1">IF(AND(Option_SPW="Y",H126&gt;=Lock_In_Period,Z125&gt;SPW_Amount_pa+IF(option="Single",1/5*pr,2*pr),H126&gt;=SPW_Start_Year,H126&lt;=SPW_Start_Year+SPW_Duration-1,age+H126&gt;=Legal_Age),IF(AND(F126=0,SPW_Payout_Freq=1),SPW_Amount_pa,IF(AND(SPW_Payout_Freq=2,MOD(F126,6)=0),SPW_Amount_pa/SPW_Payout_Freq,IF(AND(SPW_Payout_Freq=4,MOD(F126,3)=0),SPW_Amount_pa/SPW_Payout_Freq,IF(SPW_Payout_Freq=12,SPW_Amount_pa/SPW_Payout_Freq,0)))),0)+IFERROR(VLOOKUP(H126,Input!$B$68:$C$74,2,0),0)*(F126=0)*(Option_PW="Y")*(Option_SPW="N")*(age+H126&gt;=Legal_Age)</f>
        <v>0</v>
      </c>
      <c r="O126" s="148">
        <f t="shared" ca="1" si="66"/>
        <v>0</v>
      </c>
      <c r="P126" s="14">
        <f ca="1">(MAX(MAX(sa-CF125*Flag_UL_Type,105%*SUM($I$7:I126))-(AD125+L126-N126)*Flag_UL_Type,0)*B126)</f>
        <v>0</v>
      </c>
      <c r="Q126" s="213">
        <f t="shared" ca="1" si="67"/>
        <v>0</v>
      </c>
      <c r="R126" s="14">
        <f t="shared" ca="1" si="68"/>
        <v>0</v>
      </c>
      <c r="S126" s="14">
        <f t="shared" ca="1" si="69"/>
        <v>0</v>
      </c>
      <c r="T126" s="14">
        <f>IFERROR(IF(WoP_Flag="Y",IF(fq=1,VLOOKUP(ppt*fq-H126,Charges!$AN$41:$AO$59,2,FALSE),IF(fq=2,VLOOKUP(ppt*fq-G126,Charges!$AP$41:$AQ$79,2,FALSE),VLOOKUP(ppt*fq-D126,Charges!$AR$41:$AS$279,2,FALSE)))*pr/fq,0),0)</f>
        <v>0</v>
      </c>
      <c r="U126" s="14">
        <f t="shared" ca="1" si="70"/>
        <v>0</v>
      </c>
      <c r="V126" s="34">
        <f>ROUND(MIN(IF(H126&gt;=7,Charges!$C$12*(1+Charges!$C$14)^((H126-7+1)),VLOOKUP(H126,Charges!$B$7:$C$12,2,0))*pr,Charges!$C$13)*B126,Round)</f>
        <v>500</v>
      </c>
      <c r="W126" s="14">
        <f t="shared" ca="1" si="71"/>
        <v>3677888.484377644</v>
      </c>
      <c r="X126" s="14">
        <f t="shared" ca="1" si="72"/>
        <v>3701552.1296273647</v>
      </c>
      <c r="Y126" s="213">
        <f t="shared" ca="1" si="96"/>
        <v>4166.5123708889487</v>
      </c>
      <c r="Z126" s="14">
        <f t="shared" ca="1" si="73"/>
        <v>3696635.6450297157</v>
      </c>
      <c r="AA126" s="14">
        <f>IF(AND($H126=pt,$F126=11),SUM($K$7:K126)*VLOOKUP(pt,ROC,2,FALSE),0)</f>
        <v>0</v>
      </c>
      <c r="AB126" s="14">
        <f>IF(AND($H126=pt,$F126=11),SUM($V$7:V126)*VLOOKUP(pt,ROC,2,FALSE),0)</f>
        <v>0</v>
      </c>
      <c r="AC126" s="14">
        <f>IF(AND($H126=pt,$F126=11),SUM($Q$7:Q126)*VLOOKUP(pt,ROC,2,FALSE),0)</f>
        <v>0</v>
      </c>
      <c r="AD126" s="14">
        <f t="shared" ca="1" si="74"/>
        <v>3696635.6450297157</v>
      </c>
      <c r="AE126" s="14">
        <f ca="1">(MAX(sa-CF125*Flag_UL_Type,105%*SUM($I$7:I126),Z126)+AU126)*B126</f>
        <v>3696635.6450297157</v>
      </c>
      <c r="AF126" s="136"/>
      <c r="AG126" s="18">
        <v>120</v>
      </c>
      <c r="AH126" s="30">
        <f t="shared" ca="1" si="75"/>
        <v>0</v>
      </c>
      <c r="AI126" s="58"/>
      <c r="AJ126" s="50">
        <f>IF(AND(Option_Sys_TopUp&gt;="Y",H126&gt;=sytp,H126&lt;=(dtp+sytp-1),F126=0,H126&lt;=ppt+1),atp,0)+IFERROR(VLOOKUP(H126,Input!$B$55:$C$61,2,0),0)*(F126=0)*(Option_TopUP="Y")*(Option_Sys_TopUp="N")*B126*(pt&gt;=H126+5)</f>
        <v>0</v>
      </c>
      <c r="AK126" s="50">
        <f t="shared" si="76"/>
        <v>0</v>
      </c>
      <c r="AL126" s="50">
        <f t="shared" si="97"/>
        <v>0</v>
      </c>
      <c r="AM126" s="50">
        <f t="shared" ca="1" si="98"/>
        <v>0</v>
      </c>
      <c r="AN126" s="50">
        <f ca="1">IF(B126=0,0,AT126*(_rpm1+(1+_emr1)*VLOOKUP(E126,Tab_Mort_Charge,IF(Input!$C$12="M",2,3),0))*(0.001*0.0833)*Flag_Mort_Rider_Charge*(AT126&gt;0))</f>
        <v>0</v>
      </c>
      <c r="AO126" s="50">
        <f t="shared" ca="1" si="77"/>
        <v>0</v>
      </c>
      <c r="AP126" s="50">
        <f t="shared" ca="1" si="105"/>
        <v>0</v>
      </c>
      <c r="AQ126" s="50">
        <f t="shared" ca="1" si="78"/>
        <v>0</v>
      </c>
      <c r="AR126" s="50">
        <f t="shared" ca="1" si="79"/>
        <v>0</v>
      </c>
      <c r="AS126" s="50">
        <f t="shared" si="80"/>
        <v>0</v>
      </c>
      <c r="AT126" s="50">
        <f ca="1">(MAX((MAX(AS126,105%*SUM($AJ$7:AJ126))-AM126*Flag_UL_Type),0)*B126)</f>
        <v>0</v>
      </c>
      <c r="AU126" s="50">
        <f ca="1">(MAX(AS126,AR126,105%*SUM($AJ$7:AJ126))*B126)</f>
        <v>0</v>
      </c>
      <c r="AV126" s="125"/>
      <c r="AW126" s="13"/>
      <c r="AX126" s="13"/>
      <c r="AY126" s="13"/>
      <c r="AZ126" s="13"/>
      <c r="BA126" s="13"/>
      <c r="BG126" s="51">
        <f t="shared" si="81"/>
        <v>0</v>
      </c>
      <c r="BH126" s="51">
        <f t="shared" ca="1" si="82"/>
        <v>0</v>
      </c>
      <c r="BI126" s="51">
        <f t="shared" ca="1" si="83"/>
        <v>0</v>
      </c>
      <c r="BJ126" s="51">
        <f t="shared" ca="1" si="84"/>
        <v>0</v>
      </c>
      <c r="BK126" s="51">
        <f t="shared" si="85"/>
        <v>90</v>
      </c>
      <c r="BL126" s="51">
        <f t="shared" ca="1" si="86"/>
        <v>749.9722267600107</v>
      </c>
      <c r="BM126" s="51">
        <f t="shared" si="87"/>
        <v>0</v>
      </c>
      <c r="BN126" s="51">
        <f t="shared" ca="1" si="88"/>
        <v>0</v>
      </c>
      <c r="BO126" s="51">
        <f t="shared" ca="1" si="89"/>
        <v>0</v>
      </c>
      <c r="BP126" s="51">
        <f t="shared" ca="1" si="90"/>
        <v>839.9722267600107</v>
      </c>
      <c r="BQ126" s="120"/>
      <c r="BR126" s="32"/>
      <c r="BS126" s="126"/>
      <c r="BT126" s="16"/>
      <c r="BU126" s="58"/>
      <c r="BW126" s="51">
        <f>IF(Input!$C$13="Offline",VLOOKUP(H126,Charges!$AT$4:$AU$33,2,FALSE)*I126,0)</f>
        <v>0</v>
      </c>
      <c r="BX126" s="51">
        <f t="shared" si="91"/>
        <v>0</v>
      </c>
      <c r="BY126" s="51">
        <f t="shared" si="100"/>
        <v>0</v>
      </c>
      <c r="BZ126" s="151"/>
      <c r="CA126" s="151"/>
      <c r="CB126" s="32"/>
      <c r="CC126" s="16">
        <f ca="1">SUM($N$7:$N126)</f>
        <v>0</v>
      </c>
      <c r="CD126" s="16">
        <f t="shared" ca="1" si="92"/>
        <v>0</v>
      </c>
      <c r="CE126" s="16">
        <f t="shared" ca="1" si="93"/>
        <v>0</v>
      </c>
      <c r="CF126" s="7">
        <f t="shared" ca="1" si="94"/>
        <v>0</v>
      </c>
      <c r="CH126" s="7">
        <f t="shared" ca="1" si="95"/>
        <v>0</v>
      </c>
    </row>
    <row r="127" spans="2:86" s="7" customFormat="1" x14ac:dyDescent="0.2">
      <c r="B127" s="14">
        <f t="shared" si="59"/>
        <v>1</v>
      </c>
      <c r="C127" s="12">
        <f t="shared" si="60"/>
        <v>1</v>
      </c>
      <c r="D127" s="17">
        <f t="shared" si="101"/>
        <v>121</v>
      </c>
      <c r="E127" s="17">
        <f t="shared" ca="1" si="61"/>
        <v>70</v>
      </c>
      <c r="F127" s="12">
        <f t="shared" si="103"/>
        <v>0</v>
      </c>
      <c r="G127" s="12">
        <f t="shared" si="102"/>
        <v>21</v>
      </c>
      <c r="H127" s="17">
        <f t="shared" si="104"/>
        <v>11</v>
      </c>
      <c r="I127" s="29">
        <f t="shared" si="62"/>
        <v>300000</v>
      </c>
      <c r="J127" s="211">
        <f>IFERROR(VLOOKUP(H127,Charges!$T$6:$U$35,2,0)*C127,0)</f>
        <v>1</v>
      </c>
      <c r="K127" s="29">
        <f t="shared" si="63"/>
        <v>0</v>
      </c>
      <c r="L127" s="29">
        <f t="shared" si="64"/>
        <v>300000</v>
      </c>
      <c r="M127" s="147">
        <f t="shared" ca="1" si="65"/>
        <v>0</v>
      </c>
      <c r="N127" s="148">
        <f ca="1">IF(AND(Option_SPW="Y",H127&gt;=Lock_In_Period,Z126&gt;SPW_Amount_pa+IF(option="Single",1/5*pr,2*pr),H127&gt;=SPW_Start_Year,H127&lt;=SPW_Start_Year+SPW_Duration-1,age+H127&gt;=Legal_Age),IF(AND(F127=0,SPW_Payout_Freq=1),SPW_Amount_pa,IF(AND(SPW_Payout_Freq=2,MOD(F127,6)=0),SPW_Amount_pa/SPW_Payout_Freq,IF(AND(SPW_Payout_Freq=4,MOD(F127,3)=0),SPW_Amount_pa/SPW_Payout_Freq,IF(SPW_Payout_Freq=12,SPW_Amount_pa/SPW_Payout_Freq,0)))),0)+IFERROR(VLOOKUP(H127,Input!$B$68:$C$74,2,0),0)*(F127=0)*(Option_PW="Y")*(Option_SPW="N")*(age+H127&gt;=Legal_Age)</f>
        <v>0</v>
      </c>
      <c r="O127" s="148">
        <f t="shared" ca="1" si="66"/>
        <v>0</v>
      </c>
      <c r="P127" s="14">
        <f ca="1">(MAX(MAX(sa-CF126*Flag_UL_Type,105%*SUM($I$7:I127))-(AD126+L127-N127)*Flag_UL_Type,0)*B127)</f>
        <v>0</v>
      </c>
      <c r="Q127" s="213">
        <f t="shared" ca="1" si="67"/>
        <v>0</v>
      </c>
      <c r="R127" s="14">
        <f t="shared" ca="1" si="68"/>
        <v>0</v>
      </c>
      <c r="S127" s="14">
        <f t="shared" ca="1" si="69"/>
        <v>0</v>
      </c>
      <c r="T127" s="14">
        <f>IFERROR(IF(WoP_Flag="Y",IF(fq=1,VLOOKUP(ppt*fq-H127,Charges!$AN$41:$AO$59,2,FALSE),IF(fq=2,VLOOKUP(ppt*fq-G127,Charges!$AP$41:$AQ$79,2,FALSE),VLOOKUP(ppt*fq-D127,Charges!$AR$41:$AS$279,2,FALSE)))*pr/fq,0),0)</f>
        <v>0</v>
      </c>
      <c r="U127" s="14">
        <f t="shared" ca="1" si="70"/>
        <v>0</v>
      </c>
      <c r="V127" s="34">
        <f>ROUND(MIN(IF(H127&gt;=7,Charges!$C$12*(1+Charges!$C$14)^((H127-7+1)),VLOOKUP(H127,Charges!$B$7:$C$12,2,0))*pr,Charges!$C$13)*B127,Round)</f>
        <v>500</v>
      </c>
      <c r="W127" s="14">
        <f t="shared" ca="1" si="71"/>
        <v>3996045.6450297157</v>
      </c>
      <c r="X127" s="14">
        <f t="shared" ca="1" si="72"/>
        <v>4021756.3230307852</v>
      </c>
      <c r="Y127" s="213">
        <f t="shared" ca="1" si="96"/>
        <v>4526.9381291397658</v>
      </c>
      <c r="Z127" s="14">
        <f t="shared" ca="1" si="73"/>
        <v>4016414.5360384001</v>
      </c>
      <c r="AA127" s="14">
        <f>IF(AND($H127=pt,$F127=11),SUM($K$7:K127)*VLOOKUP(pt,ROC,2,FALSE),0)</f>
        <v>0</v>
      </c>
      <c r="AB127" s="14">
        <f>IF(AND($H127=pt,$F127=11),SUM($V$7:V127)*VLOOKUP(pt,ROC,2,FALSE),0)</f>
        <v>0</v>
      </c>
      <c r="AC127" s="14">
        <f>IF(AND($H127=pt,$F127=11),SUM($Q$7:Q127)*VLOOKUP(pt,ROC,2,FALSE),0)</f>
        <v>0</v>
      </c>
      <c r="AD127" s="14">
        <f t="shared" ca="1" si="74"/>
        <v>4016414.5360384001</v>
      </c>
      <c r="AE127" s="14">
        <f ca="1">(MAX(sa-CF126*Flag_UL_Type,105%*SUM($I$7:I127),Z127)+AU127)*B127</f>
        <v>4016414.5360384001</v>
      </c>
      <c r="AF127" s="136"/>
      <c r="AG127" s="18">
        <v>121</v>
      </c>
      <c r="AH127" s="30">
        <f t="shared" ca="1" si="75"/>
        <v>300000</v>
      </c>
      <c r="AI127" s="58"/>
      <c r="AJ127" s="50">
        <f>IF(AND(Option_Sys_TopUp&gt;="Y",H127&gt;=sytp,H127&lt;=(dtp+sytp-1),F127=0,H127&lt;=ppt+1),atp,0)+IFERROR(VLOOKUP(H127,Input!$B$55:$C$61,2,0),0)*(F127=0)*(Option_TopUP="Y")*(Option_Sys_TopUp="N")*B127*(pt&gt;=H127+5)</f>
        <v>0</v>
      </c>
      <c r="AK127" s="50">
        <f t="shared" si="76"/>
        <v>0</v>
      </c>
      <c r="AL127" s="50">
        <f t="shared" si="97"/>
        <v>0</v>
      </c>
      <c r="AM127" s="50">
        <f t="shared" ca="1" si="98"/>
        <v>0</v>
      </c>
      <c r="AN127" s="50">
        <f ca="1">IF(B127=0,0,AT127*(_rpm1+(1+_emr1)*VLOOKUP(E127,Tab_Mort_Charge,IF(Input!$C$12="M",2,3),0))*(0.001*0.0833)*Flag_Mort_Rider_Charge*(AT127&gt;0))</f>
        <v>0</v>
      </c>
      <c r="AO127" s="50">
        <f t="shared" ca="1" si="77"/>
        <v>0</v>
      </c>
      <c r="AP127" s="50">
        <f t="shared" ca="1" si="105"/>
        <v>0</v>
      </c>
      <c r="AQ127" s="50">
        <f t="shared" ca="1" si="78"/>
        <v>0</v>
      </c>
      <c r="AR127" s="50">
        <f t="shared" ca="1" si="79"/>
        <v>0</v>
      </c>
      <c r="AS127" s="50">
        <f t="shared" si="80"/>
        <v>0</v>
      </c>
      <c r="AT127" s="50">
        <f ca="1">(MAX((MAX(AS127,105%*SUM($AJ$7:AJ127))-AM127*Flag_UL_Type),0)*B127)</f>
        <v>0</v>
      </c>
      <c r="AU127" s="50">
        <f ca="1">(MAX(AS127,AR127,105%*SUM($AJ$7:AJ127))*B127)</f>
        <v>0</v>
      </c>
      <c r="AV127" s="125"/>
      <c r="AW127" s="13"/>
      <c r="AX127" s="13"/>
      <c r="AY127" s="13"/>
      <c r="AZ127" s="13"/>
      <c r="BA127" s="13"/>
      <c r="BG127" s="51">
        <f t="shared" si="81"/>
        <v>0</v>
      </c>
      <c r="BH127" s="51">
        <f t="shared" ca="1" si="82"/>
        <v>0</v>
      </c>
      <c r="BI127" s="51">
        <f t="shared" ca="1" si="83"/>
        <v>0</v>
      </c>
      <c r="BJ127" s="51">
        <f t="shared" ca="1" si="84"/>
        <v>0</v>
      </c>
      <c r="BK127" s="51">
        <f t="shared" si="85"/>
        <v>90</v>
      </c>
      <c r="BL127" s="51">
        <f t="shared" ca="1" si="86"/>
        <v>814.84886324515776</v>
      </c>
      <c r="BM127" s="51">
        <f t="shared" si="87"/>
        <v>0</v>
      </c>
      <c r="BN127" s="51">
        <f t="shared" ca="1" si="88"/>
        <v>0</v>
      </c>
      <c r="BO127" s="51">
        <f t="shared" ca="1" si="89"/>
        <v>0</v>
      </c>
      <c r="BP127" s="51">
        <f t="shared" ca="1" si="90"/>
        <v>904.84886324515776</v>
      </c>
      <c r="BQ127" s="120"/>
      <c r="BR127" s="32"/>
      <c r="BS127" s="126"/>
      <c r="BT127" s="16"/>
      <c r="BU127" s="58"/>
      <c r="BW127" s="51">
        <f>IF(Input!$C$13="Offline",VLOOKUP(H127,Charges!$AT$4:$AU$33,2,FALSE)*I127,0)</f>
        <v>0</v>
      </c>
      <c r="BX127" s="51">
        <f t="shared" si="91"/>
        <v>0</v>
      </c>
      <c r="BY127" s="51">
        <f t="shared" si="100"/>
        <v>0</v>
      </c>
      <c r="BZ127" s="151"/>
      <c r="CA127" s="151"/>
      <c r="CB127" s="32"/>
      <c r="CC127" s="16">
        <f ca="1">SUM($N$7:$N127)</f>
        <v>0</v>
      </c>
      <c r="CD127" s="16">
        <f t="shared" ca="1" si="92"/>
        <v>0</v>
      </c>
      <c r="CE127" s="16">
        <f t="shared" ca="1" si="93"/>
        <v>0</v>
      </c>
      <c r="CF127" s="7">
        <f t="shared" ca="1" si="94"/>
        <v>0</v>
      </c>
      <c r="CH127" s="7">
        <f t="shared" ca="1" si="95"/>
        <v>0</v>
      </c>
    </row>
    <row r="128" spans="2:86" s="7" customFormat="1" x14ac:dyDescent="0.2">
      <c r="B128" s="14">
        <f t="shared" si="59"/>
        <v>1</v>
      </c>
      <c r="C128" s="12">
        <f t="shared" si="60"/>
        <v>1</v>
      </c>
      <c r="D128" s="17">
        <f t="shared" si="101"/>
        <v>122</v>
      </c>
      <c r="E128" s="17">
        <f t="shared" ca="1" si="61"/>
        <v>70</v>
      </c>
      <c r="F128" s="12">
        <f t="shared" si="103"/>
        <v>1</v>
      </c>
      <c r="G128" s="12">
        <f t="shared" si="102"/>
        <v>21</v>
      </c>
      <c r="H128" s="17">
        <f t="shared" si="104"/>
        <v>11</v>
      </c>
      <c r="I128" s="29">
        <f t="shared" si="62"/>
        <v>0</v>
      </c>
      <c r="J128" s="211">
        <f>IFERROR(VLOOKUP(H128,Charges!$T$6:$U$35,2,0)*C128,0)</f>
        <v>1</v>
      </c>
      <c r="K128" s="29">
        <f t="shared" si="63"/>
        <v>0</v>
      </c>
      <c r="L128" s="29">
        <f t="shared" si="64"/>
        <v>0</v>
      </c>
      <c r="M128" s="147">
        <f t="shared" ca="1" si="65"/>
        <v>0</v>
      </c>
      <c r="N128" s="148">
        <f ca="1">IF(AND(Option_SPW="Y",H128&gt;=Lock_In_Period,Z127&gt;SPW_Amount_pa+IF(option="Single",1/5*pr,2*pr),H128&gt;=SPW_Start_Year,H128&lt;=SPW_Start_Year+SPW_Duration-1,age+H128&gt;=Legal_Age),IF(AND(F128=0,SPW_Payout_Freq=1),SPW_Amount_pa,IF(AND(SPW_Payout_Freq=2,MOD(F128,6)=0),SPW_Amount_pa/SPW_Payout_Freq,IF(AND(SPW_Payout_Freq=4,MOD(F128,3)=0),SPW_Amount_pa/SPW_Payout_Freq,IF(SPW_Payout_Freq=12,SPW_Amount_pa/SPW_Payout_Freq,0)))),0)+IFERROR(VLOOKUP(H128,Input!$B$68:$C$74,2,0),0)*(F128=0)*(Option_PW="Y")*(Option_SPW="N")*(age+H128&gt;=Legal_Age)</f>
        <v>0</v>
      </c>
      <c r="O128" s="148">
        <f t="shared" ca="1" si="66"/>
        <v>0</v>
      </c>
      <c r="P128" s="14">
        <f ca="1">(MAX(MAX(sa-CF127*Flag_UL_Type,105%*SUM($I$7:I128))-(AD127+L128-N128)*Flag_UL_Type,0)*B128)</f>
        <v>0</v>
      </c>
      <c r="Q128" s="213">
        <f t="shared" ca="1" si="67"/>
        <v>0</v>
      </c>
      <c r="R128" s="14">
        <f t="shared" ca="1" si="68"/>
        <v>0</v>
      </c>
      <c r="S128" s="14">
        <f t="shared" ca="1" si="69"/>
        <v>0</v>
      </c>
      <c r="T128" s="14">
        <f>IFERROR(IF(WoP_Flag="Y",IF(fq=1,VLOOKUP(ppt*fq-H128,Charges!$AN$41:$AO$59,2,FALSE),IF(fq=2,VLOOKUP(ppt*fq-G128,Charges!$AP$41:$AQ$79,2,FALSE),VLOOKUP(ppt*fq-D128,Charges!$AR$41:$AS$279,2,FALSE)))*pr/fq,0),0)</f>
        <v>0</v>
      </c>
      <c r="U128" s="14">
        <f t="shared" ca="1" si="70"/>
        <v>0</v>
      </c>
      <c r="V128" s="34">
        <f>ROUND(MIN(IF(H128&gt;=7,Charges!$C$12*(1+Charges!$C$14)^((H128-7+1)),VLOOKUP(H128,Charges!$B$7:$C$12,2,0))*pr,Charges!$C$13)*B128,Round)</f>
        <v>500</v>
      </c>
      <c r="W128" s="14">
        <f t="shared" ca="1" si="71"/>
        <v>4015824.5360384001</v>
      </c>
      <c r="X128" s="14">
        <f t="shared" ca="1" si="72"/>
        <v>4041662.4720197618</v>
      </c>
      <c r="Y128" s="213">
        <f t="shared" ca="1" si="96"/>
        <v>4549.3447340219391</v>
      </c>
      <c r="Z128" s="14">
        <f t="shared" ca="1" si="73"/>
        <v>4036294.2452336159</v>
      </c>
      <c r="AA128" s="14">
        <f>IF(AND($H128=pt,$F128=11),SUM($K$7:K128)*VLOOKUP(pt,ROC,2,FALSE),0)</f>
        <v>0</v>
      </c>
      <c r="AB128" s="14">
        <f>IF(AND($H128=pt,$F128=11),SUM($V$7:V128)*VLOOKUP(pt,ROC,2,FALSE),0)</f>
        <v>0</v>
      </c>
      <c r="AC128" s="14">
        <f>IF(AND($H128=pt,$F128=11),SUM($Q$7:Q128)*VLOOKUP(pt,ROC,2,FALSE),0)</f>
        <v>0</v>
      </c>
      <c r="AD128" s="14">
        <f t="shared" ca="1" si="74"/>
        <v>4036294.2452336159</v>
      </c>
      <c r="AE128" s="14">
        <f ca="1">(MAX(sa-CF127*Flag_UL_Type,105%*SUM($I$7:I128),Z128)+AU128)*B128</f>
        <v>4036294.2452336159</v>
      </c>
      <c r="AF128" s="136"/>
      <c r="AG128" s="18">
        <v>122</v>
      </c>
      <c r="AH128" s="30">
        <f t="shared" ca="1" si="75"/>
        <v>0</v>
      </c>
      <c r="AI128" s="58"/>
      <c r="AJ128" s="50">
        <f>IF(AND(Option_Sys_TopUp&gt;="Y",H128&gt;=sytp,H128&lt;=(dtp+sytp-1),F128=0,H128&lt;=ppt+1),atp,0)+IFERROR(VLOOKUP(H128,Input!$B$55:$C$61,2,0),0)*(F128=0)*(Option_TopUP="Y")*(Option_Sys_TopUp="N")*B128*(pt&gt;=H128+5)</f>
        <v>0</v>
      </c>
      <c r="AK128" s="50">
        <f t="shared" si="76"/>
        <v>0</v>
      </c>
      <c r="AL128" s="50">
        <f t="shared" si="97"/>
        <v>0</v>
      </c>
      <c r="AM128" s="50">
        <f t="shared" ca="1" si="98"/>
        <v>0</v>
      </c>
      <c r="AN128" s="50">
        <f ca="1">IF(B128=0,0,AT128*(_rpm1+(1+_emr1)*VLOOKUP(E128,Tab_Mort_Charge,IF(Input!$C$12="M",2,3),0))*(0.001*0.0833)*Flag_Mort_Rider_Charge*(AT128&gt;0))</f>
        <v>0</v>
      </c>
      <c r="AO128" s="50">
        <f t="shared" ca="1" si="77"/>
        <v>0</v>
      </c>
      <c r="AP128" s="50">
        <f t="shared" ca="1" si="105"/>
        <v>0</v>
      </c>
      <c r="AQ128" s="50">
        <f t="shared" ca="1" si="78"/>
        <v>0</v>
      </c>
      <c r="AR128" s="50">
        <f t="shared" ca="1" si="79"/>
        <v>0</v>
      </c>
      <c r="AS128" s="50">
        <f t="shared" si="80"/>
        <v>0</v>
      </c>
      <c r="AT128" s="50">
        <f ca="1">(MAX((MAX(AS128,105%*SUM($AJ$7:AJ128))-AM128*Flag_UL_Type),0)*B128)</f>
        <v>0</v>
      </c>
      <c r="AU128" s="50">
        <f ca="1">(MAX(AS128,AR128,105%*SUM($AJ$7:AJ128))*B128)</f>
        <v>0</v>
      </c>
      <c r="AV128" s="125"/>
      <c r="AW128" s="13"/>
      <c r="AX128" s="13"/>
      <c r="AY128" s="13"/>
      <c r="AZ128" s="13"/>
      <c r="BA128" s="13"/>
      <c r="BG128" s="51">
        <f t="shared" si="81"/>
        <v>0</v>
      </c>
      <c r="BH128" s="51">
        <f t="shared" ca="1" si="82"/>
        <v>0</v>
      </c>
      <c r="BI128" s="51">
        <f t="shared" ca="1" si="83"/>
        <v>0</v>
      </c>
      <c r="BJ128" s="51">
        <f t="shared" ca="1" si="84"/>
        <v>0</v>
      </c>
      <c r="BK128" s="51">
        <f t="shared" si="85"/>
        <v>90</v>
      </c>
      <c r="BL128" s="51">
        <f t="shared" ca="1" si="86"/>
        <v>818.88205212394905</v>
      </c>
      <c r="BM128" s="51">
        <f t="shared" si="87"/>
        <v>0</v>
      </c>
      <c r="BN128" s="51">
        <f t="shared" ca="1" si="88"/>
        <v>0</v>
      </c>
      <c r="BO128" s="51">
        <f t="shared" ca="1" si="89"/>
        <v>0</v>
      </c>
      <c r="BP128" s="51">
        <f t="shared" ca="1" si="90"/>
        <v>908.88205212394905</v>
      </c>
      <c r="BQ128" s="120"/>
      <c r="BR128" s="32"/>
      <c r="BS128" s="126"/>
      <c r="BT128" s="16"/>
      <c r="BU128" s="58"/>
      <c r="BW128" s="51">
        <f>IF(Input!$C$13="Offline",VLOOKUP(H128,Charges!$AT$4:$AU$33,2,FALSE)*I128,0)</f>
        <v>0</v>
      </c>
      <c r="BX128" s="51">
        <f t="shared" si="91"/>
        <v>0</v>
      </c>
      <c r="BY128" s="51">
        <f t="shared" si="100"/>
        <v>0</v>
      </c>
      <c r="BZ128" s="151"/>
      <c r="CA128" s="151"/>
      <c r="CB128" s="32"/>
      <c r="CC128" s="16">
        <f ca="1">SUM($N$7:$N128)</f>
        <v>0</v>
      </c>
      <c r="CD128" s="16">
        <f t="shared" ca="1" si="92"/>
        <v>0</v>
      </c>
      <c r="CE128" s="16">
        <f t="shared" ca="1" si="93"/>
        <v>0</v>
      </c>
      <c r="CF128" s="7">
        <f t="shared" ca="1" si="94"/>
        <v>0</v>
      </c>
      <c r="CH128" s="7">
        <f t="shared" ca="1" si="95"/>
        <v>0</v>
      </c>
    </row>
    <row r="129" spans="2:86" s="7" customFormat="1" x14ac:dyDescent="0.2">
      <c r="B129" s="14">
        <f t="shared" si="59"/>
        <v>1</v>
      </c>
      <c r="C129" s="12">
        <f t="shared" si="60"/>
        <v>1</v>
      </c>
      <c r="D129" s="17">
        <f t="shared" si="101"/>
        <v>123</v>
      </c>
      <c r="E129" s="17">
        <f t="shared" ca="1" si="61"/>
        <v>70</v>
      </c>
      <c r="F129" s="12">
        <f t="shared" si="103"/>
        <v>2</v>
      </c>
      <c r="G129" s="12">
        <f t="shared" si="102"/>
        <v>21</v>
      </c>
      <c r="H129" s="17">
        <f t="shared" si="104"/>
        <v>11</v>
      </c>
      <c r="I129" s="29">
        <f t="shared" si="62"/>
        <v>0</v>
      </c>
      <c r="J129" s="211">
        <f>IFERROR(VLOOKUP(H129,Charges!$T$6:$U$35,2,0)*C129,0)</f>
        <v>1</v>
      </c>
      <c r="K129" s="29">
        <f t="shared" si="63"/>
        <v>0</v>
      </c>
      <c r="L129" s="29">
        <f t="shared" si="64"/>
        <v>0</v>
      </c>
      <c r="M129" s="147">
        <f t="shared" ca="1" si="65"/>
        <v>0</v>
      </c>
      <c r="N129" s="148">
        <f ca="1">IF(AND(Option_SPW="Y",H129&gt;=Lock_In_Period,Z128&gt;SPW_Amount_pa+IF(option="Single",1/5*pr,2*pr),H129&gt;=SPW_Start_Year,H129&lt;=SPW_Start_Year+SPW_Duration-1,age+H129&gt;=Legal_Age),IF(AND(F129=0,SPW_Payout_Freq=1),SPW_Amount_pa,IF(AND(SPW_Payout_Freq=2,MOD(F129,6)=0),SPW_Amount_pa/SPW_Payout_Freq,IF(AND(SPW_Payout_Freq=4,MOD(F129,3)=0),SPW_Amount_pa/SPW_Payout_Freq,IF(SPW_Payout_Freq=12,SPW_Amount_pa/SPW_Payout_Freq,0)))),0)+IFERROR(VLOOKUP(H129,Input!$B$68:$C$74,2,0),0)*(F129=0)*(Option_PW="Y")*(Option_SPW="N")*(age+H129&gt;=Legal_Age)</f>
        <v>0</v>
      </c>
      <c r="O129" s="148">
        <f t="shared" ca="1" si="66"/>
        <v>0</v>
      </c>
      <c r="P129" s="14">
        <f ca="1">(MAX(MAX(sa-CF128*Flag_UL_Type,105%*SUM($I$7:I129))-(AD128+L129-N129)*Flag_UL_Type,0)*B129)</f>
        <v>0</v>
      </c>
      <c r="Q129" s="213">
        <f t="shared" ca="1" si="67"/>
        <v>0</v>
      </c>
      <c r="R129" s="14">
        <f t="shared" ca="1" si="68"/>
        <v>0</v>
      </c>
      <c r="S129" s="14">
        <f t="shared" ca="1" si="69"/>
        <v>0</v>
      </c>
      <c r="T129" s="14">
        <f>IFERROR(IF(WoP_Flag="Y",IF(fq=1,VLOOKUP(ppt*fq-H129,Charges!$AN$41:$AO$59,2,FALSE),IF(fq=2,VLOOKUP(ppt*fq-G129,Charges!$AP$41:$AQ$79,2,FALSE),VLOOKUP(ppt*fq-D129,Charges!$AR$41:$AS$279,2,FALSE)))*pr/fq,0),0)</f>
        <v>0</v>
      </c>
      <c r="U129" s="14">
        <f t="shared" ca="1" si="70"/>
        <v>0</v>
      </c>
      <c r="V129" s="34">
        <f>ROUND(MIN(IF(H129&gt;=7,Charges!$C$12*(1+Charges!$C$14)^((H129-7+1)),VLOOKUP(H129,Charges!$B$7:$C$12,2,0))*pr,Charges!$C$13)*B129,Round)</f>
        <v>500</v>
      </c>
      <c r="W129" s="14">
        <f t="shared" ca="1" si="71"/>
        <v>4035704.2452336159</v>
      </c>
      <c r="X129" s="14">
        <f t="shared" ca="1" si="72"/>
        <v>4061670.0878625177</v>
      </c>
      <c r="Y129" s="213">
        <f t="shared" ca="1" si="96"/>
        <v>4571.8655512363193</v>
      </c>
      <c r="Z129" s="14">
        <f t="shared" ca="1" si="73"/>
        <v>4056275.2865120587</v>
      </c>
      <c r="AA129" s="14">
        <f>IF(AND($H129=pt,$F129=11),SUM($K$7:K129)*VLOOKUP(pt,ROC,2,FALSE),0)</f>
        <v>0</v>
      </c>
      <c r="AB129" s="14">
        <f>IF(AND($H129=pt,$F129=11),SUM($V$7:V129)*VLOOKUP(pt,ROC,2,FALSE),0)</f>
        <v>0</v>
      </c>
      <c r="AC129" s="14">
        <f>IF(AND($H129=pt,$F129=11),SUM($Q$7:Q129)*VLOOKUP(pt,ROC,2,FALSE),0)</f>
        <v>0</v>
      </c>
      <c r="AD129" s="14">
        <f t="shared" ca="1" si="74"/>
        <v>4056275.2865120587</v>
      </c>
      <c r="AE129" s="14">
        <f ca="1">(MAX(sa-CF128*Flag_UL_Type,105%*SUM($I$7:I129),Z129)+AU129)*B129</f>
        <v>4056275.2865120587</v>
      </c>
      <c r="AF129" s="136"/>
      <c r="AG129" s="18">
        <v>123</v>
      </c>
      <c r="AH129" s="30">
        <f t="shared" ca="1" si="75"/>
        <v>0</v>
      </c>
      <c r="AI129" s="58"/>
      <c r="AJ129" s="50">
        <f>IF(AND(Option_Sys_TopUp&gt;="Y",H129&gt;=sytp,H129&lt;=(dtp+sytp-1),F129=0,H129&lt;=ppt+1),atp,0)+IFERROR(VLOOKUP(H129,Input!$B$55:$C$61,2,0),0)*(F129=0)*(Option_TopUP="Y")*(Option_Sys_TopUp="N")*B129*(pt&gt;=H129+5)</f>
        <v>0</v>
      </c>
      <c r="AK129" s="50">
        <f t="shared" si="76"/>
        <v>0</v>
      </c>
      <c r="AL129" s="50">
        <f t="shared" si="97"/>
        <v>0</v>
      </c>
      <c r="AM129" s="50">
        <f t="shared" ca="1" si="98"/>
        <v>0</v>
      </c>
      <c r="AN129" s="50">
        <f ca="1">IF(B129=0,0,AT129*(_rpm1+(1+_emr1)*VLOOKUP(E129,Tab_Mort_Charge,IF(Input!$C$12="M",2,3),0))*(0.001*0.0833)*Flag_Mort_Rider_Charge*(AT129&gt;0))</f>
        <v>0</v>
      </c>
      <c r="AO129" s="50">
        <f t="shared" ca="1" si="77"/>
        <v>0</v>
      </c>
      <c r="AP129" s="50">
        <f t="shared" ca="1" si="105"/>
        <v>0</v>
      </c>
      <c r="AQ129" s="50">
        <f t="shared" ca="1" si="78"/>
        <v>0</v>
      </c>
      <c r="AR129" s="50">
        <f t="shared" ca="1" si="79"/>
        <v>0</v>
      </c>
      <c r="AS129" s="50">
        <f t="shared" si="80"/>
        <v>0</v>
      </c>
      <c r="AT129" s="50">
        <f ca="1">(MAX((MAX(AS129,105%*SUM($AJ$7:AJ129))-AM129*Flag_UL_Type),0)*B129)</f>
        <v>0</v>
      </c>
      <c r="AU129" s="50">
        <f ca="1">(MAX(AS129,AR129,105%*SUM($AJ$7:AJ129))*B129)</f>
        <v>0</v>
      </c>
      <c r="AV129" s="125"/>
      <c r="AW129" s="13"/>
      <c r="AX129" s="13"/>
      <c r="AY129" s="13"/>
      <c r="AZ129" s="13"/>
      <c r="BA129" s="13"/>
      <c r="BG129" s="51">
        <f t="shared" si="81"/>
        <v>0</v>
      </c>
      <c r="BH129" s="51">
        <f t="shared" ca="1" si="82"/>
        <v>0</v>
      </c>
      <c r="BI129" s="51">
        <f t="shared" ca="1" si="83"/>
        <v>0</v>
      </c>
      <c r="BJ129" s="51">
        <f t="shared" ca="1" si="84"/>
        <v>0</v>
      </c>
      <c r="BK129" s="51">
        <f t="shared" si="85"/>
        <v>90</v>
      </c>
      <c r="BL129" s="51">
        <f t="shared" ca="1" si="86"/>
        <v>822.93579922253741</v>
      </c>
      <c r="BM129" s="51">
        <f t="shared" si="87"/>
        <v>0</v>
      </c>
      <c r="BN129" s="51">
        <f t="shared" ca="1" si="88"/>
        <v>0</v>
      </c>
      <c r="BO129" s="51">
        <f t="shared" ca="1" si="89"/>
        <v>0</v>
      </c>
      <c r="BP129" s="51">
        <f t="shared" ca="1" si="90"/>
        <v>912.93579922253741</v>
      </c>
      <c r="BQ129" s="120"/>
      <c r="BR129" s="32"/>
      <c r="BS129" s="126"/>
      <c r="BT129" s="16"/>
      <c r="BU129" s="58"/>
      <c r="BW129" s="51">
        <f>IF(Input!$C$13="Offline",VLOOKUP(H129,Charges!$AT$4:$AU$33,2,FALSE)*I129,0)</f>
        <v>0</v>
      </c>
      <c r="BX129" s="51">
        <f t="shared" si="91"/>
        <v>0</v>
      </c>
      <c r="BY129" s="51">
        <f t="shared" si="100"/>
        <v>0</v>
      </c>
      <c r="BZ129" s="151"/>
      <c r="CA129" s="151"/>
      <c r="CB129" s="32"/>
      <c r="CC129" s="16">
        <f ca="1">SUM($N$7:$N129)</f>
        <v>0</v>
      </c>
      <c r="CD129" s="16">
        <f t="shared" ca="1" si="92"/>
        <v>0</v>
      </c>
      <c r="CE129" s="16">
        <f t="shared" ca="1" si="93"/>
        <v>0</v>
      </c>
      <c r="CF129" s="7">
        <f t="shared" ca="1" si="94"/>
        <v>0</v>
      </c>
      <c r="CH129" s="7">
        <f t="shared" ca="1" si="95"/>
        <v>0</v>
      </c>
    </row>
    <row r="130" spans="2:86" s="7" customFormat="1" x14ac:dyDescent="0.2">
      <c r="B130" s="14">
        <f t="shared" si="59"/>
        <v>1</v>
      </c>
      <c r="C130" s="12">
        <f t="shared" si="60"/>
        <v>1</v>
      </c>
      <c r="D130" s="17">
        <f t="shared" si="101"/>
        <v>124</v>
      </c>
      <c r="E130" s="17">
        <f t="shared" ca="1" si="61"/>
        <v>70</v>
      </c>
      <c r="F130" s="12">
        <f t="shared" si="103"/>
        <v>3</v>
      </c>
      <c r="G130" s="12">
        <f t="shared" si="102"/>
        <v>21</v>
      </c>
      <c r="H130" s="17">
        <f t="shared" si="104"/>
        <v>11</v>
      </c>
      <c r="I130" s="29">
        <f t="shared" si="62"/>
        <v>0</v>
      </c>
      <c r="J130" s="211">
        <f>IFERROR(VLOOKUP(H130,Charges!$T$6:$U$35,2,0)*C130,0)</f>
        <v>1</v>
      </c>
      <c r="K130" s="29">
        <f t="shared" si="63"/>
        <v>0</v>
      </c>
      <c r="L130" s="29">
        <f t="shared" si="64"/>
        <v>0</v>
      </c>
      <c r="M130" s="147">
        <f t="shared" ca="1" si="65"/>
        <v>0</v>
      </c>
      <c r="N130" s="148">
        <f ca="1">IF(AND(Option_SPW="Y",H130&gt;=Lock_In_Period,Z129&gt;SPW_Amount_pa+IF(option="Single",1/5*pr,2*pr),H130&gt;=SPW_Start_Year,H130&lt;=SPW_Start_Year+SPW_Duration-1,age+H130&gt;=Legal_Age),IF(AND(F130=0,SPW_Payout_Freq=1),SPW_Amount_pa,IF(AND(SPW_Payout_Freq=2,MOD(F130,6)=0),SPW_Amount_pa/SPW_Payout_Freq,IF(AND(SPW_Payout_Freq=4,MOD(F130,3)=0),SPW_Amount_pa/SPW_Payout_Freq,IF(SPW_Payout_Freq=12,SPW_Amount_pa/SPW_Payout_Freq,0)))),0)+IFERROR(VLOOKUP(H130,Input!$B$68:$C$74,2,0),0)*(F130=0)*(Option_PW="Y")*(Option_SPW="N")*(age+H130&gt;=Legal_Age)</f>
        <v>0</v>
      </c>
      <c r="O130" s="148">
        <f t="shared" ca="1" si="66"/>
        <v>0</v>
      </c>
      <c r="P130" s="14">
        <f ca="1">(MAX(MAX(sa-CF129*Flag_UL_Type,105%*SUM($I$7:I130))-(AD129+L130-N130)*Flag_UL_Type,0)*B130)</f>
        <v>0</v>
      </c>
      <c r="Q130" s="213">
        <f t="shared" ca="1" si="67"/>
        <v>0</v>
      </c>
      <c r="R130" s="14">
        <f t="shared" ca="1" si="68"/>
        <v>0</v>
      </c>
      <c r="S130" s="14">
        <f t="shared" ca="1" si="69"/>
        <v>0</v>
      </c>
      <c r="T130" s="14">
        <f>IFERROR(IF(WoP_Flag="Y",IF(fq=1,VLOOKUP(ppt*fq-H130,Charges!$AN$41:$AO$59,2,FALSE),IF(fq=2,VLOOKUP(ppt*fq-G130,Charges!$AP$41:$AQ$79,2,FALSE),VLOOKUP(ppt*fq-D130,Charges!$AR$41:$AS$279,2,FALSE)))*pr/fq,0),0)</f>
        <v>0</v>
      </c>
      <c r="U130" s="14">
        <f t="shared" ca="1" si="70"/>
        <v>0</v>
      </c>
      <c r="V130" s="34">
        <f>ROUND(MIN(IF(H130&gt;=7,Charges!$C$12*(1+Charges!$C$14)^((H130-7+1)),VLOOKUP(H130,Charges!$B$7:$C$12,2,0))*pr,Charges!$C$13)*B130,Round)</f>
        <v>500</v>
      </c>
      <c r="W130" s="14">
        <f t="shared" ca="1" si="71"/>
        <v>4055685.2865120587</v>
      </c>
      <c r="X130" s="14">
        <f t="shared" ca="1" si="72"/>
        <v>4081779.6877621752</v>
      </c>
      <c r="Y130" s="213">
        <f t="shared" ca="1" si="96"/>
        <v>4594.5011629530682</v>
      </c>
      <c r="Z130" s="14">
        <f t="shared" ca="1" si="73"/>
        <v>4076358.1763898907</v>
      </c>
      <c r="AA130" s="14">
        <f>IF(AND($H130=pt,$F130=11),SUM($K$7:K130)*VLOOKUP(pt,ROC,2,FALSE),0)</f>
        <v>0</v>
      </c>
      <c r="AB130" s="14">
        <f>IF(AND($H130=pt,$F130=11),SUM($V$7:V130)*VLOOKUP(pt,ROC,2,FALSE),0)</f>
        <v>0</v>
      </c>
      <c r="AC130" s="14">
        <f>IF(AND($H130=pt,$F130=11),SUM($Q$7:Q130)*VLOOKUP(pt,ROC,2,FALSE),0)</f>
        <v>0</v>
      </c>
      <c r="AD130" s="14">
        <f t="shared" ca="1" si="74"/>
        <v>4076358.1763898907</v>
      </c>
      <c r="AE130" s="14">
        <f ca="1">(MAX(sa-CF129*Flag_UL_Type,105%*SUM($I$7:I130),Z130)+AU130)*B130</f>
        <v>4076358.1763898907</v>
      </c>
      <c r="AF130" s="136"/>
      <c r="AG130" s="18">
        <v>124</v>
      </c>
      <c r="AH130" s="30">
        <f t="shared" ca="1" si="75"/>
        <v>0</v>
      </c>
      <c r="AI130" s="58"/>
      <c r="AJ130" s="50">
        <f>IF(AND(Option_Sys_TopUp&gt;="Y",H130&gt;=sytp,H130&lt;=(dtp+sytp-1),F130=0,H130&lt;=ppt+1),atp,0)+IFERROR(VLOOKUP(H130,Input!$B$55:$C$61,2,0),0)*(F130=0)*(Option_TopUP="Y")*(Option_Sys_TopUp="N")*B130*(pt&gt;=H130+5)</f>
        <v>0</v>
      </c>
      <c r="AK130" s="50">
        <f t="shared" si="76"/>
        <v>0</v>
      </c>
      <c r="AL130" s="50">
        <f t="shared" si="97"/>
        <v>0</v>
      </c>
      <c r="AM130" s="50">
        <f t="shared" ca="1" si="98"/>
        <v>0</v>
      </c>
      <c r="AN130" s="50">
        <f ca="1">IF(B130=0,0,AT130*(_rpm1+(1+_emr1)*VLOOKUP(E130,Tab_Mort_Charge,IF(Input!$C$12="M",2,3),0))*(0.001*0.0833)*Flag_Mort_Rider_Charge*(AT130&gt;0))</f>
        <v>0</v>
      </c>
      <c r="AO130" s="50">
        <f t="shared" ca="1" si="77"/>
        <v>0</v>
      </c>
      <c r="AP130" s="50">
        <f t="shared" ca="1" si="105"/>
        <v>0</v>
      </c>
      <c r="AQ130" s="50">
        <f t="shared" ca="1" si="78"/>
        <v>0</v>
      </c>
      <c r="AR130" s="50">
        <f t="shared" ca="1" si="79"/>
        <v>0</v>
      </c>
      <c r="AS130" s="50">
        <f t="shared" si="80"/>
        <v>0</v>
      </c>
      <c r="AT130" s="50">
        <f ca="1">(MAX((MAX(AS130,105%*SUM($AJ$7:AJ130))-AM130*Flag_UL_Type),0)*B130)</f>
        <v>0</v>
      </c>
      <c r="AU130" s="50">
        <f ca="1">(MAX(AS130,AR130,105%*SUM($AJ$7:AJ130))*B130)</f>
        <v>0</v>
      </c>
      <c r="AV130" s="125"/>
      <c r="AW130" s="13"/>
      <c r="AX130" s="13"/>
      <c r="AY130" s="13"/>
      <c r="AZ130" s="13"/>
      <c r="BA130" s="13"/>
      <c r="BG130" s="51">
        <f t="shared" si="81"/>
        <v>0</v>
      </c>
      <c r="BH130" s="51">
        <f t="shared" ca="1" si="82"/>
        <v>0</v>
      </c>
      <c r="BI130" s="51">
        <f t="shared" ca="1" si="83"/>
        <v>0</v>
      </c>
      <c r="BJ130" s="51">
        <f t="shared" ca="1" si="84"/>
        <v>0</v>
      </c>
      <c r="BK130" s="51">
        <f t="shared" si="85"/>
        <v>90</v>
      </c>
      <c r="BL130" s="51">
        <f t="shared" ca="1" si="86"/>
        <v>827.01020933155223</v>
      </c>
      <c r="BM130" s="51">
        <f t="shared" si="87"/>
        <v>0</v>
      </c>
      <c r="BN130" s="51">
        <f t="shared" ca="1" si="88"/>
        <v>0</v>
      </c>
      <c r="BO130" s="51">
        <f t="shared" ca="1" si="89"/>
        <v>0</v>
      </c>
      <c r="BP130" s="51">
        <f t="shared" ca="1" si="90"/>
        <v>917.01020933155223</v>
      </c>
      <c r="BQ130" s="120"/>
      <c r="BR130" s="32"/>
      <c r="BS130" s="126"/>
      <c r="BT130" s="16"/>
      <c r="BU130" s="58"/>
      <c r="BW130" s="51">
        <f>IF(Input!$C$13="Offline",VLOOKUP(H130,Charges!$AT$4:$AU$33,2,FALSE)*I130,0)</f>
        <v>0</v>
      </c>
      <c r="BX130" s="51">
        <f t="shared" si="91"/>
        <v>0</v>
      </c>
      <c r="BY130" s="51">
        <f t="shared" si="100"/>
        <v>0</v>
      </c>
      <c r="BZ130" s="151"/>
      <c r="CA130" s="151"/>
      <c r="CB130" s="32"/>
      <c r="CC130" s="16">
        <f ca="1">SUM($N$7:$N130)</f>
        <v>0</v>
      </c>
      <c r="CD130" s="16">
        <f t="shared" ca="1" si="92"/>
        <v>0</v>
      </c>
      <c r="CE130" s="16">
        <f t="shared" ca="1" si="93"/>
        <v>0</v>
      </c>
      <c r="CF130" s="7">
        <f t="shared" ca="1" si="94"/>
        <v>0</v>
      </c>
      <c r="CH130" s="7">
        <f t="shared" ca="1" si="95"/>
        <v>0</v>
      </c>
    </row>
    <row r="131" spans="2:86" s="7" customFormat="1" x14ac:dyDescent="0.2">
      <c r="B131" s="14">
        <f t="shared" si="59"/>
        <v>1</v>
      </c>
      <c r="C131" s="12">
        <f t="shared" si="60"/>
        <v>1</v>
      </c>
      <c r="D131" s="17">
        <f t="shared" si="101"/>
        <v>125</v>
      </c>
      <c r="E131" s="17">
        <f t="shared" ca="1" si="61"/>
        <v>70</v>
      </c>
      <c r="F131" s="12">
        <f t="shared" si="103"/>
        <v>4</v>
      </c>
      <c r="G131" s="12">
        <f t="shared" si="102"/>
        <v>21</v>
      </c>
      <c r="H131" s="17">
        <f t="shared" si="104"/>
        <v>11</v>
      </c>
      <c r="I131" s="29">
        <f t="shared" si="62"/>
        <v>0</v>
      </c>
      <c r="J131" s="211">
        <f>IFERROR(VLOOKUP(H131,Charges!$T$6:$U$35,2,0)*C131,0)</f>
        <v>1</v>
      </c>
      <c r="K131" s="29">
        <f t="shared" si="63"/>
        <v>0</v>
      </c>
      <c r="L131" s="29">
        <f t="shared" si="64"/>
        <v>0</v>
      </c>
      <c r="M131" s="147">
        <f t="shared" ca="1" si="65"/>
        <v>0</v>
      </c>
      <c r="N131" s="148">
        <f ca="1">IF(AND(Option_SPW="Y",H131&gt;=Lock_In_Period,Z130&gt;SPW_Amount_pa+IF(option="Single",1/5*pr,2*pr),H131&gt;=SPW_Start_Year,H131&lt;=SPW_Start_Year+SPW_Duration-1,age+H131&gt;=Legal_Age),IF(AND(F131=0,SPW_Payout_Freq=1),SPW_Amount_pa,IF(AND(SPW_Payout_Freq=2,MOD(F131,6)=0),SPW_Amount_pa/SPW_Payout_Freq,IF(AND(SPW_Payout_Freq=4,MOD(F131,3)=0),SPW_Amount_pa/SPW_Payout_Freq,IF(SPW_Payout_Freq=12,SPW_Amount_pa/SPW_Payout_Freq,0)))),0)+IFERROR(VLOOKUP(H131,Input!$B$68:$C$74,2,0),0)*(F131=0)*(Option_PW="Y")*(Option_SPW="N")*(age+H131&gt;=Legal_Age)</f>
        <v>0</v>
      </c>
      <c r="O131" s="148">
        <f t="shared" ca="1" si="66"/>
        <v>0</v>
      </c>
      <c r="P131" s="14">
        <f ca="1">(MAX(MAX(sa-CF130*Flag_UL_Type,105%*SUM($I$7:I131))-(AD130+L131-N131)*Flag_UL_Type,0)*B131)</f>
        <v>0</v>
      </c>
      <c r="Q131" s="213">
        <f t="shared" ca="1" si="67"/>
        <v>0</v>
      </c>
      <c r="R131" s="14">
        <f t="shared" ca="1" si="68"/>
        <v>0</v>
      </c>
      <c r="S131" s="14">
        <f t="shared" ca="1" si="69"/>
        <v>0</v>
      </c>
      <c r="T131" s="14">
        <f>IFERROR(IF(WoP_Flag="Y",IF(fq=1,VLOOKUP(ppt*fq-H131,Charges!$AN$41:$AO$59,2,FALSE),IF(fq=2,VLOOKUP(ppt*fq-G131,Charges!$AP$41:$AQ$79,2,FALSE),VLOOKUP(ppt*fq-D131,Charges!$AR$41:$AS$279,2,FALSE)))*pr/fq,0),0)</f>
        <v>0</v>
      </c>
      <c r="U131" s="14">
        <f t="shared" ca="1" si="70"/>
        <v>0</v>
      </c>
      <c r="V131" s="34">
        <f>ROUND(MIN(IF(H131&gt;=7,Charges!$C$12*(1+Charges!$C$14)^((H131-7+1)),VLOOKUP(H131,Charges!$B$7:$C$12,2,0))*pr,Charges!$C$13)*B131,Round)</f>
        <v>500</v>
      </c>
      <c r="W131" s="14">
        <f t="shared" ca="1" si="71"/>
        <v>4075768.1763898907</v>
      </c>
      <c r="X131" s="14">
        <f t="shared" ca="1" si="72"/>
        <v>4101991.7915581772</v>
      </c>
      <c r="Y131" s="213">
        <f t="shared" ca="1" si="96"/>
        <v>4617.2521543098237</v>
      </c>
      <c r="Z131" s="14">
        <f t="shared" ca="1" si="73"/>
        <v>4096543.4340160917</v>
      </c>
      <c r="AA131" s="14">
        <f>IF(AND($H131=pt,$F131=11),SUM($K$7:K131)*VLOOKUP(pt,ROC,2,FALSE),0)</f>
        <v>0</v>
      </c>
      <c r="AB131" s="14">
        <f>IF(AND($H131=pt,$F131=11),SUM($V$7:V131)*VLOOKUP(pt,ROC,2,FALSE),0)</f>
        <v>0</v>
      </c>
      <c r="AC131" s="14">
        <f>IF(AND($H131=pt,$F131=11),SUM($Q$7:Q131)*VLOOKUP(pt,ROC,2,FALSE),0)</f>
        <v>0</v>
      </c>
      <c r="AD131" s="14">
        <f t="shared" ca="1" si="74"/>
        <v>4096543.4340160917</v>
      </c>
      <c r="AE131" s="14">
        <f ca="1">(MAX(sa-CF130*Flag_UL_Type,105%*SUM($I$7:I131),Z131)+AU131)*B131</f>
        <v>4096543.4340160917</v>
      </c>
      <c r="AF131" s="136"/>
      <c r="AG131" s="18">
        <v>125</v>
      </c>
      <c r="AH131" s="30">
        <f t="shared" ca="1" si="75"/>
        <v>0</v>
      </c>
      <c r="AI131" s="58"/>
      <c r="AJ131" s="50">
        <f>IF(AND(Option_Sys_TopUp&gt;="Y",H131&gt;=sytp,H131&lt;=(dtp+sytp-1),F131=0,H131&lt;=ppt+1),atp,0)+IFERROR(VLOOKUP(H131,Input!$B$55:$C$61,2,0),0)*(F131=0)*(Option_TopUP="Y")*(Option_Sys_TopUp="N")*B131*(pt&gt;=H131+5)</f>
        <v>0</v>
      </c>
      <c r="AK131" s="50">
        <f t="shared" si="76"/>
        <v>0</v>
      </c>
      <c r="AL131" s="50">
        <f t="shared" si="97"/>
        <v>0</v>
      </c>
      <c r="AM131" s="50">
        <f t="shared" ca="1" si="98"/>
        <v>0</v>
      </c>
      <c r="AN131" s="50">
        <f ca="1">IF(B131=0,0,AT131*(_rpm1+(1+_emr1)*VLOOKUP(E131,Tab_Mort_Charge,IF(Input!$C$12="M",2,3),0))*(0.001*0.0833)*Flag_Mort_Rider_Charge*(AT131&gt;0))</f>
        <v>0</v>
      </c>
      <c r="AO131" s="50">
        <f t="shared" ca="1" si="77"/>
        <v>0</v>
      </c>
      <c r="AP131" s="50">
        <f t="shared" ca="1" si="105"/>
        <v>0</v>
      </c>
      <c r="AQ131" s="50">
        <f t="shared" ca="1" si="78"/>
        <v>0</v>
      </c>
      <c r="AR131" s="50">
        <f t="shared" ca="1" si="79"/>
        <v>0</v>
      </c>
      <c r="AS131" s="50">
        <f t="shared" si="80"/>
        <v>0</v>
      </c>
      <c r="AT131" s="50">
        <f ca="1">(MAX((MAX(AS131,105%*SUM($AJ$7:AJ131))-AM131*Flag_UL_Type),0)*B131)</f>
        <v>0</v>
      </c>
      <c r="AU131" s="50">
        <f ca="1">(MAX(AS131,AR131,105%*SUM($AJ$7:AJ131))*B131)</f>
        <v>0</v>
      </c>
      <c r="AV131" s="125"/>
      <c r="AW131" s="13"/>
      <c r="AX131" s="13"/>
      <c r="AY131" s="13"/>
      <c r="AZ131" s="13"/>
      <c r="BA131" s="13"/>
      <c r="BG131" s="51">
        <f t="shared" si="81"/>
        <v>0</v>
      </c>
      <c r="BH131" s="51">
        <f t="shared" ca="1" si="82"/>
        <v>0</v>
      </c>
      <c r="BI131" s="51">
        <f t="shared" ca="1" si="83"/>
        <v>0</v>
      </c>
      <c r="BJ131" s="51">
        <f t="shared" ca="1" si="84"/>
        <v>0</v>
      </c>
      <c r="BK131" s="51">
        <f t="shared" si="85"/>
        <v>90</v>
      </c>
      <c r="BL131" s="51">
        <f t="shared" ca="1" si="86"/>
        <v>831.10538777576824</v>
      </c>
      <c r="BM131" s="51">
        <f t="shared" si="87"/>
        <v>0</v>
      </c>
      <c r="BN131" s="51">
        <f t="shared" ca="1" si="88"/>
        <v>0</v>
      </c>
      <c r="BO131" s="51">
        <f t="shared" ca="1" si="89"/>
        <v>0</v>
      </c>
      <c r="BP131" s="51">
        <f t="shared" ca="1" si="90"/>
        <v>921.10538777576824</v>
      </c>
      <c r="BQ131" s="120"/>
      <c r="BR131" s="32"/>
      <c r="BS131" s="126"/>
      <c r="BT131" s="16"/>
      <c r="BU131" s="58"/>
      <c r="BW131" s="51">
        <f>IF(Input!$C$13="Offline",VLOOKUP(H131,Charges!$AT$4:$AU$33,2,FALSE)*I131,0)</f>
        <v>0</v>
      </c>
      <c r="BX131" s="51">
        <f t="shared" si="91"/>
        <v>0</v>
      </c>
      <c r="BY131" s="51">
        <f t="shared" si="100"/>
        <v>0</v>
      </c>
      <c r="BZ131" s="151"/>
      <c r="CA131" s="151"/>
      <c r="CB131" s="32"/>
      <c r="CC131" s="16">
        <f ca="1">SUM($N$7:$N131)</f>
        <v>0</v>
      </c>
      <c r="CD131" s="16">
        <f t="shared" ca="1" si="92"/>
        <v>0</v>
      </c>
      <c r="CE131" s="16">
        <f t="shared" ca="1" si="93"/>
        <v>0</v>
      </c>
      <c r="CF131" s="7">
        <f t="shared" ca="1" si="94"/>
        <v>0</v>
      </c>
      <c r="CH131" s="7">
        <f t="shared" ca="1" si="95"/>
        <v>0</v>
      </c>
    </row>
    <row r="132" spans="2:86" s="7" customFormat="1" x14ac:dyDescent="0.2">
      <c r="B132" s="14">
        <f t="shared" si="59"/>
        <v>1</v>
      </c>
      <c r="C132" s="12">
        <f t="shared" si="60"/>
        <v>1</v>
      </c>
      <c r="D132" s="17">
        <f t="shared" si="101"/>
        <v>126</v>
      </c>
      <c r="E132" s="17">
        <f t="shared" ca="1" si="61"/>
        <v>70</v>
      </c>
      <c r="F132" s="12">
        <f t="shared" si="103"/>
        <v>5</v>
      </c>
      <c r="G132" s="12">
        <f t="shared" si="102"/>
        <v>21</v>
      </c>
      <c r="H132" s="17">
        <f t="shared" si="104"/>
        <v>11</v>
      </c>
      <c r="I132" s="29">
        <f t="shared" si="62"/>
        <v>0</v>
      </c>
      <c r="J132" s="211">
        <f>IFERROR(VLOOKUP(H132,Charges!$T$6:$U$35,2,0)*C132,0)</f>
        <v>1</v>
      </c>
      <c r="K132" s="29">
        <f t="shared" si="63"/>
        <v>0</v>
      </c>
      <c r="L132" s="29">
        <f t="shared" si="64"/>
        <v>0</v>
      </c>
      <c r="M132" s="147">
        <f t="shared" ca="1" si="65"/>
        <v>0</v>
      </c>
      <c r="N132" s="148">
        <f ca="1">IF(AND(Option_SPW="Y",H132&gt;=Lock_In_Period,Z131&gt;SPW_Amount_pa+IF(option="Single",1/5*pr,2*pr),H132&gt;=SPW_Start_Year,H132&lt;=SPW_Start_Year+SPW_Duration-1,age+H132&gt;=Legal_Age),IF(AND(F132=0,SPW_Payout_Freq=1),SPW_Amount_pa,IF(AND(SPW_Payout_Freq=2,MOD(F132,6)=0),SPW_Amount_pa/SPW_Payout_Freq,IF(AND(SPW_Payout_Freq=4,MOD(F132,3)=0),SPW_Amount_pa/SPW_Payout_Freq,IF(SPW_Payout_Freq=12,SPW_Amount_pa/SPW_Payout_Freq,0)))),0)+IFERROR(VLOOKUP(H132,Input!$B$68:$C$74,2,0),0)*(F132=0)*(Option_PW="Y")*(Option_SPW="N")*(age+H132&gt;=Legal_Age)</f>
        <v>0</v>
      </c>
      <c r="O132" s="148">
        <f t="shared" ca="1" si="66"/>
        <v>0</v>
      </c>
      <c r="P132" s="14">
        <f ca="1">(MAX(MAX(sa-CF131*Flag_UL_Type,105%*SUM($I$7:I132))-(AD131+L132-N132)*Flag_UL_Type,0)*B132)</f>
        <v>0</v>
      </c>
      <c r="Q132" s="213">
        <f t="shared" ca="1" si="67"/>
        <v>0</v>
      </c>
      <c r="R132" s="14">
        <f t="shared" ca="1" si="68"/>
        <v>0</v>
      </c>
      <c r="S132" s="14">
        <f t="shared" ca="1" si="69"/>
        <v>0</v>
      </c>
      <c r="T132" s="14">
        <f>IFERROR(IF(WoP_Flag="Y",IF(fq=1,VLOOKUP(ppt*fq-H132,Charges!$AN$41:$AO$59,2,FALSE),IF(fq=2,VLOOKUP(ppt*fq-G132,Charges!$AP$41:$AQ$79,2,FALSE),VLOOKUP(ppt*fq-D132,Charges!$AR$41:$AS$279,2,FALSE)))*pr/fq,0),0)</f>
        <v>0</v>
      </c>
      <c r="U132" s="14">
        <f t="shared" ca="1" si="70"/>
        <v>0</v>
      </c>
      <c r="V132" s="34">
        <f>ROUND(MIN(IF(H132&gt;=7,Charges!$C$12*(1+Charges!$C$14)^((H132-7+1)),VLOOKUP(H132,Charges!$B$7:$C$12,2,0))*pr,Charges!$C$13)*B132,Round)</f>
        <v>500</v>
      </c>
      <c r="W132" s="14">
        <f t="shared" ca="1" si="71"/>
        <v>4095953.4340160917</v>
      </c>
      <c r="X132" s="14">
        <f t="shared" ca="1" si="72"/>
        <v>4122306.9217397231</v>
      </c>
      <c r="Y132" s="213">
        <f t="shared" ca="1" si="96"/>
        <v>4640.1191134268229</v>
      </c>
      <c r="Z132" s="14">
        <f t="shared" ca="1" si="73"/>
        <v>4116831.5811858792</v>
      </c>
      <c r="AA132" s="14">
        <f>IF(AND($H132=pt,$F132=11),SUM($K$7:K132)*VLOOKUP(pt,ROC,2,FALSE),0)</f>
        <v>0</v>
      </c>
      <c r="AB132" s="14">
        <f>IF(AND($H132=pt,$F132=11),SUM($V$7:V132)*VLOOKUP(pt,ROC,2,FALSE),0)</f>
        <v>0</v>
      </c>
      <c r="AC132" s="14">
        <f>IF(AND($H132=pt,$F132=11),SUM($Q$7:Q132)*VLOOKUP(pt,ROC,2,FALSE),0)</f>
        <v>0</v>
      </c>
      <c r="AD132" s="14">
        <f t="shared" ca="1" si="74"/>
        <v>4116831.5811858792</v>
      </c>
      <c r="AE132" s="14">
        <f ca="1">(MAX(sa-CF131*Flag_UL_Type,105%*SUM($I$7:I132),Z132)+AU132)*B132</f>
        <v>4116831.5811858792</v>
      </c>
      <c r="AF132" s="136"/>
      <c r="AG132" s="18">
        <v>126</v>
      </c>
      <c r="AH132" s="30">
        <f t="shared" ca="1" si="75"/>
        <v>0</v>
      </c>
      <c r="AI132" s="58"/>
      <c r="AJ132" s="50">
        <f>IF(AND(Option_Sys_TopUp&gt;="Y",H132&gt;=sytp,H132&lt;=(dtp+sytp-1),F132=0,H132&lt;=ppt+1),atp,0)+IFERROR(VLOOKUP(H132,Input!$B$55:$C$61,2,0),0)*(F132=0)*(Option_TopUP="Y")*(Option_Sys_TopUp="N")*B132*(pt&gt;=H132+5)</f>
        <v>0</v>
      </c>
      <c r="AK132" s="50">
        <f t="shared" si="76"/>
        <v>0</v>
      </c>
      <c r="AL132" s="50">
        <f t="shared" si="97"/>
        <v>0</v>
      </c>
      <c r="AM132" s="50">
        <f t="shared" ca="1" si="98"/>
        <v>0</v>
      </c>
      <c r="AN132" s="50">
        <f ca="1">IF(B132=0,0,AT132*(_rpm1+(1+_emr1)*VLOOKUP(E132,Tab_Mort_Charge,IF(Input!$C$12="M",2,3),0))*(0.001*0.0833)*Flag_Mort_Rider_Charge*(AT132&gt;0))</f>
        <v>0</v>
      </c>
      <c r="AO132" s="50">
        <f t="shared" ca="1" si="77"/>
        <v>0</v>
      </c>
      <c r="AP132" s="50">
        <f t="shared" ca="1" si="105"/>
        <v>0</v>
      </c>
      <c r="AQ132" s="50">
        <f t="shared" ca="1" si="78"/>
        <v>0</v>
      </c>
      <c r="AR132" s="50">
        <f t="shared" ca="1" si="79"/>
        <v>0</v>
      </c>
      <c r="AS132" s="50">
        <f t="shared" si="80"/>
        <v>0</v>
      </c>
      <c r="AT132" s="50">
        <f ca="1">(MAX((MAX(AS132,105%*SUM($AJ$7:AJ132))-AM132*Flag_UL_Type),0)*B132)</f>
        <v>0</v>
      </c>
      <c r="AU132" s="50">
        <f ca="1">(MAX(AS132,AR132,105%*SUM($AJ$7:AJ132))*B132)</f>
        <v>0</v>
      </c>
      <c r="AV132" s="125"/>
      <c r="AW132" s="13"/>
      <c r="AX132" s="13"/>
      <c r="AY132" s="13"/>
      <c r="AZ132" s="13"/>
      <c r="BA132" s="13"/>
      <c r="BG132" s="51">
        <f t="shared" si="81"/>
        <v>0</v>
      </c>
      <c r="BH132" s="51">
        <f t="shared" ca="1" si="82"/>
        <v>0</v>
      </c>
      <c r="BI132" s="51">
        <f t="shared" ca="1" si="83"/>
        <v>0</v>
      </c>
      <c r="BJ132" s="51">
        <f t="shared" ca="1" si="84"/>
        <v>0</v>
      </c>
      <c r="BK132" s="51">
        <f t="shared" si="85"/>
        <v>90</v>
      </c>
      <c r="BL132" s="51">
        <f t="shared" ca="1" si="86"/>
        <v>835.22144041682805</v>
      </c>
      <c r="BM132" s="51">
        <f t="shared" si="87"/>
        <v>0</v>
      </c>
      <c r="BN132" s="51">
        <f t="shared" ca="1" si="88"/>
        <v>0</v>
      </c>
      <c r="BO132" s="51">
        <f t="shared" ca="1" si="89"/>
        <v>0</v>
      </c>
      <c r="BP132" s="51">
        <f t="shared" ca="1" si="90"/>
        <v>925.22144041682805</v>
      </c>
      <c r="BQ132" s="120"/>
      <c r="BR132" s="32"/>
      <c r="BS132" s="126"/>
      <c r="BT132" s="16"/>
      <c r="BU132" s="58"/>
      <c r="BW132" s="51">
        <f>IF(Input!$C$13="Offline",VLOOKUP(H132,Charges!$AT$4:$AU$33,2,FALSE)*I132,0)</f>
        <v>0</v>
      </c>
      <c r="BX132" s="51">
        <f t="shared" si="91"/>
        <v>0</v>
      </c>
      <c r="BY132" s="51">
        <f t="shared" si="100"/>
        <v>0</v>
      </c>
      <c r="BZ132" s="151"/>
      <c r="CA132" s="151"/>
      <c r="CB132" s="32"/>
      <c r="CC132" s="16">
        <f ca="1">SUM($N$7:$N132)</f>
        <v>0</v>
      </c>
      <c r="CD132" s="16">
        <f t="shared" ca="1" si="92"/>
        <v>0</v>
      </c>
      <c r="CE132" s="16">
        <f t="shared" ca="1" si="93"/>
        <v>0</v>
      </c>
      <c r="CF132" s="7">
        <f t="shared" ca="1" si="94"/>
        <v>0</v>
      </c>
      <c r="CH132" s="7">
        <f t="shared" ca="1" si="95"/>
        <v>0</v>
      </c>
    </row>
    <row r="133" spans="2:86" s="7" customFormat="1" x14ac:dyDescent="0.2">
      <c r="B133" s="14">
        <f t="shared" si="59"/>
        <v>1</v>
      </c>
      <c r="C133" s="12">
        <f t="shared" si="60"/>
        <v>1</v>
      </c>
      <c r="D133" s="17">
        <f t="shared" si="101"/>
        <v>127</v>
      </c>
      <c r="E133" s="17">
        <f t="shared" ca="1" si="61"/>
        <v>70</v>
      </c>
      <c r="F133" s="12">
        <f t="shared" si="103"/>
        <v>6</v>
      </c>
      <c r="G133" s="12">
        <f t="shared" si="102"/>
        <v>22</v>
      </c>
      <c r="H133" s="17">
        <f t="shared" si="104"/>
        <v>11</v>
      </c>
      <c r="I133" s="29">
        <f t="shared" si="62"/>
        <v>0</v>
      </c>
      <c r="J133" s="211">
        <f>IFERROR(VLOOKUP(H133,Charges!$T$6:$U$35,2,0)*C133,0)</f>
        <v>1</v>
      </c>
      <c r="K133" s="29">
        <f t="shared" si="63"/>
        <v>0</v>
      </c>
      <c r="L133" s="29">
        <f t="shared" si="64"/>
        <v>0</v>
      </c>
      <c r="M133" s="147">
        <f t="shared" ca="1" si="65"/>
        <v>0</v>
      </c>
      <c r="N133" s="148">
        <f ca="1">IF(AND(Option_SPW="Y",H133&gt;=Lock_In_Period,Z132&gt;SPW_Amount_pa+IF(option="Single",1/5*pr,2*pr),H133&gt;=SPW_Start_Year,H133&lt;=SPW_Start_Year+SPW_Duration-1,age+H133&gt;=Legal_Age),IF(AND(F133=0,SPW_Payout_Freq=1),SPW_Amount_pa,IF(AND(SPW_Payout_Freq=2,MOD(F133,6)=0),SPW_Amount_pa/SPW_Payout_Freq,IF(AND(SPW_Payout_Freq=4,MOD(F133,3)=0),SPW_Amount_pa/SPW_Payout_Freq,IF(SPW_Payout_Freq=12,SPW_Amount_pa/SPW_Payout_Freq,0)))),0)+IFERROR(VLOOKUP(H133,Input!$B$68:$C$74,2,0),0)*(F133=0)*(Option_PW="Y")*(Option_SPW="N")*(age+H133&gt;=Legal_Age)</f>
        <v>0</v>
      </c>
      <c r="O133" s="148">
        <f t="shared" ca="1" si="66"/>
        <v>0</v>
      </c>
      <c r="P133" s="14">
        <f ca="1">(MAX(MAX(sa-CF132*Flag_UL_Type,105%*SUM($I$7:I133))-(AD132+L133-N133)*Flag_UL_Type,0)*B133)</f>
        <v>0</v>
      </c>
      <c r="Q133" s="213">
        <f t="shared" ca="1" si="67"/>
        <v>0</v>
      </c>
      <c r="R133" s="14">
        <f t="shared" ca="1" si="68"/>
        <v>0</v>
      </c>
      <c r="S133" s="14">
        <f t="shared" ca="1" si="69"/>
        <v>0</v>
      </c>
      <c r="T133" s="14">
        <f>IFERROR(IF(WoP_Flag="Y",IF(fq=1,VLOOKUP(ppt*fq-H133,Charges!$AN$41:$AO$59,2,FALSE),IF(fq=2,VLOOKUP(ppt*fq-G133,Charges!$AP$41:$AQ$79,2,FALSE),VLOOKUP(ppt*fq-D133,Charges!$AR$41:$AS$279,2,FALSE)))*pr/fq,0),0)</f>
        <v>0</v>
      </c>
      <c r="U133" s="14">
        <f t="shared" ca="1" si="70"/>
        <v>0</v>
      </c>
      <c r="V133" s="34">
        <f>ROUND(MIN(IF(H133&gt;=7,Charges!$C$12*(1+Charges!$C$14)^((H133-7+1)),VLOOKUP(H133,Charges!$B$7:$C$12,2,0))*pr,Charges!$C$13)*B133,Round)</f>
        <v>500</v>
      </c>
      <c r="W133" s="14">
        <f t="shared" ca="1" si="71"/>
        <v>4116241.5811858792</v>
      </c>
      <c r="X133" s="14">
        <f t="shared" ca="1" si="72"/>
        <v>4142725.6034592772</v>
      </c>
      <c r="Y133" s="213">
        <f t="shared" ca="1" si="96"/>
        <v>4663.1026314221053</v>
      </c>
      <c r="Z133" s="14">
        <f t="shared" ca="1" si="73"/>
        <v>4137223.1423541992</v>
      </c>
      <c r="AA133" s="14">
        <f>IF(AND($H133=pt,$F133=11),SUM($K$7:K133)*VLOOKUP(pt,ROC,2,FALSE),0)</f>
        <v>0</v>
      </c>
      <c r="AB133" s="14">
        <f>IF(AND($H133=pt,$F133=11),SUM($V$7:V133)*VLOOKUP(pt,ROC,2,FALSE),0)</f>
        <v>0</v>
      </c>
      <c r="AC133" s="14">
        <f>IF(AND($H133=pt,$F133=11),SUM($Q$7:Q133)*VLOOKUP(pt,ROC,2,FALSE),0)</f>
        <v>0</v>
      </c>
      <c r="AD133" s="14">
        <f t="shared" ca="1" si="74"/>
        <v>4137223.1423541992</v>
      </c>
      <c r="AE133" s="14">
        <f ca="1">(MAX(sa-CF132*Flag_UL_Type,105%*SUM($I$7:I133),Z133)+AU133)*B133</f>
        <v>4137223.1423541992</v>
      </c>
      <c r="AF133" s="136"/>
      <c r="AG133" s="18">
        <v>127</v>
      </c>
      <c r="AH133" s="30">
        <f t="shared" ca="1" si="75"/>
        <v>0</v>
      </c>
      <c r="AI133" s="58"/>
      <c r="AJ133" s="50">
        <f>IF(AND(Option_Sys_TopUp&gt;="Y",H133&gt;=sytp,H133&lt;=(dtp+sytp-1),F133=0,H133&lt;=ppt+1),atp,0)+IFERROR(VLOOKUP(H133,Input!$B$55:$C$61,2,0),0)*(F133=0)*(Option_TopUP="Y")*(Option_Sys_TopUp="N")*B133*(pt&gt;=H133+5)</f>
        <v>0</v>
      </c>
      <c r="AK133" s="50">
        <f t="shared" si="76"/>
        <v>0</v>
      </c>
      <c r="AL133" s="50">
        <f t="shared" si="97"/>
        <v>0</v>
      </c>
      <c r="AM133" s="50">
        <f t="shared" ca="1" si="98"/>
        <v>0</v>
      </c>
      <c r="AN133" s="50">
        <f ca="1">IF(B133=0,0,AT133*(_rpm1+(1+_emr1)*VLOOKUP(E133,Tab_Mort_Charge,IF(Input!$C$12="M",2,3),0))*(0.001*0.0833)*Flag_Mort_Rider_Charge*(AT133&gt;0))</f>
        <v>0</v>
      </c>
      <c r="AO133" s="50">
        <f t="shared" ca="1" si="77"/>
        <v>0</v>
      </c>
      <c r="AP133" s="50">
        <f t="shared" ca="1" si="105"/>
        <v>0</v>
      </c>
      <c r="AQ133" s="50">
        <f t="shared" ca="1" si="78"/>
        <v>0</v>
      </c>
      <c r="AR133" s="50">
        <f t="shared" ca="1" si="79"/>
        <v>0</v>
      </c>
      <c r="AS133" s="50">
        <f t="shared" si="80"/>
        <v>0</v>
      </c>
      <c r="AT133" s="50">
        <f ca="1">(MAX((MAX(AS133,105%*SUM($AJ$7:AJ133))-AM133*Flag_UL_Type),0)*B133)</f>
        <v>0</v>
      </c>
      <c r="AU133" s="50">
        <f ca="1">(MAX(AS133,AR133,105%*SUM($AJ$7:AJ133))*B133)</f>
        <v>0</v>
      </c>
      <c r="AV133" s="125"/>
      <c r="AW133" s="13"/>
      <c r="AX133" s="13"/>
      <c r="AY133" s="13"/>
      <c r="AZ133" s="13"/>
      <c r="BA133" s="13"/>
      <c r="BG133" s="51">
        <f t="shared" si="81"/>
        <v>0</v>
      </c>
      <c r="BH133" s="51">
        <f t="shared" ca="1" si="82"/>
        <v>0</v>
      </c>
      <c r="BI133" s="51">
        <f t="shared" ca="1" si="83"/>
        <v>0</v>
      </c>
      <c r="BJ133" s="51">
        <f t="shared" ca="1" si="84"/>
        <v>0</v>
      </c>
      <c r="BK133" s="51">
        <f t="shared" si="85"/>
        <v>90</v>
      </c>
      <c r="BL133" s="51">
        <f t="shared" ca="1" si="86"/>
        <v>839.35847365597897</v>
      </c>
      <c r="BM133" s="51">
        <f t="shared" si="87"/>
        <v>0</v>
      </c>
      <c r="BN133" s="51">
        <f t="shared" ca="1" si="88"/>
        <v>0</v>
      </c>
      <c r="BO133" s="51">
        <f t="shared" ca="1" si="89"/>
        <v>0</v>
      </c>
      <c r="BP133" s="51">
        <f t="shared" ca="1" si="90"/>
        <v>929.35847365597897</v>
      </c>
      <c r="BQ133" s="120"/>
      <c r="BR133" s="32"/>
      <c r="BS133" s="126"/>
      <c r="BT133" s="16"/>
      <c r="BU133" s="58"/>
      <c r="BW133" s="51">
        <f>IF(Input!$C$13="Offline",VLOOKUP(H133,Charges!$AT$4:$AU$33,2,FALSE)*I133,0)</f>
        <v>0</v>
      </c>
      <c r="BX133" s="51">
        <f t="shared" si="91"/>
        <v>0</v>
      </c>
      <c r="BY133" s="51">
        <f t="shared" si="100"/>
        <v>0</v>
      </c>
      <c r="BZ133" s="151"/>
      <c r="CA133" s="151"/>
      <c r="CB133" s="32"/>
      <c r="CC133" s="16">
        <f ca="1">SUM($N$7:$N133)</f>
        <v>0</v>
      </c>
      <c r="CD133" s="16">
        <f t="shared" ca="1" si="92"/>
        <v>0</v>
      </c>
      <c r="CE133" s="16">
        <f t="shared" ca="1" si="93"/>
        <v>0</v>
      </c>
      <c r="CF133" s="7">
        <f t="shared" ca="1" si="94"/>
        <v>0</v>
      </c>
      <c r="CH133" s="7">
        <f t="shared" ca="1" si="95"/>
        <v>0</v>
      </c>
    </row>
    <row r="134" spans="2:86" s="7" customFormat="1" x14ac:dyDescent="0.2">
      <c r="B134" s="14">
        <f t="shared" si="59"/>
        <v>1</v>
      </c>
      <c r="C134" s="12">
        <f t="shared" si="60"/>
        <v>1</v>
      </c>
      <c r="D134" s="17">
        <f t="shared" si="101"/>
        <v>128</v>
      </c>
      <c r="E134" s="17">
        <f t="shared" ca="1" si="61"/>
        <v>70</v>
      </c>
      <c r="F134" s="12">
        <f t="shared" si="103"/>
        <v>7</v>
      </c>
      <c r="G134" s="12">
        <f t="shared" si="102"/>
        <v>22</v>
      </c>
      <c r="H134" s="17">
        <f t="shared" si="104"/>
        <v>11</v>
      </c>
      <c r="I134" s="29">
        <f t="shared" si="62"/>
        <v>0</v>
      </c>
      <c r="J134" s="211">
        <f>IFERROR(VLOOKUP(H134,Charges!$T$6:$U$35,2,0)*C134,0)</f>
        <v>1</v>
      </c>
      <c r="K134" s="29">
        <f t="shared" si="63"/>
        <v>0</v>
      </c>
      <c r="L134" s="29">
        <f t="shared" si="64"/>
        <v>0</v>
      </c>
      <c r="M134" s="147">
        <f t="shared" ca="1" si="65"/>
        <v>0</v>
      </c>
      <c r="N134" s="148">
        <f ca="1">IF(AND(Option_SPW="Y",H134&gt;=Lock_In_Period,Z133&gt;SPW_Amount_pa+IF(option="Single",1/5*pr,2*pr),H134&gt;=SPW_Start_Year,H134&lt;=SPW_Start_Year+SPW_Duration-1,age+H134&gt;=Legal_Age),IF(AND(F134=0,SPW_Payout_Freq=1),SPW_Amount_pa,IF(AND(SPW_Payout_Freq=2,MOD(F134,6)=0),SPW_Amount_pa/SPW_Payout_Freq,IF(AND(SPW_Payout_Freq=4,MOD(F134,3)=0),SPW_Amount_pa/SPW_Payout_Freq,IF(SPW_Payout_Freq=12,SPW_Amount_pa/SPW_Payout_Freq,0)))),0)+IFERROR(VLOOKUP(H134,Input!$B$68:$C$74,2,0),0)*(F134=0)*(Option_PW="Y")*(Option_SPW="N")*(age+H134&gt;=Legal_Age)</f>
        <v>0</v>
      </c>
      <c r="O134" s="148">
        <f t="shared" ca="1" si="66"/>
        <v>0</v>
      </c>
      <c r="P134" s="14">
        <f ca="1">(MAX(MAX(sa-CF133*Flag_UL_Type,105%*SUM($I$7:I134))-(AD133+L134-N134)*Flag_UL_Type,0)*B134)</f>
        <v>0</v>
      </c>
      <c r="Q134" s="213">
        <f t="shared" ca="1" si="67"/>
        <v>0</v>
      </c>
      <c r="R134" s="14">
        <f t="shared" ca="1" si="68"/>
        <v>0</v>
      </c>
      <c r="S134" s="14">
        <f t="shared" ca="1" si="69"/>
        <v>0</v>
      </c>
      <c r="T134" s="14">
        <f>IFERROR(IF(WoP_Flag="Y",IF(fq=1,VLOOKUP(ppt*fq-H134,Charges!$AN$41:$AO$59,2,FALSE),IF(fq=2,VLOOKUP(ppt*fq-G134,Charges!$AP$41:$AQ$79,2,FALSE),VLOOKUP(ppt*fq-D134,Charges!$AR$41:$AS$279,2,FALSE)))*pr/fq,0),0)</f>
        <v>0</v>
      </c>
      <c r="U134" s="14">
        <f t="shared" ca="1" si="70"/>
        <v>0</v>
      </c>
      <c r="V134" s="34">
        <f>ROUND(MIN(IF(H134&gt;=7,Charges!$C$12*(1+Charges!$C$14)^((H134-7+1)),VLOOKUP(H134,Charges!$B$7:$C$12,2,0))*pr,Charges!$C$13)*B134,Round)</f>
        <v>500</v>
      </c>
      <c r="W134" s="14">
        <f t="shared" ca="1" si="71"/>
        <v>4136633.1423541992</v>
      </c>
      <c r="X134" s="14">
        <f t="shared" ca="1" si="72"/>
        <v>4163248.3645461444</v>
      </c>
      <c r="Y134" s="213">
        <f t="shared" ca="1" si="96"/>
        <v>4686.2033024267957</v>
      </c>
      <c r="Z134" s="14">
        <f t="shared" ca="1" si="73"/>
        <v>4157718.6446492807</v>
      </c>
      <c r="AA134" s="14">
        <f>IF(AND($H134=pt,$F134=11),SUM($K$7:K134)*VLOOKUP(pt,ROC,2,FALSE),0)</f>
        <v>0</v>
      </c>
      <c r="AB134" s="14">
        <f>IF(AND($H134=pt,$F134=11),SUM($V$7:V134)*VLOOKUP(pt,ROC,2,FALSE),0)</f>
        <v>0</v>
      </c>
      <c r="AC134" s="14">
        <f>IF(AND($H134=pt,$F134=11),SUM($Q$7:Q134)*VLOOKUP(pt,ROC,2,FALSE),0)</f>
        <v>0</v>
      </c>
      <c r="AD134" s="14">
        <f t="shared" ca="1" si="74"/>
        <v>4157718.6446492807</v>
      </c>
      <c r="AE134" s="14">
        <f ca="1">(MAX(sa-CF133*Flag_UL_Type,105%*SUM($I$7:I134),Z134)+AU134)*B134</f>
        <v>4157718.6446492807</v>
      </c>
      <c r="AF134" s="136"/>
      <c r="AG134" s="18">
        <v>128</v>
      </c>
      <c r="AH134" s="30">
        <f t="shared" ca="1" si="75"/>
        <v>0</v>
      </c>
      <c r="AI134" s="58"/>
      <c r="AJ134" s="50">
        <f>IF(AND(Option_Sys_TopUp&gt;="Y",H134&gt;=sytp,H134&lt;=(dtp+sytp-1),F134=0,H134&lt;=ppt+1),atp,0)+IFERROR(VLOOKUP(H134,Input!$B$55:$C$61,2,0),0)*(F134=0)*(Option_TopUP="Y")*(Option_Sys_TopUp="N")*B134*(pt&gt;=H134+5)</f>
        <v>0</v>
      </c>
      <c r="AK134" s="50">
        <f t="shared" si="76"/>
        <v>0</v>
      </c>
      <c r="AL134" s="50">
        <f t="shared" si="97"/>
        <v>0</v>
      </c>
      <c r="AM134" s="50">
        <f t="shared" ca="1" si="98"/>
        <v>0</v>
      </c>
      <c r="AN134" s="50">
        <f ca="1">IF(B134=0,0,AT134*(_rpm1+(1+_emr1)*VLOOKUP(E134,Tab_Mort_Charge,IF(Input!$C$12="M",2,3),0))*(0.001*0.0833)*Flag_Mort_Rider_Charge*(AT134&gt;0))</f>
        <v>0</v>
      </c>
      <c r="AO134" s="50">
        <f t="shared" ca="1" si="77"/>
        <v>0</v>
      </c>
      <c r="AP134" s="50">
        <f t="shared" ca="1" si="105"/>
        <v>0</v>
      </c>
      <c r="AQ134" s="50">
        <f t="shared" ca="1" si="78"/>
        <v>0</v>
      </c>
      <c r="AR134" s="50">
        <f t="shared" ca="1" si="79"/>
        <v>0</v>
      </c>
      <c r="AS134" s="50">
        <f t="shared" si="80"/>
        <v>0</v>
      </c>
      <c r="AT134" s="50">
        <f ca="1">(MAX((MAX(AS134,105%*SUM($AJ$7:AJ134))-AM134*Flag_UL_Type),0)*B134)</f>
        <v>0</v>
      </c>
      <c r="AU134" s="50">
        <f ca="1">(MAX(AS134,AR134,105%*SUM($AJ$7:AJ134))*B134)</f>
        <v>0</v>
      </c>
      <c r="AV134" s="125"/>
      <c r="AW134" s="13"/>
      <c r="AX134" s="13"/>
      <c r="AY134" s="13"/>
      <c r="AZ134" s="13"/>
      <c r="BA134" s="13"/>
      <c r="BG134" s="51">
        <f t="shared" si="81"/>
        <v>0</v>
      </c>
      <c r="BH134" s="51">
        <f t="shared" ca="1" si="82"/>
        <v>0</v>
      </c>
      <c r="BI134" s="51">
        <f t="shared" ca="1" si="83"/>
        <v>0</v>
      </c>
      <c r="BJ134" s="51">
        <f t="shared" ca="1" si="84"/>
        <v>0</v>
      </c>
      <c r="BK134" s="51">
        <f t="shared" si="85"/>
        <v>90</v>
      </c>
      <c r="BL134" s="51">
        <f t="shared" ca="1" si="86"/>
        <v>843.5165944368232</v>
      </c>
      <c r="BM134" s="51">
        <f t="shared" si="87"/>
        <v>0</v>
      </c>
      <c r="BN134" s="51">
        <f t="shared" ca="1" si="88"/>
        <v>0</v>
      </c>
      <c r="BO134" s="51">
        <f t="shared" ca="1" si="89"/>
        <v>0</v>
      </c>
      <c r="BP134" s="51">
        <f t="shared" ca="1" si="90"/>
        <v>933.5165944368232</v>
      </c>
      <c r="BQ134" s="120"/>
      <c r="BR134" s="32"/>
      <c r="BS134" s="126"/>
      <c r="BT134" s="16"/>
      <c r="BU134" s="58"/>
      <c r="BW134" s="51">
        <f>IF(Input!$C$13="Offline",VLOOKUP(H134,Charges!$AT$4:$AU$33,2,FALSE)*I134,0)</f>
        <v>0</v>
      </c>
      <c r="BX134" s="51">
        <f t="shared" si="91"/>
        <v>0</v>
      </c>
      <c r="BY134" s="51">
        <f t="shared" si="100"/>
        <v>0</v>
      </c>
      <c r="BZ134" s="151"/>
      <c r="CA134" s="151"/>
      <c r="CB134" s="32"/>
      <c r="CC134" s="16">
        <f ca="1">SUM($N$7:$N134)</f>
        <v>0</v>
      </c>
      <c r="CD134" s="16">
        <f t="shared" ca="1" si="92"/>
        <v>0</v>
      </c>
      <c r="CE134" s="16">
        <f t="shared" ca="1" si="93"/>
        <v>0</v>
      </c>
      <c r="CF134" s="7">
        <f t="shared" ca="1" si="94"/>
        <v>0</v>
      </c>
      <c r="CH134" s="7">
        <f t="shared" ca="1" si="95"/>
        <v>0</v>
      </c>
    </row>
    <row r="135" spans="2:86" s="7" customFormat="1" x14ac:dyDescent="0.2">
      <c r="B135" s="14">
        <f t="shared" ref="B135:B198" si="106">IF(H135&lt;=pt,1,0)</f>
        <v>1</v>
      </c>
      <c r="C135" s="12">
        <f t="shared" ref="C135:C198" si="107">IF(H135&lt;=ppt,1,0)</f>
        <v>1</v>
      </c>
      <c r="D135" s="17">
        <f t="shared" si="101"/>
        <v>129</v>
      </c>
      <c r="E135" s="17">
        <f t="shared" ref="E135:E198" ca="1" si="108">(age+(H135-1))</f>
        <v>70</v>
      </c>
      <c r="F135" s="12">
        <f t="shared" si="103"/>
        <v>8</v>
      </c>
      <c r="G135" s="12">
        <f t="shared" si="102"/>
        <v>22</v>
      </c>
      <c r="H135" s="17">
        <f t="shared" si="104"/>
        <v>11</v>
      </c>
      <c r="I135" s="29">
        <f t="shared" ref="I135:I198" si="109">IF(AND(H135&lt;=pt,H135&lt;=ppt,F135=0,fq=1),pr,IF(AND(H135&lt;=pt,H135&lt;=ppt,fq=2,MOD(F135,6)=0),pr/fq,IF(AND(H135&lt;=pt,H135&lt;=ppt,fq=12),pr/fq,0)))</f>
        <v>0</v>
      </c>
      <c r="J135" s="211">
        <f>IFERROR(VLOOKUP(H135,Charges!$T$6:$U$35,2,0)*C135,0)</f>
        <v>1</v>
      </c>
      <c r="K135" s="29">
        <f t="shared" ref="K135:K198" si="110">ROUND((100%-J135)*I135,Round)</f>
        <v>0</v>
      </c>
      <c r="L135" s="29">
        <f t="shared" ref="L135:L198" si="111">(I135-(K135+BG135*IF(Model_Type="Pricing_Unit",1,0)))*C135</f>
        <v>0</v>
      </c>
      <c r="M135" s="147">
        <f t="shared" ref="M135:M198" ca="1" si="112">IF(AND(OR(Option_PW="Y",Option_SPW="Y"),H135&gt;Lock_In_Period,H135&lt;=pt,(W135-IF(option="Single",1/5*pr,2*pr))&gt;0,(age+H135)&gt;=Legal_Age),(W134+L135-IF(option="Single",1/5*pr,2*pr)),0)</f>
        <v>0</v>
      </c>
      <c r="N135" s="148">
        <f ca="1">IF(AND(Option_SPW="Y",H135&gt;=Lock_In_Period,Z134&gt;SPW_Amount_pa+IF(option="Single",1/5*pr,2*pr),H135&gt;=SPW_Start_Year,H135&lt;=SPW_Start_Year+SPW_Duration-1,age+H135&gt;=Legal_Age),IF(AND(F135=0,SPW_Payout_Freq=1),SPW_Amount_pa,IF(AND(SPW_Payout_Freq=2,MOD(F135,6)=0),SPW_Amount_pa/SPW_Payout_Freq,IF(AND(SPW_Payout_Freq=4,MOD(F135,3)=0),SPW_Amount_pa/SPW_Payout_Freq,IF(SPW_Payout_Freq=12,SPW_Amount_pa/SPW_Payout_Freq,0)))),0)+IFERROR(VLOOKUP(H135,Input!$B$68:$C$74,2,0),0)*(F135=0)*(Option_PW="Y")*(Option_SPW="N")*(age+H135&gt;=Legal_Age)</f>
        <v>0</v>
      </c>
      <c r="O135" s="148">
        <f t="shared" ref="O135:O198" ca="1" si="113">IF(N135&lt;=M135,0,1)</f>
        <v>0</v>
      </c>
      <c r="P135" s="14">
        <f ca="1">(MAX(MAX(sa-CF134*Flag_UL_Type,105%*SUM($I$7:I135))-(AD134+L135-N135)*Flag_UL_Type,0)*B135)</f>
        <v>0</v>
      </c>
      <c r="Q135" s="213">
        <f t="shared" ref="Q135:Q198" ca="1" si="114">IF(B135=0,0,ROUND(P135*(_rpm1+(1+_emr1)*VLOOKUP(E135,Tab_Mort_Charge,IF(Gender="M",2,3),0))*Flag_Mort_Rider_Charge*(P135&gt;0),Round))*(0.001*IF(Model_Type="LA_PQIS",0.0833,(1/12)))</f>
        <v>0</v>
      </c>
      <c r="R135" s="14">
        <f t="shared" ref="R135:R198" ca="1" si="115">IF(AND(B135,ADB_Flag="Y",age&lt;=ADB_MAX_AGE,age&gt;=ADB_MIN_AGE,E135&lt;=age+pt),sa_adb,0)</f>
        <v>0</v>
      </c>
      <c r="S135" s="14">
        <f t="shared" ref="S135:S198" ca="1" si="116">ROUND((adb_rate*(1+adb_emr)+adb_rpm)*R135*(0.001*IF(Model_Type="LA_PQIS",0.0833,(1/12)))*Flag_Mort_Rider_Charge*IF(age+H135-1&lt;=Max_Maturity_Age,1,0),Round)</f>
        <v>0</v>
      </c>
      <c r="T135" s="14">
        <f>IFERROR(IF(WoP_Flag="Y",IF(fq=1,VLOOKUP(ppt*fq-H135,Charges!$AN$41:$AO$59,2,FALSE),IF(fq=2,VLOOKUP(ppt*fq-G135,Charges!$AP$41:$AQ$79,2,FALSE),VLOOKUP(ppt*fq-D135,Charges!$AR$41:$AS$279,2,FALSE)))*pr/fq,0),0)</f>
        <v>0</v>
      </c>
      <c r="U135" s="14">
        <f t="shared" ref="U135:U198" ca="1" si="117">IFERROR(((T135*(VLOOKUP(age_2+H135-1,Tab_Mort_Charge,IF(Gender_2="M",2,3),FALSE)*(1+_emr2)+_rpm2)/IF(Model_Type="LA_PQIS",1000/0.0833,(12*1000))))*Flag_Mort_Rider_Charge*(T135&gt;0),0)</f>
        <v>0</v>
      </c>
      <c r="V135" s="34">
        <f>ROUND(MIN(IF(H135&gt;=7,Charges!$C$12*(1+Charges!$C$14)^((H135-7+1)),VLOOKUP(H135,Charges!$B$7:$C$12,2,0))*pr,Charges!$C$13)*B135,Round)</f>
        <v>500</v>
      </c>
      <c r="W135" s="14">
        <f t="shared" ref="W135:W198" ca="1" si="118">+(AD134+L135-(N135+Q135+S135+U135+V135+BG135*IF(Model_Type="La_PQIS",1,0)+BH135+BK135+BJ135+BI135+BM135*IF(Model_Type="La_PQIS",1,0)))*B135</f>
        <v>4157128.6446492807</v>
      </c>
      <c r="X135" s="14">
        <f t="shared" ref="X135:X198" ca="1" si="119">W135*(1+$F$3)</f>
        <v>4183875.7355201119</v>
      </c>
      <c r="Y135" s="213">
        <f t="shared" ca="1" si="96"/>
        <v>4709.421723600457</v>
      </c>
      <c r="Z135" s="14">
        <f t="shared" ref="Z135:Z198" ca="1" si="120">X135-(Y135+BL135)</f>
        <v>4178318.6178862634</v>
      </c>
      <c r="AA135" s="14">
        <f>IF(AND($H135=pt,$F135=11),SUM($K$7:K135)*VLOOKUP(pt,ROC,2,FALSE),0)</f>
        <v>0</v>
      </c>
      <c r="AB135" s="14">
        <f>IF(AND($H135=pt,$F135=11),SUM($V$7:V135)*VLOOKUP(pt,ROC,2,FALSE),0)</f>
        <v>0</v>
      </c>
      <c r="AC135" s="14">
        <f>IF(AND($H135=pt,$F135=11),SUM($Q$7:Q135)*VLOOKUP(pt,ROC,2,FALSE),0)</f>
        <v>0</v>
      </c>
      <c r="AD135" s="14">
        <f t="shared" ref="AD135:AD198" ca="1" si="121">Z135+AA135+AB135+AC135</f>
        <v>4178318.6178862634</v>
      </c>
      <c r="AE135" s="14">
        <f ca="1">(MAX(sa-CF134*Flag_UL_Type,105%*SUM($I$7:I135),Z135)+AU135)*B135</f>
        <v>4178318.6178862634</v>
      </c>
      <c r="AF135" s="136"/>
      <c r="AG135" s="18">
        <v>129</v>
      </c>
      <c r="AH135" s="30">
        <f t="shared" ref="AH135:AH198" ca="1" si="122">(I135+AJ135)-IF(AG135=pt*12+1,AD134,0)-IF(AG135=pt*12+1,AR134,0)-N135</f>
        <v>0</v>
      </c>
      <c r="AI135" s="58"/>
      <c r="AJ135" s="50">
        <f>IF(AND(Option_Sys_TopUp&gt;="Y",H135&gt;=sytp,H135&lt;=(dtp+sytp-1),F135=0,H135&lt;=ppt+1),atp,0)+IFERROR(VLOOKUP(H135,Input!$B$55:$C$61,2,0),0)*(F135=0)*(Option_TopUP="Y")*(Option_Sys_TopUp="N")*B135*(pt&gt;=H135+5)</f>
        <v>0</v>
      </c>
      <c r="AK135" s="50">
        <f t="shared" ref="AK135:AK198" si="123">ROUND(allctp*AJ135,0)</f>
        <v>0</v>
      </c>
      <c r="AL135" s="50">
        <f t="shared" si="97"/>
        <v>0</v>
      </c>
      <c r="AM135" s="50">
        <f t="shared" ca="1" si="98"/>
        <v>0</v>
      </c>
      <c r="AN135" s="50">
        <f ca="1">IF(B135=0,0,AT135*(_rpm1+(1+_emr1)*VLOOKUP(E135,Tab_Mort_Charge,IF(Input!$C$12="M",2,3),0))*(0.001*0.0833)*Flag_Mort_Rider_Charge*(AT135&gt;0))</f>
        <v>0</v>
      </c>
      <c r="AO135" s="50">
        <f t="shared" ref="AO135:AO198" ca="1" si="124">AM135-AN135-BM135*1-BN135*1</f>
        <v>0</v>
      </c>
      <c r="AP135" s="50">
        <f t="shared" ca="1" si="105"/>
        <v>0</v>
      </c>
      <c r="AQ135" s="50">
        <f t="shared" ref="AQ135:AQ198" ca="1" si="125">AP135*$Y$2</f>
        <v>0</v>
      </c>
      <c r="AR135" s="50">
        <f t="shared" ref="AR135:AR198" ca="1" si="126">AP135-(AQ135+BO135)</f>
        <v>0</v>
      </c>
      <c r="AS135" s="50">
        <f t="shared" ref="AS135:AS198" si="127">(AJ135*TOPUP_Cover_Level+AS134)*B135</f>
        <v>0</v>
      </c>
      <c r="AT135" s="50">
        <f ca="1">(MAX((MAX(AS135,105%*SUM($AJ$7:AJ135))-AM135*Flag_UL_Type),0)*B135)</f>
        <v>0</v>
      </c>
      <c r="AU135" s="50">
        <f ca="1">(MAX(AS135,AR135,105%*SUM($AJ$7:AJ135))*B135)</f>
        <v>0</v>
      </c>
      <c r="AV135" s="125"/>
      <c r="AW135" s="13"/>
      <c r="AX135" s="13"/>
      <c r="AY135" s="13"/>
      <c r="AZ135" s="13"/>
      <c r="BA135" s="13"/>
      <c r="BG135" s="51">
        <f t="shared" ref="BG135:BG198" si="128">ROUND(K135*Service_Tax_Rate*Flag_Service_Tax,Round)+ROUND(K135*Cess1_Rate*Flag_Service_Tax,Round)+ROUND(K135*Cess2_Rate*Flag_Service_Tax,Round)</f>
        <v>0</v>
      </c>
      <c r="BH135" s="51">
        <f t="shared" ref="BH135:BH198" ca="1" si="129">ROUND(Q135*Service_Tax_Rate*Flag_Service_Tax,Round)+ROUND(Q135*Cess1_Rate*Flag_Service_Tax,Round)+ROUND(Q135*Cess2_Rate*Flag_Service_Tax,Round)</f>
        <v>0</v>
      </c>
      <c r="BI135" s="51">
        <f t="shared" ref="BI135:BI198" ca="1" si="130">ROUND(S135*Service_Tax_Rate*Flag_Service_Tax,Round)+ROUND(S135*Cess1_Rate*Flag_Service_Tax,Round)+ROUND(S135*Cess2_Rate*Flag_Service_Tax,Round)</f>
        <v>0</v>
      </c>
      <c r="BJ135" s="51">
        <f t="shared" ref="BJ135:BJ198" ca="1" si="131">ROUND(U135*Service_Tax_Rate*Flag_Service_Tax,Round)+ROUND(U135*Cess1_Rate*Flag_Service_Tax,Round)+ROUND(U135*Cess2_Rate*Flag_Service_Tax,2)</f>
        <v>0</v>
      </c>
      <c r="BK135" s="51">
        <f t="shared" ref="BK135:BK198" si="132">ROUND(V135*Service_Tax_Rate*Flag_Service_Tax,Round)+ROUND(V135*Cess1_Rate*Flag_Service_Tax,Round)+ROUND(V135*Cess2_Rate*Flag_Service_Tax,Round)</f>
        <v>90</v>
      </c>
      <c r="BL135" s="51">
        <f t="shared" ref="BL135:BL198" ca="1" si="133">Y135*Service_Tax_Rate*Flag_Service_Tax+Y135*Cess1_Rate*Flag_Service_Tax+Y135*Cess2_Rate*Flag_Service_Tax</f>
        <v>847.69591024808221</v>
      </c>
      <c r="BM135" s="51">
        <f t="shared" ref="BM135:BM198" si="134">ROUND(AK135*Service_Tax_Rate*Flag_Service_Tax,Round)+ROUND(AK135*Cess1_Rate*Flag_Service_Tax,Round)+ROUND(AK135*Cess2_Rate*Flag_Service_Tax,Round)</f>
        <v>0</v>
      </c>
      <c r="BN135" s="51">
        <f t="shared" ref="BN135:BN198" ca="1" si="135">ROUND(AN135*Service_Tax_Rate*Flag_Service_Tax,Round)+ROUND(AN135*Cess1_Rate*Flag_Service_Tax,Round)+ROUND(AN135*Cess2_Rate*Flag_Service_Tax,Round)</f>
        <v>0</v>
      </c>
      <c r="BO135" s="51">
        <f t="shared" ref="BO135:BO198" ca="1" si="136">AQ135*Service_Tax_Rate*Flag_Service_Tax+AQ135*Cess1_Rate*Flag_Service_Tax+AQ135*Cess2_Rate*Flag_Service_Tax</f>
        <v>0</v>
      </c>
      <c r="BP135" s="51">
        <f t="shared" ref="BP135:BP198" ca="1" si="137">SUM(BG135:BO135)</f>
        <v>937.69591024808221</v>
      </c>
      <c r="BQ135" s="120"/>
      <c r="BR135" s="32"/>
      <c r="BS135" s="126"/>
      <c r="BT135" s="16"/>
      <c r="BU135" s="58"/>
      <c r="BW135" s="51">
        <f>IF(Input!$C$13="Offline",VLOOKUP(H135,Charges!$AT$4:$AU$33,2,FALSE)*I135,0)</f>
        <v>0</v>
      </c>
      <c r="BX135" s="51">
        <f t="shared" ref="BX135:BX198" si="138">AJ135*Commission_TOPUP</f>
        <v>0</v>
      </c>
      <c r="BY135" s="51">
        <f t="shared" si="100"/>
        <v>0</v>
      </c>
      <c r="BZ135" s="151"/>
      <c r="CA135" s="151"/>
      <c r="CB135" s="32"/>
      <c r="CC135" s="16">
        <f ca="1">SUM($N$7:$N135)</f>
        <v>0</v>
      </c>
      <c r="CD135" s="16">
        <f t="shared" ref="CD135:CD198" ca="1" si="139">IF(AND((B135=1)*(H135&gt;Lock_In_Period)),CC135-INDEX($CC$7:$CC$367,D135-24,1),0)*(E135&lt;60)</f>
        <v>0</v>
      </c>
      <c r="CE135" s="16">
        <f t="shared" ref="CE135:CE198" ca="1" si="140">(B135=1)*(H135&gt;Lock_In_Period)*(E135&gt;=60)*IFERROR((CC135-INDEX($CC$7:$CC$367,D135-24,1)),0)</f>
        <v>0</v>
      </c>
      <c r="CF135" s="7">
        <f t="shared" ref="CF135:CF198" ca="1" si="141">IF(E135&lt;60,CD135,CE135)</f>
        <v>0</v>
      </c>
      <c r="CH135" s="7">
        <f t="shared" ref="CH135:CH198" ca="1" si="142">IF(Z134&gt;(IF(option="SP",1/5*pr,2*pr)),0,1)*(H135&gt;=SPW_Start_Year)*B135</f>
        <v>0</v>
      </c>
    </row>
    <row r="136" spans="2:86" s="7" customFormat="1" x14ac:dyDescent="0.2">
      <c r="B136" s="14">
        <f t="shared" si="106"/>
        <v>1</v>
      </c>
      <c r="C136" s="12">
        <f t="shared" si="107"/>
        <v>1</v>
      </c>
      <c r="D136" s="17">
        <f t="shared" si="101"/>
        <v>130</v>
      </c>
      <c r="E136" s="17">
        <f t="shared" ca="1" si="108"/>
        <v>70</v>
      </c>
      <c r="F136" s="12">
        <f t="shared" si="103"/>
        <v>9</v>
      </c>
      <c r="G136" s="12">
        <f t="shared" si="102"/>
        <v>22</v>
      </c>
      <c r="H136" s="17">
        <f t="shared" si="104"/>
        <v>11</v>
      </c>
      <c r="I136" s="29">
        <f t="shared" si="109"/>
        <v>0</v>
      </c>
      <c r="J136" s="211">
        <f>IFERROR(VLOOKUP(H136,Charges!$T$6:$U$35,2,0)*C136,0)</f>
        <v>1</v>
      </c>
      <c r="K136" s="29">
        <f t="shared" si="110"/>
        <v>0</v>
      </c>
      <c r="L136" s="29">
        <f t="shared" si="111"/>
        <v>0</v>
      </c>
      <c r="M136" s="147">
        <f t="shared" ca="1" si="112"/>
        <v>0</v>
      </c>
      <c r="N136" s="148">
        <f ca="1">IF(AND(Option_SPW="Y",H136&gt;=Lock_In_Period,Z135&gt;SPW_Amount_pa+IF(option="Single",1/5*pr,2*pr),H136&gt;=SPW_Start_Year,H136&lt;=SPW_Start_Year+SPW_Duration-1,age+H136&gt;=Legal_Age),IF(AND(F136=0,SPW_Payout_Freq=1),SPW_Amount_pa,IF(AND(SPW_Payout_Freq=2,MOD(F136,6)=0),SPW_Amount_pa/SPW_Payout_Freq,IF(AND(SPW_Payout_Freq=4,MOD(F136,3)=0),SPW_Amount_pa/SPW_Payout_Freq,IF(SPW_Payout_Freq=12,SPW_Amount_pa/SPW_Payout_Freq,0)))),0)+IFERROR(VLOOKUP(H136,Input!$B$68:$C$74,2,0),0)*(F136=0)*(Option_PW="Y")*(Option_SPW="N")*(age+H136&gt;=Legal_Age)</f>
        <v>0</v>
      </c>
      <c r="O136" s="148">
        <f t="shared" ca="1" si="113"/>
        <v>0</v>
      </c>
      <c r="P136" s="14">
        <f ca="1">(MAX(MAX(sa-CF135*Flag_UL_Type,105%*SUM($I$7:I136))-(AD135+L136-N136)*Flag_UL_Type,0)*B136)</f>
        <v>0</v>
      </c>
      <c r="Q136" s="213">
        <f t="shared" ca="1" si="114"/>
        <v>0</v>
      </c>
      <c r="R136" s="14">
        <f t="shared" ca="1" si="115"/>
        <v>0</v>
      </c>
      <c r="S136" s="14">
        <f t="shared" ca="1" si="116"/>
        <v>0</v>
      </c>
      <c r="T136" s="14">
        <f>IFERROR(IF(WoP_Flag="Y",IF(fq=1,VLOOKUP(ppt*fq-H136,Charges!$AN$41:$AO$59,2,FALSE),IF(fq=2,VLOOKUP(ppt*fq-G136,Charges!$AP$41:$AQ$79,2,FALSE),VLOOKUP(ppt*fq-D136,Charges!$AR$41:$AS$279,2,FALSE)))*pr/fq,0),0)</f>
        <v>0</v>
      </c>
      <c r="U136" s="14">
        <f t="shared" ca="1" si="117"/>
        <v>0</v>
      </c>
      <c r="V136" s="34">
        <f>ROUND(MIN(IF(H136&gt;=7,Charges!$C$12*(1+Charges!$C$14)^((H136-7+1)),VLOOKUP(H136,Charges!$B$7:$C$12,2,0))*pr,Charges!$C$13)*B136,Round)</f>
        <v>500</v>
      </c>
      <c r="W136" s="14">
        <f t="shared" ca="1" si="118"/>
        <v>4177728.6178862634</v>
      </c>
      <c r="X136" s="14">
        <f t="shared" ca="1" si="119"/>
        <v>4204608.2496051667</v>
      </c>
      <c r="Y136" s="213">
        <f t="shared" ref="Y136:Y199" ca="1" si="143">X136*$Y$2</f>
        <v>4732.7584951465342</v>
      </c>
      <c r="Z136" s="14">
        <f t="shared" ca="1" si="120"/>
        <v>4199023.5945808934</v>
      </c>
      <c r="AA136" s="14">
        <f>IF(AND($H136=pt,$F136=11),SUM($K$7:K136)*VLOOKUP(pt,ROC,2,FALSE),0)</f>
        <v>0</v>
      </c>
      <c r="AB136" s="14">
        <f>IF(AND($H136=pt,$F136=11),SUM($V$7:V136)*VLOOKUP(pt,ROC,2,FALSE),0)</f>
        <v>0</v>
      </c>
      <c r="AC136" s="14">
        <f>IF(AND($H136=pt,$F136=11),SUM($Q$7:Q136)*VLOOKUP(pt,ROC,2,FALSE),0)</f>
        <v>0</v>
      </c>
      <c r="AD136" s="14">
        <f t="shared" ca="1" si="121"/>
        <v>4199023.5945808934</v>
      </c>
      <c r="AE136" s="14">
        <f ca="1">(MAX(sa-CF135*Flag_UL_Type,105%*SUM($I$7:I136),Z136)+AU136)*B136</f>
        <v>4199023.5945808934</v>
      </c>
      <c r="AF136" s="136"/>
      <c r="AG136" s="18">
        <v>130</v>
      </c>
      <c r="AH136" s="30">
        <f t="shared" ca="1" si="122"/>
        <v>0</v>
      </c>
      <c r="AI136" s="58"/>
      <c r="AJ136" s="50">
        <f>IF(AND(Option_Sys_TopUp&gt;="Y",H136&gt;=sytp,H136&lt;=(dtp+sytp-1),F136=0,H136&lt;=ppt+1),atp,0)+IFERROR(VLOOKUP(H136,Input!$B$55:$C$61,2,0),0)*(F136=0)*(Option_TopUP="Y")*(Option_Sys_TopUp="N")*B136*(pt&gt;=H136+5)</f>
        <v>0</v>
      </c>
      <c r="AK136" s="50">
        <f t="shared" si="123"/>
        <v>0</v>
      </c>
      <c r="AL136" s="50">
        <f t="shared" ref="AL136:AL199" si="144">AJ136-(AK136+BM136*0)</f>
        <v>0</v>
      </c>
      <c r="AM136" s="50">
        <f t="shared" ref="AM136:AM199" ca="1" si="145">AR135+AL136</f>
        <v>0</v>
      </c>
      <c r="AN136" s="50">
        <f ca="1">IF(B136=0,0,AT136*(_rpm1+(1+_emr1)*VLOOKUP(E136,Tab_Mort_Charge,IF(Input!$C$12="M",2,3),0))*(0.001*0.0833)*Flag_Mort_Rider_Charge*(AT136&gt;0))</f>
        <v>0</v>
      </c>
      <c r="AO136" s="50">
        <f t="shared" ca="1" si="124"/>
        <v>0</v>
      </c>
      <c r="AP136" s="50">
        <f t="shared" ca="1" si="105"/>
        <v>0</v>
      </c>
      <c r="AQ136" s="50">
        <f t="shared" ca="1" si="125"/>
        <v>0</v>
      </c>
      <c r="AR136" s="50">
        <f t="shared" ca="1" si="126"/>
        <v>0</v>
      </c>
      <c r="AS136" s="50">
        <f t="shared" si="127"/>
        <v>0</v>
      </c>
      <c r="AT136" s="50">
        <f ca="1">(MAX((MAX(AS136,105%*SUM($AJ$7:AJ136))-AM136*Flag_UL_Type),0)*B136)</f>
        <v>0</v>
      </c>
      <c r="AU136" s="50">
        <f ca="1">(MAX(AS136,AR136,105%*SUM($AJ$7:AJ136))*B136)</f>
        <v>0</v>
      </c>
      <c r="AV136" s="125"/>
      <c r="AW136" s="13"/>
      <c r="AX136" s="13"/>
      <c r="AY136" s="13"/>
      <c r="AZ136" s="13"/>
      <c r="BA136" s="13"/>
      <c r="BG136" s="51">
        <f t="shared" si="128"/>
        <v>0</v>
      </c>
      <c r="BH136" s="51">
        <f t="shared" ca="1" si="129"/>
        <v>0</v>
      </c>
      <c r="BI136" s="51">
        <f t="shared" ca="1" si="130"/>
        <v>0</v>
      </c>
      <c r="BJ136" s="51">
        <f t="shared" ca="1" si="131"/>
        <v>0</v>
      </c>
      <c r="BK136" s="51">
        <f t="shared" si="132"/>
        <v>90</v>
      </c>
      <c r="BL136" s="51">
        <f t="shared" ca="1" si="133"/>
        <v>851.89652912637609</v>
      </c>
      <c r="BM136" s="51">
        <f t="shared" si="134"/>
        <v>0</v>
      </c>
      <c r="BN136" s="51">
        <f t="shared" ca="1" si="135"/>
        <v>0</v>
      </c>
      <c r="BO136" s="51">
        <f t="shared" ca="1" si="136"/>
        <v>0</v>
      </c>
      <c r="BP136" s="51">
        <f t="shared" ca="1" si="137"/>
        <v>941.89652912637609</v>
      </c>
      <c r="BQ136" s="120"/>
      <c r="BR136" s="32"/>
      <c r="BS136" s="126"/>
      <c r="BT136" s="16"/>
      <c r="BU136" s="58"/>
      <c r="BW136" s="51">
        <f>IF(Input!$C$13="Offline",VLOOKUP(H136,Charges!$AT$4:$AU$33,2,FALSE)*I136,0)</f>
        <v>0</v>
      </c>
      <c r="BX136" s="51">
        <f t="shared" si="138"/>
        <v>0</v>
      </c>
      <c r="BY136" s="51">
        <f t="shared" ref="BY136:BY199" si="146">SUM(BW136:BX136)</f>
        <v>0</v>
      </c>
      <c r="BZ136" s="151"/>
      <c r="CA136" s="151"/>
      <c r="CB136" s="32"/>
      <c r="CC136" s="16">
        <f ca="1">SUM($N$7:$N136)</f>
        <v>0</v>
      </c>
      <c r="CD136" s="16">
        <f t="shared" ca="1" si="139"/>
        <v>0</v>
      </c>
      <c r="CE136" s="16">
        <f t="shared" ca="1" si="140"/>
        <v>0</v>
      </c>
      <c r="CF136" s="7">
        <f t="shared" ca="1" si="141"/>
        <v>0</v>
      </c>
      <c r="CH136" s="7">
        <f t="shared" ca="1" si="142"/>
        <v>0</v>
      </c>
    </row>
    <row r="137" spans="2:86" s="7" customFormat="1" x14ac:dyDescent="0.2">
      <c r="B137" s="14">
        <f t="shared" si="106"/>
        <v>1</v>
      </c>
      <c r="C137" s="12">
        <f t="shared" si="107"/>
        <v>1</v>
      </c>
      <c r="D137" s="17">
        <f t="shared" ref="D137:D200" si="147">D136+1</f>
        <v>131</v>
      </c>
      <c r="E137" s="17">
        <f t="shared" ca="1" si="108"/>
        <v>70</v>
      </c>
      <c r="F137" s="12">
        <f t="shared" si="103"/>
        <v>10</v>
      </c>
      <c r="G137" s="12">
        <f t="shared" si="102"/>
        <v>22</v>
      </c>
      <c r="H137" s="17">
        <f t="shared" si="104"/>
        <v>11</v>
      </c>
      <c r="I137" s="29">
        <f t="shared" si="109"/>
        <v>0</v>
      </c>
      <c r="J137" s="211">
        <f>IFERROR(VLOOKUP(H137,Charges!$T$6:$U$35,2,0)*C137,0)</f>
        <v>1</v>
      </c>
      <c r="K137" s="29">
        <f t="shared" si="110"/>
        <v>0</v>
      </c>
      <c r="L137" s="29">
        <f t="shared" si="111"/>
        <v>0</v>
      </c>
      <c r="M137" s="147">
        <f t="shared" ca="1" si="112"/>
        <v>0</v>
      </c>
      <c r="N137" s="148">
        <f ca="1">IF(AND(Option_SPW="Y",H137&gt;=Lock_In_Period,Z136&gt;SPW_Amount_pa+IF(option="Single",1/5*pr,2*pr),H137&gt;=SPW_Start_Year,H137&lt;=SPW_Start_Year+SPW_Duration-1,age+H137&gt;=Legal_Age),IF(AND(F137=0,SPW_Payout_Freq=1),SPW_Amount_pa,IF(AND(SPW_Payout_Freq=2,MOD(F137,6)=0),SPW_Amount_pa/SPW_Payout_Freq,IF(AND(SPW_Payout_Freq=4,MOD(F137,3)=0),SPW_Amount_pa/SPW_Payout_Freq,IF(SPW_Payout_Freq=12,SPW_Amount_pa/SPW_Payout_Freq,0)))),0)+IFERROR(VLOOKUP(H137,Input!$B$68:$C$74,2,0),0)*(F137=0)*(Option_PW="Y")*(Option_SPW="N")*(age+H137&gt;=Legal_Age)</f>
        <v>0</v>
      </c>
      <c r="O137" s="148">
        <f t="shared" ca="1" si="113"/>
        <v>0</v>
      </c>
      <c r="P137" s="14">
        <f ca="1">(MAX(MAX(sa-CF136*Flag_UL_Type,105%*SUM($I$7:I137))-(AD136+L137-N137)*Flag_UL_Type,0)*B137)</f>
        <v>0</v>
      </c>
      <c r="Q137" s="213">
        <f t="shared" ca="1" si="114"/>
        <v>0</v>
      </c>
      <c r="R137" s="14">
        <f t="shared" ca="1" si="115"/>
        <v>0</v>
      </c>
      <c r="S137" s="14">
        <f t="shared" ca="1" si="116"/>
        <v>0</v>
      </c>
      <c r="T137" s="14">
        <f>IFERROR(IF(WoP_Flag="Y",IF(fq=1,VLOOKUP(ppt*fq-H137,Charges!$AN$41:$AO$59,2,FALSE),IF(fq=2,VLOOKUP(ppt*fq-G137,Charges!$AP$41:$AQ$79,2,FALSE),VLOOKUP(ppt*fq-D137,Charges!$AR$41:$AS$279,2,FALSE)))*pr/fq,0),0)</f>
        <v>0</v>
      </c>
      <c r="U137" s="14">
        <f t="shared" ca="1" si="117"/>
        <v>0</v>
      </c>
      <c r="V137" s="34">
        <f>ROUND(MIN(IF(H137&gt;=7,Charges!$C$12*(1+Charges!$C$14)^((H137-7+1)),VLOOKUP(H137,Charges!$B$7:$C$12,2,0))*pr,Charges!$C$13)*B137,Round)</f>
        <v>500</v>
      </c>
      <c r="W137" s="14">
        <f t="shared" ca="1" si="118"/>
        <v>4198433.5945808934</v>
      </c>
      <c r="X137" s="14">
        <f t="shared" ca="1" si="119"/>
        <v>4225446.4427432772</v>
      </c>
      <c r="Y137" s="213">
        <f t="shared" ca="1" si="143"/>
        <v>4756.2142203278654</v>
      </c>
      <c r="Z137" s="14">
        <f t="shared" ca="1" si="120"/>
        <v>4219834.1099632904</v>
      </c>
      <c r="AA137" s="14">
        <f>IF(AND($H137=pt,$F137=11),SUM($K$7:K137)*VLOOKUP(pt,ROC,2,FALSE),0)</f>
        <v>0</v>
      </c>
      <c r="AB137" s="14">
        <f>IF(AND($H137=pt,$F137=11),SUM($V$7:V137)*VLOOKUP(pt,ROC,2,FALSE),0)</f>
        <v>0</v>
      </c>
      <c r="AC137" s="14">
        <f>IF(AND($H137=pt,$F137=11),SUM($Q$7:Q137)*VLOOKUP(pt,ROC,2,FALSE),0)</f>
        <v>0</v>
      </c>
      <c r="AD137" s="14">
        <f t="shared" ca="1" si="121"/>
        <v>4219834.1099632904</v>
      </c>
      <c r="AE137" s="14">
        <f ca="1">(MAX(sa-CF136*Flag_UL_Type,105%*SUM($I$7:I137),Z137)+AU137)*B137</f>
        <v>4219834.1099632904</v>
      </c>
      <c r="AF137" s="136"/>
      <c r="AG137" s="18">
        <v>131</v>
      </c>
      <c r="AH137" s="30">
        <f t="shared" ca="1" si="122"/>
        <v>0</v>
      </c>
      <c r="AI137" s="58"/>
      <c r="AJ137" s="50">
        <f>IF(AND(Option_Sys_TopUp&gt;="Y",H137&gt;=sytp,H137&lt;=(dtp+sytp-1),F137=0,H137&lt;=ppt+1),atp,0)+IFERROR(VLOOKUP(H137,Input!$B$55:$C$61,2,0),0)*(F137=0)*(Option_TopUP="Y")*(Option_Sys_TopUp="N")*B137*(pt&gt;=H137+5)</f>
        <v>0</v>
      </c>
      <c r="AK137" s="50">
        <f t="shared" si="123"/>
        <v>0</v>
      </c>
      <c r="AL137" s="50">
        <f t="shared" si="144"/>
        <v>0</v>
      </c>
      <c r="AM137" s="50">
        <f t="shared" ca="1" si="145"/>
        <v>0</v>
      </c>
      <c r="AN137" s="50">
        <f ca="1">IF(B137=0,0,AT137*(_rpm1+(1+_emr1)*VLOOKUP(E137,Tab_Mort_Charge,IF(Input!$C$12="M",2,3),0))*(0.001*0.0833)*Flag_Mort_Rider_Charge*(AT137&gt;0))</f>
        <v>0</v>
      </c>
      <c r="AO137" s="50">
        <f t="shared" ca="1" si="124"/>
        <v>0</v>
      </c>
      <c r="AP137" s="50">
        <f t="shared" ca="1" si="105"/>
        <v>0</v>
      </c>
      <c r="AQ137" s="50">
        <f t="shared" ca="1" si="125"/>
        <v>0</v>
      </c>
      <c r="AR137" s="50">
        <f t="shared" ca="1" si="126"/>
        <v>0</v>
      </c>
      <c r="AS137" s="50">
        <f t="shared" si="127"/>
        <v>0</v>
      </c>
      <c r="AT137" s="50">
        <f ca="1">(MAX((MAX(AS137,105%*SUM($AJ$7:AJ137))-AM137*Flag_UL_Type),0)*B137)</f>
        <v>0</v>
      </c>
      <c r="AU137" s="50">
        <f ca="1">(MAX(AS137,AR137,105%*SUM($AJ$7:AJ137))*B137)</f>
        <v>0</v>
      </c>
      <c r="AV137" s="125"/>
      <c r="AW137" s="13"/>
      <c r="AX137" s="13"/>
      <c r="AY137" s="13"/>
      <c r="AZ137" s="13"/>
      <c r="BA137" s="13"/>
      <c r="BG137" s="51">
        <f t="shared" si="128"/>
        <v>0</v>
      </c>
      <c r="BH137" s="51">
        <f t="shared" ca="1" si="129"/>
        <v>0</v>
      </c>
      <c r="BI137" s="51">
        <f t="shared" ca="1" si="130"/>
        <v>0</v>
      </c>
      <c r="BJ137" s="51">
        <f t="shared" ca="1" si="131"/>
        <v>0</v>
      </c>
      <c r="BK137" s="51">
        <f t="shared" si="132"/>
        <v>90</v>
      </c>
      <c r="BL137" s="51">
        <f t="shared" ca="1" si="133"/>
        <v>856.11855965901577</v>
      </c>
      <c r="BM137" s="51">
        <f t="shared" si="134"/>
        <v>0</v>
      </c>
      <c r="BN137" s="51">
        <f t="shared" ca="1" si="135"/>
        <v>0</v>
      </c>
      <c r="BO137" s="51">
        <f t="shared" ca="1" si="136"/>
        <v>0</v>
      </c>
      <c r="BP137" s="51">
        <f t="shared" ca="1" si="137"/>
        <v>946.11855965901577</v>
      </c>
      <c r="BQ137" s="120"/>
      <c r="BR137" s="32"/>
      <c r="BS137" s="126"/>
      <c r="BT137" s="16"/>
      <c r="BU137" s="58"/>
      <c r="BW137" s="51">
        <f>IF(Input!$C$13="Offline",VLOOKUP(H137,Charges!$AT$4:$AU$33,2,FALSE)*I137,0)</f>
        <v>0</v>
      </c>
      <c r="BX137" s="51">
        <f t="shared" si="138"/>
        <v>0</v>
      </c>
      <c r="BY137" s="51">
        <f t="shared" si="146"/>
        <v>0</v>
      </c>
      <c r="BZ137" s="151"/>
      <c r="CA137" s="151"/>
      <c r="CB137" s="32"/>
      <c r="CC137" s="16">
        <f ca="1">SUM($N$7:$N137)</f>
        <v>0</v>
      </c>
      <c r="CD137" s="16">
        <f t="shared" ca="1" si="139"/>
        <v>0</v>
      </c>
      <c r="CE137" s="16">
        <f t="shared" ca="1" si="140"/>
        <v>0</v>
      </c>
      <c r="CF137" s="7">
        <f t="shared" ca="1" si="141"/>
        <v>0</v>
      </c>
      <c r="CH137" s="7">
        <f t="shared" ca="1" si="142"/>
        <v>0</v>
      </c>
    </row>
    <row r="138" spans="2:86" s="7" customFormat="1" x14ac:dyDescent="0.2">
      <c r="B138" s="14">
        <f t="shared" si="106"/>
        <v>1</v>
      </c>
      <c r="C138" s="12">
        <f t="shared" si="107"/>
        <v>1</v>
      </c>
      <c r="D138" s="17">
        <f t="shared" si="147"/>
        <v>132</v>
      </c>
      <c r="E138" s="17">
        <f t="shared" ca="1" si="108"/>
        <v>70</v>
      </c>
      <c r="F138" s="12">
        <f t="shared" si="103"/>
        <v>11</v>
      </c>
      <c r="G138" s="12">
        <f t="shared" si="102"/>
        <v>22</v>
      </c>
      <c r="H138" s="17">
        <f t="shared" si="104"/>
        <v>11</v>
      </c>
      <c r="I138" s="29">
        <f t="shared" si="109"/>
        <v>0</v>
      </c>
      <c r="J138" s="211">
        <f>IFERROR(VLOOKUP(H138,Charges!$T$6:$U$35,2,0)*C138,0)</f>
        <v>1</v>
      </c>
      <c r="K138" s="29">
        <f t="shared" si="110"/>
        <v>0</v>
      </c>
      <c r="L138" s="29">
        <f t="shared" si="111"/>
        <v>0</v>
      </c>
      <c r="M138" s="147">
        <f t="shared" ca="1" si="112"/>
        <v>0</v>
      </c>
      <c r="N138" s="148">
        <f ca="1">IF(AND(Option_SPW="Y",H138&gt;=Lock_In_Period,Z137&gt;SPW_Amount_pa+IF(option="Single",1/5*pr,2*pr),H138&gt;=SPW_Start_Year,H138&lt;=SPW_Start_Year+SPW_Duration-1,age+H138&gt;=Legal_Age),IF(AND(F138=0,SPW_Payout_Freq=1),SPW_Amount_pa,IF(AND(SPW_Payout_Freq=2,MOD(F138,6)=0),SPW_Amount_pa/SPW_Payout_Freq,IF(AND(SPW_Payout_Freq=4,MOD(F138,3)=0),SPW_Amount_pa/SPW_Payout_Freq,IF(SPW_Payout_Freq=12,SPW_Amount_pa/SPW_Payout_Freq,0)))),0)+IFERROR(VLOOKUP(H138,Input!$B$68:$C$74,2,0),0)*(F138=0)*(Option_PW="Y")*(Option_SPW="N")*(age+H138&gt;=Legal_Age)</f>
        <v>0</v>
      </c>
      <c r="O138" s="148">
        <f t="shared" ca="1" si="113"/>
        <v>0</v>
      </c>
      <c r="P138" s="14">
        <f ca="1">(MAX(MAX(sa-CF137*Flag_UL_Type,105%*SUM($I$7:I138))-(AD137+L138-N138)*Flag_UL_Type,0)*B138)</f>
        <v>0</v>
      </c>
      <c r="Q138" s="213">
        <f t="shared" ca="1" si="114"/>
        <v>0</v>
      </c>
      <c r="R138" s="14">
        <f t="shared" ca="1" si="115"/>
        <v>0</v>
      </c>
      <c r="S138" s="14">
        <f t="shared" ca="1" si="116"/>
        <v>0</v>
      </c>
      <c r="T138" s="14">
        <f>IFERROR(IF(WoP_Flag="Y",IF(fq=1,VLOOKUP(ppt*fq-H138,Charges!$AN$41:$AO$59,2,FALSE),IF(fq=2,VLOOKUP(ppt*fq-G138,Charges!$AP$41:$AQ$79,2,FALSE),VLOOKUP(ppt*fq-D138,Charges!$AR$41:$AS$279,2,FALSE)))*pr/fq,0),0)</f>
        <v>0</v>
      </c>
      <c r="U138" s="14">
        <f t="shared" ca="1" si="117"/>
        <v>0</v>
      </c>
      <c r="V138" s="34">
        <f>ROUND(MIN(IF(H138&gt;=7,Charges!$C$12*(1+Charges!$C$14)^((H138-7+1)),VLOOKUP(H138,Charges!$B$7:$C$12,2,0))*pr,Charges!$C$13)*B138,Round)</f>
        <v>500</v>
      </c>
      <c r="W138" s="14">
        <f t="shared" ca="1" si="118"/>
        <v>4219244.1099632904</v>
      </c>
      <c r="X138" s="14">
        <f t="shared" ca="1" si="119"/>
        <v>4246390.8536082488</v>
      </c>
      <c r="Y138" s="213">
        <f t="shared" ca="1" si="143"/>
        <v>4779.7895054822775</v>
      </c>
      <c r="Z138" s="14">
        <f t="shared" ca="1" si="120"/>
        <v>4240750.7019917797</v>
      </c>
      <c r="AA138" s="14">
        <f>IF(AND($H138=pt,$F138=11),SUM($K$7:K138)*VLOOKUP(pt,ROC,2,FALSE),0)</f>
        <v>0</v>
      </c>
      <c r="AB138" s="14">
        <f>IF(AND($H138=pt,$F138=11),SUM($V$7:V138)*VLOOKUP(pt,ROC,2,FALSE),0)</f>
        <v>0</v>
      </c>
      <c r="AC138" s="14">
        <f>IF(AND($H138=pt,$F138=11),SUM($Q$7:Q138)*VLOOKUP(pt,ROC,2,FALSE),0)</f>
        <v>0</v>
      </c>
      <c r="AD138" s="14">
        <f t="shared" ca="1" si="121"/>
        <v>4240750.7019917797</v>
      </c>
      <c r="AE138" s="14">
        <f ca="1">(MAX(sa-CF137*Flag_UL_Type,105%*SUM($I$7:I138),Z138)+AU138)*B138</f>
        <v>4240750.7019917797</v>
      </c>
      <c r="AF138" s="136"/>
      <c r="AG138" s="18">
        <v>132</v>
      </c>
      <c r="AH138" s="30">
        <f t="shared" ca="1" si="122"/>
        <v>0</v>
      </c>
      <c r="AI138" s="58"/>
      <c r="AJ138" s="50">
        <f>IF(AND(Option_Sys_TopUp&gt;="Y",H138&gt;=sytp,H138&lt;=(dtp+sytp-1),F138=0,H138&lt;=ppt+1),atp,0)+IFERROR(VLOOKUP(H138,Input!$B$55:$C$61,2,0),0)*(F138=0)*(Option_TopUP="Y")*(Option_Sys_TopUp="N")*B138*(pt&gt;=H138+5)</f>
        <v>0</v>
      </c>
      <c r="AK138" s="50">
        <f t="shared" si="123"/>
        <v>0</v>
      </c>
      <c r="AL138" s="50">
        <f t="shared" si="144"/>
        <v>0</v>
      </c>
      <c r="AM138" s="50">
        <f t="shared" ca="1" si="145"/>
        <v>0</v>
      </c>
      <c r="AN138" s="50">
        <f ca="1">IF(B138=0,0,AT138*(_rpm1+(1+_emr1)*VLOOKUP(E138,Tab_Mort_Charge,IF(Input!$C$12="M",2,3),0))*(0.001*0.0833)*Flag_Mort_Rider_Charge*(AT138&gt;0))</f>
        <v>0</v>
      </c>
      <c r="AO138" s="50">
        <f t="shared" ca="1" si="124"/>
        <v>0</v>
      </c>
      <c r="AP138" s="50">
        <f t="shared" ca="1" si="105"/>
        <v>0</v>
      </c>
      <c r="AQ138" s="50">
        <f t="shared" ca="1" si="125"/>
        <v>0</v>
      </c>
      <c r="AR138" s="50">
        <f t="shared" ca="1" si="126"/>
        <v>0</v>
      </c>
      <c r="AS138" s="50">
        <f t="shared" si="127"/>
        <v>0</v>
      </c>
      <c r="AT138" s="50">
        <f ca="1">(MAX((MAX(AS138,105%*SUM($AJ$7:AJ138))-AM138*Flag_UL_Type),0)*B138)</f>
        <v>0</v>
      </c>
      <c r="AU138" s="50">
        <f ca="1">(MAX(AS138,AR138,105%*SUM($AJ$7:AJ138))*B138)</f>
        <v>0</v>
      </c>
      <c r="AV138" s="125"/>
      <c r="AW138" s="13"/>
      <c r="AX138" s="13"/>
      <c r="AY138" s="13"/>
      <c r="AZ138" s="13"/>
      <c r="BA138" s="13"/>
      <c r="BG138" s="51">
        <f t="shared" si="128"/>
        <v>0</v>
      </c>
      <c r="BH138" s="51">
        <f t="shared" ca="1" si="129"/>
        <v>0</v>
      </c>
      <c r="BI138" s="51">
        <f t="shared" ca="1" si="130"/>
        <v>0</v>
      </c>
      <c r="BJ138" s="51">
        <f t="shared" ca="1" si="131"/>
        <v>0</v>
      </c>
      <c r="BK138" s="51">
        <f t="shared" si="132"/>
        <v>90</v>
      </c>
      <c r="BL138" s="51">
        <f t="shared" ca="1" si="133"/>
        <v>860.36211098680997</v>
      </c>
      <c r="BM138" s="51">
        <f t="shared" si="134"/>
        <v>0</v>
      </c>
      <c r="BN138" s="51">
        <f t="shared" ca="1" si="135"/>
        <v>0</v>
      </c>
      <c r="BO138" s="51">
        <f t="shared" ca="1" si="136"/>
        <v>0</v>
      </c>
      <c r="BP138" s="51">
        <f t="shared" ca="1" si="137"/>
        <v>950.36211098680997</v>
      </c>
      <c r="BQ138" s="120"/>
      <c r="BR138" s="32"/>
      <c r="BS138" s="126"/>
      <c r="BT138" s="16"/>
      <c r="BU138" s="58"/>
      <c r="BW138" s="51">
        <f>IF(Input!$C$13="Offline",VLOOKUP(H138,Charges!$AT$4:$AU$33,2,FALSE)*I138,0)</f>
        <v>0</v>
      </c>
      <c r="BX138" s="51">
        <f t="shared" si="138"/>
        <v>0</v>
      </c>
      <c r="BY138" s="51">
        <f t="shared" si="146"/>
        <v>0</v>
      </c>
      <c r="BZ138" s="151"/>
      <c r="CA138" s="151"/>
      <c r="CB138" s="32"/>
      <c r="CC138" s="16">
        <f ca="1">SUM($N$7:$N138)</f>
        <v>0</v>
      </c>
      <c r="CD138" s="16">
        <f t="shared" ca="1" si="139"/>
        <v>0</v>
      </c>
      <c r="CE138" s="16">
        <f t="shared" ca="1" si="140"/>
        <v>0</v>
      </c>
      <c r="CF138" s="7">
        <f t="shared" ca="1" si="141"/>
        <v>0</v>
      </c>
      <c r="CH138" s="7">
        <f t="shared" ca="1" si="142"/>
        <v>0</v>
      </c>
    </row>
    <row r="139" spans="2:86" s="7" customFormat="1" x14ac:dyDescent="0.2">
      <c r="B139" s="14">
        <f t="shared" si="106"/>
        <v>1</v>
      </c>
      <c r="C139" s="12">
        <f t="shared" si="107"/>
        <v>1</v>
      </c>
      <c r="D139" s="17">
        <f t="shared" si="147"/>
        <v>133</v>
      </c>
      <c r="E139" s="17">
        <f t="shared" ca="1" si="108"/>
        <v>71</v>
      </c>
      <c r="F139" s="12">
        <f t="shared" si="103"/>
        <v>0</v>
      </c>
      <c r="G139" s="12">
        <f t="shared" si="102"/>
        <v>23</v>
      </c>
      <c r="H139" s="17">
        <f t="shared" si="104"/>
        <v>12</v>
      </c>
      <c r="I139" s="29">
        <f t="shared" si="109"/>
        <v>300000</v>
      </c>
      <c r="J139" s="211">
        <f>IFERROR(VLOOKUP(H139,Charges!$T$6:$U$35,2,0)*C139,0)</f>
        <v>1</v>
      </c>
      <c r="K139" s="29">
        <f t="shared" si="110"/>
        <v>0</v>
      </c>
      <c r="L139" s="29">
        <f t="shared" si="111"/>
        <v>300000</v>
      </c>
      <c r="M139" s="147">
        <f t="shared" ca="1" si="112"/>
        <v>0</v>
      </c>
      <c r="N139" s="148">
        <f ca="1">IF(AND(Option_SPW="Y",H139&gt;=Lock_In_Period,Z138&gt;SPW_Amount_pa+IF(option="Single",1/5*pr,2*pr),H139&gt;=SPW_Start_Year,H139&lt;=SPW_Start_Year+SPW_Duration-1,age+H139&gt;=Legal_Age),IF(AND(F139=0,SPW_Payout_Freq=1),SPW_Amount_pa,IF(AND(SPW_Payout_Freq=2,MOD(F139,6)=0),SPW_Amount_pa/SPW_Payout_Freq,IF(AND(SPW_Payout_Freq=4,MOD(F139,3)=0),SPW_Amount_pa/SPW_Payout_Freq,IF(SPW_Payout_Freq=12,SPW_Amount_pa/SPW_Payout_Freq,0)))),0)+IFERROR(VLOOKUP(H139,Input!$B$68:$C$74,2,0),0)*(F139=0)*(Option_PW="Y")*(Option_SPW="N")*(age+H139&gt;=Legal_Age)</f>
        <v>0</v>
      </c>
      <c r="O139" s="148">
        <f t="shared" ca="1" si="113"/>
        <v>0</v>
      </c>
      <c r="P139" s="14">
        <f ca="1">(MAX(MAX(sa-CF138*Flag_UL_Type,105%*SUM($I$7:I139))-(AD138+L139-N139)*Flag_UL_Type,0)*B139)</f>
        <v>0</v>
      </c>
      <c r="Q139" s="213">
        <f t="shared" ca="1" si="114"/>
        <v>0</v>
      </c>
      <c r="R139" s="14">
        <f t="shared" ca="1" si="115"/>
        <v>0</v>
      </c>
      <c r="S139" s="14">
        <f t="shared" ca="1" si="116"/>
        <v>0</v>
      </c>
      <c r="T139" s="14">
        <f>IFERROR(IF(WoP_Flag="Y",IF(fq=1,VLOOKUP(ppt*fq-H139,Charges!$AN$41:$AO$59,2,FALSE),IF(fq=2,VLOOKUP(ppt*fq-G139,Charges!$AP$41:$AQ$79,2,FALSE),VLOOKUP(ppt*fq-D139,Charges!$AR$41:$AS$279,2,FALSE)))*pr/fq,0),0)</f>
        <v>0</v>
      </c>
      <c r="U139" s="14">
        <f t="shared" ca="1" si="117"/>
        <v>0</v>
      </c>
      <c r="V139" s="34">
        <f>ROUND(MIN(IF(H139&gt;=7,Charges!$C$12*(1+Charges!$C$14)^((H139-7+1)),VLOOKUP(H139,Charges!$B$7:$C$12,2,0))*pr,Charges!$C$13)*B139,Round)</f>
        <v>500</v>
      </c>
      <c r="W139" s="14">
        <f t="shared" ca="1" si="118"/>
        <v>4540160.7019917797</v>
      </c>
      <c r="X139" s="14">
        <f t="shared" ca="1" si="119"/>
        <v>4569372.2326526493</v>
      </c>
      <c r="Y139" s="213">
        <f t="shared" ca="1" si="143"/>
        <v>5143.3412978734168</v>
      </c>
      <c r="Z139" s="14">
        <f t="shared" ca="1" si="120"/>
        <v>4563303.0899211587</v>
      </c>
      <c r="AA139" s="14">
        <f>IF(AND($H139=pt,$F139=11),SUM($K$7:K139)*VLOOKUP(pt,ROC,2,FALSE),0)</f>
        <v>0</v>
      </c>
      <c r="AB139" s="14">
        <f>IF(AND($H139=pt,$F139=11),SUM($V$7:V139)*VLOOKUP(pt,ROC,2,FALSE),0)</f>
        <v>0</v>
      </c>
      <c r="AC139" s="14">
        <f>IF(AND($H139=pt,$F139=11),SUM($Q$7:Q139)*VLOOKUP(pt,ROC,2,FALSE),0)</f>
        <v>0</v>
      </c>
      <c r="AD139" s="14">
        <f t="shared" ca="1" si="121"/>
        <v>4563303.0899211587</v>
      </c>
      <c r="AE139" s="14">
        <f ca="1">(MAX(sa-CF138*Flag_UL_Type,105%*SUM($I$7:I139),Z139)+AU139)*B139</f>
        <v>4563303.0899211587</v>
      </c>
      <c r="AF139" s="136"/>
      <c r="AG139" s="18">
        <v>133</v>
      </c>
      <c r="AH139" s="30">
        <f t="shared" ca="1" si="122"/>
        <v>300000</v>
      </c>
      <c r="AI139" s="58"/>
      <c r="AJ139" s="50">
        <f>IF(AND(Option_Sys_TopUp&gt;="Y",H139&gt;=sytp,H139&lt;=(dtp+sytp-1),F139=0,H139&lt;=ppt+1),atp,0)+IFERROR(VLOOKUP(H139,Input!$B$55:$C$61,2,0),0)*(F139=0)*(Option_TopUP="Y")*(Option_Sys_TopUp="N")*B139*(pt&gt;=H139+5)</f>
        <v>0</v>
      </c>
      <c r="AK139" s="50">
        <f t="shared" si="123"/>
        <v>0</v>
      </c>
      <c r="AL139" s="50">
        <f t="shared" si="144"/>
        <v>0</v>
      </c>
      <c r="AM139" s="50">
        <f t="shared" ca="1" si="145"/>
        <v>0</v>
      </c>
      <c r="AN139" s="50">
        <f ca="1">IF(B139=0,0,AT139*(_rpm1+(1+_emr1)*VLOOKUP(E139,Tab_Mort_Charge,IF(Input!$C$12="M",2,3),0))*(0.001*0.0833)*Flag_Mort_Rider_Charge*(AT139&gt;0))</f>
        <v>0</v>
      </c>
      <c r="AO139" s="50">
        <f t="shared" ca="1" si="124"/>
        <v>0</v>
      </c>
      <c r="AP139" s="50">
        <f t="shared" ca="1" si="105"/>
        <v>0</v>
      </c>
      <c r="AQ139" s="50">
        <f t="shared" ca="1" si="125"/>
        <v>0</v>
      </c>
      <c r="AR139" s="50">
        <f t="shared" ca="1" si="126"/>
        <v>0</v>
      </c>
      <c r="AS139" s="50">
        <f t="shared" si="127"/>
        <v>0</v>
      </c>
      <c r="AT139" s="50">
        <f ca="1">(MAX((MAX(AS139,105%*SUM($AJ$7:AJ139))-AM139*Flag_UL_Type),0)*B139)</f>
        <v>0</v>
      </c>
      <c r="AU139" s="50">
        <f ca="1">(MAX(AS139,AR139,105%*SUM($AJ$7:AJ139))*B139)</f>
        <v>0</v>
      </c>
      <c r="AV139" s="125"/>
      <c r="AW139" s="13"/>
      <c r="AX139" s="13"/>
      <c r="AY139" s="13"/>
      <c r="AZ139" s="13"/>
      <c r="BA139" s="13"/>
      <c r="BG139" s="51">
        <f t="shared" si="128"/>
        <v>0</v>
      </c>
      <c r="BH139" s="51">
        <f t="shared" ca="1" si="129"/>
        <v>0</v>
      </c>
      <c r="BI139" s="51">
        <f t="shared" ca="1" si="130"/>
        <v>0</v>
      </c>
      <c r="BJ139" s="51">
        <f t="shared" ca="1" si="131"/>
        <v>0</v>
      </c>
      <c r="BK139" s="51">
        <f t="shared" si="132"/>
        <v>90</v>
      </c>
      <c r="BL139" s="51">
        <f t="shared" ca="1" si="133"/>
        <v>925.80143361721503</v>
      </c>
      <c r="BM139" s="51">
        <f t="shared" si="134"/>
        <v>0</v>
      </c>
      <c r="BN139" s="51">
        <f t="shared" ca="1" si="135"/>
        <v>0</v>
      </c>
      <c r="BO139" s="51">
        <f t="shared" ca="1" si="136"/>
        <v>0</v>
      </c>
      <c r="BP139" s="51">
        <f t="shared" ca="1" si="137"/>
        <v>1015.801433617215</v>
      </c>
      <c r="BQ139" s="120"/>
      <c r="BR139" s="32"/>
      <c r="BS139" s="126"/>
      <c r="BT139" s="16"/>
      <c r="BU139" s="58"/>
      <c r="BW139" s="51">
        <f>IF(Input!$C$13="Offline",VLOOKUP(H139,Charges!$AT$4:$AU$33,2,FALSE)*I139,0)</f>
        <v>0</v>
      </c>
      <c r="BX139" s="51">
        <f t="shared" si="138"/>
        <v>0</v>
      </c>
      <c r="BY139" s="51">
        <f t="shared" si="146"/>
        <v>0</v>
      </c>
      <c r="BZ139" s="151"/>
      <c r="CA139" s="151"/>
      <c r="CB139" s="32"/>
      <c r="CC139" s="16">
        <f ca="1">SUM($N$7:$N139)</f>
        <v>0</v>
      </c>
      <c r="CD139" s="16">
        <f t="shared" ca="1" si="139"/>
        <v>0</v>
      </c>
      <c r="CE139" s="16">
        <f t="shared" ca="1" si="140"/>
        <v>0</v>
      </c>
      <c r="CF139" s="7">
        <f t="shared" ca="1" si="141"/>
        <v>0</v>
      </c>
      <c r="CH139" s="7">
        <f t="shared" ca="1" si="142"/>
        <v>0</v>
      </c>
    </row>
    <row r="140" spans="2:86" s="7" customFormat="1" x14ac:dyDescent="0.2">
      <c r="B140" s="14">
        <f t="shared" si="106"/>
        <v>1</v>
      </c>
      <c r="C140" s="12">
        <f t="shared" si="107"/>
        <v>1</v>
      </c>
      <c r="D140" s="17">
        <f t="shared" si="147"/>
        <v>134</v>
      </c>
      <c r="E140" s="17">
        <f t="shared" ca="1" si="108"/>
        <v>71</v>
      </c>
      <c r="F140" s="12">
        <f t="shared" si="103"/>
        <v>1</v>
      </c>
      <c r="G140" s="12">
        <f t="shared" si="102"/>
        <v>23</v>
      </c>
      <c r="H140" s="17">
        <f t="shared" si="104"/>
        <v>12</v>
      </c>
      <c r="I140" s="29">
        <f t="shared" si="109"/>
        <v>0</v>
      </c>
      <c r="J140" s="211">
        <f>IFERROR(VLOOKUP(H140,Charges!$T$6:$U$35,2,0)*C140,0)</f>
        <v>1</v>
      </c>
      <c r="K140" s="29">
        <f t="shared" si="110"/>
        <v>0</v>
      </c>
      <c r="L140" s="29">
        <f t="shared" si="111"/>
        <v>0</v>
      </c>
      <c r="M140" s="147">
        <f t="shared" ca="1" si="112"/>
        <v>0</v>
      </c>
      <c r="N140" s="148">
        <f ca="1">IF(AND(Option_SPW="Y",H140&gt;=Lock_In_Period,Z139&gt;SPW_Amount_pa+IF(option="Single",1/5*pr,2*pr),H140&gt;=SPW_Start_Year,H140&lt;=SPW_Start_Year+SPW_Duration-1,age+H140&gt;=Legal_Age),IF(AND(F140=0,SPW_Payout_Freq=1),SPW_Amount_pa,IF(AND(SPW_Payout_Freq=2,MOD(F140,6)=0),SPW_Amount_pa/SPW_Payout_Freq,IF(AND(SPW_Payout_Freq=4,MOD(F140,3)=0),SPW_Amount_pa/SPW_Payout_Freq,IF(SPW_Payout_Freq=12,SPW_Amount_pa/SPW_Payout_Freq,0)))),0)+IFERROR(VLOOKUP(H140,Input!$B$68:$C$74,2,0),0)*(F140=0)*(Option_PW="Y")*(Option_SPW="N")*(age+H140&gt;=Legal_Age)</f>
        <v>0</v>
      </c>
      <c r="O140" s="148">
        <f t="shared" ca="1" si="113"/>
        <v>0</v>
      </c>
      <c r="P140" s="14">
        <f ca="1">(MAX(MAX(sa-CF139*Flag_UL_Type,105%*SUM($I$7:I140))-(AD139+L140-N140)*Flag_UL_Type,0)*B140)</f>
        <v>0</v>
      </c>
      <c r="Q140" s="213">
        <f t="shared" ca="1" si="114"/>
        <v>0</v>
      </c>
      <c r="R140" s="14">
        <f t="shared" ca="1" si="115"/>
        <v>0</v>
      </c>
      <c r="S140" s="14">
        <f t="shared" ca="1" si="116"/>
        <v>0</v>
      </c>
      <c r="T140" s="14">
        <f>IFERROR(IF(WoP_Flag="Y",IF(fq=1,VLOOKUP(ppt*fq-H140,Charges!$AN$41:$AO$59,2,FALSE),IF(fq=2,VLOOKUP(ppt*fq-G140,Charges!$AP$41:$AQ$79,2,FALSE),VLOOKUP(ppt*fq-D140,Charges!$AR$41:$AS$279,2,FALSE)))*pr/fq,0),0)</f>
        <v>0</v>
      </c>
      <c r="U140" s="14">
        <f t="shared" ca="1" si="117"/>
        <v>0</v>
      </c>
      <c r="V140" s="34">
        <f>ROUND(MIN(IF(H140&gt;=7,Charges!$C$12*(1+Charges!$C$14)^((H140-7+1)),VLOOKUP(H140,Charges!$B$7:$C$12,2,0))*pr,Charges!$C$13)*B140,Round)</f>
        <v>500</v>
      </c>
      <c r="W140" s="14">
        <f t="shared" ca="1" si="118"/>
        <v>4562713.0899211587</v>
      </c>
      <c r="X140" s="14">
        <f t="shared" ca="1" si="119"/>
        <v>4592069.7233250178</v>
      </c>
      <c r="Y140" s="213">
        <f t="shared" ca="1" si="143"/>
        <v>5168.8898711104712</v>
      </c>
      <c r="Z140" s="14">
        <f t="shared" ca="1" si="120"/>
        <v>4585970.4332771078</v>
      </c>
      <c r="AA140" s="14">
        <f>IF(AND($H140=pt,$F140=11),SUM($K$7:K140)*VLOOKUP(pt,ROC,2,FALSE),0)</f>
        <v>0</v>
      </c>
      <c r="AB140" s="14">
        <f>IF(AND($H140=pt,$F140=11),SUM($V$7:V140)*VLOOKUP(pt,ROC,2,FALSE),0)</f>
        <v>0</v>
      </c>
      <c r="AC140" s="14">
        <f>IF(AND($H140=pt,$F140=11),SUM($Q$7:Q140)*VLOOKUP(pt,ROC,2,FALSE),0)</f>
        <v>0</v>
      </c>
      <c r="AD140" s="14">
        <f t="shared" ca="1" si="121"/>
        <v>4585970.4332771078</v>
      </c>
      <c r="AE140" s="14">
        <f ca="1">(MAX(sa-CF139*Flag_UL_Type,105%*SUM($I$7:I140),Z140)+AU140)*B140</f>
        <v>4585970.4332771078</v>
      </c>
      <c r="AF140" s="136"/>
      <c r="AG140" s="18">
        <v>134</v>
      </c>
      <c r="AH140" s="30">
        <f t="shared" ca="1" si="122"/>
        <v>0</v>
      </c>
      <c r="AI140" s="58"/>
      <c r="AJ140" s="50">
        <f>IF(AND(Option_Sys_TopUp&gt;="Y",H140&gt;=sytp,H140&lt;=(dtp+sytp-1),F140=0,H140&lt;=ppt+1),atp,0)+IFERROR(VLOOKUP(H140,Input!$B$55:$C$61,2,0),0)*(F140=0)*(Option_TopUP="Y")*(Option_Sys_TopUp="N")*B140*(pt&gt;=H140+5)</f>
        <v>0</v>
      </c>
      <c r="AK140" s="50">
        <f t="shared" si="123"/>
        <v>0</v>
      </c>
      <c r="AL140" s="50">
        <f t="shared" si="144"/>
        <v>0</v>
      </c>
      <c r="AM140" s="50">
        <f t="shared" ca="1" si="145"/>
        <v>0</v>
      </c>
      <c r="AN140" s="50">
        <f ca="1">IF(B140=0,0,AT140*(_rpm1+(1+_emr1)*VLOOKUP(E140,Tab_Mort_Charge,IF(Input!$C$12="M",2,3),0))*(0.001*0.0833)*Flag_Mort_Rider_Charge*(AT140&gt;0))</f>
        <v>0</v>
      </c>
      <c r="AO140" s="50">
        <f t="shared" ca="1" si="124"/>
        <v>0</v>
      </c>
      <c r="AP140" s="50">
        <f t="shared" ca="1" si="105"/>
        <v>0</v>
      </c>
      <c r="AQ140" s="50">
        <f t="shared" ca="1" si="125"/>
        <v>0</v>
      </c>
      <c r="AR140" s="50">
        <f t="shared" ca="1" si="126"/>
        <v>0</v>
      </c>
      <c r="AS140" s="50">
        <f t="shared" si="127"/>
        <v>0</v>
      </c>
      <c r="AT140" s="50">
        <f ca="1">(MAX((MAX(AS140,105%*SUM($AJ$7:AJ140))-AM140*Flag_UL_Type),0)*B140)</f>
        <v>0</v>
      </c>
      <c r="AU140" s="50">
        <f ca="1">(MAX(AS140,AR140,105%*SUM($AJ$7:AJ140))*B140)</f>
        <v>0</v>
      </c>
      <c r="AV140" s="125"/>
      <c r="AW140" s="13"/>
      <c r="AX140" s="13"/>
      <c r="AY140" s="13"/>
      <c r="AZ140" s="13"/>
      <c r="BA140" s="13"/>
      <c r="BG140" s="51">
        <f t="shared" si="128"/>
        <v>0</v>
      </c>
      <c r="BH140" s="51">
        <f t="shared" ca="1" si="129"/>
        <v>0</v>
      </c>
      <c r="BI140" s="51">
        <f t="shared" ca="1" si="130"/>
        <v>0</v>
      </c>
      <c r="BJ140" s="51">
        <f t="shared" ca="1" si="131"/>
        <v>0</v>
      </c>
      <c r="BK140" s="51">
        <f t="shared" si="132"/>
        <v>90</v>
      </c>
      <c r="BL140" s="51">
        <f t="shared" ca="1" si="133"/>
        <v>930.40017679988478</v>
      </c>
      <c r="BM140" s="51">
        <f t="shared" si="134"/>
        <v>0</v>
      </c>
      <c r="BN140" s="51">
        <f t="shared" ca="1" si="135"/>
        <v>0</v>
      </c>
      <c r="BO140" s="51">
        <f t="shared" ca="1" si="136"/>
        <v>0</v>
      </c>
      <c r="BP140" s="51">
        <f t="shared" ca="1" si="137"/>
        <v>1020.4001767998848</v>
      </c>
      <c r="BQ140" s="120"/>
      <c r="BR140" s="32"/>
      <c r="BS140" s="126"/>
      <c r="BT140" s="16"/>
      <c r="BU140" s="58"/>
      <c r="BW140" s="51">
        <f>IF(Input!$C$13="Offline",VLOOKUP(H140,Charges!$AT$4:$AU$33,2,FALSE)*I140,0)</f>
        <v>0</v>
      </c>
      <c r="BX140" s="51">
        <f t="shared" si="138"/>
        <v>0</v>
      </c>
      <c r="BY140" s="51">
        <f t="shared" si="146"/>
        <v>0</v>
      </c>
      <c r="BZ140" s="151"/>
      <c r="CA140" s="151"/>
      <c r="CB140" s="32"/>
      <c r="CC140" s="16">
        <f ca="1">SUM($N$7:$N140)</f>
        <v>0</v>
      </c>
      <c r="CD140" s="16">
        <f t="shared" ca="1" si="139"/>
        <v>0</v>
      </c>
      <c r="CE140" s="16">
        <f t="shared" ca="1" si="140"/>
        <v>0</v>
      </c>
      <c r="CF140" s="7">
        <f t="shared" ca="1" si="141"/>
        <v>0</v>
      </c>
      <c r="CH140" s="7">
        <f t="shared" ca="1" si="142"/>
        <v>0</v>
      </c>
    </row>
    <row r="141" spans="2:86" s="7" customFormat="1" x14ac:dyDescent="0.2">
      <c r="B141" s="14">
        <f t="shared" si="106"/>
        <v>1</v>
      </c>
      <c r="C141" s="12">
        <f t="shared" si="107"/>
        <v>1</v>
      </c>
      <c r="D141" s="17">
        <f t="shared" si="147"/>
        <v>135</v>
      </c>
      <c r="E141" s="17">
        <f t="shared" ca="1" si="108"/>
        <v>71</v>
      </c>
      <c r="F141" s="12">
        <f t="shared" si="103"/>
        <v>2</v>
      </c>
      <c r="G141" s="12">
        <f t="shared" si="102"/>
        <v>23</v>
      </c>
      <c r="H141" s="17">
        <f t="shared" si="104"/>
        <v>12</v>
      </c>
      <c r="I141" s="29">
        <f t="shared" si="109"/>
        <v>0</v>
      </c>
      <c r="J141" s="211">
        <f>IFERROR(VLOOKUP(H141,Charges!$T$6:$U$35,2,0)*C141,0)</f>
        <v>1</v>
      </c>
      <c r="K141" s="29">
        <f t="shared" si="110"/>
        <v>0</v>
      </c>
      <c r="L141" s="29">
        <f t="shared" si="111"/>
        <v>0</v>
      </c>
      <c r="M141" s="147">
        <f t="shared" ca="1" si="112"/>
        <v>0</v>
      </c>
      <c r="N141" s="148">
        <f ca="1">IF(AND(Option_SPW="Y",H141&gt;=Lock_In_Period,Z140&gt;SPW_Amount_pa+IF(option="Single",1/5*pr,2*pr),H141&gt;=SPW_Start_Year,H141&lt;=SPW_Start_Year+SPW_Duration-1,age+H141&gt;=Legal_Age),IF(AND(F141=0,SPW_Payout_Freq=1),SPW_Amount_pa,IF(AND(SPW_Payout_Freq=2,MOD(F141,6)=0),SPW_Amount_pa/SPW_Payout_Freq,IF(AND(SPW_Payout_Freq=4,MOD(F141,3)=0),SPW_Amount_pa/SPW_Payout_Freq,IF(SPW_Payout_Freq=12,SPW_Amount_pa/SPW_Payout_Freq,0)))),0)+IFERROR(VLOOKUP(H141,Input!$B$68:$C$74,2,0),0)*(F141=0)*(Option_PW="Y")*(Option_SPW="N")*(age+H141&gt;=Legal_Age)</f>
        <v>0</v>
      </c>
      <c r="O141" s="148">
        <f t="shared" ca="1" si="113"/>
        <v>0</v>
      </c>
      <c r="P141" s="14">
        <f ca="1">(MAX(MAX(sa-CF140*Flag_UL_Type,105%*SUM($I$7:I141))-(AD140+L141-N141)*Flag_UL_Type,0)*B141)</f>
        <v>0</v>
      </c>
      <c r="Q141" s="213">
        <f t="shared" ca="1" si="114"/>
        <v>0</v>
      </c>
      <c r="R141" s="14">
        <f t="shared" ca="1" si="115"/>
        <v>0</v>
      </c>
      <c r="S141" s="14">
        <f t="shared" ca="1" si="116"/>
        <v>0</v>
      </c>
      <c r="T141" s="14">
        <f>IFERROR(IF(WoP_Flag="Y",IF(fq=1,VLOOKUP(ppt*fq-H141,Charges!$AN$41:$AO$59,2,FALSE),IF(fq=2,VLOOKUP(ppt*fq-G141,Charges!$AP$41:$AQ$79,2,FALSE),VLOOKUP(ppt*fq-D141,Charges!$AR$41:$AS$279,2,FALSE)))*pr/fq,0),0)</f>
        <v>0</v>
      </c>
      <c r="U141" s="14">
        <f t="shared" ca="1" si="117"/>
        <v>0</v>
      </c>
      <c r="V141" s="34">
        <f>ROUND(MIN(IF(H141&gt;=7,Charges!$C$12*(1+Charges!$C$14)^((H141-7+1)),VLOOKUP(H141,Charges!$B$7:$C$12,2,0))*pr,Charges!$C$13)*B141,Round)</f>
        <v>500</v>
      </c>
      <c r="W141" s="14">
        <f t="shared" ca="1" si="118"/>
        <v>4585380.4332771078</v>
      </c>
      <c r="X141" s="14">
        <f t="shared" ca="1" si="119"/>
        <v>4614882.9090506332</v>
      </c>
      <c r="Y141" s="213">
        <f t="shared" ca="1" si="143"/>
        <v>5194.5686721151542</v>
      </c>
      <c r="Z141" s="14">
        <f t="shared" ca="1" si="120"/>
        <v>4608753.3180175377</v>
      </c>
      <c r="AA141" s="14">
        <f>IF(AND($H141=pt,$F141=11),SUM($K$7:K141)*VLOOKUP(pt,ROC,2,FALSE),0)</f>
        <v>0</v>
      </c>
      <c r="AB141" s="14">
        <f>IF(AND($H141=pt,$F141=11),SUM($V$7:V141)*VLOOKUP(pt,ROC,2,FALSE),0)</f>
        <v>0</v>
      </c>
      <c r="AC141" s="14">
        <f>IF(AND($H141=pt,$F141=11),SUM($Q$7:Q141)*VLOOKUP(pt,ROC,2,FALSE),0)</f>
        <v>0</v>
      </c>
      <c r="AD141" s="14">
        <f t="shared" ca="1" si="121"/>
        <v>4608753.3180175377</v>
      </c>
      <c r="AE141" s="14">
        <f ca="1">(MAX(sa-CF140*Flag_UL_Type,105%*SUM($I$7:I141),Z141)+AU141)*B141</f>
        <v>4608753.3180175377</v>
      </c>
      <c r="AF141" s="136"/>
      <c r="AG141" s="18">
        <v>135</v>
      </c>
      <c r="AH141" s="30">
        <f t="shared" ca="1" si="122"/>
        <v>0</v>
      </c>
      <c r="AI141" s="58"/>
      <c r="AJ141" s="50">
        <f>IF(AND(Option_Sys_TopUp&gt;="Y",H141&gt;=sytp,H141&lt;=(dtp+sytp-1),F141=0,H141&lt;=ppt+1),atp,0)+IFERROR(VLOOKUP(H141,Input!$B$55:$C$61,2,0),0)*(F141=0)*(Option_TopUP="Y")*(Option_Sys_TopUp="N")*B141*(pt&gt;=H141+5)</f>
        <v>0</v>
      </c>
      <c r="AK141" s="50">
        <f t="shared" si="123"/>
        <v>0</v>
      </c>
      <c r="AL141" s="50">
        <f t="shared" si="144"/>
        <v>0</v>
      </c>
      <c r="AM141" s="50">
        <f t="shared" ca="1" si="145"/>
        <v>0</v>
      </c>
      <c r="AN141" s="50">
        <f ca="1">IF(B141=0,0,AT141*(_rpm1+(1+_emr1)*VLOOKUP(E141,Tab_Mort_Charge,IF(Input!$C$12="M",2,3),0))*(0.001*0.0833)*Flag_Mort_Rider_Charge*(AT141&gt;0))</f>
        <v>0</v>
      </c>
      <c r="AO141" s="50">
        <f t="shared" ca="1" si="124"/>
        <v>0</v>
      </c>
      <c r="AP141" s="50">
        <f t="shared" ca="1" si="105"/>
        <v>0</v>
      </c>
      <c r="AQ141" s="50">
        <f t="shared" ca="1" si="125"/>
        <v>0</v>
      </c>
      <c r="AR141" s="50">
        <f t="shared" ca="1" si="126"/>
        <v>0</v>
      </c>
      <c r="AS141" s="50">
        <f t="shared" si="127"/>
        <v>0</v>
      </c>
      <c r="AT141" s="50">
        <f ca="1">(MAX((MAX(AS141,105%*SUM($AJ$7:AJ141))-AM141*Flag_UL_Type),0)*B141)</f>
        <v>0</v>
      </c>
      <c r="AU141" s="50">
        <f ca="1">(MAX(AS141,AR141,105%*SUM($AJ$7:AJ141))*B141)</f>
        <v>0</v>
      </c>
      <c r="AV141" s="125"/>
      <c r="AW141" s="13"/>
      <c r="AX141" s="13"/>
      <c r="AY141" s="13"/>
      <c r="AZ141" s="13"/>
      <c r="BA141" s="13"/>
      <c r="BG141" s="51">
        <f t="shared" si="128"/>
        <v>0</v>
      </c>
      <c r="BH141" s="51">
        <f t="shared" ca="1" si="129"/>
        <v>0</v>
      </c>
      <c r="BI141" s="51">
        <f t="shared" ca="1" si="130"/>
        <v>0</v>
      </c>
      <c r="BJ141" s="51">
        <f t="shared" ca="1" si="131"/>
        <v>0</v>
      </c>
      <c r="BK141" s="51">
        <f t="shared" si="132"/>
        <v>90</v>
      </c>
      <c r="BL141" s="51">
        <f t="shared" ca="1" si="133"/>
        <v>935.02236098072774</v>
      </c>
      <c r="BM141" s="51">
        <f t="shared" si="134"/>
        <v>0</v>
      </c>
      <c r="BN141" s="51">
        <f t="shared" ca="1" si="135"/>
        <v>0</v>
      </c>
      <c r="BO141" s="51">
        <f t="shared" ca="1" si="136"/>
        <v>0</v>
      </c>
      <c r="BP141" s="51">
        <f t="shared" ca="1" si="137"/>
        <v>1025.0223609807276</v>
      </c>
      <c r="BQ141" s="120"/>
      <c r="BR141" s="32"/>
      <c r="BS141" s="126"/>
      <c r="BT141" s="16"/>
      <c r="BU141" s="58"/>
      <c r="BW141" s="51">
        <f>IF(Input!$C$13="Offline",VLOOKUP(H141,Charges!$AT$4:$AU$33,2,FALSE)*I141,0)</f>
        <v>0</v>
      </c>
      <c r="BX141" s="51">
        <f t="shared" si="138"/>
        <v>0</v>
      </c>
      <c r="BY141" s="51">
        <f t="shared" si="146"/>
        <v>0</v>
      </c>
      <c r="BZ141" s="151"/>
      <c r="CA141" s="151"/>
      <c r="CB141" s="32"/>
      <c r="CC141" s="16">
        <f ca="1">SUM($N$7:$N141)</f>
        <v>0</v>
      </c>
      <c r="CD141" s="16">
        <f t="shared" ca="1" si="139"/>
        <v>0</v>
      </c>
      <c r="CE141" s="16">
        <f t="shared" ca="1" si="140"/>
        <v>0</v>
      </c>
      <c r="CF141" s="7">
        <f t="shared" ca="1" si="141"/>
        <v>0</v>
      </c>
      <c r="CH141" s="7">
        <f t="shared" ca="1" si="142"/>
        <v>0</v>
      </c>
    </row>
    <row r="142" spans="2:86" s="7" customFormat="1" x14ac:dyDescent="0.2">
      <c r="B142" s="14">
        <f t="shared" si="106"/>
        <v>1</v>
      </c>
      <c r="C142" s="12">
        <f t="shared" si="107"/>
        <v>1</v>
      </c>
      <c r="D142" s="17">
        <f t="shared" si="147"/>
        <v>136</v>
      </c>
      <c r="E142" s="17">
        <f t="shared" ca="1" si="108"/>
        <v>71</v>
      </c>
      <c r="F142" s="12">
        <f t="shared" si="103"/>
        <v>3</v>
      </c>
      <c r="G142" s="12">
        <f t="shared" ref="G142:G205" si="148">G136+1</f>
        <v>23</v>
      </c>
      <c r="H142" s="17">
        <f t="shared" si="104"/>
        <v>12</v>
      </c>
      <c r="I142" s="29">
        <f t="shared" si="109"/>
        <v>0</v>
      </c>
      <c r="J142" s="211">
        <f>IFERROR(VLOOKUP(H142,Charges!$T$6:$U$35,2,0)*C142,0)</f>
        <v>1</v>
      </c>
      <c r="K142" s="29">
        <f t="shared" si="110"/>
        <v>0</v>
      </c>
      <c r="L142" s="29">
        <f t="shared" si="111"/>
        <v>0</v>
      </c>
      <c r="M142" s="147">
        <f t="shared" ca="1" si="112"/>
        <v>0</v>
      </c>
      <c r="N142" s="148">
        <f ca="1">IF(AND(Option_SPW="Y",H142&gt;=Lock_In_Period,Z141&gt;SPW_Amount_pa+IF(option="Single",1/5*pr,2*pr),H142&gt;=SPW_Start_Year,H142&lt;=SPW_Start_Year+SPW_Duration-1,age+H142&gt;=Legal_Age),IF(AND(F142=0,SPW_Payout_Freq=1),SPW_Amount_pa,IF(AND(SPW_Payout_Freq=2,MOD(F142,6)=0),SPW_Amount_pa/SPW_Payout_Freq,IF(AND(SPW_Payout_Freq=4,MOD(F142,3)=0),SPW_Amount_pa/SPW_Payout_Freq,IF(SPW_Payout_Freq=12,SPW_Amount_pa/SPW_Payout_Freq,0)))),0)+IFERROR(VLOOKUP(H142,Input!$B$68:$C$74,2,0),0)*(F142=0)*(Option_PW="Y")*(Option_SPW="N")*(age+H142&gt;=Legal_Age)</f>
        <v>0</v>
      </c>
      <c r="O142" s="148">
        <f t="shared" ca="1" si="113"/>
        <v>0</v>
      </c>
      <c r="P142" s="14">
        <f ca="1">(MAX(MAX(sa-CF141*Flag_UL_Type,105%*SUM($I$7:I142))-(AD141+L142-N142)*Flag_UL_Type,0)*B142)</f>
        <v>0</v>
      </c>
      <c r="Q142" s="213">
        <f t="shared" ca="1" si="114"/>
        <v>0</v>
      </c>
      <c r="R142" s="14">
        <f t="shared" ca="1" si="115"/>
        <v>0</v>
      </c>
      <c r="S142" s="14">
        <f t="shared" ca="1" si="116"/>
        <v>0</v>
      </c>
      <c r="T142" s="14">
        <f>IFERROR(IF(WoP_Flag="Y",IF(fq=1,VLOOKUP(ppt*fq-H142,Charges!$AN$41:$AO$59,2,FALSE),IF(fq=2,VLOOKUP(ppt*fq-G142,Charges!$AP$41:$AQ$79,2,FALSE),VLOOKUP(ppt*fq-D142,Charges!$AR$41:$AS$279,2,FALSE)))*pr/fq,0),0)</f>
        <v>0</v>
      </c>
      <c r="U142" s="14">
        <f t="shared" ca="1" si="117"/>
        <v>0</v>
      </c>
      <c r="V142" s="34">
        <f>ROUND(MIN(IF(H142&gt;=7,Charges!$C$12*(1+Charges!$C$14)^((H142-7+1)),VLOOKUP(H142,Charges!$B$7:$C$12,2,0))*pr,Charges!$C$13)*B142,Round)</f>
        <v>500</v>
      </c>
      <c r="W142" s="14">
        <f t="shared" ca="1" si="118"/>
        <v>4608163.3180175377</v>
      </c>
      <c r="X142" s="14">
        <f t="shared" ca="1" si="119"/>
        <v>4637812.3795574754</v>
      </c>
      <c r="Y142" s="213">
        <f t="shared" ca="1" si="143"/>
        <v>5220.3783646924976</v>
      </c>
      <c r="Z142" s="14">
        <f t="shared" ca="1" si="120"/>
        <v>4631652.3330871379</v>
      </c>
      <c r="AA142" s="14">
        <f>IF(AND($H142=pt,$F142=11),SUM($K$7:K142)*VLOOKUP(pt,ROC,2,FALSE),0)</f>
        <v>0</v>
      </c>
      <c r="AB142" s="14">
        <f>IF(AND($H142=pt,$F142=11),SUM($V$7:V142)*VLOOKUP(pt,ROC,2,FALSE),0)</f>
        <v>0</v>
      </c>
      <c r="AC142" s="14">
        <f>IF(AND($H142=pt,$F142=11),SUM($Q$7:Q142)*VLOOKUP(pt,ROC,2,FALSE),0)</f>
        <v>0</v>
      </c>
      <c r="AD142" s="14">
        <f t="shared" ca="1" si="121"/>
        <v>4631652.3330871379</v>
      </c>
      <c r="AE142" s="14">
        <f ca="1">(MAX(sa-CF141*Flag_UL_Type,105%*SUM($I$7:I142),Z142)+AU142)*B142</f>
        <v>4631652.3330871379</v>
      </c>
      <c r="AF142" s="136"/>
      <c r="AG142" s="18">
        <v>136</v>
      </c>
      <c r="AH142" s="30">
        <f t="shared" ca="1" si="122"/>
        <v>0</v>
      </c>
      <c r="AI142" s="58"/>
      <c r="AJ142" s="50">
        <f>IF(AND(Option_Sys_TopUp&gt;="Y",H142&gt;=sytp,H142&lt;=(dtp+sytp-1),F142=0,H142&lt;=ppt+1),atp,0)+IFERROR(VLOOKUP(H142,Input!$B$55:$C$61,2,0),0)*(F142=0)*(Option_TopUP="Y")*(Option_Sys_TopUp="N")*B142*(pt&gt;=H142+5)</f>
        <v>0</v>
      </c>
      <c r="AK142" s="50">
        <f t="shared" si="123"/>
        <v>0</v>
      </c>
      <c r="AL142" s="50">
        <f t="shared" si="144"/>
        <v>0</v>
      </c>
      <c r="AM142" s="50">
        <f t="shared" ca="1" si="145"/>
        <v>0</v>
      </c>
      <c r="AN142" s="50">
        <f ca="1">IF(B142=0,0,AT142*(_rpm1+(1+_emr1)*VLOOKUP(E142,Tab_Mort_Charge,IF(Input!$C$12="M",2,3),0))*(0.001*0.0833)*Flag_Mort_Rider_Charge*(AT142&gt;0))</f>
        <v>0</v>
      </c>
      <c r="AO142" s="50">
        <f t="shared" ca="1" si="124"/>
        <v>0</v>
      </c>
      <c r="AP142" s="50">
        <f t="shared" ca="1" si="105"/>
        <v>0</v>
      </c>
      <c r="AQ142" s="50">
        <f t="shared" ca="1" si="125"/>
        <v>0</v>
      </c>
      <c r="AR142" s="50">
        <f t="shared" ca="1" si="126"/>
        <v>0</v>
      </c>
      <c r="AS142" s="50">
        <f t="shared" si="127"/>
        <v>0</v>
      </c>
      <c r="AT142" s="50">
        <f ca="1">(MAX((MAX(AS142,105%*SUM($AJ$7:AJ142))-AM142*Flag_UL_Type),0)*B142)</f>
        <v>0</v>
      </c>
      <c r="AU142" s="50">
        <f ca="1">(MAX(AS142,AR142,105%*SUM($AJ$7:AJ142))*B142)</f>
        <v>0</v>
      </c>
      <c r="AV142" s="125"/>
      <c r="AW142" s="13"/>
      <c r="AX142" s="13"/>
      <c r="AY142" s="13"/>
      <c r="AZ142" s="13"/>
      <c r="BA142" s="13"/>
      <c r="BG142" s="51">
        <f t="shared" si="128"/>
        <v>0</v>
      </c>
      <c r="BH142" s="51">
        <f t="shared" ca="1" si="129"/>
        <v>0</v>
      </c>
      <c r="BI142" s="51">
        <f t="shared" ca="1" si="130"/>
        <v>0</v>
      </c>
      <c r="BJ142" s="51">
        <f t="shared" ca="1" si="131"/>
        <v>0</v>
      </c>
      <c r="BK142" s="51">
        <f t="shared" si="132"/>
        <v>90</v>
      </c>
      <c r="BL142" s="51">
        <f t="shared" ca="1" si="133"/>
        <v>939.66810564464959</v>
      </c>
      <c r="BM142" s="51">
        <f t="shared" si="134"/>
        <v>0</v>
      </c>
      <c r="BN142" s="51">
        <f t="shared" ca="1" si="135"/>
        <v>0</v>
      </c>
      <c r="BO142" s="51">
        <f t="shared" ca="1" si="136"/>
        <v>0</v>
      </c>
      <c r="BP142" s="51">
        <f t="shared" ca="1" si="137"/>
        <v>1029.6681056446496</v>
      </c>
      <c r="BQ142" s="120"/>
      <c r="BR142" s="32"/>
      <c r="BS142" s="126"/>
      <c r="BT142" s="16"/>
      <c r="BU142" s="58"/>
      <c r="BW142" s="51">
        <f>IF(Input!$C$13="Offline",VLOOKUP(H142,Charges!$AT$4:$AU$33,2,FALSE)*I142,0)</f>
        <v>0</v>
      </c>
      <c r="BX142" s="51">
        <f t="shared" si="138"/>
        <v>0</v>
      </c>
      <c r="BY142" s="51">
        <f t="shared" si="146"/>
        <v>0</v>
      </c>
      <c r="BZ142" s="151"/>
      <c r="CA142" s="151"/>
      <c r="CB142" s="32"/>
      <c r="CC142" s="16">
        <f ca="1">SUM($N$7:$N142)</f>
        <v>0</v>
      </c>
      <c r="CD142" s="16">
        <f t="shared" ca="1" si="139"/>
        <v>0</v>
      </c>
      <c r="CE142" s="16">
        <f t="shared" ca="1" si="140"/>
        <v>0</v>
      </c>
      <c r="CF142" s="7">
        <f t="shared" ca="1" si="141"/>
        <v>0</v>
      </c>
      <c r="CH142" s="7">
        <f t="shared" ca="1" si="142"/>
        <v>0</v>
      </c>
    </row>
    <row r="143" spans="2:86" s="7" customFormat="1" x14ac:dyDescent="0.2">
      <c r="B143" s="14">
        <f t="shared" si="106"/>
        <v>1</v>
      </c>
      <c r="C143" s="12">
        <f t="shared" si="107"/>
        <v>1</v>
      </c>
      <c r="D143" s="17">
        <f t="shared" si="147"/>
        <v>137</v>
      </c>
      <c r="E143" s="17">
        <f t="shared" ca="1" si="108"/>
        <v>71</v>
      </c>
      <c r="F143" s="12">
        <f t="shared" si="103"/>
        <v>4</v>
      </c>
      <c r="G143" s="12">
        <f t="shared" si="148"/>
        <v>23</v>
      </c>
      <c r="H143" s="17">
        <f t="shared" si="104"/>
        <v>12</v>
      </c>
      <c r="I143" s="29">
        <f t="shared" si="109"/>
        <v>0</v>
      </c>
      <c r="J143" s="211">
        <f>IFERROR(VLOOKUP(H143,Charges!$T$6:$U$35,2,0)*C143,0)</f>
        <v>1</v>
      </c>
      <c r="K143" s="29">
        <f t="shared" si="110"/>
        <v>0</v>
      </c>
      <c r="L143" s="29">
        <f t="shared" si="111"/>
        <v>0</v>
      </c>
      <c r="M143" s="147">
        <f t="shared" ca="1" si="112"/>
        <v>0</v>
      </c>
      <c r="N143" s="148">
        <f ca="1">IF(AND(Option_SPW="Y",H143&gt;=Lock_In_Period,Z142&gt;SPW_Amount_pa+IF(option="Single",1/5*pr,2*pr),H143&gt;=SPW_Start_Year,H143&lt;=SPW_Start_Year+SPW_Duration-1,age+H143&gt;=Legal_Age),IF(AND(F143=0,SPW_Payout_Freq=1),SPW_Amount_pa,IF(AND(SPW_Payout_Freq=2,MOD(F143,6)=0),SPW_Amount_pa/SPW_Payout_Freq,IF(AND(SPW_Payout_Freq=4,MOD(F143,3)=0),SPW_Amount_pa/SPW_Payout_Freq,IF(SPW_Payout_Freq=12,SPW_Amount_pa/SPW_Payout_Freq,0)))),0)+IFERROR(VLOOKUP(H143,Input!$B$68:$C$74,2,0),0)*(F143=0)*(Option_PW="Y")*(Option_SPW="N")*(age+H143&gt;=Legal_Age)</f>
        <v>0</v>
      </c>
      <c r="O143" s="148">
        <f t="shared" ca="1" si="113"/>
        <v>0</v>
      </c>
      <c r="P143" s="14">
        <f ca="1">(MAX(MAX(sa-CF142*Flag_UL_Type,105%*SUM($I$7:I143))-(AD142+L143-N143)*Flag_UL_Type,0)*B143)</f>
        <v>0</v>
      </c>
      <c r="Q143" s="213">
        <f t="shared" ca="1" si="114"/>
        <v>0</v>
      </c>
      <c r="R143" s="14">
        <f t="shared" ca="1" si="115"/>
        <v>0</v>
      </c>
      <c r="S143" s="14">
        <f t="shared" ca="1" si="116"/>
        <v>0</v>
      </c>
      <c r="T143" s="14">
        <f>IFERROR(IF(WoP_Flag="Y",IF(fq=1,VLOOKUP(ppt*fq-H143,Charges!$AN$41:$AO$59,2,FALSE),IF(fq=2,VLOOKUP(ppt*fq-G143,Charges!$AP$41:$AQ$79,2,FALSE),VLOOKUP(ppt*fq-D143,Charges!$AR$41:$AS$279,2,FALSE)))*pr/fq,0),0)</f>
        <v>0</v>
      </c>
      <c r="U143" s="14">
        <f t="shared" ca="1" si="117"/>
        <v>0</v>
      </c>
      <c r="V143" s="34">
        <f>ROUND(MIN(IF(H143&gt;=7,Charges!$C$12*(1+Charges!$C$14)^((H143-7+1)),VLOOKUP(H143,Charges!$B$7:$C$12,2,0))*pr,Charges!$C$13)*B143,Round)</f>
        <v>500</v>
      </c>
      <c r="W143" s="14">
        <f t="shared" ca="1" si="118"/>
        <v>4631062.3330871379</v>
      </c>
      <c r="X143" s="14">
        <f t="shared" ca="1" si="119"/>
        <v>4660858.7275795229</v>
      </c>
      <c r="Y143" s="213">
        <f t="shared" ca="1" si="143"/>
        <v>5246.319616031119</v>
      </c>
      <c r="Z143" s="14">
        <f t="shared" ca="1" si="120"/>
        <v>4654668.0704326062</v>
      </c>
      <c r="AA143" s="14">
        <f>IF(AND($H143=pt,$F143=11),SUM($K$7:K143)*VLOOKUP(pt,ROC,2,FALSE),0)</f>
        <v>0</v>
      </c>
      <c r="AB143" s="14">
        <f>IF(AND($H143=pt,$F143=11),SUM($V$7:V143)*VLOOKUP(pt,ROC,2,FALSE),0)</f>
        <v>0</v>
      </c>
      <c r="AC143" s="14">
        <f>IF(AND($H143=pt,$F143=11),SUM($Q$7:Q143)*VLOOKUP(pt,ROC,2,FALSE),0)</f>
        <v>0</v>
      </c>
      <c r="AD143" s="14">
        <f t="shared" ca="1" si="121"/>
        <v>4654668.0704326062</v>
      </c>
      <c r="AE143" s="14">
        <f ca="1">(MAX(sa-CF142*Flag_UL_Type,105%*SUM($I$7:I143),Z143)+AU143)*B143</f>
        <v>4654668.0704326062</v>
      </c>
      <c r="AF143" s="136"/>
      <c r="AG143" s="18">
        <v>137</v>
      </c>
      <c r="AH143" s="30">
        <f t="shared" ca="1" si="122"/>
        <v>0</v>
      </c>
      <c r="AI143" s="58"/>
      <c r="AJ143" s="50">
        <f>IF(AND(Option_Sys_TopUp&gt;="Y",H143&gt;=sytp,H143&lt;=(dtp+sytp-1),F143=0,H143&lt;=ppt+1),atp,0)+IFERROR(VLOOKUP(H143,Input!$B$55:$C$61,2,0),0)*(F143=0)*(Option_TopUP="Y")*(Option_Sys_TopUp="N")*B143*(pt&gt;=H143+5)</f>
        <v>0</v>
      </c>
      <c r="AK143" s="50">
        <f t="shared" si="123"/>
        <v>0</v>
      </c>
      <c r="AL143" s="50">
        <f t="shared" si="144"/>
        <v>0</v>
      </c>
      <c r="AM143" s="50">
        <f t="shared" ca="1" si="145"/>
        <v>0</v>
      </c>
      <c r="AN143" s="50">
        <f ca="1">IF(B143=0,0,AT143*(_rpm1+(1+_emr1)*VLOOKUP(E143,Tab_Mort_Charge,IF(Input!$C$12="M",2,3),0))*(0.001*0.0833)*Flag_Mort_Rider_Charge*(AT143&gt;0))</f>
        <v>0</v>
      </c>
      <c r="AO143" s="50">
        <f t="shared" ca="1" si="124"/>
        <v>0</v>
      </c>
      <c r="AP143" s="50">
        <f t="shared" ca="1" si="105"/>
        <v>0</v>
      </c>
      <c r="AQ143" s="50">
        <f t="shared" ca="1" si="125"/>
        <v>0</v>
      </c>
      <c r="AR143" s="50">
        <f t="shared" ca="1" si="126"/>
        <v>0</v>
      </c>
      <c r="AS143" s="50">
        <f t="shared" si="127"/>
        <v>0</v>
      </c>
      <c r="AT143" s="50">
        <f ca="1">(MAX((MAX(AS143,105%*SUM($AJ$7:AJ143))-AM143*Flag_UL_Type),0)*B143)</f>
        <v>0</v>
      </c>
      <c r="AU143" s="50">
        <f ca="1">(MAX(AS143,AR143,105%*SUM($AJ$7:AJ143))*B143)</f>
        <v>0</v>
      </c>
      <c r="AV143" s="125"/>
      <c r="AW143" s="13"/>
      <c r="AX143" s="13"/>
      <c r="AY143" s="13"/>
      <c r="AZ143" s="13"/>
      <c r="BA143" s="13"/>
      <c r="BG143" s="51">
        <f t="shared" si="128"/>
        <v>0</v>
      </c>
      <c r="BH143" s="51">
        <f t="shared" ca="1" si="129"/>
        <v>0</v>
      </c>
      <c r="BI143" s="51">
        <f t="shared" ca="1" si="130"/>
        <v>0</v>
      </c>
      <c r="BJ143" s="51">
        <f t="shared" ca="1" si="131"/>
        <v>0</v>
      </c>
      <c r="BK143" s="51">
        <f t="shared" si="132"/>
        <v>90</v>
      </c>
      <c r="BL143" s="51">
        <f t="shared" ca="1" si="133"/>
        <v>944.33753088560138</v>
      </c>
      <c r="BM143" s="51">
        <f t="shared" si="134"/>
        <v>0</v>
      </c>
      <c r="BN143" s="51">
        <f t="shared" ca="1" si="135"/>
        <v>0</v>
      </c>
      <c r="BO143" s="51">
        <f t="shared" ca="1" si="136"/>
        <v>0</v>
      </c>
      <c r="BP143" s="51">
        <f t="shared" ca="1" si="137"/>
        <v>1034.3375308856014</v>
      </c>
      <c r="BQ143" s="120"/>
      <c r="BR143" s="32"/>
      <c r="BS143" s="126"/>
      <c r="BT143" s="16"/>
      <c r="BU143" s="58"/>
      <c r="BW143" s="51">
        <f>IF(Input!$C$13="Offline",VLOOKUP(H143,Charges!$AT$4:$AU$33,2,FALSE)*I143,0)</f>
        <v>0</v>
      </c>
      <c r="BX143" s="51">
        <f t="shared" si="138"/>
        <v>0</v>
      </c>
      <c r="BY143" s="51">
        <f t="shared" si="146"/>
        <v>0</v>
      </c>
      <c r="BZ143" s="151"/>
      <c r="CA143" s="151"/>
      <c r="CB143" s="32"/>
      <c r="CC143" s="16">
        <f ca="1">SUM($N$7:$N143)</f>
        <v>0</v>
      </c>
      <c r="CD143" s="16">
        <f t="shared" ca="1" si="139"/>
        <v>0</v>
      </c>
      <c r="CE143" s="16">
        <f t="shared" ca="1" si="140"/>
        <v>0</v>
      </c>
      <c r="CF143" s="7">
        <f t="shared" ca="1" si="141"/>
        <v>0</v>
      </c>
      <c r="CH143" s="7">
        <f t="shared" ca="1" si="142"/>
        <v>0</v>
      </c>
    </row>
    <row r="144" spans="2:86" s="7" customFormat="1" x14ac:dyDescent="0.2">
      <c r="B144" s="14">
        <f t="shared" si="106"/>
        <v>1</v>
      </c>
      <c r="C144" s="12">
        <f t="shared" si="107"/>
        <v>1</v>
      </c>
      <c r="D144" s="17">
        <f t="shared" si="147"/>
        <v>138</v>
      </c>
      <c r="E144" s="17">
        <f t="shared" ca="1" si="108"/>
        <v>71</v>
      </c>
      <c r="F144" s="12">
        <f t="shared" si="103"/>
        <v>5</v>
      </c>
      <c r="G144" s="12">
        <f t="shared" si="148"/>
        <v>23</v>
      </c>
      <c r="H144" s="17">
        <f t="shared" si="104"/>
        <v>12</v>
      </c>
      <c r="I144" s="29">
        <f t="shared" si="109"/>
        <v>0</v>
      </c>
      <c r="J144" s="211">
        <f>IFERROR(VLOOKUP(H144,Charges!$T$6:$U$35,2,0)*C144,0)</f>
        <v>1</v>
      </c>
      <c r="K144" s="29">
        <f t="shared" si="110"/>
        <v>0</v>
      </c>
      <c r="L144" s="29">
        <f t="shared" si="111"/>
        <v>0</v>
      </c>
      <c r="M144" s="147">
        <f t="shared" ca="1" si="112"/>
        <v>0</v>
      </c>
      <c r="N144" s="148">
        <f ca="1">IF(AND(Option_SPW="Y",H144&gt;=Lock_In_Period,Z143&gt;SPW_Amount_pa+IF(option="Single",1/5*pr,2*pr),H144&gt;=SPW_Start_Year,H144&lt;=SPW_Start_Year+SPW_Duration-1,age+H144&gt;=Legal_Age),IF(AND(F144=0,SPW_Payout_Freq=1),SPW_Amount_pa,IF(AND(SPW_Payout_Freq=2,MOD(F144,6)=0),SPW_Amount_pa/SPW_Payout_Freq,IF(AND(SPW_Payout_Freq=4,MOD(F144,3)=0),SPW_Amount_pa/SPW_Payout_Freq,IF(SPW_Payout_Freq=12,SPW_Amount_pa/SPW_Payout_Freq,0)))),0)+IFERROR(VLOOKUP(H144,Input!$B$68:$C$74,2,0),0)*(F144=0)*(Option_PW="Y")*(Option_SPW="N")*(age+H144&gt;=Legal_Age)</f>
        <v>0</v>
      </c>
      <c r="O144" s="148">
        <f t="shared" ca="1" si="113"/>
        <v>0</v>
      </c>
      <c r="P144" s="14">
        <f ca="1">(MAX(MAX(sa-CF143*Flag_UL_Type,105%*SUM($I$7:I144))-(AD143+L144-N144)*Flag_UL_Type,0)*B144)</f>
        <v>0</v>
      </c>
      <c r="Q144" s="213">
        <f t="shared" ca="1" si="114"/>
        <v>0</v>
      </c>
      <c r="R144" s="14">
        <f t="shared" ca="1" si="115"/>
        <v>0</v>
      </c>
      <c r="S144" s="14">
        <f t="shared" ca="1" si="116"/>
        <v>0</v>
      </c>
      <c r="T144" s="14">
        <f>IFERROR(IF(WoP_Flag="Y",IF(fq=1,VLOOKUP(ppt*fq-H144,Charges!$AN$41:$AO$59,2,FALSE),IF(fq=2,VLOOKUP(ppt*fq-G144,Charges!$AP$41:$AQ$79,2,FALSE),VLOOKUP(ppt*fq-D144,Charges!$AR$41:$AS$279,2,FALSE)))*pr/fq,0),0)</f>
        <v>0</v>
      </c>
      <c r="U144" s="14">
        <f t="shared" ca="1" si="117"/>
        <v>0</v>
      </c>
      <c r="V144" s="34">
        <f>ROUND(MIN(IF(H144&gt;=7,Charges!$C$12*(1+Charges!$C$14)^((H144-7+1)),VLOOKUP(H144,Charges!$B$7:$C$12,2,0))*pr,Charges!$C$13)*B144,Round)</f>
        <v>500</v>
      </c>
      <c r="W144" s="14">
        <f t="shared" ca="1" si="118"/>
        <v>4654078.0704326062</v>
      </c>
      <c r="X144" s="14">
        <f t="shared" ca="1" si="119"/>
        <v>4684022.548872076</v>
      </c>
      <c r="Y144" s="213">
        <f t="shared" ca="1" si="143"/>
        <v>5272.3930967204751</v>
      </c>
      <c r="Z144" s="14">
        <f t="shared" ca="1" si="120"/>
        <v>4677801.1250179457</v>
      </c>
      <c r="AA144" s="14">
        <f>IF(AND($H144=pt,$F144=11),SUM($K$7:K144)*VLOOKUP(pt,ROC,2,FALSE),0)</f>
        <v>0</v>
      </c>
      <c r="AB144" s="14">
        <f>IF(AND($H144=pt,$F144=11),SUM($V$7:V144)*VLOOKUP(pt,ROC,2,FALSE),0)</f>
        <v>0</v>
      </c>
      <c r="AC144" s="14">
        <f>IF(AND($H144=pt,$F144=11),SUM($Q$7:Q144)*VLOOKUP(pt,ROC,2,FALSE),0)</f>
        <v>0</v>
      </c>
      <c r="AD144" s="14">
        <f t="shared" ca="1" si="121"/>
        <v>4677801.1250179457</v>
      </c>
      <c r="AE144" s="14">
        <f ca="1">(MAX(sa-CF143*Flag_UL_Type,105%*SUM($I$7:I144),Z144)+AU144)*B144</f>
        <v>4677801.1250179457</v>
      </c>
      <c r="AF144" s="136"/>
      <c r="AG144" s="18">
        <v>138</v>
      </c>
      <c r="AH144" s="30">
        <f t="shared" ca="1" si="122"/>
        <v>0</v>
      </c>
      <c r="AI144" s="58"/>
      <c r="AJ144" s="50">
        <f>IF(AND(Option_Sys_TopUp&gt;="Y",H144&gt;=sytp,H144&lt;=(dtp+sytp-1),F144=0,H144&lt;=ppt+1),atp,0)+IFERROR(VLOOKUP(H144,Input!$B$55:$C$61,2,0),0)*(F144=0)*(Option_TopUP="Y")*(Option_Sys_TopUp="N")*B144*(pt&gt;=H144+5)</f>
        <v>0</v>
      </c>
      <c r="AK144" s="50">
        <f t="shared" si="123"/>
        <v>0</v>
      </c>
      <c r="AL144" s="50">
        <f t="shared" si="144"/>
        <v>0</v>
      </c>
      <c r="AM144" s="50">
        <f t="shared" ca="1" si="145"/>
        <v>0</v>
      </c>
      <c r="AN144" s="50">
        <f ca="1">IF(B144=0,0,AT144*(_rpm1+(1+_emr1)*VLOOKUP(E144,Tab_Mort_Charge,IF(Input!$C$12="M",2,3),0))*(0.001*0.0833)*Flag_Mort_Rider_Charge*(AT144&gt;0))</f>
        <v>0</v>
      </c>
      <c r="AO144" s="50">
        <f t="shared" ca="1" si="124"/>
        <v>0</v>
      </c>
      <c r="AP144" s="50">
        <f t="shared" ca="1" si="105"/>
        <v>0</v>
      </c>
      <c r="AQ144" s="50">
        <f t="shared" ca="1" si="125"/>
        <v>0</v>
      </c>
      <c r="AR144" s="50">
        <f t="shared" ca="1" si="126"/>
        <v>0</v>
      </c>
      <c r="AS144" s="50">
        <f t="shared" si="127"/>
        <v>0</v>
      </c>
      <c r="AT144" s="50">
        <f ca="1">(MAX((MAX(AS144,105%*SUM($AJ$7:AJ144))-AM144*Flag_UL_Type),0)*B144)</f>
        <v>0</v>
      </c>
      <c r="AU144" s="50">
        <f ca="1">(MAX(AS144,AR144,105%*SUM($AJ$7:AJ144))*B144)</f>
        <v>0</v>
      </c>
      <c r="AV144" s="125"/>
      <c r="AW144" s="13"/>
      <c r="AX144" s="13"/>
      <c r="AY144" s="13"/>
      <c r="AZ144" s="13"/>
      <c r="BA144" s="13"/>
      <c r="BG144" s="51">
        <f t="shared" si="128"/>
        <v>0</v>
      </c>
      <c r="BH144" s="51">
        <f t="shared" ca="1" si="129"/>
        <v>0</v>
      </c>
      <c r="BI144" s="51">
        <f t="shared" ca="1" si="130"/>
        <v>0</v>
      </c>
      <c r="BJ144" s="51">
        <f t="shared" ca="1" si="131"/>
        <v>0</v>
      </c>
      <c r="BK144" s="51">
        <f t="shared" si="132"/>
        <v>90</v>
      </c>
      <c r="BL144" s="51">
        <f t="shared" ca="1" si="133"/>
        <v>949.03075740968552</v>
      </c>
      <c r="BM144" s="51">
        <f t="shared" si="134"/>
        <v>0</v>
      </c>
      <c r="BN144" s="51">
        <f t="shared" ca="1" si="135"/>
        <v>0</v>
      </c>
      <c r="BO144" s="51">
        <f t="shared" ca="1" si="136"/>
        <v>0</v>
      </c>
      <c r="BP144" s="51">
        <f t="shared" ca="1" si="137"/>
        <v>1039.0307574096855</v>
      </c>
      <c r="BQ144" s="120"/>
      <c r="BR144" s="32"/>
      <c r="BS144" s="126"/>
      <c r="BT144" s="16"/>
      <c r="BU144" s="58"/>
      <c r="BW144" s="51">
        <f>IF(Input!$C$13="Offline",VLOOKUP(H144,Charges!$AT$4:$AU$33,2,FALSE)*I144,0)</f>
        <v>0</v>
      </c>
      <c r="BX144" s="51">
        <f t="shared" si="138"/>
        <v>0</v>
      </c>
      <c r="BY144" s="51">
        <f t="shared" si="146"/>
        <v>0</v>
      </c>
      <c r="BZ144" s="151"/>
      <c r="CA144" s="151"/>
      <c r="CB144" s="32"/>
      <c r="CC144" s="16">
        <f ca="1">SUM($N$7:$N144)</f>
        <v>0</v>
      </c>
      <c r="CD144" s="16">
        <f t="shared" ca="1" si="139"/>
        <v>0</v>
      </c>
      <c r="CE144" s="16">
        <f t="shared" ca="1" si="140"/>
        <v>0</v>
      </c>
      <c r="CF144" s="7">
        <f t="shared" ca="1" si="141"/>
        <v>0</v>
      </c>
      <c r="CH144" s="7">
        <f t="shared" ca="1" si="142"/>
        <v>0</v>
      </c>
    </row>
    <row r="145" spans="2:86" s="7" customFormat="1" x14ac:dyDescent="0.2">
      <c r="B145" s="14">
        <f t="shared" si="106"/>
        <v>1</v>
      </c>
      <c r="C145" s="12">
        <f t="shared" si="107"/>
        <v>1</v>
      </c>
      <c r="D145" s="17">
        <f t="shared" si="147"/>
        <v>139</v>
      </c>
      <c r="E145" s="17">
        <f t="shared" ca="1" si="108"/>
        <v>71</v>
      </c>
      <c r="F145" s="12">
        <f t="shared" si="103"/>
        <v>6</v>
      </c>
      <c r="G145" s="12">
        <f t="shared" si="148"/>
        <v>24</v>
      </c>
      <c r="H145" s="17">
        <f t="shared" si="104"/>
        <v>12</v>
      </c>
      <c r="I145" s="29">
        <f t="shared" si="109"/>
        <v>0</v>
      </c>
      <c r="J145" s="211">
        <f>IFERROR(VLOOKUP(H145,Charges!$T$6:$U$35,2,0)*C145,0)</f>
        <v>1</v>
      </c>
      <c r="K145" s="29">
        <f t="shared" si="110"/>
        <v>0</v>
      </c>
      <c r="L145" s="29">
        <f t="shared" si="111"/>
        <v>0</v>
      </c>
      <c r="M145" s="147">
        <f t="shared" ca="1" si="112"/>
        <v>0</v>
      </c>
      <c r="N145" s="148">
        <f ca="1">IF(AND(Option_SPW="Y",H145&gt;=Lock_In_Period,Z144&gt;SPW_Amount_pa+IF(option="Single",1/5*pr,2*pr),H145&gt;=SPW_Start_Year,H145&lt;=SPW_Start_Year+SPW_Duration-1,age+H145&gt;=Legal_Age),IF(AND(F145=0,SPW_Payout_Freq=1),SPW_Amount_pa,IF(AND(SPW_Payout_Freq=2,MOD(F145,6)=0),SPW_Amount_pa/SPW_Payout_Freq,IF(AND(SPW_Payout_Freq=4,MOD(F145,3)=0),SPW_Amount_pa/SPW_Payout_Freq,IF(SPW_Payout_Freq=12,SPW_Amount_pa/SPW_Payout_Freq,0)))),0)+IFERROR(VLOOKUP(H145,Input!$B$68:$C$74,2,0),0)*(F145=0)*(Option_PW="Y")*(Option_SPW="N")*(age+H145&gt;=Legal_Age)</f>
        <v>0</v>
      </c>
      <c r="O145" s="148">
        <f t="shared" ca="1" si="113"/>
        <v>0</v>
      </c>
      <c r="P145" s="14">
        <f ca="1">(MAX(MAX(sa-CF144*Flag_UL_Type,105%*SUM($I$7:I145))-(AD144+L145-N145)*Flag_UL_Type,0)*B145)</f>
        <v>0</v>
      </c>
      <c r="Q145" s="213">
        <f t="shared" ca="1" si="114"/>
        <v>0</v>
      </c>
      <c r="R145" s="14">
        <f t="shared" ca="1" si="115"/>
        <v>0</v>
      </c>
      <c r="S145" s="14">
        <f t="shared" ca="1" si="116"/>
        <v>0</v>
      </c>
      <c r="T145" s="14">
        <f>IFERROR(IF(WoP_Flag="Y",IF(fq=1,VLOOKUP(ppt*fq-H145,Charges!$AN$41:$AO$59,2,FALSE),IF(fq=2,VLOOKUP(ppt*fq-G145,Charges!$AP$41:$AQ$79,2,FALSE),VLOOKUP(ppt*fq-D145,Charges!$AR$41:$AS$279,2,FALSE)))*pr/fq,0),0)</f>
        <v>0</v>
      </c>
      <c r="U145" s="14">
        <f t="shared" ca="1" si="117"/>
        <v>0</v>
      </c>
      <c r="V145" s="34">
        <f>ROUND(MIN(IF(H145&gt;=7,Charges!$C$12*(1+Charges!$C$14)^((H145-7+1)),VLOOKUP(H145,Charges!$B$7:$C$12,2,0))*pr,Charges!$C$13)*B145,Round)</f>
        <v>500</v>
      </c>
      <c r="W145" s="14">
        <f t="shared" ca="1" si="118"/>
        <v>4677211.1250179457</v>
      </c>
      <c r="X145" s="14">
        <f t="shared" ca="1" si="119"/>
        <v>4707304.442227154</v>
      </c>
      <c r="Y145" s="213">
        <f t="shared" ca="1" si="143"/>
        <v>5298.5994807681891</v>
      </c>
      <c r="Z145" s="14">
        <f t="shared" ca="1" si="120"/>
        <v>4701052.0948398476</v>
      </c>
      <c r="AA145" s="14">
        <f>IF(AND($H145=pt,$F145=11),SUM($K$7:K145)*VLOOKUP(pt,ROC,2,FALSE),0)</f>
        <v>0</v>
      </c>
      <c r="AB145" s="14">
        <f>IF(AND($H145=pt,$F145=11),SUM($V$7:V145)*VLOOKUP(pt,ROC,2,FALSE),0)</f>
        <v>0</v>
      </c>
      <c r="AC145" s="14">
        <f>IF(AND($H145=pt,$F145=11),SUM($Q$7:Q145)*VLOOKUP(pt,ROC,2,FALSE),0)</f>
        <v>0</v>
      </c>
      <c r="AD145" s="14">
        <f t="shared" ca="1" si="121"/>
        <v>4701052.0948398476</v>
      </c>
      <c r="AE145" s="14">
        <f ca="1">(MAX(sa-CF144*Flag_UL_Type,105%*SUM($I$7:I145),Z145)+AU145)*B145</f>
        <v>4701052.0948398476</v>
      </c>
      <c r="AF145" s="136"/>
      <c r="AG145" s="18">
        <v>139</v>
      </c>
      <c r="AH145" s="30">
        <f t="shared" ca="1" si="122"/>
        <v>0</v>
      </c>
      <c r="AI145" s="58"/>
      <c r="AJ145" s="50">
        <f>IF(AND(Option_Sys_TopUp&gt;="Y",H145&gt;=sytp,H145&lt;=(dtp+sytp-1),F145=0,H145&lt;=ppt+1),atp,0)+IFERROR(VLOOKUP(H145,Input!$B$55:$C$61,2,0),0)*(F145=0)*(Option_TopUP="Y")*(Option_Sys_TopUp="N")*B145*(pt&gt;=H145+5)</f>
        <v>0</v>
      </c>
      <c r="AK145" s="50">
        <f t="shared" si="123"/>
        <v>0</v>
      </c>
      <c r="AL145" s="50">
        <f t="shared" si="144"/>
        <v>0</v>
      </c>
      <c r="AM145" s="50">
        <f t="shared" ca="1" si="145"/>
        <v>0</v>
      </c>
      <c r="AN145" s="50">
        <f ca="1">IF(B145=0,0,AT145*(_rpm1+(1+_emr1)*VLOOKUP(E145,Tab_Mort_Charge,IF(Input!$C$12="M",2,3),0))*(0.001*0.0833)*Flag_Mort_Rider_Charge*(AT145&gt;0))</f>
        <v>0</v>
      </c>
      <c r="AO145" s="50">
        <f t="shared" ca="1" si="124"/>
        <v>0</v>
      </c>
      <c r="AP145" s="50">
        <f t="shared" ca="1" si="105"/>
        <v>0</v>
      </c>
      <c r="AQ145" s="50">
        <f t="shared" ca="1" si="125"/>
        <v>0</v>
      </c>
      <c r="AR145" s="50">
        <f t="shared" ca="1" si="126"/>
        <v>0</v>
      </c>
      <c r="AS145" s="50">
        <f t="shared" si="127"/>
        <v>0</v>
      </c>
      <c r="AT145" s="50">
        <f ca="1">(MAX((MAX(AS145,105%*SUM($AJ$7:AJ145))-AM145*Flag_UL_Type),0)*B145)</f>
        <v>0</v>
      </c>
      <c r="AU145" s="50">
        <f ca="1">(MAX(AS145,AR145,105%*SUM($AJ$7:AJ145))*B145)</f>
        <v>0</v>
      </c>
      <c r="AV145" s="125"/>
      <c r="AW145" s="13"/>
      <c r="AX145" s="13"/>
      <c r="AY145" s="13"/>
      <c r="AZ145" s="13"/>
      <c r="BA145" s="13"/>
      <c r="BG145" s="51">
        <f t="shared" si="128"/>
        <v>0</v>
      </c>
      <c r="BH145" s="51">
        <f t="shared" ca="1" si="129"/>
        <v>0</v>
      </c>
      <c r="BI145" s="51">
        <f t="shared" ca="1" si="130"/>
        <v>0</v>
      </c>
      <c r="BJ145" s="51">
        <f t="shared" ca="1" si="131"/>
        <v>0</v>
      </c>
      <c r="BK145" s="51">
        <f t="shared" si="132"/>
        <v>90</v>
      </c>
      <c r="BL145" s="51">
        <f t="shared" ca="1" si="133"/>
        <v>953.74790653827404</v>
      </c>
      <c r="BM145" s="51">
        <f t="shared" si="134"/>
        <v>0</v>
      </c>
      <c r="BN145" s="51">
        <f t="shared" ca="1" si="135"/>
        <v>0</v>
      </c>
      <c r="BO145" s="51">
        <f t="shared" ca="1" si="136"/>
        <v>0</v>
      </c>
      <c r="BP145" s="51">
        <f t="shared" ca="1" si="137"/>
        <v>1043.747906538274</v>
      </c>
      <c r="BQ145" s="120"/>
      <c r="BR145" s="32"/>
      <c r="BS145" s="126"/>
      <c r="BT145" s="16"/>
      <c r="BU145" s="58"/>
      <c r="BW145" s="51">
        <f>IF(Input!$C$13="Offline",VLOOKUP(H145,Charges!$AT$4:$AU$33,2,FALSE)*I145,0)</f>
        <v>0</v>
      </c>
      <c r="BX145" s="51">
        <f t="shared" si="138"/>
        <v>0</v>
      </c>
      <c r="BY145" s="51">
        <f t="shared" si="146"/>
        <v>0</v>
      </c>
      <c r="BZ145" s="151"/>
      <c r="CA145" s="151"/>
      <c r="CB145" s="32"/>
      <c r="CC145" s="16">
        <f ca="1">SUM($N$7:$N145)</f>
        <v>0</v>
      </c>
      <c r="CD145" s="16">
        <f t="shared" ca="1" si="139"/>
        <v>0</v>
      </c>
      <c r="CE145" s="16">
        <f t="shared" ca="1" si="140"/>
        <v>0</v>
      </c>
      <c r="CF145" s="7">
        <f t="shared" ca="1" si="141"/>
        <v>0</v>
      </c>
      <c r="CH145" s="7">
        <f t="shared" ca="1" si="142"/>
        <v>0</v>
      </c>
    </row>
    <row r="146" spans="2:86" s="7" customFormat="1" x14ac:dyDescent="0.2">
      <c r="B146" s="14">
        <f t="shared" si="106"/>
        <v>1</v>
      </c>
      <c r="C146" s="12">
        <f t="shared" si="107"/>
        <v>1</v>
      </c>
      <c r="D146" s="17">
        <f t="shared" si="147"/>
        <v>140</v>
      </c>
      <c r="E146" s="17">
        <f t="shared" ca="1" si="108"/>
        <v>71</v>
      </c>
      <c r="F146" s="12">
        <f t="shared" si="103"/>
        <v>7</v>
      </c>
      <c r="G146" s="12">
        <f t="shared" si="148"/>
        <v>24</v>
      </c>
      <c r="H146" s="17">
        <f t="shared" si="104"/>
        <v>12</v>
      </c>
      <c r="I146" s="29">
        <f t="shared" si="109"/>
        <v>0</v>
      </c>
      <c r="J146" s="211">
        <f>IFERROR(VLOOKUP(H146,Charges!$T$6:$U$35,2,0)*C146,0)</f>
        <v>1</v>
      </c>
      <c r="K146" s="29">
        <f t="shared" si="110"/>
        <v>0</v>
      </c>
      <c r="L146" s="29">
        <f t="shared" si="111"/>
        <v>0</v>
      </c>
      <c r="M146" s="147">
        <f t="shared" ca="1" si="112"/>
        <v>0</v>
      </c>
      <c r="N146" s="148">
        <f ca="1">IF(AND(Option_SPW="Y",H146&gt;=Lock_In_Period,Z145&gt;SPW_Amount_pa+IF(option="Single",1/5*pr,2*pr),H146&gt;=SPW_Start_Year,H146&lt;=SPW_Start_Year+SPW_Duration-1,age+H146&gt;=Legal_Age),IF(AND(F146=0,SPW_Payout_Freq=1),SPW_Amount_pa,IF(AND(SPW_Payout_Freq=2,MOD(F146,6)=0),SPW_Amount_pa/SPW_Payout_Freq,IF(AND(SPW_Payout_Freq=4,MOD(F146,3)=0),SPW_Amount_pa/SPW_Payout_Freq,IF(SPW_Payout_Freq=12,SPW_Amount_pa/SPW_Payout_Freq,0)))),0)+IFERROR(VLOOKUP(H146,Input!$B$68:$C$74,2,0),0)*(F146=0)*(Option_PW="Y")*(Option_SPW="N")*(age+H146&gt;=Legal_Age)</f>
        <v>0</v>
      </c>
      <c r="O146" s="148">
        <f t="shared" ca="1" si="113"/>
        <v>0</v>
      </c>
      <c r="P146" s="14">
        <f ca="1">(MAX(MAX(sa-CF145*Flag_UL_Type,105%*SUM($I$7:I146))-(AD145+L146-N146)*Flag_UL_Type,0)*B146)</f>
        <v>0</v>
      </c>
      <c r="Q146" s="213">
        <f t="shared" ca="1" si="114"/>
        <v>0</v>
      </c>
      <c r="R146" s="14">
        <f t="shared" ca="1" si="115"/>
        <v>0</v>
      </c>
      <c r="S146" s="14">
        <f t="shared" ca="1" si="116"/>
        <v>0</v>
      </c>
      <c r="T146" s="14">
        <f>IFERROR(IF(WoP_Flag="Y",IF(fq=1,VLOOKUP(ppt*fq-H146,Charges!$AN$41:$AO$59,2,FALSE),IF(fq=2,VLOOKUP(ppt*fq-G146,Charges!$AP$41:$AQ$79,2,FALSE),VLOOKUP(ppt*fq-D146,Charges!$AR$41:$AS$279,2,FALSE)))*pr/fq,0),0)</f>
        <v>0</v>
      </c>
      <c r="U146" s="14">
        <f t="shared" ca="1" si="117"/>
        <v>0</v>
      </c>
      <c r="V146" s="34">
        <f>ROUND(MIN(IF(H146&gt;=7,Charges!$C$12*(1+Charges!$C$14)^((H146-7+1)),VLOOKUP(H146,Charges!$B$7:$C$12,2,0))*pr,Charges!$C$13)*B146,Round)</f>
        <v>500</v>
      </c>
      <c r="W146" s="14">
        <f t="shared" ca="1" si="118"/>
        <v>4700462.0948398476</v>
      </c>
      <c r="X146" s="14">
        <f t="shared" ca="1" si="119"/>
        <v>4730705.0094889766</v>
      </c>
      <c r="Y146" s="213">
        <f t="shared" ca="1" si="143"/>
        <v>5324.9394456174805</v>
      </c>
      <c r="Z146" s="14">
        <f t="shared" ca="1" si="120"/>
        <v>4724421.5809431477</v>
      </c>
      <c r="AA146" s="14">
        <f>IF(AND($H146=pt,$F146=11),SUM($K$7:K146)*VLOOKUP(pt,ROC,2,FALSE),0)</f>
        <v>0</v>
      </c>
      <c r="AB146" s="14">
        <f>IF(AND($H146=pt,$F146=11),SUM($V$7:V146)*VLOOKUP(pt,ROC,2,FALSE),0)</f>
        <v>0</v>
      </c>
      <c r="AC146" s="14">
        <f>IF(AND($H146=pt,$F146=11),SUM($Q$7:Q146)*VLOOKUP(pt,ROC,2,FALSE),0)</f>
        <v>0</v>
      </c>
      <c r="AD146" s="14">
        <f t="shared" ca="1" si="121"/>
        <v>4724421.5809431477</v>
      </c>
      <c r="AE146" s="14">
        <f ca="1">(MAX(sa-CF145*Flag_UL_Type,105%*SUM($I$7:I146),Z146)+AU146)*B146</f>
        <v>4724421.5809431477</v>
      </c>
      <c r="AF146" s="136"/>
      <c r="AG146" s="18">
        <v>140</v>
      </c>
      <c r="AH146" s="30">
        <f t="shared" ca="1" si="122"/>
        <v>0</v>
      </c>
      <c r="AI146" s="58"/>
      <c r="AJ146" s="50">
        <f>IF(AND(Option_Sys_TopUp&gt;="Y",H146&gt;=sytp,H146&lt;=(dtp+sytp-1),F146=0,H146&lt;=ppt+1),atp,0)+IFERROR(VLOOKUP(H146,Input!$B$55:$C$61,2,0),0)*(F146=0)*(Option_TopUP="Y")*(Option_Sys_TopUp="N")*B146*(pt&gt;=H146+5)</f>
        <v>0</v>
      </c>
      <c r="AK146" s="50">
        <f t="shared" si="123"/>
        <v>0</v>
      </c>
      <c r="AL146" s="50">
        <f t="shared" si="144"/>
        <v>0</v>
      </c>
      <c r="AM146" s="50">
        <f t="shared" ca="1" si="145"/>
        <v>0</v>
      </c>
      <c r="AN146" s="50">
        <f ca="1">IF(B146=0,0,AT146*(_rpm1+(1+_emr1)*VLOOKUP(E146,Tab_Mort_Charge,IF(Input!$C$12="M",2,3),0))*(0.001*0.0833)*Flag_Mort_Rider_Charge*(AT146&gt;0))</f>
        <v>0</v>
      </c>
      <c r="AO146" s="50">
        <f t="shared" ca="1" si="124"/>
        <v>0</v>
      </c>
      <c r="AP146" s="50">
        <f t="shared" ca="1" si="105"/>
        <v>0</v>
      </c>
      <c r="AQ146" s="50">
        <f t="shared" ca="1" si="125"/>
        <v>0</v>
      </c>
      <c r="AR146" s="50">
        <f t="shared" ca="1" si="126"/>
        <v>0</v>
      </c>
      <c r="AS146" s="50">
        <f t="shared" si="127"/>
        <v>0</v>
      </c>
      <c r="AT146" s="50">
        <f ca="1">(MAX((MAX(AS146,105%*SUM($AJ$7:AJ146))-AM146*Flag_UL_Type),0)*B146)</f>
        <v>0</v>
      </c>
      <c r="AU146" s="50">
        <f ca="1">(MAX(AS146,AR146,105%*SUM($AJ$7:AJ146))*B146)</f>
        <v>0</v>
      </c>
      <c r="AV146" s="125"/>
      <c r="AW146" s="13"/>
      <c r="AX146" s="13"/>
      <c r="AY146" s="13"/>
      <c r="AZ146" s="13"/>
      <c r="BA146" s="13"/>
      <c r="BG146" s="51">
        <f t="shared" si="128"/>
        <v>0</v>
      </c>
      <c r="BH146" s="51">
        <f t="shared" ca="1" si="129"/>
        <v>0</v>
      </c>
      <c r="BI146" s="51">
        <f t="shared" ca="1" si="130"/>
        <v>0</v>
      </c>
      <c r="BJ146" s="51">
        <f t="shared" ca="1" si="131"/>
        <v>0</v>
      </c>
      <c r="BK146" s="51">
        <f t="shared" si="132"/>
        <v>90</v>
      </c>
      <c r="BL146" s="51">
        <f t="shared" ca="1" si="133"/>
        <v>958.48910021114648</v>
      </c>
      <c r="BM146" s="51">
        <f t="shared" si="134"/>
        <v>0</v>
      </c>
      <c r="BN146" s="51">
        <f t="shared" ca="1" si="135"/>
        <v>0</v>
      </c>
      <c r="BO146" s="51">
        <f t="shared" ca="1" si="136"/>
        <v>0</v>
      </c>
      <c r="BP146" s="51">
        <f t="shared" ca="1" si="137"/>
        <v>1048.4891002111465</v>
      </c>
      <c r="BQ146" s="120"/>
      <c r="BR146" s="32"/>
      <c r="BS146" s="126"/>
      <c r="BT146" s="16"/>
      <c r="BU146" s="58"/>
      <c r="BW146" s="51">
        <f>IF(Input!$C$13="Offline",VLOOKUP(H146,Charges!$AT$4:$AU$33,2,FALSE)*I146,0)</f>
        <v>0</v>
      </c>
      <c r="BX146" s="51">
        <f t="shared" si="138"/>
        <v>0</v>
      </c>
      <c r="BY146" s="51">
        <f t="shared" si="146"/>
        <v>0</v>
      </c>
      <c r="BZ146" s="151"/>
      <c r="CA146" s="151"/>
      <c r="CB146" s="32"/>
      <c r="CC146" s="16">
        <f ca="1">SUM($N$7:$N146)</f>
        <v>0</v>
      </c>
      <c r="CD146" s="16">
        <f t="shared" ca="1" si="139"/>
        <v>0</v>
      </c>
      <c r="CE146" s="16">
        <f t="shared" ca="1" si="140"/>
        <v>0</v>
      </c>
      <c r="CF146" s="7">
        <f t="shared" ca="1" si="141"/>
        <v>0</v>
      </c>
      <c r="CH146" s="7">
        <f t="shared" ca="1" si="142"/>
        <v>0</v>
      </c>
    </row>
    <row r="147" spans="2:86" s="7" customFormat="1" x14ac:dyDescent="0.2">
      <c r="B147" s="14">
        <f t="shared" si="106"/>
        <v>1</v>
      </c>
      <c r="C147" s="12">
        <f t="shared" si="107"/>
        <v>1</v>
      </c>
      <c r="D147" s="17">
        <f t="shared" si="147"/>
        <v>141</v>
      </c>
      <c r="E147" s="17">
        <f t="shared" ca="1" si="108"/>
        <v>71</v>
      </c>
      <c r="F147" s="12">
        <f t="shared" si="103"/>
        <v>8</v>
      </c>
      <c r="G147" s="12">
        <f t="shared" si="148"/>
        <v>24</v>
      </c>
      <c r="H147" s="17">
        <f t="shared" si="104"/>
        <v>12</v>
      </c>
      <c r="I147" s="29">
        <f t="shared" si="109"/>
        <v>0</v>
      </c>
      <c r="J147" s="211">
        <f>IFERROR(VLOOKUP(H147,Charges!$T$6:$U$35,2,0)*C147,0)</f>
        <v>1</v>
      </c>
      <c r="K147" s="29">
        <f t="shared" si="110"/>
        <v>0</v>
      </c>
      <c r="L147" s="29">
        <f t="shared" si="111"/>
        <v>0</v>
      </c>
      <c r="M147" s="147">
        <f t="shared" ca="1" si="112"/>
        <v>0</v>
      </c>
      <c r="N147" s="148">
        <f ca="1">IF(AND(Option_SPW="Y",H147&gt;=Lock_In_Period,Z146&gt;SPW_Amount_pa+IF(option="Single",1/5*pr,2*pr),H147&gt;=SPW_Start_Year,H147&lt;=SPW_Start_Year+SPW_Duration-1,age+H147&gt;=Legal_Age),IF(AND(F147=0,SPW_Payout_Freq=1),SPW_Amount_pa,IF(AND(SPW_Payout_Freq=2,MOD(F147,6)=0),SPW_Amount_pa/SPW_Payout_Freq,IF(AND(SPW_Payout_Freq=4,MOD(F147,3)=0),SPW_Amount_pa/SPW_Payout_Freq,IF(SPW_Payout_Freq=12,SPW_Amount_pa/SPW_Payout_Freq,0)))),0)+IFERROR(VLOOKUP(H147,Input!$B$68:$C$74,2,0),0)*(F147=0)*(Option_PW="Y")*(Option_SPW="N")*(age+H147&gt;=Legal_Age)</f>
        <v>0</v>
      </c>
      <c r="O147" s="148">
        <f t="shared" ca="1" si="113"/>
        <v>0</v>
      </c>
      <c r="P147" s="14">
        <f ca="1">(MAX(MAX(sa-CF146*Flag_UL_Type,105%*SUM($I$7:I147))-(AD146+L147-N147)*Flag_UL_Type,0)*B147)</f>
        <v>0</v>
      </c>
      <c r="Q147" s="213">
        <f t="shared" ca="1" si="114"/>
        <v>0</v>
      </c>
      <c r="R147" s="14">
        <f t="shared" ca="1" si="115"/>
        <v>0</v>
      </c>
      <c r="S147" s="14">
        <f t="shared" ca="1" si="116"/>
        <v>0</v>
      </c>
      <c r="T147" s="14">
        <f>IFERROR(IF(WoP_Flag="Y",IF(fq=1,VLOOKUP(ppt*fq-H147,Charges!$AN$41:$AO$59,2,FALSE),IF(fq=2,VLOOKUP(ppt*fq-G147,Charges!$AP$41:$AQ$79,2,FALSE),VLOOKUP(ppt*fq-D147,Charges!$AR$41:$AS$279,2,FALSE)))*pr/fq,0),0)</f>
        <v>0</v>
      </c>
      <c r="U147" s="14">
        <f t="shared" ca="1" si="117"/>
        <v>0</v>
      </c>
      <c r="V147" s="34">
        <f>ROUND(MIN(IF(H147&gt;=7,Charges!$C$12*(1+Charges!$C$14)^((H147-7+1)),VLOOKUP(H147,Charges!$B$7:$C$12,2,0))*pr,Charges!$C$13)*B147,Round)</f>
        <v>500</v>
      </c>
      <c r="W147" s="14">
        <f t="shared" ca="1" si="118"/>
        <v>4723831.5809431477</v>
      </c>
      <c r="X147" s="14">
        <f t="shared" ca="1" si="119"/>
        <v>4754224.855569521</v>
      </c>
      <c r="Y147" s="213">
        <f t="shared" ca="1" si="143"/>
        <v>5351.413672164671</v>
      </c>
      <c r="Z147" s="14">
        <f t="shared" ca="1" si="120"/>
        <v>4747910.1874363665</v>
      </c>
      <c r="AA147" s="14">
        <f>IF(AND($H147=pt,$F147=11),SUM($K$7:K147)*VLOOKUP(pt,ROC,2,FALSE),0)</f>
        <v>0</v>
      </c>
      <c r="AB147" s="14">
        <f>IF(AND($H147=pt,$F147=11),SUM($V$7:V147)*VLOOKUP(pt,ROC,2,FALSE),0)</f>
        <v>0</v>
      </c>
      <c r="AC147" s="14">
        <f>IF(AND($H147=pt,$F147=11),SUM($Q$7:Q147)*VLOOKUP(pt,ROC,2,FALSE),0)</f>
        <v>0</v>
      </c>
      <c r="AD147" s="14">
        <f t="shared" ca="1" si="121"/>
        <v>4747910.1874363665</v>
      </c>
      <c r="AE147" s="14">
        <f ca="1">(MAX(sa-CF146*Flag_UL_Type,105%*SUM($I$7:I147),Z147)+AU147)*B147</f>
        <v>4747910.1874363665</v>
      </c>
      <c r="AF147" s="136"/>
      <c r="AG147" s="18">
        <v>141</v>
      </c>
      <c r="AH147" s="30">
        <f t="shared" ca="1" si="122"/>
        <v>0</v>
      </c>
      <c r="AI147" s="58"/>
      <c r="AJ147" s="50">
        <f>IF(AND(Option_Sys_TopUp&gt;="Y",H147&gt;=sytp,H147&lt;=(dtp+sytp-1),F147=0,H147&lt;=ppt+1),atp,0)+IFERROR(VLOOKUP(H147,Input!$B$55:$C$61,2,0),0)*(F147=0)*(Option_TopUP="Y")*(Option_Sys_TopUp="N")*B147*(pt&gt;=H147+5)</f>
        <v>0</v>
      </c>
      <c r="AK147" s="50">
        <f t="shared" si="123"/>
        <v>0</v>
      </c>
      <c r="AL147" s="50">
        <f t="shared" si="144"/>
        <v>0</v>
      </c>
      <c r="AM147" s="50">
        <f t="shared" ca="1" si="145"/>
        <v>0</v>
      </c>
      <c r="AN147" s="50">
        <f ca="1">IF(B147=0,0,AT147*(_rpm1+(1+_emr1)*VLOOKUP(E147,Tab_Mort_Charge,IF(Input!$C$12="M",2,3),0))*(0.001*0.0833)*Flag_Mort_Rider_Charge*(AT147&gt;0))</f>
        <v>0</v>
      </c>
      <c r="AO147" s="50">
        <f t="shared" ca="1" si="124"/>
        <v>0</v>
      </c>
      <c r="AP147" s="50">
        <f t="shared" ca="1" si="105"/>
        <v>0</v>
      </c>
      <c r="AQ147" s="50">
        <f t="shared" ca="1" si="125"/>
        <v>0</v>
      </c>
      <c r="AR147" s="50">
        <f t="shared" ca="1" si="126"/>
        <v>0</v>
      </c>
      <c r="AS147" s="50">
        <f t="shared" si="127"/>
        <v>0</v>
      </c>
      <c r="AT147" s="50">
        <f ca="1">(MAX((MAX(AS147,105%*SUM($AJ$7:AJ147))-AM147*Flag_UL_Type),0)*B147)</f>
        <v>0</v>
      </c>
      <c r="AU147" s="50">
        <f ca="1">(MAX(AS147,AR147,105%*SUM($AJ$7:AJ147))*B147)</f>
        <v>0</v>
      </c>
      <c r="AV147" s="125"/>
      <c r="AW147" s="13"/>
      <c r="AX147" s="13"/>
      <c r="AY147" s="13"/>
      <c r="AZ147" s="13"/>
      <c r="BA147" s="13"/>
      <c r="BG147" s="51">
        <f t="shared" si="128"/>
        <v>0</v>
      </c>
      <c r="BH147" s="51">
        <f t="shared" ca="1" si="129"/>
        <v>0</v>
      </c>
      <c r="BI147" s="51">
        <f t="shared" ca="1" si="130"/>
        <v>0</v>
      </c>
      <c r="BJ147" s="51">
        <f t="shared" ca="1" si="131"/>
        <v>0</v>
      </c>
      <c r="BK147" s="51">
        <f t="shared" si="132"/>
        <v>90</v>
      </c>
      <c r="BL147" s="51">
        <f t="shared" ca="1" si="133"/>
        <v>963.25446098964073</v>
      </c>
      <c r="BM147" s="51">
        <f t="shared" si="134"/>
        <v>0</v>
      </c>
      <c r="BN147" s="51">
        <f t="shared" ca="1" si="135"/>
        <v>0</v>
      </c>
      <c r="BO147" s="51">
        <f t="shared" ca="1" si="136"/>
        <v>0</v>
      </c>
      <c r="BP147" s="51">
        <f t="shared" ca="1" si="137"/>
        <v>1053.2544609896408</v>
      </c>
      <c r="BQ147" s="120"/>
      <c r="BR147" s="32"/>
      <c r="BS147" s="126"/>
      <c r="BT147" s="16"/>
      <c r="BU147" s="58"/>
      <c r="BW147" s="51">
        <f>IF(Input!$C$13="Offline",VLOOKUP(H147,Charges!$AT$4:$AU$33,2,FALSE)*I147,0)</f>
        <v>0</v>
      </c>
      <c r="BX147" s="51">
        <f t="shared" si="138"/>
        <v>0</v>
      </c>
      <c r="BY147" s="51">
        <f t="shared" si="146"/>
        <v>0</v>
      </c>
      <c r="BZ147" s="151"/>
      <c r="CA147" s="151"/>
      <c r="CB147" s="32"/>
      <c r="CC147" s="16">
        <f ca="1">SUM($N$7:$N147)</f>
        <v>0</v>
      </c>
      <c r="CD147" s="16">
        <f t="shared" ca="1" si="139"/>
        <v>0</v>
      </c>
      <c r="CE147" s="16">
        <f t="shared" ca="1" si="140"/>
        <v>0</v>
      </c>
      <c r="CF147" s="7">
        <f t="shared" ca="1" si="141"/>
        <v>0</v>
      </c>
      <c r="CH147" s="7">
        <f t="shared" ca="1" si="142"/>
        <v>0</v>
      </c>
    </row>
    <row r="148" spans="2:86" s="7" customFormat="1" x14ac:dyDescent="0.2">
      <c r="B148" s="14">
        <f t="shared" si="106"/>
        <v>1</v>
      </c>
      <c r="C148" s="12">
        <f t="shared" si="107"/>
        <v>1</v>
      </c>
      <c r="D148" s="17">
        <f t="shared" si="147"/>
        <v>142</v>
      </c>
      <c r="E148" s="17">
        <f t="shared" ca="1" si="108"/>
        <v>71</v>
      </c>
      <c r="F148" s="12">
        <f t="shared" ref="F148:F211" si="149">F136</f>
        <v>9</v>
      </c>
      <c r="G148" s="12">
        <f t="shared" si="148"/>
        <v>24</v>
      </c>
      <c r="H148" s="17">
        <f t="shared" ref="H148:H211" si="150">+H136+1</f>
        <v>12</v>
      </c>
      <c r="I148" s="29">
        <f t="shared" si="109"/>
        <v>0</v>
      </c>
      <c r="J148" s="211">
        <f>IFERROR(VLOOKUP(H148,Charges!$T$6:$U$35,2,0)*C148,0)</f>
        <v>1</v>
      </c>
      <c r="K148" s="29">
        <f t="shared" si="110"/>
        <v>0</v>
      </c>
      <c r="L148" s="29">
        <f t="shared" si="111"/>
        <v>0</v>
      </c>
      <c r="M148" s="147">
        <f t="shared" ca="1" si="112"/>
        <v>0</v>
      </c>
      <c r="N148" s="148">
        <f ca="1">IF(AND(Option_SPW="Y",H148&gt;=Lock_In_Period,Z147&gt;SPW_Amount_pa+IF(option="Single",1/5*pr,2*pr),H148&gt;=SPW_Start_Year,H148&lt;=SPW_Start_Year+SPW_Duration-1,age+H148&gt;=Legal_Age),IF(AND(F148=0,SPW_Payout_Freq=1),SPW_Amount_pa,IF(AND(SPW_Payout_Freq=2,MOD(F148,6)=0),SPW_Amount_pa/SPW_Payout_Freq,IF(AND(SPW_Payout_Freq=4,MOD(F148,3)=0),SPW_Amount_pa/SPW_Payout_Freq,IF(SPW_Payout_Freq=12,SPW_Amount_pa/SPW_Payout_Freq,0)))),0)+IFERROR(VLOOKUP(H148,Input!$B$68:$C$74,2,0),0)*(F148=0)*(Option_PW="Y")*(Option_SPW="N")*(age+H148&gt;=Legal_Age)</f>
        <v>0</v>
      </c>
      <c r="O148" s="148">
        <f t="shared" ca="1" si="113"/>
        <v>0</v>
      </c>
      <c r="P148" s="14">
        <f ca="1">(MAX(MAX(sa-CF147*Flag_UL_Type,105%*SUM($I$7:I148))-(AD147+L148-N148)*Flag_UL_Type,0)*B148)</f>
        <v>0</v>
      </c>
      <c r="Q148" s="213">
        <f t="shared" ca="1" si="114"/>
        <v>0</v>
      </c>
      <c r="R148" s="14">
        <f t="shared" ca="1" si="115"/>
        <v>0</v>
      </c>
      <c r="S148" s="14">
        <f t="shared" ca="1" si="116"/>
        <v>0</v>
      </c>
      <c r="T148" s="14">
        <f>IFERROR(IF(WoP_Flag="Y",IF(fq=1,VLOOKUP(ppt*fq-H148,Charges!$AN$41:$AO$59,2,FALSE),IF(fq=2,VLOOKUP(ppt*fq-G148,Charges!$AP$41:$AQ$79,2,FALSE),VLOOKUP(ppt*fq-D148,Charges!$AR$41:$AS$279,2,FALSE)))*pr/fq,0),0)</f>
        <v>0</v>
      </c>
      <c r="U148" s="14">
        <f t="shared" ca="1" si="117"/>
        <v>0</v>
      </c>
      <c r="V148" s="34">
        <f>ROUND(MIN(IF(H148&gt;=7,Charges!$C$12*(1+Charges!$C$14)^((H148-7+1)),VLOOKUP(H148,Charges!$B$7:$C$12,2,0))*pr,Charges!$C$13)*B148,Round)</f>
        <v>500</v>
      </c>
      <c r="W148" s="14">
        <f t="shared" ca="1" si="118"/>
        <v>4747320.1874363665</v>
      </c>
      <c r="X148" s="14">
        <f t="shared" ca="1" si="119"/>
        <v>4777864.5884641595</v>
      </c>
      <c r="Y148" s="213">
        <f t="shared" ca="1" si="143"/>
        <v>5378.0228447767931</v>
      </c>
      <c r="Z148" s="14">
        <f t="shared" ca="1" si="120"/>
        <v>4771518.5215073228</v>
      </c>
      <c r="AA148" s="14">
        <f>IF(AND($H148=pt,$F148=11),SUM($K$7:K148)*VLOOKUP(pt,ROC,2,FALSE),0)</f>
        <v>0</v>
      </c>
      <c r="AB148" s="14">
        <f>IF(AND($H148=pt,$F148=11),SUM($V$7:V148)*VLOOKUP(pt,ROC,2,FALSE),0)</f>
        <v>0</v>
      </c>
      <c r="AC148" s="14">
        <f>IF(AND($H148=pt,$F148=11),SUM($Q$7:Q148)*VLOOKUP(pt,ROC,2,FALSE),0)</f>
        <v>0</v>
      </c>
      <c r="AD148" s="14">
        <f t="shared" ca="1" si="121"/>
        <v>4771518.5215073228</v>
      </c>
      <c r="AE148" s="14">
        <f ca="1">(MAX(sa-CF147*Flag_UL_Type,105%*SUM($I$7:I148),Z148)+AU148)*B148</f>
        <v>4771518.5215073228</v>
      </c>
      <c r="AF148" s="136"/>
      <c r="AG148" s="18">
        <v>142</v>
      </c>
      <c r="AH148" s="30">
        <f t="shared" ca="1" si="122"/>
        <v>0</v>
      </c>
      <c r="AI148" s="58"/>
      <c r="AJ148" s="50">
        <f>IF(AND(Option_Sys_TopUp&gt;="Y",H148&gt;=sytp,H148&lt;=(dtp+sytp-1),F148=0,H148&lt;=ppt+1),atp,0)+IFERROR(VLOOKUP(H148,Input!$B$55:$C$61,2,0),0)*(F148=0)*(Option_TopUP="Y")*(Option_Sys_TopUp="N")*B148*(pt&gt;=H148+5)</f>
        <v>0</v>
      </c>
      <c r="AK148" s="50">
        <f t="shared" si="123"/>
        <v>0</v>
      </c>
      <c r="AL148" s="50">
        <f t="shared" si="144"/>
        <v>0</v>
      </c>
      <c r="AM148" s="50">
        <f t="shared" ca="1" si="145"/>
        <v>0</v>
      </c>
      <c r="AN148" s="50">
        <f ca="1">IF(B148=0,0,AT148*(_rpm1+(1+_emr1)*VLOOKUP(E148,Tab_Mort_Charge,IF(Input!$C$12="M",2,3),0))*(0.001*0.0833)*Flag_Mort_Rider_Charge*(AT148&gt;0))</f>
        <v>0</v>
      </c>
      <c r="AO148" s="50">
        <f t="shared" ca="1" si="124"/>
        <v>0</v>
      </c>
      <c r="AP148" s="50">
        <f t="shared" ca="1" si="105"/>
        <v>0</v>
      </c>
      <c r="AQ148" s="50">
        <f t="shared" ca="1" si="125"/>
        <v>0</v>
      </c>
      <c r="AR148" s="50">
        <f t="shared" ca="1" si="126"/>
        <v>0</v>
      </c>
      <c r="AS148" s="50">
        <f t="shared" si="127"/>
        <v>0</v>
      </c>
      <c r="AT148" s="50">
        <f ca="1">(MAX((MAX(AS148,105%*SUM($AJ$7:AJ148))-AM148*Flag_UL_Type),0)*B148)</f>
        <v>0</v>
      </c>
      <c r="AU148" s="50">
        <f ca="1">(MAX(AS148,AR148,105%*SUM($AJ$7:AJ148))*B148)</f>
        <v>0</v>
      </c>
      <c r="AV148" s="125"/>
      <c r="AW148" s="13"/>
      <c r="AX148" s="13"/>
      <c r="AY148" s="13"/>
      <c r="AZ148" s="13"/>
      <c r="BA148" s="13"/>
      <c r="BG148" s="51">
        <f t="shared" si="128"/>
        <v>0</v>
      </c>
      <c r="BH148" s="51">
        <f t="shared" ca="1" si="129"/>
        <v>0</v>
      </c>
      <c r="BI148" s="51">
        <f t="shared" ca="1" si="130"/>
        <v>0</v>
      </c>
      <c r="BJ148" s="51">
        <f t="shared" ca="1" si="131"/>
        <v>0</v>
      </c>
      <c r="BK148" s="51">
        <f t="shared" si="132"/>
        <v>90</v>
      </c>
      <c r="BL148" s="51">
        <f t="shared" ca="1" si="133"/>
        <v>968.04411205982274</v>
      </c>
      <c r="BM148" s="51">
        <f t="shared" si="134"/>
        <v>0</v>
      </c>
      <c r="BN148" s="51">
        <f t="shared" ca="1" si="135"/>
        <v>0</v>
      </c>
      <c r="BO148" s="51">
        <f t="shared" ca="1" si="136"/>
        <v>0</v>
      </c>
      <c r="BP148" s="51">
        <f t="shared" ca="1" si="137"/>
        <v>1058.0441120598227</v>
      </c>
      <c r="BQ148" s="120"/>
      <c r="BR148" s="32"/>
      <c r="BS148" s="126"/>
      <c r="BT148" s="16"/>
      <c r="BU148" s="58"/>
      <c r="BW148" s="51">
        <f>IF(Input!$C$13="Offline",VLOOKUP(H148,Charges!$AT$4:$AU$33,2,FALSE)*I148,0)</f>
        <v>0</v>
      </c>
      <c r="BX148" s="51">
        <f t="shared" si="138"/>
        <v>0</v>
      </c>
      <c r="BY148" s="51">
        <f t="shared" si="146"/>
        <v>0</v>
      </c>
      <c r="BZ148" s="151"/>
      <c r="CA148" s="151"/>
      <c r="CB148" s="32"/>
      <c r="CC148" s="16">
        <f ca="1">SUM($N$7:$N148)</f>
        <v>0</v>
      </c>
      <c r="CD148" s="16">
        <f t="shared" ca="1" si="139"/>
        <v>0</v>
      </c>
      <c r="CE148" s="16">
        <f t="shared" ca="1" si="140"/>
        <v>0</v>
      </c>
      <c r="CF148" s="7">
        <f t="shared" ca="1" si="141"/>
        <v>0</v>
      </c>
      <c r="CH148" s="7">
        <f t="shared" ca="1" si="142"/>
        <v>0</v>
      </c>
    </row>
    <row r="149" spans="2:86" s="7" customFormat="1" x14ac:dyDescent="0.2">
      <c r="B149" s="14">
        <f t="shared" si="106"/>
        <v>1</v>
      </c>
      <c r="C149" s="12">
        <f t="shared" si="107"/>
        <v>1</v>
      </c>
      <c r="D149" s="17">
        <f t="shared" si="147"/>
        <v>143</v>
      </c>
      <c r="E149" s="17">
        <f t="shared" ca="1" si="108"/>
        <v>71</v>
      </c>
      <c r="F149" s="12">
        <f t="shared" si="149"/>
        <v>10</v>
      </c>
      <c r="G149" s="12">
        <f t="shared" si="148"/>
        <v>24</v>
      </c>
      <c r="H149" s="17">
        <f t="shared" si="150"/>
        <v>12</v>
      </c>
      <c r="I149" s="29">
        <f t="shared" si="109"/>
        <v>0</v>
      </c>
      <c r="J149" s="211">
        <f>IFERROR(VLOOKUP(H149,Charges!$T$6:$U$35,2,0)*C149,0)</f>
        <v>1</v>
      </c>
      <c r="K149" s="29">
        <f t="shared" si="110"/>
        <v>0</v>
      </c>
      <c r="L149" s="29">
        <f t="shared" si="111"/>
        <v>0</v>
      </c>
      <c r="M149" s="147">
        <f t="shared" ca="1" si="112"/>
        <v>0</v>
      </c>
      <c r="N149" s="148">
        <f ca="1">IF(AND(Option_SPW="Y",H149&gt;=Lock_In_Period,Z148&gt;SPW_Amount_pa+IF(option="Single",1/5*pr,2*pr),H149&gt;=SPW_Start_Year,H149&lt;=SPW_Start_Year+SPW_Duration-1,age+H149&gt;=Legal_Age),IF(AND(F149=0,SPW_Payout_Freq=1),SPW_Amount_pa,IF(AND(SPW_Payout_Freq=2,MOD(F149,6)=0),SPW_Amount_pa/SPW_Payout_Freq,IF(AND(SPW_Payout_Freq=4,MOD(F149,3)=0),SPW_Amount_pa/SPW_Payout_Freq,IF(SPW_Payout_Freq=12,SPW_Amount_pa/SPW_Payout_Freq,0)))),0)+IFERROR(VLOOKUP(H149,Input!$B$68:$C$74,2,0),0)*(F149=0)*(Option_PW="Y")*(Option_SPW="N")*(age+H149&gt;=Legal_Age)</f>
        <v>0</v>
      </c>
      <c r="O149" s="148">
        <f t="shared" ca="1" si="113"/>
        <v>0</v>
      </c>
      <c r="P149" s="14">
        <f ca="1">(MAX(MAX(sa-CF148*Flag_UL_Type,105%*SUM($I$7:I149))-(AD148+L149-N149)*Flag_UL_Type,0)*B149)</f>
        <v>0</v>
      </c>
      <c r="Q149" s="213">
        <f t="shared" ca="1" si="114"/>
        <v>0</v>
      </c>
      <c r="R149" s="14">
        <f t="shared" ca="1" si="115"/>
        <v>0</v>
      </c>
      <c r="S149" s="14">
        <f t="shared" ca="1" si="116"/>
        <v>0</v>
      </c>
      <c r="T149" s="14">
        <f>IFERROR(IF(WoP_Flag="Y",IF(fq=1,VLOOKUP(ppt*fq-H149,Charges!$AN$41:$AO$59,2,FALSE),IF(fq=2,VLOOKUP(ppt*fq-G149,Charges!$AP$41:$AQ$79,2,FALSE),VLOOKUP(ppt*fq-D149,Charges!$AR$41:$AS$279,2,FALSE)))*pr/fq,0),0)</f>
        <v>0</v>
      </c>
      <c r="U149" s="14">
        <f t="shared" ca="1" si="117"/>
        <v>0</v>
      </c>
      <c r="V149" s="34">
        <f>ROUND(MIN(IF(H149&gt;=7,Charges!$C$12*(1+Charges!$C$14)^((H149-7+1)),VLOOKUP(H149,Charges!$B$7:$C$12,2,0))*pr,Charges!$C$13)*B149,Round)</f>
        <v>500</v>
      </c>
      <c r="W149" s="14">
        <f t="shared" ca="1" si="118"/>
        <v>4770928.5215073228</v>
      </c>
      <c r="X149" s="14">
        <f t="shared" ca="1" si="119"/>
        <v>4801624.8192673754</v>
      </c>
      <c r="Y149" s="213">
        <f t="shared" ca="1" si="143"/>
        <v>5404.7676513092738</v>
      </c>
      <c r="Z149" s="14">
        <f t="shared" ca="1" si="120"/>
        <v>4795247.1934388308</v>
      </c>
      <c r="AA149" s="14">
        <f>IF(AND($H149=pt,$F149=11),SUM($K$7:K149)*VLOOKUP(pt,ROC,2,FALSE),0)</f>
        <v>0</v>
      </c>
      <c r="AB149" s="14">
        <f>IF(AND($H149=pt,$F149=11),SUM($V$7:V149)*VLOOKUP(pt,ROC,2,FALSE),0)</f>
        <v>0</v>
      </c>
      <c r="AC149" s="14">
        <f>IF(AND($H149=pt,$F149=11),SUM($Q$7:Q149)*VLOOKUP(pt,ROC,2,FALSE),0)</f>
        <v>0</v>
      </c>
      <c r="AD149" s="14">
        <f t="shared" ca="1" si="121"/>
        <v>4795247.1934388308</v>
      </c>
      <c r="AE149" s="14">
        <f ca="1">(MAX(sa-CF148*Flag_UL_Type,105%*SUM($I$7:I149),Z149)+AU149)*B149</f>
        <v>4795247.1934388308</v>
      </c>
      <c r="AF149" s="136"/>
      <c r="AG149" s="18">
        <v>143</v>
      </c>
      <c r="AH149" s="30">
        <f t="shared" ca="1" si="122"/>
        <v>0</v>
      </c>
      <c r="AI149" s="58"/>
      <c r="AJ149" s="50">
        <f>IF(AND(Option_Sys_TopUp&gt;="Y",H149&gt;=sytp,H149&lt;=(dtp+sytp-1),F149=0,H149&lt;=ppt+1),atp,0)+IFERROR(VLOOKUP(H149,Input!$B$55:$C$61,2,0),0)*(F149=0)*(Option_TopUP="Y")*(Option_Sys_TopUp="N")*B149*(pt&gt;=H149+5)</f>
        <v>0</v>
      </c>
      <c r="AK149" s="50">
        <f t="shared" si="123"/>
        <v>0</v>
      </c>
      <c r="AL149" s="50">
        <f t="shared" si="144"/>
        <v>0</v>
      </c>
      <c r="AM149" s="50">
        <f t="shared" ca="1" si="145"/>
        <v>0</v>
      </c>
      <c r="AN149" s="50">
        <f ca="1">IF(B149=0,0,AT149*(_rpm1+(1+_emr1)*VLOOKUP(E149,Tab_Mort_Charge,IF(Input!$C$12="M",2,3),0))*(0.001*0.0833)*Flag_Mort_Rider_Charge*(AT149&gt;0))</f>
        <v>0</v>
      </c>
      <c r="AO149" s="50">
        <f t="shared" ca="1" si="124"/>
        <v>0</v>
      </c>
      <c r="AP149" s="50">
        <f t="shared" ca="1" si="105"/>
        <v>0</v>
      </c>
      <c r="AQ149" s="50">
        <f t="shared" ca="1" si="125"/>
        <v>0</v>
      </c>
      <c r="AR149" s="50">
        <f t="shared" ca="1" si="126"/>
        <v>0</v>
      </c>
      <c r="AS149" s="50">
        <f t="shared" si="127"/>
        <v>0</v>
      </c>
      <c r="AT149" s="50">
        <f ca="1">(MAX((MAX(AS149,105%*SUM($AJ$7:AJ149))-AM149*Flag_UL_Type),0)*B149)</f>
        <v>0</v>
      </c>
      <c r="AU149" s="50">
        <f ca="1">(MAX(AS149,AR149,105%*SUM($AJ$7:AJ149))*B149)</f>
        <v>0</v>
      </c>
      <c r="AV149" s="125"/>
      <c r="AW149" s="13"/>
      <c r="AX149" s="13"/>
      <c r="AY149" s="13"/>
      <c r="AZ149" s="13"/>
      <c r="BA149" s="13"/>
      <c r="BG149" s="51">
        <f t="shared" si="128"/>
        <v>0</v>
      </c>
      <c r="BH149" s="51">
        <f t="shared" ca="1" si="129"/>
        <v>0</v>
      </c>
      <c r="BI149" s="51">
        <f t="shared" ca="1" si="130"/>
        <v>0</v>
      </c>
      <c r="BJ149" s="51">
        <f t="shared" ca="1" si="131"/>
        <v>0</v>
      </c>
      <c r="BK149" s="51">
        <f t="shared" si="132"/>
        <v>90</v>
      </c>
      <c r="BL149" s="51">
        <f t="shared" ca="1" si="133"/>
        <v>972.85817723566925</v>
      </c>
      <c r="BM149" s="51">
        <f t="shared" si="134"/>
        <v>0</v>
      </c>
      <c r="BN149" s="51">
        <f t="shared" ca="1" si="135"/>
        <v>0</v>
      </c>
      <c r="BO149" s="51">
        <f t="shared" ca="1" si="136"/>
        <v>0</v>
      </c>
      <c r="BP149" s="51">
        <f t="shared" ca="1" si="137"/>
        <v>1062.8581772356692</v>
      </c>
      <c r="BQ149" s="120"/>
      <c r="BR149" s="32"/>
      <c r="BS149" s="126"/>
      <c r="BT149" s="16"/>
      <c r="BU149" s="58"/>
      <c r="BW149" s="51">
        <f>IF(Input!$C$13="Offline",VLOOKUP(H149,Charges!$AT$4:$AU$33,2,FALSE)*I149,0)</f>
        <v>0</v>
      </c>
      <c r="BX149" s="51">
        <f t="shared" si="138"/>
        <v>0</v>
      </c>
      <c r="BY149" s="51">
        <f t="shared" si="146"/>
        <v>0</v>
      </c>
      <c r="BZ149" s="151"/>
      <c r="CA149" s="151"/>
      <c r="CB149" s="32"/>
      <c r="CC149" s="16">
        <f ca="1">SUM($N$7:$N149)</f>
        <v>0</v>
      </c>
      <c r="CD149" s="16">
        <f t="shared" ca="1" si="139"/>
        <v>0</v>
      </c>
      <c r="CE149" s="16">
        <f t="shared" ca="1" si="140"/>
        <v>0</v>
      </c>
      <c r="CF149" s="7">
        <f t="shared" ca="1" si="141"/>
        <v>0</v>
      </c>
      <c r="CH149" s="7">
        <f t="shared" ca="1" si="142"/>
        <v>0</v>
      </c>
    </row>
    <row r="150" spans="2:86" s="7" customFormat="1" x14ac:dyDescent="0.2">
      <c r="B150" s="14">
        <f t="shared" si="106"/>
        <v>1</v>
      </c>
      <c r="C150" s="12">
        <f t="shared" si="107"/>
        <v>1</v>
      </c>
      <c r="D150" s="17">
        <f t="shared" si="147"/>
        <v>144</v>
      </c>
      <c r="E150" s="17">
        <f t="shared" ca="1" si="108"/>
        <v>71</v>
      </c>
      <c r="F150" s="12">
        <f t="shared" si="149"/>
        <v>11</v>
      </c>
      <c r="G150" s="12">
        <f t="shared" si="148"/>
        <v>24</v>
      </c>
      <c r="H150" s="17">
        <f t="shared" si="150"/>
        <v>12</v>
      </c>
      <c r="I150" s="29">
        <f t="shared" si="109"/>
        <v>0</v>
      </c>
      <c r="J150" s="211">
        <f>IFERROR(VLOOKUP(H150,Charges!$T$6:$U$35,2,0)*C150,0)</f>
        <v>1</v>
      </c>
      <c r="K150" s="29">
        <f t="shared" si="110"/>
        <v>0</v>
      </c>
      <c r="L150" s="29">
        <f t="shared" si="111"/>
        <v>0</v>
      </c>
      <c r="M150" s="147">
        <f t="shared" ca="1" si="112"/>
        <v>0</v>
      </c>
      <c r="N150" s="148">
        <f ca="1">IF(AND(Option_SPW="Y",H150&gt;=Lock_In_Period,Z149&gt;SPW_Amount_pa+IF(option="Single",1/5*pr,2*pr),H150&gt;=SPW_Start_Year,H150&lt;=SPW_Start_Year+SPW_Duration-1,age+H150&gt;=Legal_Age),IF(AND(F150=0,SPW_Payout_Freq=1),SPW_Amount_pa,IF(AND(SPW_Payout_Freq=2,MOD(F150,6)=0),SPW_Amount_pa/SPW_Payout_Freq,IF(AND(SPW_Payout_Freq=4,MOD(F150,3)=0),SPW_Amount_pa/SPW_Payout_Freq,IF(SPW_Payout_Freq=12,SPW_Amount_pa/SPW_Payout_Freq,0)))),0)+IFERROR(VLOOKUP(H150,Input!$B$68:$C$74,2,0),0)*(F150=0)*(Option_PW="Y")*(Option_SPW="N")*(age+H150&gt;=Legal_Age)</f>
        <v>0</v>
      </c>
      <c r="O150" s="148">
        <f t="shared" ca="1" si="113"/>
        <v>0</v>
      </c>
      <c r="P150" s="14">
        <f ca="1">(MAX(MAX(sa-CF149*Flag_UL_Type,105%*SUM($I$7:I150))-(AD149+L150-N150)*Flag_UL_Type,0)*B150)</f>
        <v>0</v>
      </c>
      <c r="Q150" s="213">
        <f t="shared" ca="1" si="114"/>
        <v>0</v>
      </c>
      <c r="R150" s="14">
        <f t="shared" ca="1" si="115"/>
        <v>0</v>
      </c>
      <c r="S150" s="14">
        <f t="shared" ca="1" si="116"/>
        <v>0</v>
      </c>
      <c r="T150" s="14">
        <f>IFERROR(IF(WoP_Flag="Y",IF(fq=1,VLOOKUP(ppt*fq-H150,Charges!$AN$41:$AO$59,2,FALSE),IF(fq=2,VLOOKUP(ppt*fq-G150,Charges!$AP$41:$AQ$79,2,FALSE),VLOOKUP(ppt*fq-D150,Charges!$AR$41:$AS$279,2,FALSE)))*pr/fq,0),0)</f>
        <v>0</v>
      </c>
      <c r="U150" s="14">
        <f t="shared" ca="1" si="117"/>
        <v>0</v>
      </c>
      <c r="V150" s="34">
        <f>ROUND(MIN(IF(H150&gt;=7,Charges!$C$12*(1+Charges!$C$14)^((H150-7+1)),VLOOKUP(H150,Charges!$B$7:$C$12,2,0))*pr,Charges!$C$13)*B150,Round)</f>
        <v>500</v>
      </c>
      <c r="W150" s="14">
        <f t="shared" ca="1" si="118"/>
        <v>4794657.1934388308</v>
      </c>
      <c r="X150" s="14">
        <f t="shared" ca="1" si="119"/>
        <v>4825506.1621885607</v>
      </c>
      <c r="Y150" s="213">
        <f t="shared" ca="1" si="143"/>
        <v>5431.6487831237209</v>
      </c>
      <c r="Z150" s="14">
        <f t="shared" ca="1" si="120"/>
        <v>4819096.8166244747</v>
      </c>
      <c r="AA150" s="14">
        <f>IF(AND($H150=pt,$F150=11),SUM($K$7:K150)*VLOOKUP(pt,ROC,2,FALSE),0)</f>
        <v>0</v>
      </c>
      <c r="AB150" s="14">
        <f>IF(AND($H150=pt,$F150=11),SUM($V$7:V150)*VLOOKUP(pt,ROC,2,FALSE),0)</f>
        <v>0</v>
      </c>
      <c r="AC150" s="14">
        <f>IF(AND($H150=pt,$F150=11),SUM($Q$7:Q150)*VLOOKUP(pt,ROC,2,FALSE),0)</f>
        <v>0</v>
      </c>
      <c r="AD150" s="14">
        <f t="shared" ca="1" si="121"/>
        <v>4819096.8166244747</v>
      </c>
      <c r="AE150" s="14">
        <f ca="1">(MAX(sa-CF149*Flag_UL_Type,105%*SUM($I$7:I150),Z150)+AU150)*B150</f>
        <v>4819096.8166244747</v>
      </c>
      <c r="AF150" s="136"/>
      <c r="AG150" s="18">
        <v>144</v>
      </c>
      <c r="AH150" s="30">
        <f t="shared" ca="1" si="122"/>
        <v>0</v>
      </c>
      <c r="AI150" s="58"/>
      <c r="AJ150" s="50">
        <f>IF(AND(Option_Sys_TopUp&gt;="Y",H150&gt;=sytp,H150&lt;=(dtp+sytp-1),F150=0,H150&lt;=ppt+1),atp,0)+IFERROR(VLOOKUP(H150,Input!$B$55:$C$61,2,0),0)*(F150=0)*(Option_TopUP="Y")*(Option_Sys_TopUp="N")*B150*(pt&gt;=H150+5)</f>
        <v>0</v>
      </c>
      <c r="AK150" s="50">
        <f t="shared" si="123"/>
        <v>0</v>
      </c>
      <c r="AL150" s="50">
        <f t="shared" si="144"/>
        <v>0</v>
      </c>
      <c r="AM150" s="50">
        <f t="shared" ca="1" si="145"/>
        <v>0</v>
      </c>
      <c r="AN150" s="50">
        <f ca="1">IF(B150=0,0,AT150*(_rpm1+(1+_emr1)*VLOOKUP(E150,Tab_Mort_Charge,IF(Input!$C$12="M",2,3),0))*(0.001*0.0833)*Flag_Mort_Rider_Charge*(AT150&gt;0))</f>
        <v>0</v>
      </c>
      <c r="AO150" s="50">
        <f t="shared" ca="1" si="124"/>
        <v>0</v>
      </c>
      <c r="AP150" s="50">
        <f t="shared" ca="1" si="105"/>
        <v>0</v>
      </c>
      <c r="AQ150" s="50">
        <f t="shared" ca="1" si="125"/>
        <v>0</v>
      </c>
      <c r="AR150" s="50">
        <f t="shared" ca="1" si="126"/>
        <v>0</v>
      </c>
      <c r="AS150" s="50">
        <f t="shared" si="127"/>
        <v>0</v>
      </c>
      <c r="AT150" s="50">
        <f ca="1">(MAX((MAX(AS150,105%*SUM($AJ$7:AJ150))-AM150*Flag_UL_Type),0)*B150)</f>
        <v>0</v>
      </c>
      <c r="AU150" s="50">
        <f ca="1">(MAX(AS150,AR150,105%*SUM($AJ$7:AJ150))*B150)</f>
        <v>0</v>
      </c>
      <c r="AV150" s="125"/>
      <c r="AW150" s="13"/>
      <c r="AX150" s="13"/>
      <c r="AY150" s="13"/>
      <c r="AZ150" s="13"/>
      <c r="BA150" s="13"/>
      <c r="BG150" s="51">
        <f t="shared" si="128"/>
        <v>0</v>
      </c>
      <c r="BH150" s="51">
        <f t="shared" ca="1" si="129"/>
        <v>0</v>
      </c>
      <c r="BI150" s="51">
        <f t="shared" ca="1" si="130"/>
        <v>0</v>
      </c>
      <c r="BJ150" s="51">
        <f t="shared" ca="1" si="131"/>
        <v>0</v>
      </c>
      <c r="BK150" s="51">
        <f t="shared" si="132"/>
        <v>90</v>
      </c>
      <c r="BL150" s="51">
        <f t="shared" ca="1" si="133"/>
        <v>977.69678096226971</v>
      </c>
      <c r="BM150" s="51">
        <f t="shared" si="134"/>
        <v>0</v>
      </c>
      <c r="BN150" s="51">
        <f t="shared" ca="1" si="135"/>
        <v>0</v>
      </c>
      <c r="BO150" s="51">
        <f t="shared" ca="1" si="136"/>
        <v>0</v>
      </c>
      <c r="BP150" s="51">
        <f t="shared" ca="1" si="137"/>
        <v>1067.6967809622697</v>
      </c>
      <c r="BQ150" s="120"/>
      <c r="BR150" s="32"/>
      <c r="BS150" s="126"/>
      <c r="BT150" s="16"/>
      <c r="BU150" s="58"/>
      <c r="BW150" s="51">
        <f>IF(Input!$C$13="Offline",VLOOKUP(H150,Charges!$AT$4:$AU$33,2,FALSE)*I150,0)</f>
        <v>0</v>
      </c>
      <c r="BX150" s="51">
        <f t="shared" si="138"/>
        <v>0</v>
      </c>
      <c r="BY150" s="51">
        <f t="shared" si="146"/>
        <v>0</v>
      </c>
      <c r="BZ150" s="151"/>
      <c r="CA150" s="151"/>
      <c r="CB150" s="32"/>
      <c r="CC150" s="16">
        <f ca="1">SUM($N$7:$N150)</f>
        <v>0</v>
      </c>
      <c r="CD150" s="16">
        <f t="shared" ca="1" si="139"/>
        <v>0</v>
      </c>
      <c r="CE150" s="16">
        <f t="shared" ca="1" si="140"/>
        <v>0</v>
      </c>
      <c r="CF150" s="7">
        <f t="shared" ca="1" si="141"/>
        <v>0</v>
      </c>
      <c r="CH150" s="7">
        <f t="shared" ca="1" si="142"/>
        <v>0</v>
      </c>
    </row>
    <row r="151" spans="2:86" s="7" customFormat="1" x14ac:dyDescent="0.2">
      <c r="B151" s="14">
        <f t="shared" si="106"/>
        <v>1</v>
      </c>
      <c r="C151" s="12">
        <f t="shared" si="107"/>
        <v>1</v>
      </c>
      <c r="D151" s="17">
        <f t="shared" si="147"/>
        <v>145</v>
      </c>
      <c r="E151" s="17">
        <f t="shared" ca="1" si="108"/>
        <v>72</v>
      </c>
      <c r="F151" s="12">
        <f t="shared" si="149"/>
        <v>0</v>
      </c>
      <c r="G151" s="12">
        <f t="shared" si="148"/>
        <v>25</v>
      </c>
      <c r="H151" s="17">
        <f t="shared" si="150"/>
        <v>13</v>
      </c>
      <c r="I151" s="29">
        <f t="shared" si="109"/>
        <v>300000</v>
      </c>
      <c r="J151" s="211">
        <f>IFERROR(VLOOKUP(H151,Charges!$T$6:$U$35,2,0)*C151,0)</f>
        <v>1</v>
      </c>
      <c r="K151" s="29">
        <f t="shared" si="110"/>
        <v>0</v>
      </c>
      <c r="L151" s="29">
        <f t="shared" si="111"/>
        <v>300000</v>
      </c>
      <c r="M151" s="147">
        <f t="shared" ca="1" si="112"/>
        <v>0</v>
      </c>
      <c r="N151" s="148">
        <f ca="1">IF(AND(Option_SPW="Y",H151&gt;=Lock_In_Period,Z150&gt;SPW_Amount_pa+IF(option="Single",1/5*pr,2*pr),H151&gt;=SPW_Start_Year,H151&lt;=SPW_Start_Year+SPW_Duration-1,age+H151&gt;=Legal_Age),IF(AND(F151=0,SPW_Payout_Freq=1),SPW_Amount_pa,IF(AND(SPW_Payout_Freq=2,MOD(F151,6)=0),SPW_Amount_pa/SPW_Payout_Freq,IF(AND(SPW_Payout_Freq=4,MOD(F151,3)=0),SPW_Amount_pa/SPW_Payout_Freq,IF(SPW_Payout_Freq=12,SPW_Amount_pa/SPW_Payout_Freq,0)))),0)+IFERROR(VLOOKUP(H151,Input!$B$68:$C$74,2,0),0)*(F151=0)*(Option_PW="Y")*(Option_SPW="N")*(age+H151&gt;=Legal_Age)</f>
        <v>0</v>
      </c>
      <c r="O151" s="148">
        <f t="shared" ca="1" si="113"/>
        <v>0</v>
      </c>
      <c r="P151" s="14">
        <f ca="1">(MAX(MAX(sa-CF150*Flag_UL_Type,105%*SUM($I$7:I151))-(AD150+L151-N151)*Flag_UL_Type,0)*B151)</f>
        <v>0</v>
      </c>
      <c r="Q151" s="213">
        <f t="shared" ca="1" si="114"/>
        <v>0</v>
      </c>
      <c r="R151" s="14">
        <f t="shared" ca="1" si="115"/>
        <v>0</v>
      </c>
      <c r="S151" s="14">
        <f t="shared" ca="1" si="116"/>
        <v>0</v>
      </c>
      <c r="T151" s="14">
        <f>IFERROR(IF(WoP_Flag="Y",IF(fq=1,VLOOKUP(ppt*fq-H151,Charges!$AN$41:$AO$59,2,FALSE),IF(fq=2,VLOOKUP(ppt*fq-G151,Charges!$AP$41:$AQ$79,2,FALSE),VLOOKUP(ppt*fq-D151,Charges!$AR$41:$AS$279,2,FALSE)))*pr/fq,0),0)</f>
        <v>0</v>
      </c>
      <c r="U151" s="14">
        <f t="shared" ca="1" si="117"/>
        <v>0</v>
      </c>
      <c r="V151" s="34">
        <f>ROUND(MIN(IF(H151&gt;=7,Charges!$C$12*(1+Charges!$C$14)^((H151-7+1)),VLOOKUP(H151,Charges!$B$7:$C$12,2,0))*pr,Charges!$C$13)*B151,Round)</f>
        <v>500</v>
      </c>
      <c r="W151" s="14">
        <f t="shared" ca="1" si="118"/>
        <v>5118506.8166244747</v>
      </c>
      <c r="X151" s="14">
        <f t="shared" ca="1" si="119"/>
        <v>5151439.443600894</v>
      </c>
      <c r="Y151" s="213">
        <f t="shared" ca="1" si="143"/>
        <v>5798.523272940949</v>
      </c>
      <c r="Z151" s="14">
        <f t="shared" ca="1" si="120"/>
        <v>5144597.1861388236</v>
      </c>
      <c r="AA151" s="14">
        <f>IF(AND($H151=pt,$F151=11),SUM($K$7:K151)*VLOOKUP(pt,ROC,2,FALSE),0)</f>
        <v>0</v>
      </c>
      <c r="AB151" s="14">
        <f>IF(AND($H151=pt,$F151=11),SUM($V$7:V151)*VLOOKUP(pt,ROC,2,FALSE),0)</f>
        <v>0</v>
      </c>
      <c r="AC151" s="14">
        <f>IF(AND($H151=pt,$F151=11),SUM($Q$7:Q151)*VLOOKUP(pt,ROC,2,FALSE),0)</f>
        <v>0</v>
      </c>
      <c r="AD151" s="14">
        <f t="shared" ca="1" si="121"/>
        <v>5144597.1861388236</v>
      </c>
      <c r="AE151" s="14">
        <f ca="1">(MAX(sa-CF150*Flag_UL_Type,105%*SUM($I$7:I151),Z151)+AU151)*B151</f>
        <v>5144597.1861388236</v>
      </c>
      <c r="AF151" s="136"/>
      <c r="AG151" s="18">
        <v>145</v>
      </c>
      <c r="AH151" s="30">
        <f t="shared" ca="1" si="122"/>
        <v>300000</v>
      </c>
      <c r="AI151" s="58"/>
      <c r="AJ151" s="50">
        <f>IF(AND(Option_Sys_TopUp&gt;="Y",H151&gt;=sytp,H151&lt;=(dtp+sytp-1),F151=0,H151&lt;=ppt+1),atp,0)+IFERROR(VLOOKUP(H151,Input!$B$55:$C$61,2,0),0)*(F151=0)*(Option_TopUP="Y")*(Option_Sys_TopUp="N")*B151*(pt&gt;=H151+5)</f>
        <v>0</v>
      </c>
      <c r="AK151" s="50">
        <f t="shared" si="123"/>
        <v>0</v>
      </c>
      <c r="AL151" s="50">
        <f t="shared" si="144"/>
        <v>0</v>
      </c>
      <c r="AM151" s="50">
        <f t="shared" ca="1" si="145"/>
        <v>0</v>
      </c>
      <c r="AN151" s="50">
        <f ca="1">IF(B151=0,0,AT151*(_rpm1+(1+_emr1)*VLOOKUP(E151,Tab_Mort_Charge,IF(Input!$C$12="M",2,3),0))*(0.001*0.0833)*Flag_Mort_Rider_Charge*(AT151&gt;0))</f>
        <v>0</v>
      </c>
      <c r="AO151" s="50">
        <f t="shared" ca="1" si="124"/>
        <v>0</v>
      </c>
      <c r="AP151" s="50">
        <f t="shared" ca="1" si="105"/>
        <v>0</v>
      </c>
      <c r="AQ151" s="50">
        <f t="shared" ca="1" si="125"/>
        <v>0</v>
      </c>
      <c r="AR151" s="50">
        <f t="shared" ca="1" si="126"/>
        <v>0</v>
      </c>
      <c r="AS151" s="50">
        <f t="shared" si="127"/>
        <v>0</v>
      </c>
      <c r="AT151" s="50">
        <f ca="1">(MAX((MAX(AS151,105%*SUM($AJ$7:AJ151))-AM151*Flag_UL_Type),0)*B151)</f>
        <v>0</v>
      </c>
      <c r="AU151" s="50">
        <f ca="1">(MAX(AS151,AR151,105%*SUM($AJ$7:AJ151))*B151)</f>
        <v>0</v>
      </c>
      <c r="AV151" s="125"/>
      <c r="AW151" s="13"/>
      <c r="AX151" s="13"/>
      <c r="AY151" s="13"/>
      <c r="AZ151" s="13"/>
      <c r="BA151" s="13"/>
      <c r="BG151" s="51">
        <f t="shared" si="128"/>
        <v>0</v>
      </c>
      <c r="BH151" s="51">
        <f t="shared" ca="1" si="129"/>
        <v>0</v>
      </c>
      <c r="BI151" s="51">
        <f t="shared" ca="1" si="130"/>
        <v>0</v>
      </c>
      <c r="BJ151" s="51">
        <f t="shared" ca="1" si="131"/>
        <v>0</v>
      </c>
      <c r="BK151" s="51">
        <f t="shared" si="132"/>
        <v>90</v>
      </c>
      <c r="BL151" s="51">
        <f t="shared" ca="1" si="133"/>
        <v>1043.7341891293709</v>
      </c>
      <c r="BM151" s="51">
        <f t="shared" si="134"/>
        <v>0</v>
      </c>
      <c r="BN151" s="51">
        <f t="shared" ca="1" si="135"/>
        <v>0</v>
      </c>
      <c r="BO151" s="51">
        <f t="shared" ca="1" si="136"/>
        <v>0</v>
      </c>
      <c r="BP151" s="51">
        <f t="shared" ca="1" si="137"/>
        <v>1133.7341891293709</v>
      </c>
      <c r="BQ151" s="120"/>
      <c r="BR151" s="32"/>
      <c r="BS151" s="126"/>
      <c r="BT151" s="16"/>
      <c r="BU151" s="58"/>
      <c r="BW151" s="51">
        <f>IF(Input!$C$13="Offline",VLOOKUP(H151,Charges!$AT$4:$AU$33,2,FALSE)*I151,0)</f>
        <v>0</v>
      </c>
      <c r="BX151" s="51">
        <f t="shared" si="138"/>
        <v>0</v>
      </c>
      <c r="BY151" s="51">
        <f t="shared" si="146"/>
        <v>0</v>
      </c>
      <c r="BZ151" s="151"/>
      <c r="CA151" s="151"/>
      <c r="CB151" s="32"/>
      <c r="CC151" s="16">
        <f ca="1">SUM($N$7:$N151)</f>
        <v>0</v>
      </c>
      <c r="CD151" s="16">
        <f t="shared" ca="1" si="139"/>
        <v>0</v>
      </c>
      <c r="CE151" s="16">
        <f t="shared" ca="1" si="140"/>
        <v>0</v>
      </c>
      <c r="CF151" s="7">
        <f t="shared" ca="1" si="141"/>
        <v>0</v>
      </c>
      <c r="CH151" s="7">
        <f t="shared" ca="1" si="142"/>
        <v>0</v>
      </c>
    </row>
    <row r="152" spans="2:86" s="7" customFormat="1" x14ac:dyDescent="0.2">
      <c r="B152" s="14">
        <f t="shared" si="106"/>
        <v>1</v>
      </c>
      <c r="C152" s="12">
        <f t="shared" si="107"/>
        <v>1</v>
      </c>
      <c r="D152" s="17">
        <f t="shared" si="147"/>
        <v>146</v>
      </c>
      <c r="E152" s="17">
        <f t="shared" ca="1" si="108"/>
        <v>72</v>
      </c>
      <c r="F152" s="12">
        <f t="shared" si="149"/>
        <v>1</v>
      </c>
      <c r="G152" s="12">
        <f t="shared" si="148"/>
        <v>25</v>
      </c>
      <c r="H152" s="17">
        <f t="shared" si="150"/>
        <v>13</v>
      </c>
      <c r="I152" s="29">
        <f t="shared" si="109"/>
        <v>0</v>
      </c>
      <c r="J152" s="211">
        <f>IFERROR(VLOOKUP(H152,Charges!$T$6:$U$35,2,0)*C152,0)</f>
        <v>1</v>
      </c>
      <c r="K152" s="29">
        <f t="shared" si="110"/>
        <v>0</v>
      </c>
      <c r="L152" s="29">
        <f t="shared" si="111"/>
        <v>0</v>
      </c>
      <c r="M152" s="147">
        <f t="shared" ca="1" si="112"/>
        <v>0</v>
      </c>
      <c r="N152" s="148">
        <f ca="1">IF(AND(Option_SPW="Y",H152&gt;=Lock_In_Period,Z151&gt;SPW_Amount_pa+IF(option="Single",1/5*pr,2*pr),H152&gt;=SPW_Start_Year,H152&lt;=SPW_Start_Year+SPW_Duration-1,age+H152&gt;=Legal_Age),IF(AND(F152=0,SPW_Payout_Freq=1),SPW_Amount_pa,IF(AND(SPW_Payout_Freq=2,MOD(F152,6)=0),SPW_Amount_pa/SPW_Payout_Freq,IF(AND(SPW_Payout_Freq=4,MOD(F152,3)=0),SPW_Amount_pa/SPW_Payout_Freq,IF(SPW_Payout_Freq=12,SPW_Amount_pa/SPW_Payout_Freq,0)))),0)+IFERROR(VLOOKUP(H152,Input!$B$68:$C$74,2,0),0)*(F152=0)*(Option_PW="Y")*(Option_SPW="N")*(age+H152&gt;=Legal_Age)</f>
        <v>0</v>
      </c>
      <c r="O152" s="148">
        <f t="shared" ca="1" si="113"/>
        <v>0</v>
      </c>
      <c r="P152" s="14">
        <f ca="1">(MAX(MAX(sa-CF151*Flag_UL_Type,105%*SUM($I$7:I152))-(AD151+L152-N152)*Flag_UL_Type,0)*B152)</f>
        <v>0</v>
      </c>
      <c r="Q152" s="213">
        <f t="shared" ca="1" si="114"/>
        <v>0</v>
      </c>
      <c r="R152" s="14">
        <f t="shared" ca="1" si="115"/>
        <v>0</v>
      </c>
      <c r="S152" s="14">
        <f t="shared" ca="1" si="116"/>
        <v>0</v>
      </c>
      <c r="T152" s="14">
        <f>IFERROR(IF(WoP_Flag="Y",IF(fq=1,VLOOKUP(ppt*fq-H152,Charges!$AN$41:$AO$59,2,FALSE),IF(fq=2,VLOOKUP(ppt*fq-G152,Charges!$AP$41:$AQ$79,2,FALSE),VLOOKUP(ppt*fq-D152,Charges!$AR$41:$AS$279,2,FALSE)))*pr/fq,0),0)</f>
        <v>0</v>
      </c>
      <c r="U152" s="14">
        <f t="shared" ca="1" si="117"/>
        <v>0</v>
      </c>
      <c r="V152" s="34">
        <f>ROUND(MIN(IF(H152&gt;=7,Charges!$C$12*(1+Charges!$C$14)^((H152-7+1)),VLOOKUP(H152,Charges!$B$7:$C$12,2,0))*pr,Charges!$C$13)*B152,Round)</f>
        <v>500</v>
      </c>
      <c r="W152" s="14">
        <f t="shared" ca="1" si="118"/>
        <v>5144007.1861388236</v>
      </c>
      <c r="X152" s="14">
        <f t="shared" ca="1" si="119"/>
        <v>5177103.8832605146</v>
      </c>
      <c r="Y152" s="213">
        <f t="shared" ca="1" si="143"/>
        <v>5827.4114802629156</v>
      </c>
      <c r="Z152" s="14">
        <f t="shared" ca="1" si="120"/>
        <v>5170227.5377138043</v>
      </c>
      <c r="AA152" s="14">
        <f>IF(AND($H152=pt,$F152=11),SUM($K$7:K152)*VLOOKUP(pt,ROC,2,FALSE),0)</f>
        <v>0</v>
      </c>
      <c r="AB152" s="14">
        <f>IF(AND($H152=pt,$F152=11),SUM($V$7:V152)*VLOOKUP(pt,ROC,2,FALSE),0)</f>
        <v>0</v>
      </c>
      <c r="AC152" s="14">
        <f>IF(AND($H152=pt,$F152=11),SUM($Q$7:Q152)*VLOOKUP(pt,ROC,2,FALSE),0)</f>
        <v>0</v>
      </c>
      <c r="AD152" s="14">
        <f t="shared" ca="1" si="121"/>
        <v>5170227.5377138043</v>
      </c>
      <c r="AE152" s="14">
        <f ca="1">(MAX(sa-CF151*Flag_UL_Type,105%*SUM($I$7:I152),Z152)+AU152)*B152</f>
        <v>5170227.5377138043</v>
      </c>
      <c r="AF152" s="136"/>
      <c r="AG152" s="18">
        <v>146</v>
      </c>
      <c r="AH152" s="30">
        <f t="shared" ca="1" si="122"/>
        <v>0</v>
      </c>
      <c r="AI152" s="58"/>
      <c r="AJ152" s="50">
        <f>IF(AND(Option_Sys_TopUp&gt;="Y",H152&gt;=sytp,H152&lt;=(dtp+sytp-1),F152=0,H152&lt;=ppt+1),atp,0)+IFERROR(VLOOKUP(H152,Input!$B$55:$C$61,2,0),0)*(F152=0)*(Option_TopUP="Y")*(Option_Sys_TopUp="N")*B152*(pt&gt;=H152+5)</f>
        <v>0</v>
      </c>
      <c r="AK152" s="50">
        <f t="shared" si="123"/>
        <v>0</v>
      </c>
      <c r="AL152" s="50">
        <f t="shared" si="144"/>
        <v>0</v>
      </c>
      <c r="AM152" s="50">
        <f t="shared" ca="1" si="145"/>
        <v>0</v>
      </c>
      <c r="AN152" s="50">
        <f ca="1">IF(B152=0,0,AT152*(_rpm1+(1+_emr1)*VLOOKUP(E152,Tab_Mort_Charge,IF(Input!$C$12="M",2,3),0))*(0.001*0.0833)*Flag_Mort_Rider_Charge*(AT152&gt;0))</f>
        <v>0</v>
      </c>
      <c r="AO152" s="50">
        <f t="shared" ca="1" si="124"/>
        <v>0</v>
      </c>
      <c r="AP152" s="50">
        <f t="shared" ca="1" si="105"/>
        <v>0</v>
      </c>
      <c r="AQ152" s="50">
        <f t="shared" ca="1" si="125"/>
        <v>0</v>
      </c>
      <c r="AR152" s="50">
        <f t="shared" ca="1" si="126"/>
        <v>0</v>
      </c>
      <c r="AS152" s="50">
        <f t="shared" si="127"/>
        <v>0</v>
      </c>
      <c r="AT152" s="50">
        <f ca="1">(MAX((MAX(AS152,105%*SUM($AJ$7:AJ152))-AM152*Flag_UL_Type),0)*B152)</f>
        <v>0</v>
      </c>
      <c r="AU152" s="50">
        <f ca="1">(MAX(AS152,AR152,105%*SUM($AJ$7:AJ152))*B152)</f>
        <v>0</v>
      </c>
      <c r="AV152" s="125"/>
      <c r="AW152" s="13"/>
      <c r="AX152" s="13"/>
      <c r="AY152" s="13"/>
      <c r="AZ152" s="13"/>
      <c r="BA152" s="13"/>
      <c r="BG152" s="51">
        <f t="shared" si="128"/>
        <v>0</v>
      </c>
      <c r="BH152" s="51">
        <f t="shared" ca="1" si="129"/>
        <v>0</v>
      </c>
      <c r="BI152" s="51">
        <f t="shared" ca="1" si="130"/>
        <v>0</v>
      </c>
      <c r="BJ152" s="51">
        <f t="shared" ca="1" si="131"/>
        <v>0</v>
      </c>
      <c r="BK152" s="51">
        <f t="shared" si="132"/>
        <v>90</v>
      </c>
      <c r="BL152" s="51">
        <f t="shared" ca="1" si="133"/>
        <v>1048.9340664473248</v>
      </c>
      <c r="BM152" s="51">
        <f t="shared" si="134"/>
        <v>0</v>
      </c>
      <c r="BN152" s="51">
        <f t="shared" ca="1" si="135"/>
        <v>0</v>
      </c>
      <c r="BO152" s="51">
        <f t="shared" ca="1" si="136"/>
        <v>0</v>
      </c>
      <c r="BP152" s="51">
        <f t="shared" ca="1" si="137"/>
        <v>1138.9340664473248</v>
      </c>
      <c r="BQ152" s="120"/>
      <c r="BR152" s="32"/>
      <c r="BS152" s="126"/>
      <c r="BT152" s="16"/>
      <c r="BU152" s="58"/>
      <c r="BW152" s="51">
        <f>IF(Input!$C$13="Offline",VLOOKUP(H152,Charges!$AT$4:$AU$33,2,FALSE)*I152,0)</f>
        <v>0</v>
      </c>
      <c r="BX152" s="51">
        <f t="shared" si="138"/>
        <v>0</v>
      </c>
      <c r="BY152" s="51">
        <f t="shared" si="146"/>
        <v>0</v>
      </c>
      <c r="BZ152" s="151"/>
      <c r="CA152" s="151"/>
      <c r="CB152" s="32"/>
      <c r="CC152" s="16">
        <f ca="1">SUM($N$7:$N152)</f>
        <v>0</v>
      </c>
      <c r="CD152" s="16">
        <f t="shared" ca="1" si="139"/>
        <v>0</v>
      </c>
      <c r="CE152" s="16">
        <f t="shared" ca="1" si="140"/>
        <v>0</v>
      </c>
      <c r="CF152" s="7">
        <f t="shared" ca="1" si="141"/>
        <v>0</v>
      </c>
      <c r="CH152" s="7">
        <f t="shared" ca="1" si="142"/>
        <v>0</v>
      </c>
    </row>
    <row r="153" spans="2:86" s="7" customFormat="1" x14ac:dyDescent="0.2">
      <c r="B153" s="14">
        <f t="shared" si="106"/>
        <v>1</v>
      </c>
      <c r="C153" s="12">
        <f t="shared" si="107"/>
        <v>1</v>
      </c>
      <c r="D153" s="17">
        <f t="shared" si="147"/>
        <v>147</v>
      </c>
      <c r="E153" s="17">
        <f t="shared" ca="1" si="108"/>
        <v>72</v>
      </c>
      <c r="F153" s="12">
        <f t="shared" si="149"/>
        <v>2</v>
      </c>
      <c r="G153" s="12">
        <f t="shared" si="148"/>
        <v>25</v>
      </c>
      <c r="H153" s="17">
        <f t="shared" si="150"/>
        <v>13</v>
      </c>
      <c r="I153" s="29">
        <f t="shared" si="109"/>
        <v>0</v>
      </c>
      <c r="J153" s="211">
        <f>IFERROR(VLOOKUP(H153,Charges!$T$6:$U$35,2,0)*C153,0)</f>
        <v>1</v>
      </c>
      <c r="K153" s="29">
        <f t="shared" si="110"/>
        <v>0</v>
      </c>
      <c r="L153" s="29">
        <f t="shared" si="111"/>
        <v>0</v>
      </c>
      <c r="M153" s="147">
        <f t="shared" ca="1" si="112"/>
        <v>0</v>
      </c>
      <c r="N153" s="148">
        <f ca="1">IF(AND(Option_SPW="Y",H153&gt;=Lock_In_Period,Z152&gt;SPW_Amount_pa+IF(option="Single",1/5*pr,2*pr),H153&gt;=SPW_Start_Year,H153&lt;=SPW_Start_Year+SPW_Duration-1,age+H153&gt;=Legal_Age),IF(AND(F153=0,SPW_Payout_Freq=1),SPW_Amount_pa,IF(AND(SPW_Payout_Freq=2,MOD(F153,6)=0),SPW_Amount_pa/SPW_Payout_Freq,IF(AND(SPW_Payout_Freq=4,MOD(F153,3)=0),SPW_Amount_pa/SPW_Payout_Freq,IF(SPW_Payout_Freq=12,SPW_Amount_pa/SPW_Payout_Freq,0)))),0)+IFERROR(VLOOKUP(H153,Input!$B$68:$C$74,2,0),0)*(F153=0)*(Option_PW="Y")*(Option_SPW="N")*(age+H153&gt;=Legal_Age)</f>
        <v>0</v>
      </c>
      <c r="O153" s="148">
        <f t="shared" ca="1" si="113"/>
        <v>0</v>
      </c>
      <c r="P153" s="14">
        <f ca="1">(MAX(MAX(sa-CF152*Flag_UL_Type,105%*SUM($I$7:I153))-(AD152+L153-N153)*Flag_UL_Type,0)*B153)</f>
        <v>0</v>
      </c>
      <c r="Q153" s="213">
        <f t="shared" ca="1" si="114"/>
        <v>0</v>
      </c>
      <c r="R153" s="14">
        <f t="shared" ca="1" si="115"/>
        <v>0</v>
      </c>
      <c r="S153" s="14">
        <f t="shared" ca="1" si="116"/>
        <v>0</v>
      </c>
      <c r="T153" s="14">
        <f>IFERROR(IF(WoP_Flag="Y",IF(fq=1,VLOOKUP(ppt*fq-H153,Charges!$AN$41:$AO$59,2,FALSE),IF(fq=2,VLOOKUP(ppt*fq-G153,Charges!$AP$41:$AQ$79,2,FALSE),VLOOKUP(ppt*fq-D153,Charges!$AR$41:$AS$279,2,FALSE)))*pr/fq,0),0)</f>
        <v>0</v>
      </c>
      <c r="U153" s="14">
        <f t="shared" ca="1" si="117"/>
        <v>0</v>
      </c>
      <c r="V153" s="34">
        <f>ROUND(MIN(IF(H153&gt;=7,Charges!$C$12*(1+Charges!$C$14)^((H153-7+1)),VLOOKUP(H153,Charges!$B$7:$C$12,2,0))*pr,Charges!$C$13)*B153,Round)</f>
        <v>500</v>
      </c>
      <c r="W153" s="14">
        <f t="shared" ca="1" si="118"/>
        <v>5169637.5377138043</v>
      </c>
      <c r="X153" s="14">
        <f t="shared" ca="1" si="119"/>
        <v>5202899.1412892593</v>
      </c>
      <c r="Y153" s="213">
        <f t="shared" ca="1" si="143"/>
        <v>5856.4469383419182</v>
      </c>
      <c r="Z153" s="14">
        <f t="shared" ca="1" si="120"/>
        <v>5195988.5339020155</v>
      </c>
      <c r="AA153" s="14">
        <f>IF(AND($H153=pt,$F153=11),SUM($K$7:K153)*VLOOKUP(pt,ROC,2,FALSE),0)</f>
        <v>0</v>
      </c>
      <c r="AB153" s="14">
        <f>IF(AND($H153=pt,$F153=11),SUM($V$7:V153)*VLOOKUP(pt,ROC,2,FALSE),0)</f>
        <v>0</v>
      </c>
      <c r="AC153" s="14">
        <f>IF(AND($H153=pt,$F153=11),SUM($Q$7:Q153)*VLOOKUP(pt,ROC,2,FALSE),0)</f>
        <v>0</v>
      </c>
      <c r="AD153" s="14">
        <f t="shared" ca="1" si="121"/>
        <v>5195988.5339020155</v>
      </c>
      <c r="AE153" s="14">
        <f ca="1">(MAX(sa-CF152*Flag_UL_Type,105%*SUM($I$7:I153),Z153)+AU153)*B153</f>
        <v>5195988.5339020155</v>
      </c>
      <c r="AF153" s="136"/>
      <c r="AG153" s="18">
        <v>147</v>
      </c>
      <c r="AH153" s="30">
        <f t="shared" ca="1" si="122"/>
        <v>0</v>
      </c>
      <c r="AI153" s="58"/>
      <c r="AJ153" s="50">
        <f>IF(AND(Option_Sys_TopUp&gt;="Y",H153&gt;=sytp,H153&lt;=(dtp+sytp-1),F153=0,H153&lt;=ppt+1),atp,0)+IFERROR(VLOOKUP(H153,Input!$B$55:$C$61,2,0),0)*(F153=0)*(Option_TopUP="Y")*(Option_Sys_TopUp="N")*B153*(pt&gt;=H153+5)</f>
        <v>0</v>
      </c>
      <c r="AK153" s="50">
        <f t="shared" si="123"/>
        <v>0</v>
      </c>
      <c r="AL153" s="50">
        <f t="shared" si="144"/>
        <v>0</v>
      </c>
      <c r="AM153" s="50">
        <f t="shared" ca="1" si="145"/>
        <v>0</v>
      </c>
      <c r="AN153" s="50">
        <f ca="1">IF(B153=0,0,AT153*(_rpm1+(1+_emr1)*VLOOKUP(E153,Tab_Mort_Charge,IF(Input!$C$12="M",2,3),0))*(0.001*0.0833)*Flag_Mort_Rider_Charge*(AT153&gt;0))</f>
        <v>0</v>
      </c>
      <c r="AO153" s="50">
        <f t="shared" ca="1" si="124"/>
        <v>0</v>
      </c>
      <c r="AP153" s="50">
        <f t="shared" ca="1" si="105"/>
        <v>0</v>
      </c>
      <c r="AQ153" s="50">
        <f t="shared" ca="1" si="125"/>
        <v>0</v>
      </c>
      <c r="AR153" s="50">
        <f t="shared" ca="1" si="126"/>
        <v>0</v>
      </c>
      <c r="AS153" s="50">
        <f t="shared" si="127"/>
        <v>0</v>
      </c>
      <c r="AT153" s="50">
        <f ca="1">(MAX((MAX(AS153,105%*SUM($AJ$7:AJ153))-AM153*Flag_UL_Type),0)*B153)</f>
        <v>0</v>
      </c>
      <c r="AU153" s="50">
        <f ca="1">(MAX(AS153,AR153,105%*SUM($AJ$7:AJ153))*B153)</f>
        <v>0</v>
      </c>
      <c r="AV153" s="125"/>
      <c r="AW153" s="13"/>
      <c r="AX153" s="13"/>
      <c r="AY153" s="13"/>
      <c r="AZ153" s="13"/>
      <c r="BA153" s="13"/>
      <c r="BG153" s="51">
        <f t="shared" si="128"/>
        <v>0</v>
      </c>
      <c r="BH153" s="51">
        <f t="shared" ca="1" si="129"/>
        <v>0</v>
      </c>
      <c r="BI153" s="51">
        <f t="shared" ca="1" si="130"/>
        <v>0</v>
      </c>
      <c r="BJ153" s="51">
        <f t="shared" ca="1" si="131"/>
        <v>0</v>
      </c>
      <c r="BK153" s="51">
        <f t="shared" si="132"/>
        <v>90</v>
      </c>
      <c r="BL153" s="51">
        <f t="shared" ca="1" si="133"/>
        <v>1054.1604489015454</v>
      </c>
      <c r="BM153" s="51">
        <f t="shared" si="134"/>
        <v>0</v>
      </c>
      <c r="BN153" s="51">
        <f t="shared" ca="1" si="135"/>
        <v>0</v>
      </c>
      <c r="BO153" s="51">
        <f t="shared" ca="1" si="136"/>
        <v>0</v>
      </c>
      <c r="BP153" s="51">
        <f t="shared" ca="1" si="137"/>
        <v>1144.1604489015454</v>
      </c>
      <c r="BQ153" s="120"/>
      <c r="BR153" s="32"/>
      <c r="BS153" s="126"/>
      <c r="BT153" s="16"/>
      <c r="BU153" s="58"/>
      <c r="BW153" s="51">
        <f>IF(Input!$C$13="Offline",VLOOKUP(H153,Charges!$AT$4:$AU$33,2,FALSE)*I153,0)</f>
        <v>0</v>
      </c>
      <c r="BX153" s="51">
        <f t="shared" si="138"/>
        <v>0</v>
      </c>
      <c r="BY153" s="51">
        <f t="shared" si="146"/>
        <v>0</v>
      </c>
      <c r="BZ153" s="151"/>
      <c r="CA153" s="151"/>
      <c r="CB153" s="32"/>
      <c r="CC153" s="16">
        <f ca="1">SUM($N$7:$N153)</f>
        <v>0</v>
      </c>
      <c r="CD153" s="16">
        <f t="shared" ca="1" si="139"/>
        <v>0</v>
      </c>
      <c r="CE153" s="16">
        <f t="shared" ca="1" si="140"/>
        <v>0</v>
      </c>
      <c r="CF153" s="7">
        <f t="shared" ca="1" si="141"/>
        <v>0</v>
      </c>
      <c r="CH153" s="7">
        <f t="shared" ca="1" si="142"/>
        <v>0</v>
      </c>
    </row>
    <row r="154" spans="2:86" s="7" customFormat="1" x14ac:dyDescent="0.2">
      <c r="B154" s="14">
        <f t="shared" si="106"/>
        <v>1</v>
      </c>
      <c r="C154" s="12">
        <f t="shared" si="107"/>
        <v>1</v>
      </c>
      <c r="D154" s="17">
        <f t="shared" si="147"/>
        <v>148</v>
      </c>
      <c r="E154" s="17">
        <f t="shared" ca="1" si="108"/>
        <v>72</v>
      </c>
      <c r="F154" s="12">
        <f t="shared" si="149"/>
        <v>3</v>
      </c>
      <c r="G154" s="12">
        <f t="shared" si="148"/>
        <v>25</v>
      </c>
      <c r="H154" s="17">
        <f t="shared" si="150"/>
        <v>13</v>
      </c>
      <c r="I154" s="29">
        <f t="shared" si="109"/>
        <v>0</v>
      </c>
      <c r="J154" s="211">
        <f>IFERROR(VLOOKUP(H154,Charges!$T$6:$U$35,2,0)*C154,0)</f>
        <v>1</v>
      </c>
      <c r="K154" s="29">
        <f t="shared" si="110"/>
        <v>0</v>
      </c>
      <c r="L154" s="29">
        <f t="shared" si="111"/>
        <v>0</v>
      </c>
      <c r="M154" s="147">
        <f t="shared" ca="1" si="112"/>
        <v>0</v>
      </c>
      <c r="N154" s="148">
        <f ca="1">IF(AND(Option_SPW="Y",H154&gt;=Lock_In_Period,Z153&gt;SPW_Amount_pa+IF(option="Single",1/5*pr,2*pr),H154&gt;=SPW_Start_Year,H154&lt;=SPW_Start_Year+SPW_Duration-1,age+H154&gt;=Legal_Age),IF(AND(F154=0,SPW_Payout_Freq=1),SPW_Amount_pa,IF(AND(SPW_Payout_Freq=2,MOD(F154,6)=0),SPW_Amount_pa/SPW_Payout_Freq,IF(AND(SPW_Payout_Freq=4,MOD(F154,3)=0),SPW_Amount_pa/SPW_Payout_Freq,IF(SPW_Payout_Freq=12,SPW_Amount_pa/SPW_Payout_Freq,0)))),0)+IFERROR(VLOOKUP(H154,Input!$B$68:$C$74,2,0),0)*(F154=0)*(Option_PW="Y")*(Option_SPW="N")*(age+H154&gt;=Legal_Age)</f>
        <v>0</v>
      </c>
      <c r="O154" s="148">
        <f t="shared" ca="1" si="113"/>
        <v>0</v>
      </c>
      <c r="P154" s="14">
        <f ca="1">(MAX(MAX(sa-CF153*Flag_UL_Type,105%*SUM($I$7:I154))-(AD153+L154-N154)*Flag_UL_Type,0)*B154)</f>
        <v>0</v>
      </c>
      <c r="Q154" s="213">
        <f t="shared" ca="1" si="114"/>
        <v>0</v>
      </c>
      <c r="R154" s="14">
        <f t="shared" ca="1" si="115"/>
        <v>0</v>
      </c>
      <c r="S154" s="14">
        <f t="shared" ca="1" si="116"/>
        <v>0</v>
      </c>
      <c r="T154" s="14">
        <f>IFERROR(IF(WoP_Flag="Y",IF(fq=1,VLOOKUP(ppt*fq-H154,Charges!$AN$41:$AO$59,2,FALSE),IF(fq=2,VLOOKUP(ppt*fq-G154,Charges!$AP$41:$AQ$79,2,FALSE),VLOOKUP(ppt*fq-D154,Charges!$AR$41:$AS$279,2,FALSE)))*pr/fq,0),0)</f>
        <v>0</v>
      </c>
      <c r="U154" s="14">
        <f t="shared" ca="1" si="117"/>
        <v>0</v>
      </c>
      <c r="V154" s="34">
        <f>ROUND(MIN(IF(H154&gt;=7,Charges!$C$12*(1+Charges!$C$14)^((H154-7+1)),VLOOKUP(H154,Charges!$B$7:$C$12,2,0))*pr,Charges!$C$13)*B154,Round)</f>
        <v>500</v>
      </c>
      <c r="W154" s="14">
        <f t="shared" ca="1" si="118"/>
        <v>5195398.5339020155</v>
      </c>
      <c r="X154" s="14">
        <f t="shared" ca="1" si="119"/>
        <v>5228825.8845026083</v>
      </c>
      <c r="Y154" s="213">
        <f t="shared" ca="1" si="143"/>
        <v>5885.6303977536199</v>
      </c>
      <c r="Z154" s="14">
        <f t="shared" ca="1" si="120"/>
        <v>5221880.8406332592</v>
      </c>
      <c r="AA154" s="14">
        <f>IF(AND($H154=pt,$F154=11),SUM($K$7:K154)*VLOOKUP(pt,ROC,2,FALSE),0)</f>
        <v>0</v>
      </c>
      <c r="AB154" s="14">
        <f>IF(AND($H154=pt,$F154=11),SUM($V$7:V154)*VLOOKUP(pt,ROC,2,FALSE),0)</f>
        <v>0</v>
      </c>
      <c r="AC154" s="14">
        <f>IF(AND($H154=pt,$F154=11),SUM($Q$7:Q154)*VLOOKUP(pt,ROC,2,FALSE),0)</f>
        <v>0</v>
      </c>
      <c r="AD154" s="14">
        <f t="shared" ca="1" si="121"/>
        <v>5221880.8406332592</v>
      </c>
      <c r="AE154" s="14">
        <f ca="1">(MAX(sa-CF153*Flag_UL_Type,105%*SUM($I$7:I154),Z154)+AU154)*B154</f>
        <v>5221880.8406332592</v>
      </c>
      <c r="AF154" s="136"/>
      <c r="AG154" s="18">
        <v>148</v>
      </c>
      <c r="AH154" s="30">
        <f t="shared" ca="1" si="122"/>
        <v>0</v>
      </c>
      <c r="AI154" s="58"/>
      <c r="AJ154" s="50">
        <f>IF(AND(Option_Sys_TopUp&gt;="Y",H154&gt;=sytp,H154&lt;=(dtp+sytp-1),F154=0,H154&lt;=ppt+1),atp,0)+IFERROR(VLOOKUP(H154,Input!$B$55:$C$61,2,0),0)*(F154=0)*(Option_TopUP="Y")*(Option_Sys_TopUp="N")*B154*(pt&gt;=H154+5)</f>
        <v>0</v>
      </c>
      <c r="AK154" s="50">
        <f t="shared" si="123"/>
        <v>0</v>
      </c>
      <c r="AL154" s="50">
        <f t="shared" si="144"/>
        <v>0</v>
      </c>
      <c r="AM154" s="50">
        <f t="shared" ca="1" si="145"/>
        <v>0</v>
      </c>
      <c r="AN154" s="50">
        <f ca="1">IF(B154=0,0,AT154*(_rpm1+(1+_emr1)*VLOOKUP(E154,Tab_Mort_Charge,IF(Input!$C$12="M",2,3),0))*(0.001*0.0833)*Flag_Mort_Rider_Charge*(AT154&gt;0))</f>
        <v>0</v>
      </c>
      <c r="AO154" s="50">
        <f t="shared" ca="1" si="124"/>
        <v>0</v>
      </c>
      <c r="AP154" s="50">
        <f t="shared" ca="1" si="105"/>
        <v>0</v>
      </c>
      <c r="AQ154" s="50">
        <f t="shared" ca="1" si="125"/>
        <v>0</v>
      </c>
      <c r="AR154" s="50">
        <f t="shared" ca="1" si="126"/>
        <v>0</v>
      </c>
      <c r="AS154" s="50">
        <f t="shared" si="127"/>
        <v>0</v>
      </c>
      <c r="AT154" s="50">
        <f ca="1">(MAX((MAX(AS154,105%*SUM($AJ$7:AJ154))-AM154*Flag_UL_Type),0)*B154)</f>
        <v>0</v>
      </c>
      <c r="AU154" s="50">
        <f ca="1">(MAX(AS154,AR154,105%*SUM($AJ$7:AJ154))*B154)</f>
        <v>0</v>
      </c>
      <c r="AV154" s="125"/>
      <c r="AW154" s="13"/>
      <c r="AX154" s="13"/>
      <c r="AY154" s="13"/>
      <c r="AZ154" s="13"/>
      <c r="BA154" s="13"/>
      <c r="BG154" s="51">
        <f t="shared" si="128"/>
        <v>0</v>
      </c>
      <c r="BH154" s="51">
        <f t="shared" ca="1" si="129"/>
        <v>0</v>
      </c>
      <c r="BI154" s="51">
        <f t="shared" ca="1" si="130"/>
        <v>0</v>
      </c>
      <c r="BJ154" s="51">
        <f t="shared" ca="1" si="131"/>
        <v>0</v>
      </c>
      <c r="BK154" s="51">
        <f t="shared" si="132"/>
        <v>90</v>
      </c>
      <c r="BL154" s="51">
        <f t="shared" ca="1" si="133"/>
        <v>1059.4134715956516</v>
      </c>
      <c r="BM154" s="51">
        <f t="shared" si="134"/>
        <v>0</v>
      </c>
      <c r="BN154" s="51">
        <f t="shared" ca="1" si="135"/>
        <v>0</v>
      </c>
      <c r="BO154" s="51">
        <f t="shared" ca="1" si="136"/>
        <v>0</v>
      </c>
      <c r="BP154" s="51">
        <f t="shared" ca="1" si="137"/>
        <v>1149.4134715956516</v>
      </c>
      <c r="BQ154" s="120"/>
      <c r="BR154" s="32"/>
      <c r="BS154" s="126"/>
      <c r="BT154" s="16"/>
      <c r="BU154" s="58"/>
      <c r="BW154" s="51">
        <f>IF(Input!$C$13="Offline",VLOOKUP(H154,Charges!$AT$4:$AU$33,2,FALSE)*I154,0)</f>
        <v>0</v>
      </c>
      <c r="BX154" s="51">
        <f t="shared" si="138"/>
        <v>0</v>
      </c>
      <c r="BY154" s="51">
        <f t="shared" si="146"/>
        <v>0</v>
      </c>
      <c r="BZ154" s="151"/>
      <c r="CA154" s="151"/>
      <c r="CB154" s="32"/>
      <c r="CC154" s="16">
        <f ca="1">SUM($N$7:$N154)</f>
        <v>0</v>
      </c>
      <c r="CD154" s="16">
        <f t="shared" ca="1" si="139"/>
        <v>0</v>
      </c>
      <c r="CE154" s="16">
        <f t="shared" ca="1" si="140"/>
        <v>0</v>
      </c>
      <c r="CF154" s="7">
        <f t="shared" ca="1" si="141"/>
        <v>0</v>
      </c>
      <c r="CH154" s="7">
        <f t="shared" ca="1" si="142"/>
        <v>0</v>
      </c>
    </row>
    <row r="155" spans="2:86" s="7" customFormat="1" x14ac:dyDescent="0.2">
      <c r="B155" s="14">
        <f t="shared" si="106"/>
        <v>1</v>
      </c>
      <c r="C155" s="12">
        <f t="shared" si="107"/>
        <v>1</v>
      </c>
      <c r="D155" s="17">
        <f t="shared" si="147"/>
        <v>149</v>
      </c>
      <c r="E155" s="17">
        <f t="shared" ca="1" si="108"/>
        <v>72</v>
      </c>
      <c r="F155" s="12">
        <f t="shared" si="149"/>
        <v>4</v>
      </c>
      <c r="G155" s="12">
        <f t="shared" si="148"/>
        <v>25</v>
      </c>
      <c r="H155" s="17">
        <f t="shared" si="150"/>
        <v>13</v>
      </c>
      <c r="I155" s="29">
        <f t="shared" si="109"/>
        <v>0</v>
      </c>
      <c r="J155" s="211">
        <f>IFERROR(VLOOKUP(H155,Charges!$T$6:$U$35,2,0)*C155,0)</f>
        <v>1</v>
      </c>
      <c r="K155" s="29">
        <f t="shared" si="110"/>
        <v>0</v>
      </c>
      <c r="L155" s="29">
        <f t="shared" si="111"/>
        <v>0</v>
      </c>
      <c r="M155" s="147">
        <f t="shared" ca="1" si="112"/>
        <v>0</v>
      </c>
      <c r="N155" s="148">
        <f ca="1">IF(AND(Option_SPW="Y",H155&gt;=Lock_In_Period,Z154&gt;SPW_Amount_pa+IF(option="Single",1/5*pr,2*pr),H155&gt;=SPW_Start_Year,H155&lt;=SPW_Start_Year+SPW_Duration-1,age+H155&gt;=Legal_Age),IF(AND(F155=0,SPW_Payout_Freq=1),SPW_Amount_pa,IF(AND(SPW_Payout_Freq=2,MOD(F155,6)=0),SPW_Amount_pa/SPW_Payout_Freq,IF(AND(SPW_Payout_Freq=4,MOD(F155,3)=0),SPW_Amount_pa/SPW_Payout_Freq,IF(SPW_Payout_Freq=12,SPW_Amount_pa/SPW_Payout_Freq,0)))),0)+IFERROR(VLOOKUP(H155,Input!$B$68:$C$74,2,0),0)*(F155=0)*(Option_PW="Y")*(Option_SPW="N")*(age+H155&gt;=Legal_Age)</f>
        <v>0</v>
      </c>
      <c r="O155" s="148">
        <f t="shared" ca="1" si="113"/>
        <v>0</v>
      </c>
      <c r="P155" s="14">
        <f ca="1">(MAX(MAX(sa-CF154*Flag_UL_Type,105%*SUM($I$7:I155))-(AD154+L155-N155)*Flag_UL_Type,0)*B155)</f>
        <v>0</v>
      </c>
      <c r="Q155" s="213">
        <f t="shared" ca="1" si="114"/>
        <v>0</v>
      </c>
      <c r="R155" s="14">
        <f t="shared" ca="1" si="115"/>
        <v>0</v>
      </c>
      <c r="S155" s="14">
        <f t="shared" ca="1" si="116"/>
        <v>0</v>
      </c>
      <c r="T155" s="14">
        <f>IFERROR(IF(WoP_Flag="Y",IF(fq=1,VLOOKUP(ppt*fq-H155,Charges!$AN$41:$AO$59,2,FALSE),IF(fq=2,VLOOKUP(ppt*fq-G155,Charges!$AP$41:$AQ$79,2,FALSE),VLOOKUP(ppt*fq-D155,Charges!$AR$41:$AS$279,2,FALSE)))*pr/fq,0),0)</f>
        <v>0</v>
      </c>
      <c r="U155" s="14">
        <f t="shared" ca="1" si="117"/>
        <v>0</v>
      </c>
      <c r="V155" s="34">
        <f>ROUND(MIN(IF(H155&gt;=7,Charges!$C$12*(1+Charges!$C$14)^((H155-7+1)),VLOOKUP(H155,Charges!$B$7:$C$12,2,0))*pr,Charges!$C$13)*B155,Round)</f>
        <v>500</v>
      </c>
      <c r="W155" s="14">
        <f t="shared" ca="1" si="118"/>
        <v>5221290.8406332592</v>
      </c>
      <c r="X155" s="14">
        <f t="shared" ca="1" si="119"/>
        <v>5254884.783114979</v>
      </c>
      <c r="Y155" s="213">
        <f t="shared" ca="1" si="143"/>
        <v>5914.9626128995715</v>
      </c>
      <c r="Z155" s="14">
        <f t="shared" ca="1" si="120"/>
        <v>5247905.1272317572</v>
      </c>
      <c r="AA155" s="14">
        <f>IF(AND($H155=pt,$F155=11),SUM($K$7:K155)*VLOOKUP(pt,ROC,2,FALSE),0)</f>
        <v>0</v>
      </c>
      <c r="AB155" s="14">
        <f>IF(AND($H155=pt,$F155=11),SUM($V$7:V155)*VLOOKUP(pt,ROC,2,FALSE),0)</f>
        <v>0</v>
      </c>
      <c r="AC155" s="14">
        <f>IF(AND($H155=pt,$F155=11),SUM($Q$7:Q155)*VLOOKUP(pt,ROC,2,FALSE),0)</f>
        <v>0</v>
      </c>
      <c r="AD155" s="14">
        <f t="shared" ca="1" si="121"/>
        <v>5247905.1272317572</v>
      </c>
      <c r="AE155" s="14">
        <f ca="1">(MAX(sa-CF154*Flag_UL_Type,105%*SUM($I$7:I155),Z155)+AU155)*B155</f>
        <v>5247905.1272317572</v>
      </c>
      <c r="AF155" s="136"/>
      <c r="AG155" s="18">
        <v>149</v>
      </c>
      <c r="AH155" s="30">
        <f t="shared" ca="1" si="122"/>
        <v>0</v>
      </c>
      <c r="AI155" s="58"/>
      <c r="AJ155" s="50">
        <f>IF(AND(Option_Sys_TopUp&gt;="Y",H155&gt;=sytp,H155&lt;=(dtp+sytp-1),F155=0,H155&lt;=ppt+1),atp,0)+IFERROR(VLOOKUP(H155,Input!$B$55:$C$61,2,0),0)*(F155=0)*(Option_TopUP="Y")*(Option_Sys_TopUp="N")*B155*(pt&gt;=H155+5)</f>
        <v>0</v>
      </c>
      <c r="AK155" s="50">
        <f t="shared" si="123"/>
        <v>0</v>
      </c>
      <c r="AL155" s="50">
        <f t="shared" si="144"/>
        <v>0</v>
      </c>
      <c r="AM155" s="50">
        <f t="shared" ca="1" si="145"/>
        <v>0</v>
      </c>
      <c r="AN155" s="50">
        <f ca="1">IF(B155=0,0,AT155*(_rpm1+(1+_emr1)*VLOOKUP(E155,Tab_Mort_Charge,IF(Input!$C$12="M",2,3),0))*(0.001*0.0833)*Flag_Mort_Rider_Charge*(AT155&gt;0))</f>
        <v>0</v>
      </c>
      <c r="AO155" s="50">
        <f t="shared" ca="1" si="124"/>
        <v>0</v>
      </c>
      <c r="AP155" s="50">
        <f t="shared" ref="AP155:AP218" ca="1" si="151">AO155*(1+$F$3)*B155</f>
        <v>0</v>
      </c>
      <c r="AQ155" s="50">
        <f t="shared" ca="1" si="125"/>
        <v>0</v>
      </c>
      <c r="AR155" s="50">
        <f t="shared" ca="1" si="126"/>
        <v>0</v>
      </c>
      <c r="AS155" s="50">
        <f t="shared" si="127"/>
        <v>0</v>
      </c>
      <c r="AT155" s="50">
        <f ca="1">(MAX((MAX(AS155,105%*SUM($AJ$7:AJ155))-AM155*Flag_UL_Type),0)*B155)</f>
        <v>0</v>
      </c>
      <c r="AU155" s="50">
        <f ca="1">(MAX(AS155,AR155,105%*SUM($AJ$7:AJ155))*B155)</f>
        <v>0</v>
      </c>
      <c r="AV155" s="125"/>
      <c r="AW155" s="13"/>
      <c r="AX155" s="13"/>
      <c r="AY155" s="13"/>
      <c r="AZ155" s="13"/>
      <c r="BA155" s="13"/>
      <c r="BG155" s="51">
        <f t="shared" si="128"/>
        <v>0</v>
      </c>
      <c r="BH155" s="51">
        <f t="shared" ca="1" si="129"/>
        <v>0</v>
      </c>
      <c r="BI155" s="51">
        <f t="shared" ca="1" si="130"/>
        <v>0</v>
      </c>
      <c r="BJ155" s="51">
        <f t="shared" ca="1" si="131"/>
        <v>0</v>
      </c>
      <c r="BK155" s="51">
        <f t="shared" si="132"/>
        <v>90</v>
      </c>
      <c r="BL155" s="51">
        <f t="shared" ca="1" si="133"/>
        <v>1064.6932703219229</v>
      </c>
      <c r="BM155" s="51">
        <f t="shared" si="134"/>
        <v>0</v>
      </c>
      <c r="BN155" s="51">
        <f t="shared" ca="1" si="135"/>
        <v>0</v>
      </c>
      <c r="BO155" s="51">
        <f t="shared" ca="1" si="136"/>
        <v>0</v>
      </c>
      <c r="BP155" s="51">
        <f t="shared" ca="1" si="137"/>
        <v>1154.6932703219229</v>
      </c>
      <c r="BQ155" s="120"/>
      <c r="BR155" s="32"/>
      <c r="BS155" s="126"/>
      <c r="BT155" s="16"/>
      <c r="BU155" s="58"/>
      <c r="BW155" s="51">
        <f>IF(Input!$C$13="Offline",VLOOKUP(H155,Charges!$AT$4:$AU$33,2,FALSE)*I155,0)</f>
        <v>0</v>
      </c>
      <c r="BX155" s="51">
        <f t="shared" si="138"/>
        <v>0</v>
      </c>
      <c r="BY155" s="51">
        <f t="shared" si="146"/>
        <v>0</v>
      </c>
      <c r="BZ155" s="151"/>
      <c r="CA155" s="151"/>
      <c r="CB155" s="32"/>
      <c r="CC155" s="16">
        <f ca="1">SUM($N$7:$N155)</f>
        <v>0</v>
      </c>
      <c r="CD155" s="16">
        <f t="shared" ca="1" si="139"/>
        <v>0</v>
      </c>
      <c r="CE155" s="16">
        <f t="shared" ca="1" si="140"/>
        <v>0</v>
      </c>
      <c r="CF155" s="7">
        <f t="shared" ca="1" si="141"/>
        <v>0</v>
      </c>
      <c r="CH155" s="7">
        <f t="shared" ca="1" si="142"/>
        <v>0</v>
      </c>
    </row>
    <row r="156" spans="2:86" s="7" customFormat="1" x14ac:dyDescent="0.2">
      <c r="B156" s="14">
        <f t="shared" si="106"/>
        <v>1</v>
      </c>
      <c r="C156" s="12">
        <f t="shared" si="107"/>
        <v>1</v>
      </c>
      <c r="D156" s="17">
        <f t="shared" si="147"/>
        <v>150</v>
      </c>
      <c r="E156" s="17">
        <f t="shared" ca="1" si="108"/>
        <v>72</v>
      </c>
      <c r="F156" s="12">
        <f t="shared" si="149"/>
        <v>5</v>
      </c>
      <c r="G156" s="12">
        <f t="shared" si="148"/>
        <v>25</v>
      </c>
      <c r="H156" s="17">
        <f t="shared" si="150"/>
        <v>13</v>
      </c>
      <c r="I156" s="29">
        <f t="shared" si="109"/>
        <v>0</v>
      </c>
      <c r="J156" s="211">
        <f>IFERROR(VLOOKUP(H156,Charges!$T$6:$U$35,2,0)*C156,0)</f>
        <v>1</v>
      </c>
      <c r="K156" s="29">
        <f t="shared" si="110"/>
        <v>0</v>
      </c>
      <c r="L156" s="29">
        <f t="shared" si="111"/>
        <v>0</v>
      </c>
      <c r="M156" s="147">
        <f t="shared" ca="1" si="112"/>
        <v>0</v>
      </c>
      <c r="N156" s="148">
        <f ca="1">IF(AND(Option_SPW="Y",H156&gt;=Lock_In_Period,Z155&gt;SPW_Amount_pa+IF(option="Single",1/5*pr,2*pr),H156&gt;=SPW_Start_Year,H156&lt;=SPW_Start_Year+SPW_Duration-1,age+H156&gt;=Legal_Age),IF(AND(F156=0,SPW_Payout_Freq=1),SPW_Amount_pa,IF(AND(SPW_Payout_Freq=2,MOD(F156,6)=0),SPW_Amount_pa/SPW_Payout_Freq,IF(AND(SPW_Payout_Freq=4,MOD(F156,3)=0),SPW_Amount_pa/SPW_Payout_Freq,IF(SPW_Payout_Freq=12,SPW_Amount_pa/SPW_Payout_Freq,0)))),0)+IFERROR(VLOOKUP(H156,Input!$B$68:$C$74,2,0),0)*(F156=0)*(Option_PW="Y")*(Option_SPW="N")*(age+H156&gt;=Legal_Age)</f>
        <v>0</v>
      </c>
      <c r="O156" s="148">
        <f t="shared" ca="1" si="113"/>
        <v>0</v>
      </c>
      <c r="P156" s="14">
        <f ca="1">(MAX(MAX(sa-CF155*Flag_UL_Type,105%*SUM($I$7:I156))-(AD155+L156-N156)*Flag_UL_Type,0)*B156)</f>
        <v>0</v>
      </c>
      <c r="Q156" s="213">
        <f t="shared" ca="1" si="114"/>
        <v>0</v>
      </c>
      <c r="R156" s="14">
        <f t="shared" ca="1" si="115"/>
        <v>0</v>
      </c>
      <c r="S156" s="14">
        <f t="shared" ca="1" si="116"/>
        <v>0</v>
      </c>
      <c r="T156" s="14">
        <f>IFERROR(IF(WoP_Flag="Y",IF(fq=1,VLOOKUP(ppt*fq-H156,Charges!$AN$41:$AO$59,2,FALSE),IF(fq=2,VLOOKUP(ppt*fq-G156,Charges!$AP$41:$AQ$79,2,FALSE),VLOOKUP(ppt*fq-D156,Charges!$AR$41:$AS$279,2,FALSE)))*pr/fq,0),0)</f>
        <v>0</v>
      </c>
      <c r="U156" s="14">
        <f t="shared" ca="1" si="117"/>
        <v>0</v>
      </c>
      <c r="V156" s="34">
        <f>ROUND(MIN(IF(H156&gt;=7,Charges!$C$12*(1+Charges!$C$14)^((H156-7+1)),VLOOKUP(H156,Charges!$B$7:$C$12,2,0))*pr,Charges!$C$13)*B156,Round)</f>
        <v>500</v>
      </c>
      <c r="W156" s="14">
        <f t="shared" ca="1" si="118"/>
        <v>5247315.1272317572</v>
      </c>
      <c r="X156" s="14">
        <f t="shared" ca="1" si="119"/>
        <v>5281076.510757043</v>
      </c>
      <c r="Y156" s="213">
        <f t="shared" ca="1" si="143"/>
        <v>5944.444342026698</v>
      </c>
      <c r="Z156" s="14">
        <f t="shared" ca="1" si="120"/>
        <v>5274062.0664334511</v>
      </c>
      <c r="AA156" s="14">
        <f>IF(AND($H156=pt,$F156=11),SUM($K$7:K156)*VLOOKUP(pt,ROC,2,FALSE),0)</f>
        <v>0</v>
      </c>
      <c r="AB156" s="14">
        <f>IF(AND($H156=pt,$F156=11),SUM($V$7:V156)*VLOOKUP(pt,ROC,2,FALSE),0)</f>
        <v>0</v>
      </c>
      <c r="AC156" s="14">
        <f>IF(AND($H156=pt,$F156=11),SUM($Q$7:Q156)*VLOOKUP(pt,ROC,2,FALSE),0)</f>
        <v>0</v>
      </c>
      <c r="AD156" s="14">
        <f t="shared" ca="1" si="121"/>
        <v>5274062.0664334511</v>
      </c>
      <c r="AE156" s="14">
        <f ca="1">(MAX(sa-CF155*Flag_UL_Type,105%*SUM($I$7:I156),Z156)+AU156)*B156</f>
        <v>5274062.0664334511</v>
      </c>
      <c r="AF156" s="136"/>
      <c r="AG156" s="18">
        <v>150</v>
      </c>
      <c r="AH156" s="30">
        <f t="shared" ca="1" si="122"/>
        <v>0</v>
      </c>
      <c r="AI156" s="58"/>
      <c r="AJ156" s="50">
        <f>IF(AND(Option_Sys_TopUp&gt;="Y",H156&gt;=sytp,H156&lt;=(dtp+sytp-1),F156=0,H156&lt;=ppt+1),atp,0)+IFERROR(VLOOKUP(H156,Input!$B$55:$C$61,2,0),0)*(F156=0)*(Option_TopUP="Y")*(Option_Sys_TopUp="N")*B156*(pt&gt;=H156+5)</f>
        <v>0</v>
      </c>
      <c r="AK156" s="50">
        <f t="shared" si="123"/>
        <v>0</v>
      </c>
      <c r="AL156" s="50">
        <f t="shared" si="144"/>
        <v>0</v>
      </c>
      <c r="AM156" s="50">
        <f t="shared" ca="1" si="145"/>
        <v>0</v>
      </c>
      <c r="AN156" s="50">
        <f ca="1">IF(B156=0,0,AT156*(_rpm1+(1+_emr1)*VLOOKUP(E156,Tab_Mort_Charge,IF(Input!$C$12="M",2,3),0))*(0.001*0.0833)*Flag_Mort_Rider_Charge*(AT156&gt;0))</f>
        <v>0</v>
      </c>
      <c r="AO156" s="50">
        <f t="shared" ca="1" si="124"/>
        <v>0</v>
      </c>
      <c r="AP156" s="50">
        <f t="shared" ca="1" si="151"/>
        <v>0</v>
      </c>
      <c r="AQ156" s="50">
        <f t="shared" ca="1" si="125"/>
        <v>0</v>
      </c>
      <c r="AR156" s="50">
        <f t="shared" ca="1" si="126"/>
        <v>0</v>
      </c>
      <c r="AS156" s="50">
        <f t="shared" si="127"/>
        <v>0</v>
      </c>
      <c r="AT156" s="50">
        <f ca="1">(MAX((MAX(AS156,105%*SUM($AJ$7:AJ156))-AM156*Flag_UL_Type),0)*B156)</f>
        <v>0</v>
      </c>
      <c r="AU156" s="50">
        <f ca="1">(MAX(AS156,AR156,105%*SUM($AJ$7:AJ156))*B156)</f>
        <v>0</v>
      </c>
      <c r="AV156" s="125"/>
      <c r="AW156" s="13"/>
      <c r="AX156" s="13"/>
      <c r="AY156" s="13"/>
      <c r="AZ156" s="13"/>
      <c r="BA156" s="13"/>
      <c r="BG156" s="51">
        <f t="shared" si="128"/>
        <v>0</v>
      </c>
      <c r="BH156" s="51">
        <f t="shared" ca="1" si="129"/>
        <v>0</v>
      </c>
      <c r="BI156" s="51">
        <f t="shared" ca="1" si="130"/>
        <v>0</v>
      </c>
      <c r="BJ156" s="51">
        <f t="shared" ca="1" si="131"/>
        <v>0</v>
      </c>
      <c r="BK156" s="51">
        <f t="shared" si="132"/>
        <v>90</v>
      </c>
      <c r="BL156" s="51">
        <f t="shared" ca="1" si="133"/>
        <v>1069.9999815648057</v>
      </c>
      <c r="BM156" s="51">
        <f t="shared" si="134"/>
        <v>0</v>
      </c>
      <c r="BN156" s="51">
        <f t="shared" ca="1" si="135"/>
        <v>0</v>
      </c>
      <c r="BO156" s="51">
        <f t="shared" ca="1" si="136"/>
        <v>0</v>
      </c>
      <c r="BP156" s="51">
        <f t="shared" ca="1" si="137"/>
        <v>1159.9999815648057</v>
      </c>
      <c r="BQ156" s="120"/>
      <c r="BR156" s="32"/>
      <c r="BS156" s="126"/>
      <c r="BT156" s="16"/>
      <c r="BU156" s="58"/>
      <c r="BW156" s="51">
        <f>IF(Input!$C$13="Offline",VLOOKUP(H156,Charges!$AT$4:$AU$33,2,FALSE)*I156,0)</f>
        <v>0</v>
      </c>
      <c r="BX156" s="51">
        <f t="shared" si="138"/>
        <v>0</v>
      </c>
      <c r="BY156" s="51">
        <f t="shared" si="146"/>
        <v>0</v>
      </c>
      <c r="BZ156" s="151"/>
      <c r="CA156" s="151"/>
      <c r="CB156" s="32"/>
      <c r="CC156" s="16">
        <f ca="1">SUM($N$7:$N156)</f>
        <v>0</v>
      </c>
      <c r="CD156" s="16">
        <f t="shared" ca="1" si="139"/>
        <v>0</v>
      </c>
      <c r="CE156" s="16">
        <f t="shared" ca="1" si="140"/>
        <v>0</v>
      </c>
      <c r="CF156" s="7">
        <f t="shared" ca="1" si="141"/>
        <v>0</v>
      </c>
      <c r="CH156" s="7">
        <f t="shared" ca="1" si="142"/>
        <v>0</v>
      </c>
    </row>
    <row r="157" spans="2:86" s="7" customFormat="1" x14ac:dyDescent="0.2">
      <c r="B157" s="14">
        <f t="shared" si="106"/>
        <v>1</v>
      </c>
      <c r="C157" s="12">
        <f t="shared" si="107"/>
        <v>1</v>
      </c>
      <c r="D157" s="17">
        <f t="shared" si="147"/>
        <v>151</v>
      </c>
      <c r="E157" s="17">
        <f t="shared" ca="1" si="108"/>
        <v>72</v>
      </c>
      <c r="F157" s="12">
        <f t="shared" si="149"/>
        <v>6</v>
      </c>
      <c r="G157" s="12">
        <f t="shared" si="148"/>
        <v>26</v>
      </c>
      <c r="H157" s="17">
        <f t="shared" si="150"/>
        <v>13</v>
      </c>
      <c r="I157" s="29">
        <f t="shared" si="109"/>
        <v>0</v>
      </c>
      <c r="J157" s="211">
        <f>IFERROR(VLOOKUP(H157,Charges!$T$6:$U$35,2,0)*C157,0)</f>
        <v>1</v>
      </c>
      <c r="K157" s="29">
        <f t="shared" si="110"/>
        <v>0</v>
      </c>
      <c r="L157" s="29">
        <f t="shared" si="111"/>
        <v>0</v>
      </c>
      <c r="M157" s="147">
        <f t="shared" ca="1" si="112"/>
        <v>0</v>
      </c>
      <c r="N157" s="148">
        <f ca="1">IF(AND(Option_SPW="Y",H157&gt;=Lock_In_Period,Z156&gt;SPW_Amount_pa+IF(option="Single",1/5*pr,2*pr),H157&gt;=SPW_Start_Year,H157&lt;=SPW_Start_Year+SPW_Duration-1,age+H157&gt;=Legal_Age),IF(AND(F157=0,SPW_Payout_Freq=1),SPW_Amount_pa,IF(AND(SPW_Payout_Freq=2,MOD(F157,6)=0),SPW_Amount_pa/SPW_Payout_Freq,IF(AND(SPW_Payout_Freq=4,MOD(F157,3)=0),SPW_Amount_pa/SPW_Payout_Freq,IF(SPW_Payout_Freq=12,SPW_Amount_pa/SPW_Payout_Freq,0)))),0)+IFERROR(VLOOKUP(H157,Input!$B$68:$C$74,2,0),0)*(F157=0)*(Option_PW="Y")*(Option_SPW="N")*(age+H157&gt;=Legal_Age)</f>
        <v>0</v>
      </c>
      <c r="O157" s="148">
        <f t="shared" ca="1" si="113"/>
        <v>0</v>
      </c>
      <c r="P157" s="14">
        <f ca="1">(MAX(MAX(sa-CF156*Flag_UL_Type,105%*SUM($I$7:I157))-(AD156+L157-N157)*Flag_UL_Type,0)*B157)</f>
        <v>0</v>
      </c>
      <c r="Q157" s="213">
        <f t="shared" ca="1" si="114"/>
        <v>0</v>
      </c>
      <c r="R157" s="14">
        <f t="shared" ca="1" si="115"/>
        <v>0</v>
      </c>
      <c r="S157" s="14">
        <f t="shared" ca="1" si="116"/>
        <v>0</v>
      </c>
      <c r="T157" s="14">
        <f>IFERROR(IF(WoP_Flag="Y",IF(fq=1,VLOOKUP(ppt*fq-H157,Charges!$AN$41:$AO$59,2,FALSE),IF(fq=2,VLOOKUP(ppt*fq-G157,Charges!$AP$41:$AQ$79,2,FALSE),VLOOKUP(ppt*fq-D157,Charges!$AR$41:$AS$279,2,FALSE)))*pr/fq,0),0)</f>
        <v>0</v>
      </c>
      <c r="U157" s="14">
        <f t="shared" ca="1" si="117"/>
        <v>0</v>
      </c>
      <c r="V157" s="34">
        <f>ROUND(MIN(IF(H157&gt;=7,Charges!$C$12*(1+Charges!$C$14)^((H157-7+1)),VLOOKUP(H157,Charges!$B$7:$C$12,2,0))*pr,Charges!$C$13)*B157,Round)</f>
        <v>500</v>
      </c>
      <c r="W157" s="14">
        <f t="shared" ca="1" si="118"/>
        <v>5273472.0664334511</v>
      </c>
      <c r="X157" s="14">
        <f t="shared" ca="1" si="119"/>
        <v>5307401.7444931464</v>
      </c>
      <c r="Y157" s="213">
        <f t="shared" ca="1" si="143"/>
        <v>5974.0763472469134</v>
      </c>
      <c r="Z157" s="14">
        <f t="shared" ca="1" si="120"/>
        <v>5300352.3344033947</v>
      </c>
      <c r="AA157" s="14">
        <f>IF(AND($H157=pt,$F157=11),SUM($K$7:K157)*VLOOKUP(pt,ROC,2,FALSE),0)</f>
        <v>0</v>
      </c>
      <c r="AB157" s="14">
        <f>IF(AND($H157=pt,$F157=11),SUM($V$7:V157)*VLOOKUP(pt,ROC,2,FALSE),0)</f>
        <v>0</v>
      </c>
      <c r="AC157" s="14">
        <f>IF(AND($H157=pt,$F157=11),SUM($Q$7:Q157)*VLOOKUP(pt,ROC,2,FALSE),0)</f>
        <v>0</v>
      </c>
      <c r="AD157" s="14">
        <f t="shared" ca="1" si="121"/>
        <v>5300352.3344033947</v>
      </c>
      <c r="AE157" s="14">
        <f ca="1">(MAX(sa-CF156*Flag_UL_Type,105%*SUM($I$7:I157),Z157)+AU157)*B157</f>
        <v>5300352.3344033947</v>
      </c>
      <c r="AF157" s="136"/>
      <c r="AG157" s="18">
        <v>151</v>
      </c>
      <c r="AH157" s="30">
        <f t="shared" ca="1" si="122"/>
        <v>0</v>
      </c>
      <c r="AI157" s="58"/>
      <c r="AJ157" s="50">
        <f>IF(AND(Option_Sys_TopUp&gt;="Y",H157&gt;=sytp,H157&lt;=(dtp+sytp-1),F157=0,H157&lt;=ppt+1),atp,0)+IFERROR(VLOOKUP(H157,Input!$B$55:$C$61,2,0),0)*(F157=0)*(Option_TopUP="Y")*(Option_Sys_TopUp="N")*B157*(pt&gt;=H157+5)</f>
        <v>0</v>
      </c>
      <c r="AK157" s="50">
        <f t="shared" si="123"/>
        <v>0</v>
      </c>
      <c r="AL157" s="50">
        <f t="shared" si="144"/>
        <v>0</v>
      </c>
      <c r="AM157" s="50">
        <f t="shared" ca="1" si="145"/>
        <v>0</v>
      </c>
      <c r="AN157" s="50">
        <f ca="1">IF(B157=0,0,AT157*(_rpm1+(1+_emr1)*VLOOKUP(E157,Tab_Mort_Charge,IF(Input!$C$12="M",2,3),0))*(0.001*0.0833)*Flag_Mort_Rider_Charge*(AT157&gt;0))</f>
        <v>0</v>
      </c>
      <c r="AO157" s="50">
        <f t="shared" ca="1" si="124"/>
        <v>0</v>
      </c>
      <c r="AP157" s="50">
        <f t="shared" ca="1" si="151"/>
        <v>0</v>
      </c>
      <c r="AQ157" s="50">
        <f t="shared" ca="1" si="125"/>
        <v>0</v>
      </c>
      <c r="AR157" s="50">
        <f t="shared" ca="1" si="126"/>
        <v>0</v>
      </c>
      <c r="AS157" s="50">
        <f t="shared" si="127"/>
        <v>0</v>
      </c>
      <c r="AT157" s="50">
        <f ca="1">(MAX((MAX(AS157,105%*SUM($AJ$7:AJ157))-AM157*Flag_UL_Type),0)*B157)</f>
        <v>0</v>
      </c>
      <c r="AU157" s="50">
        <f ca="1">(MAX(AS157,AR157,105%*SUM($AJ$7:AJ157))*B157)</f>
        <v>0</v>
      </c>
      <c r="AV157" s="125"/>
      <c r="AW157" s="13"/>
      <c r="AX157" s="13"/>
      <c r="AY157" s="13"/>
      <c r="AZ157" s="13"/>
      <c r="BA157" s="13"/>
      <c r="BG157" s="51">
        <f t="shared" si="128"/>
        <v>0</v>
      </c>
      <c r="BH157" s="51">
        <f t="shared" ca="1" si="129"/>
        <v>0</v>
      </c>
      <c r="BI157" s="51">
        <f t="shared" ca="1" si="130"/>
        <v>0</v>
      </c>
      <c r="BJ157" s="51">
        <f t="shared" ca="1" si="131"/>
        <v>0</v>
      </c>
      <c r="BK157" s="51">
        <f t="shared" si="132"/>
        <v>90</v>
      </c>
      <c r="BL157" s="51">
        <f t="shared" ca="1" si="133"/>
        <v>1075.3337425044444</v>
      </c>
      <c r="BM157" s="51">
        <f t="shared" si="134"/>
        <v>0</v>
      </c>
      <c r="BN157" s="51">
        <f t="shared" ca="1" si="135"/>
        <v>0</v>
      </c>
      <c r="BO157" s="51">
        <f t="shared" ca="1" si="136"/>
        <v>0</v>
      </c>
      <c r="BP157" s="51">
        <f t="shared" ca="1" si="137"/>
        <v>1165.3337425044444</v>
      </c>
      <c r="BQ157" s="120"/>
      <c r="BR157" s="32"/>
      <c r="BS157" s="126"/>
      <c r="BT157" s="16"/>
      <c r="BU157" s="58"/>
      <c r="BW157" s="51">
        <f>IF(Input!$C$13="Offline",VLOOKUP(H157,Charges!$AT$4:$AU$33,2,FALSE)*I157,0)</f>
        <v>0</v>
      </c>
      <c r="BX157" s="51">
        <f t="shared" si="138"/>
        <v>0</v>
      </c>
      <c r="BY157" s="51">
        <f t="shared" si="146"/>
        <v>0</v>
      </c>
      <c r="BZ157" s="151"/>
      <c r="CA157" s="151"/>
      <c r="CB157" s="32"/>
      <c r="CC157" s="16">
        <f ca="1">SUM($N$7:$N157)</f>
        <v>0</v>
      </c>
      <c r="CD157" s="16">
        <f t="shared" ca="1" si="139"/>
        <v>0</v>
      </c>
      <c r="CE157" s="16">
        <f t="shared" ca="1" si="140"/>
        <v>0</v>
      </c>
      <c r="CF157" s="7">
        <f t="shared" ca="1" si="141"/>
        <v>0</v>
      </c>
      <c r="CH157" s="7">
        <f t="shared" ca="1" si="142"/>
        <v>0</v>
      </c>
    </row>
    <row r="158" spans="2:86" s="7" customFormat="1" x14ac:dyDescent="0.2">
      <c r="B158" s="14">
        <f t="shared" si="106"/>
        <v>1</v>
      </c>
      <c r="C158" s="12">
        <f t="shared" si="107"/>
        <v>1</v>
      </c>
      <c r="D158" s="17">
        <f t="shared" si="147"/>
        <v>152</v>
      </c>
      <c r="E158" s="17">
        <f t="shared" ca="1" si="108"/>
        <v>72</v>
      </c>
      <c r="F158" s="12">
        <f t="shared" si="149"/>
        <v>7</v>
      </c>
      <c r="G158" s="12">
        <f t="shared" si="148"/>
        <v>26</v>
      </c>
      <c r="H158" s="17">
        <f t="shared" si="150"/>
        <v>13</v>
      </c>
      <c r="I158" s="29">
        <f t="shared" si="109"/>
        <v>0</v>
      </c>
      <c r="J158" s="211">
        <f>IFERROR(VLOOKUP(H158,Charges!$T$6:$U$35,2,0)*C158,0)</f>
        <v>1</v>
      </c>
      <c r="K158" s="29">
        <f t="shared" si="110"/>
        <v>0</v>
      </c>
      <c r="L158" s="29">
        <f t="shared" si="111"/>
        <v>0</v>
      </c>
      <c r="M158" s="147">
        <f t="shared" ca="1" si="112"/>
        <v>0</v>
      </c>
      <c r="N158" s="148">
        <f ca="1">IF(AND(Option_SPW="Y",H158&gt;=Lock_In_Period,Z157&gt;SPW_Amount_pa+IF(option="Single",1/5*pr,2*pr),H158&gt;=SPW_Start_Year,H158&lt;=SPW_Start_Year+SPW_Duration-1,age+H158&gt;=Legal_Age),IF(AND(F158=0,SPW_Payout_Freq=1),SPW_Amount_pa,IF(AND(SPW_Payout_Freq=2,MOD(F158,6)=0),SPW_Amount_pa/SPW_Payout_Freq,IF(AND(SPW_Payout_Freq=4,MOD(F158,3)=0),SPW_Amount_pa/SPW_Payout_Freq,IF(SPW_Payout_Freq=12,SPW_Amount_pa/SPW_Payout_Freq,0)))),0)+IFERROR(VLOOKUP(H158,Input!$B$68:$C$74,2,0),0)*(F158=0)*(Option_PW="Y")*(Option_SPW="N")*(age+H158&gt;=Legal_Age)</f>
        <v>0</v>
      </c>
      <c r="O158" s="148">
        <f t="shared" ca="1" si="113"/>
        <v>0</v>
      </c>
      <c r="P158" s="14">
        <f ca="1">(MAX(MAX(sa-CF157*Flag_UL_Type,105%*SUM($I$7:I158))-(AD157+L158-N158)*Flag_UL_Type,0)*B158)</f>
        <v>0</v>
      </c>
      <c r="Q158" s="213">
        <f t="shared" ca="1" si="114"/>
        <v>0</v>
      </c>
      <c r="R158" s="14">
        <f t="shared" ca="1" si="115"/>
        <v>0</v>
      </c>
      <c r="S158" s="14">
        <f t="shared" ca="1" si="116"/>
        <v>0</v>
      </c>
      <c r="T158" s="14">
        <f>IFERROR(IF(WoP_Flag="Y",IF(fq=1,VLOOKUP(ppt*fq-H158,Charges!$AN$41:$AO$59,2,FALSE),IF(fq=2,VLOOKUP(ppt*fq-G158,Charges!$AP$41:$AQ$79,2,FALSE),VLOOKUP(ppt*fq-D158,Charges!$AR$41:$AS$279,2,FALSE)))*pr/fq,0),0)</f>
        <v>0</v>
      </c>
      <c r="U158" s="14">
        <f t="shared" ca="1" si="117"/>
        <v>0</v>
      </c>
      <c r="V158" s="34">
        <f>ROUND(MIN(IF(H158&gt;=7,Charges!$C$12*(1+Charges!$C$14)^((H158-7+1)),VLOOKUP(H158,Charges!$B$7:$C$12,2,0))*pr,Charges!$C$13)*B158,Round)</f>
        <v>500</v>
      </c>
      <c r="W158" s="14">
        <f t="shared" ca="1" si="118"/>
        <v>5299762.3344033947</v>
      </c>
      <c r="X158" s="14">
        <f t="shared" ca="1" si="119"/>
        <v>5333861.1648388086</v>
      </c>
      <c r="Y158" s="213">
        <f t="shared" ca="1" si="143"/>
        <v>6003.8593945568136</v>
      </c>
      <c r="Z158" s="14">
        <f t="shared" ca="1" si="120"/>
        <v>5326776.6107532317</v>
      </c>
      <c r="AA158" s="14">
        <f>IF(AND($H158=pt,$F158=11),SUM($K$7:K158)*VLOOKUP(pt,ROC,2,FALSE),0)</f>
        <v>0</v>
      </c>
      <c r="AB158" s="14">
        <f>IF(AND($H158=pt,$F158=11),SUM($V$7:V158)*VLOOKUP(pt,ROC,2,FALSE),0)</f>
        <v>0</v>
      </c>
      <c r="AC158" s="14">
        <f>IF(AND($H158=pt,$F158=11),SUM($Q$7:Q158)*VLOOKUP(pt,ROC,2,FALSE),0)</f>
        <v>0</v>
      </c>
      <c r="AD158" s="14">
        <f t="shared" ca="1" si="121"/>
        <v>5326776.6107532317</v>
      </c>
      <c r="AE158" s="14">
        <f ca="1">(MAX(sa-CF157*Flag_UL_Type,105%*SUM($I$7:I158),Z158)+AU158)*B158</f>
        <v>5326776.6107532317</v>
      </c>
      <c r="AF158" s="136"/>
      <c r="AG158" s="18">
        <v>152</v>
      </c>
      <c r="AH158" s="30">
        <f t="shared" ca="1" si="122"/>
        <v>0</v>
      </c>
      <c r="AI158" s="58"/>
      <c r="AJ158" s="50">
        <f>IF(AND(Option_Sys_TopUp&gt;="Y",H158&gt;=sytp,H158&lt;=(dtp+sytp-1),F158=0,H158&lt;=ppt+1),atp,0)+IFERROR(VLOOKUP(H158,Input!$B$55:$C$61,2,0),0)*(F158=0)*(Option_TopUP="Y")*(Option_Sys_TopUp="N")*B158*(pt&gt;=H158+5)</f>
        <v>0</v>
      </c>
      <c r="AK158" s="50">
        <f t="shared" si="123"/>
        <v>0</v>
      </c>
      <c r="AL158" s="50">
        <f t="shared" si="144"/>
        <v>0</v>
      </c>
      <c r="AM158" s="50">
        <f t="shared" ca="1" si="145"/>
        <v>0</v>
      </c>
      <c r="AN158" s="50">
        <f ca="1">IF(B158=0,0,AT158*(_rpm1+(1+_emr1)*VLOOKUP(E158,Tab_Mort_Charge,IF(Input!$C$12="M",2,3),0))*(0.001*0.0833)*Flag_Mort_Rider_Charge*(AT158&gt;0))</f>
        <v>0</v>
      </c>
      <c r="AO158" s="50">
        <f t="shared" ca="1" si="124"/>
        <v>0</v>
      </c>
      <c r="AP158" s="50">
        <f t="shared" ca="1" si="151"/>
        <v>0</v>
      </c>
      <c r="AQ158" s="50">
        <f t="shared" ca="1" si="125"/>
        <v>0</v>
      </c>
      <c r="AR158" s="50">
        <f t="shared" ca="1" si="126"/>
        <v>0</v>
      </c>
      <c r="AS158" s="50">
        <f t="shared" si="127"/>
        <v>0</v>
      </c>
      <c r="AT158" s="50">
        <f ca="1">(MAX((MAX(AS158,105%*SUM($AJ$7:AJ158))-AM158*Flag_UL_Type),0)*B158)</f>
        <v>0</v>
      </c>
      <c r="AU158" s="50">
        <f ca="1">(MAX(AS158,AR158,105%*SUM($AJ$7:AJ158))*B158)</f>
        <v>0</v>
      </c>
      <c r="AV158" s="125"/>
      <c r="AW158" s="13"/>
      <c r="AX158" s="13"/>
      <c r="AY158" s="13"/>
      <c r="AZ158" s="13"/>
      <c r="BA158" s="13"/>
      <c r="BG158" s="51">
        <f t="shared" si="128"/>
        <v>0</v>
      </c>
      <c r="BH158" s="51">
        <f t="shared" ca="1" si="129"/>
        <v>0</v>
      </c>
      <c r="BI158" s="51">
        <f t="shared" ca="1" si="130"/>
        <v>0</v>
      </c>
      <c r="BJ158" s="51">
        <f t="shared" ca="1" si="131"/>
        <v>0</v>
      </c>
      <c r="BK158" s="51">
        <f t="shared" si="132"/>
        <v>90</v>
      </c>
      <c r="BL158" s="51">
        <f t="shared" ca="1" si="133"/>
        <v>1080.6946910202264</v>
      </c>
      <c r="BM158" s="51">
        <f t="shared" si="134"/>
        <v>0</v>
      </c>
      <c r="BN158" s="51">
        <f t="shared" ca="1" si="135"/>
        <v>0</v>
      </c>
      <c r="BO158" s="51">
        <f t="shared" ca="1" si="136"/>
        <v>0</v>
      </c>
      <c r="BP158" s="51">
        <f t="shared" ca="1" si="137"/>
        <v>1170.6946910202264</v>
      </c>
      <c r="BQ158" s="120"/>
      <c r="BR158" s="32"/>
      <c r="BS158" s="126"/>
      <c r="BT158" s="16"/>
      <c r="BU158" s="58"/>
      <c r="BW158" s="51">
        <f>IF(Input!$C$13="Offline",VLOOKUP(H158,Charges!$AT$4:$AU$33,2,FALSE)*I158,0)</f>
        <v>0</v>
      </c>
      <c r="BX158" s="51">
        <f t="shared" si="138"/>
        <v>0</v>
      </c>
      <c r="BY158" s="51">
        <f t="shared" si="146"/>
        <v>0</v>
      </c>
      <c r="BZ158" s="151"/>
      <c r="CA158" s="151"/>
      <c r="CB158" s="32"/>
      <c r="CC158" s="16">
        <f ca="1">SUM($N$7:$N158)</f>
        <v>0</v>
      </c>
      <c r="CD158" s="16">
        <f t="shared" ca="1" si="139"/>
        <v>0</v>
      </c>
      <c r="CE158" s="16">
        <f t="shared" ca="1" si="140"/>
        <v>0</v>
      </c>
      <c r="CF158" s="7">
        <f t="shared" ca="1" si="141"/>
        <v>0</v>
      </c>
      <c r="CH158" s="7">
        <f t="shared" ca="1" si="142"/>
        <v>0</v>
      </c>
    </row>
    <row r="159" spans="2:86" s="7" customFormat="1" x14ac:dyDescent="0.2">
      <c r="B159" s="14">
        <f t="shared" si="106"/>
        <v>1</v>
      </c>
      <c r="C159" s="12">
        <f t="shared" si="107"/>
        <v>1</v>
      </c>
      <c r="D159" s="17">
        <f t="shared" si="147"/>
        <v>153</v>
      </c>
      <c r="E159" s="17">
        <f t="shared" ca="1" si="108"/>
        <v>72</v>
      </c>
      <c r="F159" s="12">
        <f t="shared" si="149"/>
        <v>8</v>
      </c>
      <c r="G159" s="12">
        <f t="shared" si="148"/>
        <v>26</v>
      </c>
      <c r="H159" s="17">
        <f t="shared" si="150"/>
        <v>13</v>
      </c>
      <c r="I159" s="29">
        <f t="shared" si="109"/>
        <v>0</v>
      </c>
      <c r="J159" s="211">
        <f>IFERROR(VLOOKUP(H159,Charges!$T$6:$U$35,2,0)*C159,0)</f>
        <v>1</v>
      </c>
      <c r="K159" s="29">
        <f t="shared" si="110"/>
        <v>0</v>
      </c>
      <c r="L159" s="29">
        <f t="shared" si="111"/>
        <v>0</v>
      </c>
      <c r="M159" s="147">
        <f t="shared" ca="1" si="112"/>
        <v>0</v>
      </c>
      <c r="N159" s="148">
        <f ca="1">IF(AND(Option_SPW="Y",H159&gt;=Lock_In_Period,Z158&gt;SPW_Amount_pa+IF(option="Single",1/5*pr,2*pr),H159&gt;=SPW_Start_Year,H159&lt;=SPW_Start_Year+SPW_Duration-1,age+H159&gt;=Legal_Age),IF(AND(F159=0,SPW_Payout_Freq=1),SPW_Amount_pa,IF(AND(SPW_Payout_Freq=2,MOD(F159,6)=0),SPW_Amount_pa/SPW_Payout_Freq,IF(AND(SPW_Payout_Freq=4,MOD(F159,3)=0),SPW_Amount_pa/SPW_Payout_Freq,IF(SPW_Payout_Freq=12,SPW_Amount_pa/SPW_Payout_Freq,0)))),0)+IFERROR(VLOOKUP(H159,Input!$B$68:$C$74,2,0),0)*(F159=0)*(Option_PW="Y")*(Option_SPW="N")*(age+H159&gt;=Legal_Age)</f>
        <v>0</v>
      </c>
      <c r="O159" s="148">
        <f t="shared" ca="1" si="113"/>
        <v>0</v>
      </c>
      <c r="P159" s="14">
        <f ca="1">(MAX(MAX(sa-CF158*Flag_UL_Type,105%*SUM($I$7:I159))-(AD158+L159-N159)*Flag_UL_Type,0)*B159)</f>
        <v>0</v>
      </c>
      <c r="Q159" s="213">
        <f t="shared" ca="1" si="114"/>
        <v>0</v>
      </c>
      <c r="R159" s="14">
        <f t="shared" ca="1" si="115"/>
        <v>0</v>
      </c>
      <c r="S159" s="14">
        <f t="shared" ca="1" si="116"/>
        <v>0</v>
      </c>
      <c r="T159" s="14">
        <f>IFERROR(IF(WoP_Flag="Y",IF(fq=1,VLOOKUP(ppt*fq-H159,Charges!$AN$41:$AO$59,2,FALSE),IF(fq=2,VLOOKUP(ppt*fq-G159,Charges!$AP$41:$AQ$79,2,FALSE),VLOOKUP(ppt*fq-D159,Charges!$AR$41:$AS$279,2,FALSE)))*pr/fq,0),0)</f>
        <v>0</v>
      </c>
      <c r="U159" s="14">
        <f t="shared" ca="1" si="117"/>
        <v>0</v>
      </c>
      <c r="V159" s="34">
        <f>ROUND(MIN(IF(H159&gt;=7,Charges!$C$12*(1+Charges!$C$14)^((H159-7+1)),VLOOKUP(H159,Charges!$B$7:$C$12,2,0))*pr,Charges!$C$13)*B159,Round)</f>
        <v>500</v>
      </c>
      <c r="W159" s="14">
        <f t="shared" ca="1" si="118"/>
        <v>5326186.6107532317</v>
      </c>
      <c r="X159" s="14">
        <f t="shared" ca="1" si="119"/>
        <v>5360455.4557783147</v>
      </c>
      <c r="Y159" s="213">
        <f t="shared" ca="1" si="143"/>
        <v>6033.7942538574789</v>
      </c>
      <c r="Z159" s="14">
        <f t="shared" ca="1" si="120"/>
        <v>5353335.5785587626</v>
      </c>
      <c r="AA159" s="14">
        <f>IF(AND($H159=pt,$F159=11),SUM($K$7:K159)*VLOOKUP(pt,ROC,2,FALSE),0)</f>
        <v>0</v>
      </c>
      <c r="AB159" s="14">
        <f>IF(AND($H159=pt,$F159=11),SUM($V$7:V159)*VLOOKUP(pt,ROC,2,FALSE),0)</f>
        <v>0</v>
      </c>
      <c r="AC159" s="14">
        <f>IF(AND($H159=pt,$F159=11),SUM($Q$7:Q159)*VLOOKUP(pt,ROC,2,FALSE),0)</f>
        <v>0</v>
      </c>
      <c r="AD159" s="14">
        <f t="shared" ca="1" si="121"/>
        <v>5353335.5785587626</v>
      </c>
      <c r="AE159" s="14">
        <f ca="1">(MAX(sa-CF158*Flag_UL_Type,105%*SUM($I$7:I159),Z159)+AU159)*B159</f>
        <v>5353335.5785587626</v>
      </c>
      <c r="AF159" s="136"/>
      <c r="AG159" s="18">
        <v>153</v>
      </c>
      <c r="AH159" s="30">
        <f t="shared" ca="1" si="122"/>
        <v>0</v>
      </c>
      <c r="AI159" s="58"/>
      <c r="AJ159" s="50">
        <f>IF(AND(Option_Sys_TopUp&gt;="Y",H159&gt;=sytp,H159&lt;=(dtp+sytp-1),F159=0,H159&lt;=ppt+1),atp,0)+IFERROR(VLOOKUP(H159,Input!$B$55:$C$61,2,0),0)*(F159=0)*(Option_TopUP="Y")*(Option_Sys_TopUp="N")*B159*(pt&gt;=H159+5)</f>
        <v>0</v>
      </c>
      <c r="AK159" s="50">
        <f t="shared" si="123"/>
        <v>0</v>
      </c>
      <c r="AL159" s="50">
        <f t="shared" si="144"/>
        <v>0</v>
      </c>
      <c r="AM159" s="50">
        <f t="shared" ca="1" si="145"/>
        <v>0</v>
      </c>
      <c r="AN159" s="50">
        <f ca="1">IF(B159=0,0,AT159*(_rpm1+(1+_emr1)*VLOOKUP(E159,Tab_Mort_Charge,IF(Input!$C$12="M",2,3),0))*(0.001*0.0833)*Flag_Mort_Rider_Charge*(AT159&gt;0))</f>
        <v>0</v>
      </c>
      <c r="AO159" s="50">
        <f t="shared" ca="1" si="124"/>
        <v>0</v>
      </c>
      <c r="AP159" s="50">
        <f t="shared" ca="1" si="151"/>
        <v>0</v>
      </c>
      <c r="AQ159" s="50">
        <f t="shared" ca="1" si="125"/>
        <v>0</v>
      </c>
      <c r="AR159" s="50">
        <f t="shared" ca="1" si="126"/>
        <v>0</v>
      </c>
      <c r="AS159" s="50">
        <f t="shared" si="127"/>
        <v>0</v>
      </c>
      <c r="AT159" s="50">
        <f ca="1">(MAX((MAX(AS159,105%*SUM($AJ$7:AJ159))-AM159*Flag_UL_Type),0)*B159)</f>
        <v>0</v>
      </c>
      <c r="AU159" s="50">
        <f ca="1">(MAX(AS159,AR159,105%*SUM($AJ$7:AJ159))*B159)</f>
        <v>0</v>
      </c>
      <c r="AV159" s="125"/>
      <c r="AW159" s="13"/>
      <c r="AX159" s="13"/>
      <c r="AY159" s="13"/>
      <c r="AZ159" s="13"/>
      <c r="BA159" s="13"/>
      <c r="BG159" s="51">
        <f t="shared" si="128"/>
        <v>0</v>
      </c>
      <c r="BH159" s="51">
        <f t="shared" ca="1" si="129"/>
        <v>0</v>
      </c>
      <c r="BI159" s="51">
        <f t="shared" ca="1" si="130"/>
        <v>0</v>
      </c>
      <c r="BJ159" s="51">
        <f t="shared" ca="1" si="131"/>
        <v>0</v>
      </c>
      <c r="BK159" s="51">
        <f t="shared" si="132"/>
        <v>90</v>
      </c>
      <c r="BL159" s="51">
        <f t="shared" ca="1" si="133"/>
        <v>1086.0829656943461</v>
      </c>
      <c r="BM159" s="51">
        <f t="shared" si="134"/>
        <v>0</v>
      </c>
      <c r="BN159" s="51">
        <f t="shared" ca="1" si="135"/>
        <v>0</v>
      </c>
      <c r="BO159" s="51">
        <f t="shared" ca="1" si="136"/>
        <v>0</v>
      </c>
      <c r="BP159" s="51">
        <f t="shared" ca="1" si="137"/>
        <v>1176.0829656943461</v>
      </c>
      <c r="BQ159" s="120"/>
      <c r="BR159" s="32"/>
      <c r="BS159" s="126"/>
      <c r="BT159" s="16"/>
      <c r="BU159" s="58"/>
      <c r="BW159" s="51">
        <f>IF(Input!$C$13="Offline",VLOOKUP(H159,Charges!$AT$4:$AU$33,2,FALSE)*I159,0)</f>
        <v>0</v>
      </c>
      <c r="BX159" s="51">
        <f t="shared" si="138"/>
        <v>0</v>
      </c>
      <c r="BY159" s="51">
        <f t="shared" si="146"/>
        <v>0</v>
      </c>
      <c r="BZ159" s="151"/>
      <c r="CA159" s="151"/>
      <c r="CB159" s="32"/>
      <c r="CC159" s="16">
        <f ca="1">SUM($N$7:$N159)</f>
        <v>0</v>
      </c>
      <c r="CD159" s="16">
        <f t="shared" ca="1" si="139"/>
        <v>0</v>
      </c>
      <c r="CE159" s="16">
        <f t="shared" ca="1" si="140"/>
        <v>0</v>
      </c>
      <c r="CF159" s="7">
        <f t="shared" ca="1" si="141"/>
        <v>0</v>
      </c>
      <c r="CH159" s="7">
        <f t="shared" ca="1" si="142"/>
        <v>0</v>
      </c>
    </row>
    <row r="160" spans="2:86" s="7" customFormat="1" x14ac:dyDescent="0.2">
      <c r="B160" s="14">
        <f t="shared" si="106"/>
        <v>1</v>
      </c>
      <c r="C160" s="12">
        <f t="shared" si="107"/>
        <v>1</v>
      </c>
      <c r="D160" s="17">
        <f t="shared" si="147"/>
        <v>154</v>
      </c>
      <c r="E160" s="17">
        <f t="shared" ca="1" si="108"/>
        <v>72</v>
      </c>
      <c r="F160" s="12">
        <f t="shared" si="149"/>
        <v>9</v>
      </c>
      <c r="G160" s="12">
        <f t="shared" si="148"/>
        <v>26</v>
      </c>
      <c r="H160" s="17">
        <f t="shared" si="150"/>
        <v>13</v>
      </c>
      <c r="I160" s="29">
        <f t="shared" si="109"/>
        <v>0</v>
      </c>
      <c r="J160" s="211">
        <f>IFERROR(VLOOKUP(H160,Charges!$T$6:$U$35,2,0)*C160,0)</f>
        <v>1</v>
      </c>
      <c r="K160" s="29">
        <f t="shared" si="110"/>
        <v>0</v>
      </c>
      <c r="L160" s="29">
        <f t="shared" si="111"/>
        <v>0</v>
      </c>
      <c r="M160" s="147">
        <f t="shared" ca="1" si="112"/>
        <v>0</v>
      </c>
      <c r="N160" s="148">
        <f ca="1">IF(AND(Option_SPW="Y",H160&gt;=Lock_In_Period,Z159&gt;SPW_Amount_pa+IF(option="Single",1/5*pr,2*pr),H160&gt;=SPW_Start_Year,H160&lt;=SPW_Start_Year+SPW_Duration-1,age+H160&gt;=Legal_Age),IF(AND(F160=0,SPW_Payout_Freq=1),SPW_Amount_pa,IF(AND(SPW_Payout_Freq=2,MOD(F160,6)=0),SPW_Amount_pa/SPW_Payout_Freq,IF(AND(SPW_Payout_Freq=4,MOD(F160,3)=0),SPW_Amount_pa/SPW_Payout_Freq,IF(SPW_Payout_Freq=12,SPW_Amount_pa/SPW_Payout_Freq,0)))),0)+IFERROR(VLOOKUP(H160,Input!$B$68:$C$74,2,0),0)*(F160=0)*(Option_PW="Y")*(Option_SPW="N")*(age+H160&gt;=Legal_Age)</f>
        <v>0</v>
      </c>
      <c r="O160" s="148">
        <f t="shared" ca="1" si="113"/>
        <v>0</v>
      </c>
      <c r="P160" s="14">
        <f ca="1">(MAX(MAX(sa-CF159*Flag_UL_Type,105%*SUM($I$7:I160))-(AD159+L160-N160)*Flag_UL_Type,0)*B160)</f>
        <v>0</v>
      </c>
      <c r="Q160" s="213">
        <f t="shared" ca="1" si="114"/>
        <v>0</v>
      </c>
      <c r="R160" s="14">
        <f t="shared" ca="1" si="115"/>
        <v>0</v>
      </c>
      <c r="S160" s="14">
        <f t="shared" ca="1" si="116"/>
        <v>0</v>
      </c>
      <c r="T160" s="14">
        <f>IFERROR(IF(WoP_Flag="Y",IF(fq=1,VLOOKUP(ppt*fq-H160,Charges!$AN$41:$AO$59,2,FALSE),IF(fq=2,VLOOKUP(ppt*fq-G160,Charges!$AP$41:$AQ$79,2,FALSE),VLOOKUP(ppt*fq-D160,Charges!$AR$41:$AS$279,2,FALSE)))*pr/fq,0),0)</f>
        <v>0</v>
      </c>
      <c r="U160" s="14">
        <f t="shared" ca="1" si="117"/>
        <v>0</v>
      </c>
      <c r="V160" s="34">
        <f>ROUND(MIN(IF(H160&gt;=7,Charges!$C$12*(1+Charges!$C$14)^((H160-7+1)),VLOOKUP(H160,Charges!$B$7:$C$12,2,0))*pr,Charges!$C$13)*B160,Round)</f>
        <v>500</v>
      </c>
      <c r="W160" s="14">
        <f t="shared" ca="1" si="118"/>
        <v>5352745.5785587626</v>
      </c>
      <c r="X160" s="14">
        <f t="shared" ca="1" si="119"/>
        <v>5387185.3047823971</v>
      </c>
      <c r="Y160" s="213">
        <f t="shared" ca="1" si="143"/>
        <v>6063.8816989743773</v>
      </c>
      <c r="Z160" s="14">
        <f t="shared" ca="1" si="120"/>
        <v>5380029.9243776072</v>
      </c>
      <c r="AA160" s="14">
        <f>IF(AND($H160=pt,$F160=11),SUM($K$7:K160)*VLOOKUP(pt,ROC,2,FALSE),0)</f>
        <v>0</v>
      </c>
      <c r="AB160" s="14">
        <f>IF(AND($H160=pt,$F160=11),SUM($V$7:V160)*VLOOKUP(pt,ROC,2,FALSE),0)</f>
        <v>0</v>
      </c>
      <c r="AC160" s="14">
        <f>IF(AND($H160=pt,$F160=11),SUM($Q$7:Q160)*VLOOKUP(pt,ROC,2,FALSE),0)</f>
        <v>0</v>
      </c>
      <c r="AD160" s="14">
        <f t="shared" ca="1" si="121"/>
        <v>5380029.9243776072</v>
      </c>
      <c r="AE160" s="14">
        <f ca="1">(MAX(sa-CF159*Flag_UL_Type,105%*SUM($I$7:I160),Z160)+AU160)*B160</f>
        <v>5380029.9243776072</v>
      </c>
      <c r="AF160" s="136"/>
      <c r="AG160" s="18">
        <v>154</v>
      </c>
      <c r="AH160" s="30">
        <f t="shared" ca="1" si="122"/>
        <v>0</v>
      </c>
      <c r="AI160" s="58"/>
      <c r="AJ160" s="50">
        <f>IF(AND(Option_Sys_TopUp&gt;="Y",H160&gt;=sytp,H160&lt;=(dtp+sytp-1),F160=0,H160&lt;=ppt+1),atp,0)+IFERROR(VLOOKUP(H160,Input!$B$55:$C$61,2,0),0)*(F160=0)*(Option_TopUP="Y")*(Option_Sys_TopUp="N")*B160*(pt&gt;=H160+5)</f>
        <v>0</v>
      </c>
      <c r="AK160" s="50">
        <f t="shared" si="123"/>
        <v>0</v>
      </c>
      <c r="AL160" s="50">
        <f t="shared" si="144"/>
        <v>0</v>
      </c>
      <c r="AM160" s="50">
        <f t="shared" ca="1" si="145"/>
        <v>0</v>
      </c>
      <c r="AN160" s="50">
        <f ca="1">IF(B160=0,0,AT160*(_rpm1+(1+_emr1)*VLOOKUP(E160,Tab_Mort_Charge,IF(Input!$C$12="M",2,3),0))*(0.001*0.0833)*Flag_Mort_Rider_Charge*(AT160&gt;0))</f>
        <v>0</v>
      </c>
      <c r="AO160" s="50">
        <f t="shared" ca="1" si="124"/>
        <v>0</v>
      </c>
      <c r="AP160" s="50">
        <f t="shared" ca="1" si="151"/>
        <v>0</v>
      </c>
      <c r="AQ160" s="50">
        <f t="shared" ca="1" si="125"/>
        <v>0</v>
      </c>
      <c r="AR160" s="50">
        <f t="shared" ca="1" si="126"/>
        <v>0</v>
      </c>
      <c r="AS160" s="50">
        <f t="shared" si="127"/>
        <v>0</v>
      </c>
      <c r="AT160" s="50">
        <f ca="1">(MAX((MAX(AS160,105%*SUM($AJ$7:AJ160))-AM160*Flag_UL_Type),0)*B160)</f>
        <v>0</v>
      </c>
      <c r="AU160" s="50">
        <f ca="1">(MAX(AS160,AR160,105%*SUM($AJ$7:AJ160))*B160)</f>
        <v>0</v>
      </c>
      <c r="AV160" s="125"/>
      <c r="AW160" s="13"/>
      <c r="AX160" s="13"/>
      <c r="AY160" s="13"/>
      <c r="AZ160" s="13"/>
      <c r="BA160" s="13"/>
      <c r="BG160" s="51">
        <f t="shared" si="128"/>
        <v>0</v>
      </c>
      <c r="BH160" s="51">
        <f t="shared" ca="1" si="129"/>
        <v>0</v>
      </c>
      <c r="BI160" s="51">
        <f t="shared" ca="1" si="130"/>
        <v>0</v>
      </c>
      <c r="BJ160" s="51">
        <f t="shared" ca="1" si="131"/>
        <v>0</v>
      </c>
      <c r="BK160" s="51">
        <f t="shared" si="132"/>
        <v>90</v>
      </c>
      <c r="BL160" s="51">
        <f t="shared" ca="1" si="133"/>
        <v>1091.4987058153879</v>
      </c>
      <c r="BM160" s="51">
        <f t="shared" si="134"/>
        <v>0</v>
      </c>
      <c r="BN160" s="51">
        <f t="shared" ca="1" si="135"/>
        <v>0</v>
      </c>
      <c r="BO160" s="51">
        <f t="shared" ca="1" si="136"/>
        <v>0</v>
      </c>
      <c r="BP160" s="51">
        <f t="shared" ca="1" si="137"/>
        <v>1181.4987058153879</v>
      </c>
      <c r="BQ160" s="120"/>
      <c r="BR160" s="32"/>
      <c r="BS160" s="126"/>
      <c r="BT160" s="16"/>
      <c r="BU160" s="58"/>
      <c r="BW160" s="51">
        <f>IF(Input!$C$13="Offline",VLOOKUP(H160,Charges!$AT$4:$AU$33,2,FALSE)*I160,0)</f>
        <v>0</v>
      </c>
      <c r="BX160" s="51">
        <f t="shared" si="138"/>
        <v>0</v>
      </c>
      <c r="BY160" s="51">
        <f t="shared" si="146"/>
        <v>0</v>
      </c>
      <c r="BZ160" s="151"/>
      <c r="CA160" s="151"/>
      <c r="CB160" s="32"/>
      <c r="CC160" s="16">
        <f ca="1">SUM($N$7:$N160)</f>
        <v>0</v>
      </c>
      <c r="CD160" s="16">
        <f t="shared" ca="1" si="139"/>
        <v>0</v>
      </c>
      <c r="CE160" s="16">
        <f t="shared" ca="1" si="140"/>
        <v>0</v>
      </c>
      <c r="CF160" s="7">
        <f t="shared" ca="1" si="141"/>
        <v>0</v>
      </c>
      <c r="CH160" s="7">
        <f t="shared" ca="1" si="142"/>
        <v>0</v>
      </c>
    </row>
    <row r="161" spans="2:86" s="7" customFormat="1" x14ac:dyDescent="0.2">
      <c r="B161" s="14">
        <f t="shared" si="106"/>
        <v>1</v>
      </c>
      <c r="C161" s="12">
        <f t="shared" si="107"/>
        <v>1</v>
      </c>
      <c r="D161" s="17">
        <f t="shared" si="147"/>
        <v>155</v>
      </c>
      <c r="E161" s="17">
        <f t="shared" ca="1" si="108"/>
        <v>72</v>
      </c>
      <c r="F161" s="12">
        <f t="shared" si="149"/>
        <v>10</v>
      </c>
      <c r="G161" s="12">
        <f t="shared" si="148"/>
        <v>26</v>
      </c>
      <c r="H161" s="17">
        <f t="shared" si="150"/>
        <v>13</v>
      </c>
      <c r="I161" s="29">
        <f t="shared" si="109"/>
        <v>0</v>
      </c>
      <c r="J161" s="211">
        <f>IFERROR(VLOOKUP(H161,Charges!$T$6:$U$35,2,0)*C161,0)</f>
        <v>1</v>
      </c>
      <c r="K161" s="29">
        <f t="shared" si="110"/>
        <v>0</v>
      </c>
      <c r="L161" s="29">
        <f t="shared" si="111"/>
        <v>0</v>
      </c>
      <c r="M161" s="147">
        <f t="shared" ca="1" si="112"/>
        <v>0</v>
      </c>
      <c r="N161" s="148">
        <f ca="1">IF(AND(Option_SPW="Y",H161&gt;=Lock_In_Period,Z160&gt;SPW_Amount_pa+IF(option="Single",1/5*pr,2*pr),H161&gt;=SPW_Start_Year,H161&lt;=SPW_Start_Year+SPW_Duration-1,age+H161&gt;=Legal_Age),IF(AND(F161=0,SPW_Payout_Freq=1),SPW_Amount_pa,IF(AND(SPW_Payout_Freq=2,MOD(F161,6)=0),SPW_Amount_pa/SPW_Payout_Freq,IF(AND(SPW_Payout_Freq=4,MOD(F161,3)=0),SPW_Amount_pa/SPW_Payout_Freq,IF(SPW_Payout_Freq=12,SPW_Amount_pa/SPW_Payout_Freq,0)))),0)+IFERROR(VLOOKUP(H161,Input!$B$68:$C$74,2,0),0)*(F161=0)*(Option_PW="Y")*(Option_SPW="N")*(age+H161&gt;=Legal_Age)</f>
        <v>0</v>
      </c>
      <c r="O161" s="148">
        <f t="shared" ca="1" si="113"/>
        <v>0</v>
      </c>
      <c r="P161" s="14">
        <f ca="1">(MAX(MAX(sa-CF160*Flag_UL_Type,105%*SUM($I$7:I161))-(AD160+L161-N161)*Flag_UL_Type,0)*B161)</f>
        <v>0</v>
      </c>
      <c r="Q161" s="213">
        <f t="shared" ca="1" si="114"/>
        <v>0</v>
      </c>
      <c r="R161" s="14">
        <f t="shared" ca="1" si="115"/>
        <v>0</v>
      </c>
      <c r="S161" s="14">
        <f t="shared" ca="1" si="116"/>
        <v>0</v>
      </c>
      <c r="T161" s="14">
        <f>IFERROR(IF(WoP_Flag="Y",IF(fq=1,VLOOKUP(ppt*fq-H161,Charges!$AN$41:$AO$59,2,FALSE),IF(fq=2,VLOOKUP(ppt*fq-G161,Charges!$AP$41:$AQ$79,2,FALSE),VLOOKUP(ppt*fq-D161,Charges!$AR$41:$AS$279,2,FALSE)))*pr/fq,0),0)</f>
        <v>0</v>
      </c>
      <c r="U161" s="14">
        <f t="shared" ca="1" si="117"/>
        <v>0</v>
      </c>
      <c r="V161" s="34">
        <f>ROUND(MIN(IF(H161&gt;=7,Charges!$C$12*(1+Charges!$C$14)^((H161-7+1)),VLOOKUP(H161,Charges!$B$7:$C$12,2,0))*pr,Charges!$C$13)*B161,Round)</f>
        <v>500</v>
      </c>
      <c r="W161" s="14">
        <f t="shared" ca="1" si="118"/>
        <v>5379439.9243776072</v>
      </c>
      <c r="X161" s="14">
        <f t="shared" ca="1" si="119"/>
        <v>5414051.4028260075</v>
      </c>
      <c r="Y161" s="213">
        <f t="shared" ca="1" si="143"/>
        <v>6094.1225076773708</v>
      </c>
      <c r="Z161" s="14">
        <f t="shared" ca="1" si="120"/>
        <v>5406860.3382669482</v>
      </c>
      <c r="AA161" s="14">
        <f>IF(AND($H161=pt,$F161=11),SUM($K$7:K161)*VLOOKUP(pt,ROC,2,FALSE),0)</f>
        <v>0</v>
      </c>
      <c r="AB161" s="14">
        <f>IF(AND($H161=pt,$F161=11),SUM($V$7:V161)*VLOOKUP(pt,ROC,2,FALSE),0)</f>
        <v>0</v>
      </c>
      <c r="AC161" s="14">
        <f>IF(AND($H161=pt,$F161=11),SUM($Q$7:Q161)*VLOOKUP(pt,ROC,2,FALSE),0)</f>
        <v>0</v>
      </c>
      <c r="AD161" s="14">
        <f t="shared" ca="1" si="121"/>
        <v>5406860.3382669482</v>
      </c>
      <c r="AE161" s="14">
        <f ca="1">(MAX(sa-CF160*Flag_UL_Type,105%*SUM($I$7:I161),Z161)+AU161)*B161</f>
        <v>5406860.3382669482</v>
      </c>
      <c r="AF161" s="136"/>
      <c r="AG161" s="18">
        <v>155</v>
      </c>
      <c r="AH161" s="30">
        <f t="shared" ca="1" si="122"/>
        <v>0</v>
      </c>
      <c r="AI161" s="58"/>
      <c r="AJ161" s="50">
        <f>IF(AND(Option_Sys_TopUp&gt;="Y",H161&gt;=sytp,H161&lt;=(dtp+sytp-1),F161=0,H161&lt;=ppt+1),atp,0)+IFERROR(VLOOKUP(H161,Input!$B$55:$C$61,2,0),0)*(F161=0)*(Option_TopUP="Y")*(Option_Sys_TopUp="N")*B161*(pt&gt;=H161+5)</f>
        <v>0</v>
      </c>
      <c r="AK161" s="50">
        <f t="shared" si="123"/>
        <v>0</v>
      </c>
      <c r="AL161" s="50">
        <f t="shared" si="144"/>
        <v>0</v>
      </c>
      <c r="AM161" s="50">
        <f t="shared" ca="1" si="145"/>
        <v>0</v>
      </c>
      <c r="AN161" s="50">
        <f ca="1">IF(B161=0,0,AT161*(_rpm1+(1+_emr1)*VLOOKUP(E161,Tab_Mort_Charge,IF(Input!$C$12="M",2,3),0))*(0.001*0.0833)*Flag_Mort_Rider_Charge*(AT161&gt;0))</f>
        <v>0</v>
      </c>
      <c r="AO161" s="50">
        <f t="shared" ca="1" si="124"/>
        <v>0</v>
      </c>
      <c r="AP161" s="50">
        <f t="shared" ca="1" si="151"/>
        <v>0</v>
      </c>
      <c r="AQ161" s="50">
        <f t="shared" ca="1" si="125"/>
        <v>0</v>
      </c>
      <c r="AR161" s="50">
        <f t="shared" ca="1" si="126"/>
        <v>0</v>
      </c>
      <c r="AS161" s="50">
        <f t="shared" si="127"/>
        <v>0</v>
      </c>
      <c r="AT161" s="50">
        <f ca="1">(MAX((MAX(AS161,105%*SUM($AJ$7:AJ161))-AM161*Flag_UL_Type),0)*B161)</f>
        <v>0</v>
      </c>
      <c r="AU161" s="50">
        <f ca="1">(MAX(AS161,AR161,105%*SUM($AJ$7:AJ161))*B161)</f>
        <v>0</v>
      </c>
      <c r="AV161" s="125"/>
      <c r="AW161" s="13"/>
      <c r="AX161" s="13"/>
      <c r="AY161" s="13"/>
      <c r="AZ161" s="13"/>
      <c r="BA161" s="13"/>
      <c r="BG161" s="51">
        <f t="shared" si="128"/>
        <v>0</v>
      </c>
      <c r="BH161" s="51">
        <f t="shared" ca="1" si="129"/>
        <v>0</v>
      </c>
      <c r="BI161" s="51">
        <f t="shared" ca="1" si="130"/>
        <v>0</v>
      </c>
      <c r="BJ161" s="51">
        <f t="shared" ca="1" si="131"/>
        <v>0</v>
      </c>
      <c r="BK161" s="51">
        <f t="shared" si="132"/>
        <v>90</v>
      </c>
      <c r="BL161" s="51">
        <f t="shared" ca="1" si="133"/>
        <v>1096.9420513819266</v>
      </c>
      <c r="BM161" s="51">
        <f t="shared" si="134"/>
        <v>0</v>
      </c>
      <c r="BN161" s="51">
        <f t="shared" ca="1" si="135"/>
        <v>0</v>
      </c>
      <c r="BO161" s="51">
        <f t="shared" ca="1" si="136"/>
        <v>0</v>
      </c>
      <c r="BP161" s="51">
        <f t="shared" ca="1" si="137"/>
        <v>1186.9420513819266</v>
      </c>
      <c r="BQ161" s="120"/>
      <c r="BR161" s="32"/>
      <c r="BS161" s="126"/>
      <c r="BT161" s="16"/>
      <c r="BU161" s="58"/>
      <c r="BW161" s="51">
        <f>IF(Input!$C$13="Offline",VLOOKUP(H161,Charges!$AT$4:$AU$33,2,FALSE)*I161,0)</f>
        <v>0</v>
      </c>
      <c r="BX161" s="51">
        <f t="shared" si="138"/>
        <v>0</v>
      </c>
      <c r="BY161" s="51">
        <f t="shared" si="146"/>
        <v>0</v>
      </c>
      <c r="BZ161" s="151"/>
      <c r="CA161" s="151"/>
      <c r="CB161" s="32"/>
      <c r="CC161" s="16">
        <f ca="1">SUM($N$7:$N161)</f>
        <v>0</v>
      </c>
      <c r="CD161" s="16">
        <f t="shared" ca="1" si="139"/>
        <v>0</v>
      </c>
      <c r="CE161" s="16">
        <f t="shared" ca="1" si="140"/>
        <v>0</v>
      </c>
      <c r="CF161" s="7">
        <f t="shared" ca="1" si="141"/>
        <v>0</v>
      </c>
      <c r="CH161" s="7">
        <f t="shared" ca="1" si="142"/>
        <v>0</v>
      </c>
    </row>
    <row r="162" spans="2:86" s="7" customFormat="1" x14ac:dyDescent="0.2">
      <c r="B162" s="14">
        <f t="shared" si="106"/>
        <v>1</v>
      </c>
      <c r="C162" s="12">
        <f t="shared" si="107"/>
        <v>1</v>
      </c>
      <c r="D162" s="17">
        <f t="shared" si="147"/>
        <v>156</v>
      </c>
      <c r="E162" s="17">
        <f t="shared" ca="1" si="108"/>
        <v>72</v>
      </c>
      <c r="F162" s="12">
        <f t="shared" si="149"/>
        <v>11</v>
      </c>
      <c r="G162" s="12">
        <f t="shared" si="148"/>
        <v>26</v>
      </c>
      <c r="H162" s="17">
        <f t="shared" si="150"/>
        <v>13</v>
      </c>
      <c r="I162" s="29">
        <f t="shared" si="109"/>
        <v>0</v>
      </c>
      <c r="J162" s="211">
        <f>IFERROR(VLOOKUP(H162,Charges!$T$6:$U$35,2,0)*C162,0)</f>
        <v>1</v>
      </c>
      <c r="K162" s="29">
        <f t="shared" si="110"/>
        <v>0</v>
      </c>
      <c r="L162" s="29">
        <f t="shared" si="111"/>
        <v>0</v>
      </c>
      <c r="M162" s="147">
        <f t="shared" ca="1" si="112"/>
        <v>0</v>
      </c>
      <c r="N162" s="148">
        <f ca="1">IF(AND(Option_SPW="Y",H162&gt;=Lock_In_Period,Z161&gt;SPW_Amount_pa+IF(option="Single",1/5*pr,2*pr),H162&gt;=SPW_Start_Year,H162&lt;=SPW_Start_Year+SPW_Duration-1,age+H162&gt;=Legal_Age),IF(AND(F162=0,SPW_Payout_Freq=1),SPW_Amount_pa,IF(AND(SPW_Payout_Freq=2,MOD(F162,6)=0),SPW_Amount_pa/SPW_Payout_Freq,IF(AND(SPW_Payout_Freq=4,MOD(F162,3)=0),SPW_Amount_pa/SPW_Payout_Freq,IF(SPW_Payout_Freq=12,SPW_Amount_pa/SPW_Payout_Freq,0)))),0)+IFERROR(VLOOKUP(H162,Input!$B$68:$C$74,2,0),0)*(F162=0)*(Option_PW="Y")*(Option_SPW="N")*(age+H162&gt;=Legal_Age)</f>
        <v>0</v>
      </c>
      <c r="O162" s="148">
        <f t="shared" ca="1" si="113"/>
        <v>0</v>
      </c>
      <c r="P162" s="14">
        <f ca="1">(MAX(MAX(sa-CF161*Flag_UL_Type,105%*SUM($I$7:I162))-(AD161+L162-N162)*Flag_UL_Type,0)*B162)</f>
        <v>0</v>
      </c>
      <c r="Q162" s="213">
        <f t="shared" ca="1" si="114"/>
        <v>0</v>
      </c>
      <c r="R162" s="14">
        <f t="shared" ca="1" si="115"/>
        <v>0</v>
      </c>
      <c r="S162" s="14">
        <f t="shared" ca="1" si="116"/>
        <v>0</v>
      </c>
      <c r="T162" s="14">
        <f>IFERROR(IF(WoP_Flag="Y",IF(fq=1,VLOOKUP(ppt*fq-H162,Charges!$AN$41:$AO$59,2,FALSE),IF(fq=2,VLOOKUP(ppt*fq-G162,Charges!$AP$41:$AQ$79,2,FALSE),VLOOKUP(ppt*fq-D162,Charges!$AR$41:$AS$279,2,FALSE)))*pr/fq,0),0)</f>
        <v>0</v>
      </c>
      <c r="U162" s="14">
        <f t="shared" ca="1" si="117"/>
        <v>0</v>
      </c>
      <c r="V162" s="34">
        <f>ROUND(MIN(IF(H162&gt;=7,Charges!$C$12*(1+Charges!$C$14)^((H162-7+1)),VLOOKUP(H162,Charges!$B$7:$C$12,2,0))*pr,Charges!$C$13)*B162,Round)</f>
        <v>500</v>
      </c>
      <c r="W162" s="14">
        <f t="shared" ca="1" si="118"/>
        <v>5406270.3382669482</v>
      </c>
      <c r="X162" s="14">
        <f t="shared" ca="1" si="119"/>
        <v>5441054.444406176</v>
      </c>
      <c r="Y162" s="213">
        <f t="shared" ca="1" si="143"/>
        <v>6124.5174617008133</v>
      </c>
      <c r="Z162" s="14">
        <f t="shared" ca="1" si="120"/>
        <v>5433827.5138013689</v>
      </c>
      <c r="AA162" s="14">
        <f>IF(AND($H162=pt,$F162=11),SUM($K$7:K162)*VLOOKUP(pt,ROC,2,FALSE),0)</f>
        <v>0</v>
      </c>
      <c r="AB162" s="14">
        <f>IF(AND($H162=pt,$F162=11),SUM($V$7:V162)*VLOOKUP(pt,ROC,2,FALSE),0)</f>
        <v>0</v>
      </c>
      <c r="AC162" s="14">
        <f>IF(AND($H162=pt,$F162=11),SUM($Q$7:Q162)*VLOOKUP(pt,ROC,2,FALSE),0)</f>
        <v>0</v>
      </c>
      <c r="AD162" s="14">
        <f t="shared" ca="1" si="121"/>
        <v>5433827.5138013689</v>
      </c>
      <c r="AE162" s="14">
        <f ca="1">(MAX(sa-CF161*Flag_UL_Type,105%*SUM($I$7:I162),Z162)+AU162)*B162</f>
        <v>5433827.5138013689</v>
      </c>
      <c r="AF162" s="136"/>
      <c r="AG162" s="18">
        <v>156</v>
      </c>
      <c r="AH162" s="30">
        <f t="shared" ca="1" si="122"/>
        <v>0</v>
      </c>
      <c r="AI162" s="58"/>
      <c r="AJ162" s="50">
        <f>IF(AND(Option_Sys_TopUp&gt;="Y",H162&gt;=sytp,H162&lt;=(dtp+sytp-1),F162=0,H162&lt;=ppt+1),atp,0)+IFERROR(VLOOKUP(H162,Input!$B$55:$C$61,2,0),0)*(F162=0)*(Option_TopUP="Y")*(Option_Sys_TopUp="N")*B162*(pt&gt;=H162+5)</f>
        <v>0</v>
      </c>
      <c r="AK162" s="50">
        <f t="shared" si="123"/>
        <v>0</v>
      </c>
      <c r="AL162" s="50">
        <f t="shared" si="144"/>
        <v>0</v>
      </c>
      <c r="AM162" s="50">
        <f t="shared" ca="1" si="145"/>
        <v>0</v>
      </c>
      <c r="AN162" s="50">
        <f ca="1">IF(B162=0,0,AT162*(_rpm1+(1+_emr1)*VLOOKUP(E162,Tab_Mort_Charge,IF(Input!$C$12="M",2,3),0))*(0.001*0.0833)*Flag_Mort_Rider_Charge*(AT162&gt;0))</f>
        <v>0</v>
      </c>
      <c r="AO162" s="50">
        <f t="shared" ca="1" si="124"/>
        <v>0</v>
      </c>
      <c r="AP162" s="50">
        <f t="shared" ca="1" si="151"/>
        <v>0</v>
      </c>
      <c r="AQ162" s="50">
        <f t="shared" ca="1" si="125"/>
        <v>0</v>
      </c>
      <c r="AR162" s="50">
        <f t="shared" ca="1" si="126"/>
        <v>0</v>
      </c>
      <c r="AS162" s="50">
        <f t="shared" si="127"/>
        <v>0</v>
      </c>
      <c r="AT162" s="50">
        <f ca="1">(MAX((MAX(AS162,105%*SUM($AJ$7:AJ162))-AM162*Flag_UL_Type),0)*B162)</f>
        <v>0</v>
      </c>
      <c r="AU162" s="50">
        <f ca="1">(MAX(AS162,AR162,105%*SUM($AJ$7:AJ162))*B162)</f>
        <v>0</v>
      </c>
      <c r="AV162" s="125"/>
      <c r="AW162" s="13"/>
      <c r="AX162" s="13"/>
      <c r="AY162" s="13"/>
      <c r="AZ162" s="13"/>
      <c r="BA162" s="13"/>
      <c r="BG162" s="51">
        <f t="shared" si="128"/>
        <v>0</v>
      </c>
      <c r="BH162" s="51">
        <f t="shared" ca="1" si="129"/>
        <v>0</v>
      </c>
      <c r="BI162" s="51">
        <f t="shared" ca="1" si="130"/>
        <v>0</v>
      </c>
      <c r="BJ162" s="51">
        <f t="shared" ca="1" si="131"/>
        <v>0</v>
      </c>
      <c r="BK162" s="51">
        <f t="shared" si="132"/>
        <v>90</v>
      </c>
      <c r="BL162" s="51">
        <f t="shared" ca="1" si="133"/>
        <v>1102.4131431061464</v>
      </c>
      <c r="BM162" s="51">
        <f t="shared" si="134"/>
        <v>0</v>
      </c>
      <c r="BN162" s="51">
        <f t="shared" ca="1" si="135"/>
        <v>0</v>
      </c>
      <c r="BO162" s="51">
        <f t="shared" ca="1" si="136"/>
        <v>0</v>
      </c>
      <c r="BP162" s="51">
        <f t="shared" ca="1" si="137"/>
        <v>1192.4131431061464</v>
      </c>
      <c r="BQ162" s="120"/>
      <c r="BR162" s="32"/>
      <c r="BS162" s="126"/>
      <c r="BT162" s="16"/>
      <c r="BU162" s="58"/>
      <c r="BW162" s="51">
        <f>IF(Input!$C$13="Offline",VLOOKUP(H162,Charges!$AT$4:$AU$33,2,FALSE)*I162,0)</f>
        <v>0</v>
      </c>
      <c r="BX162" s="51">
        <f t="shared" si="138"/>
        <v>0</v>
      </c>
      <c r="BY162" s="51">
        <f t="shared" si="146"/>
        <v>0</v>
      </c>
      <c r="BZ162" s="151"/>
      <c r="CA162" s="151"/>
      <c r="CB162" s="32"/>
      <c r="CC162" s="16">
        <f ca="1">SUM($N$7:$N162)</f>
        <v>0</v>
      </c>
      <c r="CD162" s="16">
        <f t="shared" ca="1" si="139"/>
        <v>0</v>
      </c>
      <c r="CE162" s="16">
        <f t="shared" ca="1" si="140"/>
        <v>0</v>
      </c>
      <c r="CF162" s="7">
        <f t="shared" ca="1" si="141"/>
        <v>0</v>
      </c>
      <c r="CH162" s="7">
        <f t="shared" ca="1" si="142"/>
        <v>0</v>
      </c>
    </row>
    <row r="163" spans="2:86" s="7" customFormat="1" x14ac:dyDescent="0.2">
      <c r="B163" s="14">
        <f t="shared" si="106"/>
        <v>1</v>
      </c>
      <c r="C163" s="12">
        <f t="shared" si="107"/>
        <v>1</v>
      </c>
      <c r="D163" s="17">
        <f t="shared" si="147"/>
        <v>157</v>
      </c>
      <c r="E163" s="17">
        <f t="shared" ca="1" si="108"/>
        <v>73</v>
      </c>
      <c r="F163" s="12">
        <f t="shared" si="149"/>
        <v>0</v>
      </c>
      <c r="G163" s="12">
        <f t="shared" si="148"/>
        <v>27</v>
      </c>
      <c r="H163" s="17">
        <f t="shared" si="150"/>
        <v>14</v>
      </c>
      <c r="I163" s="29">
        <f t="shared" si="109"/>
        <v>300000</v>
      </c>
      <c r="J163" s="211">
        <f>IFERROR(VLOOKUP(H163,Charges!$T$6:$U$35,2,0)*C163,0)</f>
        <v>1</v>
      </c>
      <c r="K163" s="29">
        <f t="shared" si="110"/>
        <v>0</v>
      </c>
      <c r="L163" s="29">
        <f t="shared" si="111"/>
        <v>300000</v>
      </c>
      <c r="M163" s="147">
        <f t="shared" ca="1" si="112"/>
        <v>0</v>
      </c>
      <c r="N163" s="148">
        <f ca="1">IF(AND(Option_SPW="Y",H163&gt;=Lock_In_Period,Z162&gt;SPW_Amount_pa+IF(option="Single",1/5*pr,2*pr),H163&gt;=SPW_Start_Year,H163&lt;=SPW_Start_Year+SPW_Duration-1,age+H163&gt;=Legal_Age),IF(AND(F163=0,SPW_Payout_Freq=1),SPW_Amount_pa,IF(AND(SPW_Payout_Freq=2,MOD(F163,6)=0),SPW_Amount_pa/SPW_Payout_Freq,IF(AND(SPW_Payout_Freq=4,MOD(F163,3)=0),SPW_Amount_pa/SPW_Payout_Freq,IF(SPW_Payout_Freq=12,SPW_Amount_pa/SPW_Payout_Freq,0)))),0)+IFERROR(VLOOKUP(H163,Input!$B$68:$C$74,2,0),0)*(F163=0)*(Option_PW="Y")*(Option_SPW="N")*(age+H163&gt;=Legal_Age)</f>
        <v>0</v>
      </c>
      <c r="O163" s="148">
        <f t="shared" ca="1" si="113"/>
        <v>0</v>
      </c>
      <c r="P163" s="14">
        <f ca="1">(MAX(MAX(sa-CF162*Flag_UL_Type,105%*SUM($I$7:I163))-(AD162+L163-N163)*Flag_UL_Type,0)*B163)</f>
        <v>0</v>
      </c>
      <c r="Q163" s="213">
        <f t="shared" ca="1" si="114"/>
        <v>0</v>
      </c>
      <c r="R163" s="14">
        <f t="shared" ca="1" si="115"/>
        <v>0</v>
      </c>
      <c r="S163" s="14">
        <f t="shared" ca="1" si="116"/>
        <v>0</v>
      </c>
      <c r="T163" s="14">
        <f>IFERROR(IF(WoP_Flag="Y",IF(fq=1,VLOOKUP(ppt*fq-H163,Charges!$AN$41:$AO$59,2,FALSE),IF(fq=2,VLOOKUP(ppt*fq-G163,Charges!$AP$41:$AQ$79,2,FALSE),VLOOKUP(ppt*fq-D163,Charges!$AR$41:$AS$279,2,FALSE)))*pr/fq,0),0)</f>
        <v>0</v>
      </c>
      <c r="U163" s="14">
        <f t="shared" ca="1" si="117"/>
        <v>0</v>
      </c>
      <c r="V163" s="34">
        <f>ROUND(MIN(IF(H163&gt;=7,Charges!$C$12*(1+Charges!$C$14)^((H163-7+1)),VLOOKUP(H163,Charges!$B$7:$C$12,2,0))*pr,Charges!$C$13)*B163,Round)</f>
        <v>500</v>
      </c>
      <c r="W163" s="14">
        <f t="shared" ca="1" si="118"/>
        <v>5733237.5138013689</v>
      </c>
      <c r="X163" s="14">
        <f t="shared" ca="1" si="119"/>
        <v>5770125.3365929686</v>
      </c>
      <c r="Y163" s="213">
        <f t="shared" ca="1" si="143"/>
        <v>6494.9236845989253</v>
      </c>
      <c r="Z163" s="14">
        <f t="shared" ca="1" si="120"/>
        <v>5762461.3266451415</v>
      </c>
      <c r="AA163" s="14">
        <f>IF(AND($H163=pt,$F163=11),SUM($K$7:K163)*VLOOKUP(pt,ROC,2,FALSE),0)</f>
        <v>0</v>
      </c>
      <c r="AB163" s="14">
        <f>IF(AND($H163=pt,$F163=11),SUM($V$7:V163)*VLOOKUP(pt,ROC,2,FALSE),0)</f>
        <v>0</v>
      </c>
      <c r="AC163" s="14">
        <f>IF(AND($H163=pt,$F163=11),SUM($Q$7:Q163)*VLOOKUP(pt,ROC,2,FALSE),0)</f>
        <v>0</v>
      </c>
      <c r="AD163" s="14">
        <f t="shared" ca="1" si="121"/>
        <v>5762461.3266451415</v>
      </c>
      <c r="AE163" s="14">
        <f ca="1">(MAX(sa-CF162*Flag_UL_Type,105%*SUM($I$7:I163),Z163)+AU163)*B163</f>
        <v>5762461.3266451415</v>
      </c>
      <c r="AF163" s="136"/>
      <c r="AG163" s="18">
        <v>157</v>
      </c>
      <c r="AH163" s="30">
        <f t="shared" ca="1" si="122"/>
        <v>300000</v>
      </c>
      <c r="AI163" s="58"/>
      <c r="AJ163" s="50">
        <f>IF(AND(Option_Sys_TopUp&gt;="Y",H163&gt;=sytp,H163&lt;=(dtp+sytp-1),F163=0,H163&lt;=ppt+1),atp,0)+IFERROR(VLOOKUP(H163,Input!$B$55:$C$61,2,0),0)*(F163=0)*(Option_TopUP="Y")*(Option_Sys_TopUp="N")*B163*(pt&gt;=H163+5)</f>
        <v>0</v>
      </c>
      <c r="AK163" s="50">
        <f t="shared" si="123"/>
        <v>0</v>
      </c>
      <c r="AL163" s="50">
        <f t="shared" si="144"/>
        <v>0</v>
      </c>
      <c r="AM163" s="50">
        <f t="shared" ca="1" si="145"/>
        <v>0</v>
      </c>
      <c r="AN163" s="50">
        <f ca="1">IF(B163=0,0,AT163*(_rpm1+(1+_emr1)*VLOOKUP(E163,Tab_Mort_Charge,IF(Input!$C$12="M",2,3),0))*(0.001*0.0833)*Flag_Mort_Rider_Charge*(AT163&gt;0))</f>
        <v>0</v>
      </c>
      <c r="AO163" s="50">
        <f t="shared" ca="1" si="124"/>
        <v>0</v>
      </c>
      <c r="AP163" s="50">
        <f t="shared" ca="1" si="151"/>
        <v>0</v>
      </c>
      <c r="AQ163" s="50">
        <f t="shared" ca="1" si="125"/>
        <v>0</v>
      </c>
      <c r="AR163" s="50">
        <f t="shared" ca="1" si="126"/>
        <v>0</v>
      </c>
      <c r="AS163" s="50">
        <f t="shared" si="127"/>
        <v>0</v>
      </c>
      <c r="AT163" s="50">
        <f ca="1">(MAX((MAX(AS163,105%*SUM($AJ$7:AJ163))-AM163*Flag_UL_Type),0)*B163)</f>
        <v>0</v>
      </c>
      <c r="AU163" s="50">
        <f ca="1">(MAX(AS163,AR163,105%*SUM($AJ$7:AJ163))*B163)</f>
        <v>0</v>
      </c>
      <c r="AV163" s="125"/>
      <c r="AW163" s="13"/>
      <c r="AX163" s="13"/>
      <c r="AY163" s="13"/>
      <c r="AZ163" s="13"/>
      <c r="BA163" s="13"/>
      <c r="BG163" s="51">
        <f t="shared" si="128"/>
        <v>0</v>
      </c>
      <c r="BH163" s="51">
        <f t="shared" ca="1" si="129"/>
        <v>0</v>
      </c>
      <c r="BI163" s="51">
        <f t="shared" ca="1" si="130"/>
        <v>0</v>
      </c>
      <c r="BJ163" s="51">
        <f t="shared" ca="1" si="131"/>
        <v>0</v>
      </c>
      <c r="BK163" s="51">
        <f t="shared" si="132"/>
        <v>90</v>
      </c>
      <c r="BL163" s="51">
        <f t="shared" ca="1" si="133"/>
        <v>1169.0862632278065</v>
      </c>
      <c r="BM163" s="51">
        <f t="shared" si="134"/>
        <v>0</v>
      </c>
      <c r="BN163" s="51">
        <f t="shared" ca="1" si="135"/>
        <v>0</v>
      </c>
      <c r="BO163" s="51">
        <f t="shared" ca="1" si="136"/>
        <v>0</v>
      </c>
      <c r="BP163" s="51">
        <f t="shared" ca="1" si="137"/>
        <v>1259.0862632278065</v>
      </c>
      <c r="BQ163" s="120"/>
      <c r="BR163" s="32"/>
      <c r="BS163" s="126"/>
      <c r="BT163" s="16"/>
      <c r="BU163" s="58"/>
      <c r="BW163" s="51">
        <f>IF(Input!$C$13="Offline",VLOOKUP(H163,Charges!$AT$4:$AU$33,2,FALSE)*I163,0)</f>
        <v>0</v>
      </c>
      <c r="BX163" s="51">
        <f t="shared" si="138"/>
        <v>0</v>
      </c>
      <c r="BY163" s="51">
        <f t="shared" si="146"/>
        <v>0</v>
      </c>
      <c r="BZ163" s="151"/>
      <c r="CA163" s="151"/>
      <c r="CB163" s="32"/>
      <c r="CC163" s="16">
        <f ca="1">SUM($N$7:$N163)</f>
        <v>0</v>
      </c>
      <c r="CD163" s="16">
        <f t="shared" ca="1" si="139"/>
        <v>0</v>
      </c>
      <c r="CE163" s="16">
        <f t="shared" ca="1" si="140"/>
        <v>0</v>
      </c>
      <c r="CF163" s="7">
        <f t="shared" ca="1" si="141"/>
        <v>0</v>
      </c>
      <c r="CH163" s="7">
        <f t="shared" ca="1" si="142"/>
        <v>0</v>
      </c>
    </row>
    <row r="164" spans="2:86" s="7" customFormat="1" x14ac:dyDescent="0.2">
      <c r="B164" s="14">
        <f t="shared" si="106"/>
        <v>1</v>
      </c>
      <c r="C164" s="12">
        <f t="shared" si="107"/>
        <v>1</v>
      </c>
      <c r="D164" s="17">
        <f t="shared" si="147"/>
        <v>158</v>
      </c>
      <c r="E164" s="17">
        <f t="shared" ca="1" si="108"/>
        <v>73</v>
      </c>
      <c r="F164" s="12">
        <f t="shared" si="149"/>
        <v>1</v>
      </c>
      <c r="G164" s="12">
        <f t="shared" si="148"/>
        <v>27</v>
      </c>
      <c r="H164" s="17">
        <f t="shared" si="150"/>
        <v>14</v>
      </c>
      <c r="I164" s="29">
        <f t="shared" si="109"/>
        <v>0</v>
      </c>
      <c r="J164" s="211">
        <f>IFERROR(VLOOKUP(H164,Charges!$T$6:$U$35,2,0)*C164,0)</f>
        <v>1</v>
      </c>
      <c r="K164" s="29">
        <f t="shared" si="110"/>
        <v>0</v>
      </c>
      <c r="L164" s="29">
        <f t="shared" si="111"/>
        <v>0</v>
      </c>
      <c r="M164" s="147">
        <f t="shared" ca="1" si="112"/>
        <v>0</v>
      </c>
      <c r="N164" s="148">
        <f ca="1">IF(AND(Option_SPW="Y",H164&gt;=Lock_In_Period,Z163&gt;SPW_Amount_pa+IF(option="Single",1/5*pr,2*pr),H164&gt;=SPW_Start_Year,H164&lt;=SPW_Start_Year+SPW_Duration-1,age+H164&gt;=Legal_Age),IF(AND(F164=0,SPW_Payout_Freq=1),SPW_Amount_pa,IF(AND(SPW_Payout_Freq=2,MOD(F164,6)=0),SPW_Amount_pa/SPW_Payout_Freq,IF(AND(SPW_Payout_Freq=4,MOD(F164,3)=0),SPW_Amount_pa/SPW_Payout_Freq,IF(SPW_Payout_Freq=12,SPW_Amount_pa/SPW_Payout_Freq,0)))),0)+IFERROR(VLOOKUP(H164,Input!$B$68:$C$74,2,0),0)*(F164=0)*(Option_PW="Y")*(Option_SPW="N")*(age+H164&gt;=Legal_Age)</f>
        <v>0</v>
      </c>
      <c r="O164" s="148">
        <f t="shared" ca="1" si="113"/>
        <v>0</v>
      </c>
      <c r="P164" s="14">
        <f ca="1">(MAX(MAX(sa-CF163*Flag_UL_Type,105%*SUM($I$7:I164))-(AD163+L164-N164)*Flag_UL_Type,0)*B164)</f>
        <v>0</v>
      </c>
      <c r="Q164" s="213">
        <f t="shared" ca="1" si="114"/>
        <v>0</v>
      </c>
      <c r="R164" s="14">
        <f t="shared" ca="1" si="115"/>
        <v>0</v>
      </c>
      <c r="S164" s="14">
        <f t="shared" ca="1" si="116"/>
        <v>0</v>
      </c>
      <c r="T164" s="14">
        <f>IFERROR(IF(WoP_Flag="Y",IF(fq=1,VLOOKUP(ppt*fq-H164,Charges!$AN$41:$AO$59,2,FALSE),IF(fq=2,VLOOKUP(ppt*fq-G164,Charges!$AP$41:$AQ$79,2,FALSE),VLOOKUP(ppt*fq-D164,Charges!$AR$41:$AS$279,2,FALSE)))*pr/fq,0),0)</f>
        <v>0</v>
      </c>
      <c r="U164" s="14">
        <f t="shared" ca="1" si="117"/>
        <v>0</v>
      </c>
      <c r="V164" s="34">
        <f>ROUND(MIN(IF(H164&gt;=7,Charges!$C$12*(1+Charges!$C$14)^((H164-7+1)),VLOOKUP(H164,Charges!$B$7:$C$12,2,0))*pr,Charges!$C$13)*B164,Round)</f>
        <v>500</v>
      </c>
      <c r="W164" s="14">
        <f t="shared" ca="1" si="118"/>
        <v>5761871.3266451415</v>
      </c>
      <c r="X164" s="14">
        <f t="shared" ca="1" si="119"/>
        <v>5798943.3802507417</v>
      </c>
      <c r="Y164" s="213">
        <f t="shared" ca="1" si="143"/>
        <v>6527.3616271700639</v>
      </c>
      <c r="Z164" s="14">
        <f t="shared" ca="1" si="120"/>
        <v>5791241.093530681</v>
      </c>
      <c r="AA164" s="14">
        <f>IF(AND($H164=pt,$F164=11),SUM($K$7:K164)*VLOOKUP(pt,ROC,2,FALSE),0)</f>
        <v>0</v>
      </c>
      <c r="AB164" s="14">
        <f>IF(AND($H164=pt,$F164=11),SUM($V$7:V164)*VLOOKUP(pt,ROC,2,FALSE),0)</f>
        <v>0</v>
      </c>
      <c r="AC164" s="14">
        <f>IF(AND($H164=pt,$F164=11),SUM($Q$7:Q164)*VLOOKUP(pt,ROC,2,FALSE),0)</f>
        <v>0</v>
      </c>
      <c r="AD164" s="14">
        <f t="shared" ca="1" si="121"/>
        <v>5791241.093530681</v>
      </c>
      <c r="AE164" s="14">
        <f ca="1">(MAX(sa-CF163*Flag_UL_Type,105%*SUM($I$7:I164),Z164)+AU164)*B164</f>
        <v>5791241.093530681</v>
      </c>
      <c r="AF164" s="136"/>
      <c r="AG164" s="18">
        <v>158</v>
      </c>
      <c r="AH164" s="30">
        <f t="shared" ca="1" si="122"/>
        <v>0</v>
      </c>
      <c r="AI164" s="58"/>
      <c r="AJ164" s="50">
        <f>IF(AND(Option_Sys_TopUp&gt;="Y",H164&gt;=sytp,H164&lt;=(dtp+sytp-1),F164=0,H164&lt;=ppt+1),atp,0)+IFERROR(VLOOKUP(H164,Input!$B$55:$C$61,2,0),0)*(F164=0)*(Option_TopUP="Y")*(Option_Sys_TopUp="N")*B164*(pt&gt;=H164+5)</f>
        <v>0</v>
      </c>
      <c r="AK164" s="50">
        <f t="shared" si="123"/>
        <v>0</v>
      </c>
      <c r="AL164" s="50">
        <f t="shared" si="144"/>
        <v>0</v>
      </c>
      <c r="AM164" s="50">
        <f t="shared" ca="1" si="145"/>
        <v>0</v>
      </c>
      <c r="AN164" s="50">
        <f ca="1">IF(B164=0,0,AT164*(_rpm1+(1+_emr1)*VLOOKUP(E164,Tab_Mort_Charge,IF(Input!$C$12="M",2,3),0))*(0.001*0.0833)*Flag_Mort_Rider_Charge*(AT164&gt;0))</f>
        <v>0</v>
      </c>
      <c r="AO164" s="50">
        <f t="shared" ca="1" si="124"/>
        <v>0</v>
      </c>
      <c r="AP164" s="50">
        <f t="shared" ca="1" si="151"/>
        <v>0</v>
      </c>
      <c r="AQ164" s="50">
        <f t="shared" ca="1" si="125"/>
        <v>0</v>
      </c>
      <c r="AR164" s="50">
        <f t="shared" ca="1" si="126"/>
        <v>0</v>
      </c>
      <c r="AS164" s="50">
        <f t="shared" si="127"/>
        <v>0</v>
      </c>
      <c r="AT164" s="50">
        <f ca="1">(MAX((MAX(AS164,105%*SUM($AJ$7:AJ164))-AM164*Flag_UL_Type),0)*B164)</f>
        <v>0</v>
      </c>
      <c r="AU164" s="50">
        <f ca="1">(MAX(AS164,AR164,105%*SUM($AJ$7:AJ164))*B164)</f>
        <v>0</v>
      </c>
      <c r="AV164" s="125"/>
      <c r="AW164" s="13"/>
      <c r="AX164" s="13"/>
      <c r="AY164" s="13"/>
      <c r="AZ164" s="13"/>
      <c r="BA164" s="13"/>
      <c r="BG164" s="51">
        <f t="shared" si="128"/>
        <v>0</v>
      </c>
      <c r="BH164" s="51">
        <f t="shared" ca="1" si="129"/>
        <v>0</v>
      </c>
      <c r="BI164" s="51">
        <f t="shared" ca="1" si="130"/>
        <v>0</v>
      </c>
      <c r="BJ164" s="51">
        <f t="shared" ca="1" si="131"/>
        <v>0</v>
      </c>
      <c r="BK164" s="51">
        <f t="shared" si="132"/>
        <v>90</v>
      </c>
      <c r="BL164" s="51">
        <f t="shared" ca="1" si="133"/>
        <v>1174.9250928906115</v>
      </c>
      <c r="BM164" s="51">
        <f t="shared" si="134"/>
        <v>0</v>
      </c>
      <c r="BN164" s="51">
        <f t="shared" ca="1" si="135"/>
        <v>0</v>
      </c>
      <c r="BO164" s="51">
        <f t="shared" ca="1" si="136"/>
        <v>0</v>
      </c>
      <c r="BP164" s="51">
        <f t="shared" ca="1" si="137"/>
        <v>1264.9250928906115</v>
      </c>
      <c r="BQ164" s="120"/>
      <c r="BR164" s="32"/>
      <c r="BS164" s="126"/>
      <c r="BT164" s="16"/>
      <c r="BU164" s="58"/>
      <c r="BW164" s="51">
        <f>IF(Input!$C$13="Offline",VLOOKUP(H164,Charges!$AT$4:$AU$33,2,FALSE)*I164,0)</f>
        <v>0</v>
      </c>
      <c r="BX164" s="51">
        <f t="shared" si="138"/>
        <v>0</v>
      </c>
      <c r="BY164" s="51">
        <f t="shared" si="146"/>
        <v>0</v>
      </c>
      <c r="BZ164" s="151"/>
      <c r="CA164" s="151"/>
      <c r="CB164" s="32"/>
      <c r="CC164" s="16">
        <f ca="1">SUM($N$7:$N164)</f>
        <v>0</v>
      </c>
      <c r="CD164" s="16">
        <f t="shared" ca="1" si="139"/>
        <v>0</v>
      </c>
      <c r="CE164" s="16">
        <f t="shared" ca="1" si="140"/>
        <v>0</v>
      </c>
      <c r="CF164" s="7">
        <f t="shared" ca="1" si="141"/>
        <v>0</v>
      </c>
      <c r="CH164" s="7">
        <f t="shared" ca="1" si="142"/>
        <v>0</v>
      </c>
    </row>
    <row r="165" spans="2:86" s="7" customFormat="1" x14ac:dyDescent="0.2">
      <c r="B165" s="14">
        <f t="shared" si="106"/>
        <v>1</v>
      </c>
      <c r="C165" s="12">
        <f t="shared" si="107"/>
        <v>1</v>
      </c>
      <c r="D165" s="17">
        <f t="shared" si="147"/>
        <v>159</v>
      </c>
      <c r="E165" s="17">
        <f t="shared" ca="1" si="108"/>
        <v>73</v>
      </c>
      <c r="F165" s="12">
        <f t="shared" si="149"/>
        <v>2</v>
      </c>
      <c r="G165" s="12">
        <f t="shared" si="148"/>
        <v>27</v>
      </c>
      <c r="H165" s="17">
        <f t="shared" si="150"/>
        <v>14</v>
      </c>
      <c r="I165" s="29">
        <f t="shared" si="109"/>
        <v>0</v>
      </c>
      <c r="J165" s="211">
        <f>IFERROR(VLOOKUP(H165,Charges!$T$6:$U$35,2,0)*C165,0)</f>
        <v>1</v>
      </c>
      <c r="K165" s="29">
        <f t="shared" si="110"/>
        <v>0</v>
      </c>
      <c r="L165" s="29">
        <f t="shared" si="111"/>
        <v>0</v>
      </c>
      <c r="M165" s="147">
        <f t="shared" ca="1" si="112"/>
        <v>0</v>
      </c>
      <c r="N165" s="148">
        <f ca="1">IF(AND(Option_SPW="Y",H165&gt;=Lock_In_Period,Z164&gt;SPW_Amount_pa+IF(option="Single",1/5*pr,2*pr),H165&gt;=SPW_Start_Year,H165&lt;=SPW_Start_Year+SPW_Duration-1,age+H165&gt;=Legal_Age),IF(AND(F165=0,SPW_Payout_Freq=1),SPW_Amount_pa,IF(AND(SPW_Payout_Freq=2,MOD(F165,6)=0),SPW_Amount_pa/SPW_Payout_Freq,IF(AND(SPW_Payout_Freq=4,MOD(F165,3)=0),SPW_Amount_pa/SPW_Payout_Freq,IF(SPW_Payout_Freq=12,SPW_Amount_pa/SPW_Payout_Freq,0)))),0)+IFERROR(VLOOKUP(H165,Input!$B$68:$C$74,2,0),0)*(F165=0)*(Option_PW="Y")*(Option_SPW="N")*(age+H165&gt;=Legal_Age)</f>
        <v>0</v>
      </c>
      <c r="O165" s="148">
        <f t="shared" ca="1" si="113"/>
        <v>0</v>
      </c>
      <c r="P165" s="14">
        <f ca="1">(MAX(MAX(sa-CF164*Flag_UL_Type,105%*SUM($I$7:I165))-(AD164+L165-N165)*Flag_UL_Type,0)*B165)</f>
        <v>0</v>
      </c>
      <c r="Q165" s="213">
        <f t="shared" ca="1" si="114"/>
        <v>0</v>
      </c>
      <c r="R165" s="14">
        <f t="shared" ca="1" si="115"/>
        <v>0</v>
      </c>
      <c r="S165" s="14">
        <f t="shared" ca="1" si="116"/>
        <v>0</v>
      </c>
      <c r="T165" s="14">
        <f>IFERROR(IF(WoP_Flag="Y",IF(fq=1,VLOOKUP(ppt*fq-H165,Charges!$AN$41:$AO$59,2,FALSE),IF(fq=2,VLOOKUP(ppt*fq-G165,Charges!$AP$41:$AQ$79,2,FALSE),VLOOKUP(ppt*fq-D165,Charges!$AR$41:$AS$279,2,FALSE)))*pr/fq,0),0)</f>
        <v>0</v>
      </c>
      <c r="U165" s="14">
        <f t="shared" ca="1" si="117"/>
        <v>0</v>
      </c>
      <c r="V165" s="34">
        <f>ROUND(MIN(IF(H165&gt;=7,Charges!$C$12*(1+Charges!$C$14)^((H165-7+1)),VLOOKUP(H165,Charges!$B$7:$C$12,2,0))*pr,Charges!$C$13)*B165,Round)</f>
        <v>500</v>
      </c>
      <c r="W165" s="14">
        <f t="shared" ca="1" si="118"/>
        <v>5790651.093530681</v>
      </c>
      <c r="X165" s="14">
        <f t="shared" ca="1" si="119"/>
        <v>5827908.3170229821</v>
      </c>
      <c r="Y165" s="213">
        <f t="shared" ca="1" si="143"/>
        <v>6559.9649144282948</v>
      </c>
      <c r="Z165" s="14">
        <f t="shared" ca="1" si="120"/>
        <v>5820167.5584239569</v>
      </c>
      <c r="AA165" s="14">
        <f>IF(AND($H165=pt,$F165=11),SUM($K$7:K165)*VLOOKUP(pt,ROC,2,FALSE),0)</f>
        <v>0</v>
      </c>
      <c r="AB165" s="14">
        <f>IF(AND($H165=pt,$F165=11),SUM($V$7:V165)*VLOOKUP(pt,ROC,2,FALSE),0)</f>
        <v>0</v>
      </c>
      <c r="AC165" s="14">
        <f>IF(AND($H165=pt,$F165=11),SUM($Q$7:Q165)*VLOOKUP(pt,ROC,2,FALSE),0)</f>
        <v>0</v>
      </c>
      <c r="AD165" s="14">
        <f t="shared" ca="1" si="121"/>
        <v>5820167.5584239569</v>
      </c>
      <c r="AE165" s="14">
        <f ca="1">(MAX(sa-CF164*Flag_UL_Type,105%*SUM($I$7:I165),Z165)+AU165)*B165</f>
        <v>5820167.5584239569</v>
      </c>
      <c r="AF165" s="136"/>
      <c r="AG165" s="18">
        <v>159</v>
      </c>
      <c r="AH165" s="30">
        <f t="shared" ca="1" si="122"/>
        <v>0</v>
      </c>
      <c r="AI165" s="58"/>
      <c r="AJ165" s="50">
        <f>IF(AND(Option_Sys_TopUp&gt;="Y",H165&gt;=sytp,H165&lt;=(dtp+sytp-1),F165=0,H165&lt;=ppt+1),atp,0)+IFERROR(VLOOKUP(H165,Input!$B$55:$C$61,2,0),0)*(F165=0)*(Option_TopUP="Y")*(Option_Sys_TopUp="N")*B165*(pt&gt;=H165+5)</f>
        <v>0</v>
      </c>
      <c r="AK165" s="50">
        <f t="shared" si="123"/>
        <v>0</v>
      </c>
      <c r="AL165" s="50">
        <f t="shared" si="144"/>
        <v>0</v>
      </c>
      <c r="AM165" s="50">
        <f t="shared" ca="1" si="145"/>
        <v>0</v>
      </c>
      <c r="AN165" s="50">
        <f ca="1">IF(B165=0,0,AT165*(_rpm1+(1+_emr1)*VLOOKUP(E165,Tab_Mort_Charge,IF(Input!$C$12="M",2,3),0))*(0.001*0.0833)*Flag_Mort_Rider_Charge*(AT165&gt;0))</f>
        <v>0</v>
      </c>
      <c r="AO165" s="50">
        <f t="shared" ca="1" si="124"/>
        <v>0</v>
      </c>
      <c r="AP165" s="50">
        <f t="shared" ca="1" si="151"/>
        <v>0</v>
      </c>
      <c r="AQ165" s="50">
        <f t="shared" ca="1" si="125"/>
        <v>0</v>
      </c>
      <c r="AR165" s="50">
        <f t="shared" ca="1" si="126"/>
        <v>0</v>
      </c>
      <c r="AS165" s="50">
        <f t="shared" si="127"/>
        <v>0</v>
      </c>
      <c r="AT165" s="50">
        <f ca="1">(MAX((MAX(AS165,105%*SUM($AJ$7:AJ165))-AM165*Flag_UL_Type),0)*B165)</f>
        <v>0</v>
      </c>
      <c r="AU165" s="50">
        <f ca="1">(MAX(AS165,AR165,105%*SUM($AJ$7:AJ165))*B165)</f>
        <v>0</v>
      </c>
      <c r="AV165" s="125"/>
      <c r="AW165" s="13"/>
      <c r="AX165" s="13"/>
      <c r="AY165" s="13"/>
      <c r="AZ165" s="13"/>
      <c r="BA165" s="13"/>
      <c r="BG165" s="51">
        <f t="shared" si="128"/>
        <v>0</v>
      </c>
      <c r="BH165" s="51">
        <f t="shared" ca="1" si="129"/>
        <v>0</v>
      </c>
      <c r="BI165" s="51">
        <f t="shared" ca="1" si="130"/>
        <v>0</v>
      </c>
      <c r="BJ165" s="51">
        <f t="shared" ca="1" si="131"/>
        <v>0</v>
      </c>
      <c r="BK165" s="51">
        <f t="shared" si="132"/>
        <v>90</v>
      </c>
      <c r="BL165" s="51">
        <f t="shared" ca="1" si="133"/>
        <v>1180.793684597093</v>
      </c>
      <c r="BM165" s="51">
        <f t="shared" si="134"/>
        <v>0</v>
      </c>
      <c r="BN165" s="51">
        <f t="shared" ca="1" si="135"/>
        <v>0</v>
      </c>
      <c r="BO165" s="51">
        <f t="shared" ca="1" si="136"/>
        <v>0</v>
      </c>
      <c r="BP165" s="51">
        <f t="shared" ca="1" si="137"/>
        <v>1270.793684597093</v>
      </c>
      <c r="BQ165" s="120"/>
      <c r="BR165" s="32"/>
      <c r="BS165" s="126"/>
      <c r="BT165" s="16"/>
      <c r="BU165" s="58"/>
      <c r="BW165" s="51">
        <f>IF(Input!$C$13="Offline",VLOOKUP(H165,Charges!$AT$4:$AU$33,2,FALSE)*I165,0)</f>
        <v>0</v>
      </c>
      <c r="BX165" s="51">
        <f t="shared" si="138"/>
        <v>0</v>
      </c>
      <c r="BY165" s="51">
        <f t="shared" si="146"/>
        <v>0</v>
      </c>
      <c r="BZ165" s="151"/>
      <c r="CA165" s="151"/>
      <c r="CB165" s="32"/>
      <c r="CC165" s="16">
        <f ca="1">SUM($N$7:$N165)</f>
        <v>0</v>
      </c>
      <c r="CD165" s="16">
        <f t="shared" ca="1" si="139"/>
        <v>0</v>
      </c>
      <c r="CE165" s="16">
        <f t="shared" ca="1" si="140"/>
        <v>0</v>
      </c>
      <c r="CF165" s="7">
        <f t="shared" ca="1" si="141"/>
        <v>0</v>
      </c>
      <c r="CH165" s="7">
        <f t="shared" ca="1" si="142"/>
        <v>0</v>
      </c>
    </row>
    <row r="166" spans="2:86" s="7" customFormat="1" x14ac:dyDescent="0.2">
      <c r="B166" s="14">
        <f t="shared" si="106"/>
        <v>1</v>
      </c>
      <c r="C166" s="12">
        <f t="shared" si="107"/>
        <v>1</v>
      </c>
      <c r="D166" s="17">
        <f t="shared" si="147"/>
        <v>160</v>
      </c>
      <c r="E166" s="17">
        <f t="shared" ca="1" si="108"/>
        <v>73</v>
      </c>
      <c r="F166" s="12">
        <f t="shared" si="149"/>
        <v>3</v>
      </c>
      <c r="G166" s="12">
        <f t="shared" si="148"/>
        <v>27</v>
      </c>
      <c r="H166" s="17">
        <f t="shared" si="150"/>
        <v>14</v>
      </c>
      <c r="I166" s="29">
        <f t="shared" si="109"/>
        <v>0</v>
      </c>
      <c r="J166" s="211">
        <f>IFERROR(VLOOKUP(H166,Charges!$T$6:$U$35,2,0)*C166,0)</f>
        <v>1</v>
      </c>
      <c r="K166" s="29">
        <f t="shared" si="110"/>
        <v>0</v>
      </c>
      <c r="L166" s="29">
        <f t="shared" si="111"/>
        <v>0</v>
      </c>
      <c r="M166" s="147">
        <f t="shared" ca="1" si="112"/>
        <v>0</v>
      </c>
      <c r="N166" s="148">
        <f ca="1">IF(AND(Option_SPW="Y",H166&gt;=Lock_In_Period,Z165&gt;SPW_Amount_pa+IF(option="Single",1/5*pr,2*pr),H166&gt;=SPW_Start_Year,H166&lt;=SPW_Start_Year+SPW_Duration-1,age+H166&gt;=Legal_Age),IF(AND(F166=0,SPW_Payout_Freq=1),SPW_Amount_pa,IF(AND(SPW_Payout_Freq=2,MOD(F166,6)=0),SPW_Amount_pa/SPW_Payout_Freq,IF(AND(SPW_Payout_Freq=4,MOD(F166,3)=0),SPW_Amount_pa/SPW_Payout_Freq,IF(SPW_Payout_Freq=12,SPW_Amount_pa/SPW_Payout_Freq,0)))),0)+IFERROR(VLOOKUP(H166,Input!$B$68:$C$74,2,0),0)*(F166=0)*(Option_PW="Y")*(Option_SPW="N")*(age+H166&gt;=Legal_Age)</f>
        <v>0</v>
      </c>
      <c r="O166" s="148">
        <f t="shared" ca="1" si="113"/>
        <v>0</v>
      </c>
      <c r="P166" s="14">
        <f ca="1">(MAX(MAX(sa-CF165*Flag_UL_Type,105%*SUM($I$7:I166))-(AD165+L166-N166)*Flag_UL_Type,0)*B166)</f>
        <v>0</v>
      </c>
      <c r="Q166" s="213">
        <f t="shared" ca="1" si="114"/>
        <v>0</v>
      </c>
      <c r="R166" s="14">
        <f t="shared" ca="1" si="115"/>
        <v>0</v>
      </c>
      <c r="S166" s="14">
        <f t="shared" ca="1" si="116"/>
        <v>0</v>
      </c>
      <c r="T166" s="14">
        <f>IFERROR(IF(WoP_Flag="Y",IF(fq=1,VLOOKUP(ppt*fq-H166,Charges!$AN$41:$AO$59,2,FALSE),IF(fq=2,VLOOKUP(ppt*fq-G166,Charges!$AP$41:$AQ$79,2,FALSE),VLOOKUP(ppt*fq-D166,Charges!$AR$41:$AS$279,2,FALSE)))*pr/fq,0),0)</f>
        <v>0</v>
      </c>
      <c r="U166" s="14">
        <f t="shared" ca="1" si="117"/>
        <v>0</v>
      </c>
      <c r="V166" s="34">
        <f>ROUND(MIN(IF(H166&gt;=7,Charges!$C$12*(1+Charges!$C$14)^((H166-7+1)),VLOOKUP(H166,Charges!$B$7:$C$12,2,0))*pr,Charges!$C$13)*B166,Round)</f>
        <v>500</v>
      </c>
      <c r="W166" s="14">
        <f t="shared" ca="1" si="118"/>
        <v>5819577.5584239569</v>
      </c>
      <c r="X166" s="14">
        <f t="shared" ca="1" si="119"/>
        <v>5857020.8956623571</v>
      </c>
      <c r="Y166" s="213">
        <f t="shared" ca="1" si="143"/>
        <v>6592.7343891787814</v>
      </c>
      <c r="Z166" s="14">
        <f t="shared" ca="1" si="120"/>
        <v>5849241.4690831257</v>
      </c>
      <c r="AA166" s="14">
        <f>IF(AND($H166=pt,$F166=11),SUM($K$7:K166)*VLOOKUP(pt,ROC,2,FALSE),0)</f>
        <v>0</v>
      </c>
      <c r="AB166" s="14">
        <f>IF(AND($H166=pt,$F166=11),SUM($V$7:V166)*VLOOKUP(pt,ROC,2,FALSE),0)</f>
        <v>0</v>
      </c>
      <c r="AC166" s="14">
        <f>IF(AND($H166=pt,$F166=11),SUM($Q$7:Q166)*VLOOKUP(pt,ROC,2,FALSE),0)</f>
        <v>0</v>
      </c>
      <c r="AD166" s="14">
        <f t="shared" ca="1" si="121"/>
        <v>5849241.4690831257</v>
      </c>
      <c r="AE166" s="14">
        <f ca="1">(MAX(sa-CF165*Flag_UL_Type,105%*SUM($I$7:I166),Z166)+AU166)*B166</f>
        <v>5849241.4690831257</v>
      </c>
      <c r="AF166" s="136"/>
      <c r="AG166" s="18">
        <v>160</v>
      </c>
      <c r="AH166" s="30">
        <f t="shared" ca="1" si="122"/>
        <v>0</v>
      </c>
      <c r="AI166" s="58"/>
      <c r="AJ166" s="50">
        <f>IF(AND(Option_Sys_TopUp&gt;="Y",H166&gt;=sytp,H166&lt;=(dtp+sytp-1),F166=0,H166&lt;=ppt+1),atp,0)+IFERROR(VLOOKUP(H166,Input!$B$55:$C$61,2,0),0)*(F166=0)*(Option_TopUP="Y")*(Option_Sys_TopUp="N")*B166*(pt&gt;=H166+5)</f>
        <v>0</v>
      </c>
      <c r="AK166" s="50">
        <f t="shared" si="123"/>
        <v>0</v>
      </c>
      <c r="AL166" s="50">
        <f t="shared" si="144"/>
        <v>0</v>
      </c>
      <c r="AM166" s="50">
        <f t="shared" ca="1" si="145"/>
        <v>0</v>
      </c>
      <c r="AN166" s="50">
        <f ca="1">IF(B166=0,0,AT166*(_rpm1+(1+_emr1)*VLOOKUP(E166,Tab_Mort_Charge,IF(Input!$C$12="M",2,3),0))*(0.001*0.0833)*Flag_Mort_Rider_Charge*(AT166&gt;0))</f>
        <v>0</v>
      </c>
      <c r="AO166" s="50">
        <f t="shared" ca="1" si="124"/>
        <v>0</v>
      </c>
      <c r="AP166" s="50">
        <f t="shared" ca="1" si="151"/>
        <v>0</v>
      </c>
      <c r="AQ166" s="50">
        <f t="shared" ca="1" si="125"/>
        <v>0</v>
      </c>
      <c r="AR166" s="50">
        <f t="shared" ca="1" si="126"/>
        <v>0</v>
      </c>
      <c r="AS166" s="50">
        <f t="shared" si="127"/>
        <v>0</v>
      </c>
      <c r="AT166" s="50">
        <f ca="1">(MAX((MAX(AS166,105%*SUM($AJ$7:AJ166))-AM166*Flag_UL_Type),0)*B166)</f>
        <v>0</v>
      </c>
      <c r="AU166" s="50">
        <f ca="1">(MAX(AS166,AR166,105%*SUM($AJ$7:AJ166))*B166)</f>
        <v>0</v>
      </c>
      <c r="AV166" s="125"/>
      <c r="AW166" s="13"/>
      <c r="AX166" s="13"/>
      <c r="AY166" s="13"/>
      <c r="AZ166" s="13"/>
      <c r="BA166" s="13"/>
      <c r="BG166" s="51">
        <f t="shared" si="128"/>
        <v>0</v>
      </c>
      <c r="BH166" s="51">
        <f t="shared" ca="1" si="129"/>
        <v>0</v>
      </c>
      <c r="BI166" s="51">
        <f t="shared" ca="1" si="130"/>
        <v>0</v>
      </c>
      <c r="BJ166" s="51">
        <f t="shared" ca="1" si="131"/>
        <v>0</v>
      </c>
      <c r="BK166" s="51">
        <f t="shared" si="132"/>
        <v>90</v>
      </c>
      <c r="BL166" s="51">
        <f t="shared" ca="1" si="133"/>
        <v>1186.6921900521806</v>
      </c>
      <c r="BM166" s="51">
        <f t="shared" si="134"/>
        <v>0</v>
      </c>
      <c r="BN166" s="51">
        <f t="shared" ca="1" si="135"/>
        <v>0</v>
      </c>
      <c r="BO166" s="51">
        <f t="shared" ca="1" si="136"/>
        <v>0</v>
      </c>
      <c r="BP166" s="51">
        <f t="shared" ca="1" si="137"/>
        <v>1276.6921900521806</v>
      </c>
      <c r="BQ166" s="120"/>
      <c r="BR166" s="32"/>
      <c r="BS166" s="126"/>
      <c r="BT166" s="16"/>
      <c r="BU166" s="58"/>
      <c r="BW166" s="51">
        <f>IF(Input!$C$13="Offline",VLOOKUP(H166,Charges!$AT$4:$AU$33,2,FALSE)*I166,0)</f>
        <v>0</v>
      </c>
      <c r="BX166" s="51">
        <f t="shared" si="138"/>
        <v>0</v>
      </c>
      <c r="BY166" s="51">
        <f t="shared" si="146"/>
        <v>0</v>
      </c>
      <c r="BZ166" s="151"/>
      <c r="CA166" s="151"/>
      <c r="CB166" s="32"/>
      <c r="CC166" s="16">
        <f ca="1">SUM($N$7:$N166)</f>
        <v>0</v>
      </c>
      <c r="CD166" s="16">
        <f t="shared" ca="1" si="139"/>
        <v>0</v>
      </c>
      <c r="CE166" s="16">
        <f t="shared" ca="1" si="140"/>
        <v>0</v>
      </c>
      <c r="CF166" s="7">
        <f t="shared" ca="1" si="141"/>
        <v>0</v>
      </c>
      <c r="CH166" s="7">
        <f t="shared" ca="1" si="142"/>
        <v>0</v>
      </c>
    </row>
    <row r="167" spans="2:86" s="7" customFormat="1" x14ac:dyDescent="0.2">
      <c r="B167" s="14">
        <f t="shared" si="106"/>
        <v>1</v>
      </c>
      <c r="C167" s="12">
        <f t="shared" si="107"/>
        <v>1</v>
      </c>
      <c r="D167" s="17">
        <f t="shared" si="147"/>
        <v>161</v>
      </c>
      <c r="E167" s="17">
        <f t="shared" ca="1" si="108"/>
        <v>73</v>
      </c>
      <c r="F167" s="12">
        <f t="shared" si="149"/>
        <v>4</v>
      </c>
      <c r="G167" s="12">
        <f t="shared" si="148"/>
        <v>27</v>
      </c>
      <c r="H167" s="17">
        <f t="shared" si="150"/>
        <v>14</v>
      </c>
      <c r="I167" s="29">
        <f t="shared" si="109"/>
        <v>0</v>
      </c>
      <c r="J167" s="211">
        <f>IFERROR(VLOOKUP(H167,Charges!$T$6:$U$35,2,0)*C167,0)</f>
        <v>1</v>
      </c>
      <c r="K167" s="29">
        <f t="shared" si="110"/>
        <v>0</v>
      </c>
      <c r="L167" s="29">
        <f t="shared" si="111"/>
        <v>0</v>
      </c>
      <c r="M167" s="147">
        <f t="shared" ca="1" si="112"/>
        <v>0</v>
      </c>
      <c r="N167" s="148">
        <f ca="1">IF(AND(Option_SPW="Y",H167&gt;=Lock_In_Period,Z166&gt;SPW_Amount_pa+IF(option="Single",1/5*pr,2*pr),H167&gt;=SPW_Start_Year,H167&lt;=SPW_Start_Year+SPW_Duration-1,age+H167&gt;=Legal_Age),IF(AND(F167=0,SPW_Payout_Freq=1),SPW_Amount_pa,IF(AND(SPW_Payout_Freq=2,MOD(F167,6)=0),SPW_Amount_pa/SPW_Payout_Freq,IF(AND(SPW_Payout_Freq=4,MOD(F167,3)=0),SPW_Amount_pa/SPW_Payout_Freq,IF(SPW_Payout_Freq=12,SPW_Amount_pa/SPW_Payout_Freq,0)))),0)+IFERROR(VLOOKUP(H167,Input!$B$68:$C$74,2,0),0)*(F167=0)*(Option_PW="Y")*(Option_SPW="N")*(age+H167&gt;=Legal_Age)</f>
        <v>0</v>
      </c>
      <c r="O167" s="148">
        <f t="shared" ca="1" si="113"/>
        <v>0</v>
      </c>
      <c r="P167" s="14">
        <f ca="1">(MAX(MAX(sa-CF166*Flag_UL_Type,105%*SUM($I$7:I167))-(AD166+L167-N167)*Flag_UL_Type,0)*B167)</f>
        <v>0</v>
      </c>
      <c r="Q167" s="213">
        <f t="shared" ca="1" si="114"/>
        <v>0</v>
      </c>
      <c r="R167" s="14">
        <f t="shared" ca="1" si="115"/>
        <v>0</v>
      </c>
      <c r="S167" s="14">
        <f t="shared" ca="1" si="116"/>
        <v>0</v>
      </c>
      <c r="T167" s="14">
        <f>IFERROR(IF(WoP_Flag="Y",IF(fq=1,VLOOKUP(ppt*fq-H167,Charges!$AN$41:$AO$59,2,FALSE),IF(fq=2,VLOOKUP(ppt*fq-G167,Charges!$AP$41:$AQ$79,2,FALSE),VLOOKUP(ppt*fq-D167,Charges!$AR$41:$AS$279,2,FALSE)))*pr/fq,0),0)</f>
        <v>0</v>
      </c>
      <c r="U167" s="14">
        <f t="shared" ca="1" si="117"/>
        <v>0</v>
      </c>
      <c r="V167" s="34">
        <f>ROUND(MIN(IF(H167&gt;=7,Charges!$C$12*(1+Charges!$C$14)^((H167-7+1)),VLOOKUP(H167,Charges!$B$7:$C$12,2,0))*pr,Charges!$C$13)*B167,Round)</f>
        <v>500</v>
      </c>
      <c r="W167" s="14">
        <f t="shared" ca="1" si="118"/>
        <v>5848651.4690831257</v>
      </c>
      <c r="X167" s="14">
        <f t="shared" ca="1" si="119"/>
        <v>5886281.8687381223</v>
      </c>
      <c r="Y167" s="213">
        <f t="shared" ca="1" si="143"/>
        <v>6625.6708985226869</v>
      </c>
      <c r="Z167" s="14">
        <f t="shared" ca="1" si="120"/>
        <v>5878463.5770778656</v>
      </c>
      <c r="AA167" s="14">
        <f>IF(AND($H167=pt,$F167=11),SUM($K$7:K167)*VLOOKUP(pt,ROC,2,FALSE),0)</f>
        <v>0</v>
      </c>
      <c r="AB167" s="14">
        <f>IF(AND($H167=pt,$F167=11),SUM($V$7:V167)*VLOOKUP(pt,ROC,2,FALSE),0)</f>
        <v>0</v>
      </c>
      <c r="AC167" s="14">
        <f>IF(AND($H167=pt,$F167=11),SUM($Q$7:Q167)*VLOOKUP(pt,ROC,2,FALSE),0)</f>
        <v>0</v>
      </c>
      <c r="AD167" s="14">
        <f t="shared" ca="1" si="121"/>
        <v>5878463.5770778656</v>
      </c>
      <c r="AE167" s="14">
        <f ca="1">(MAX(sa-CF166*Flag_UL_Type,105%*SUM($I$7:I167),Z167)+AU167)*B167</f>
        <v>5878463.5770778656</v>
      </c>
      <c r="AF167" s="136"/>
      <c r="AG167" s="18">
        <v>161</v>
      </c>
      <c r="AH167" s="30">
        <f t="shared" ca="1" si="122"/>
        <v>0</v>
      </c>
      <c r="AI167" s="58"/>
      <c r="AJ167" s="50">
        <f>IF(AND(Option_Sys_TopUp&gt;="Y",H167&gt;=sytp,H167&lt;=(dtp+sytp-1),F167=0,H167&lt;=ppt+1),atp,0)+IFERROR(VLOOKUP(H167,Input!$B$55:$C$61,2,0),0)*(F167=0)*(Option_TopUP="Y")*(Option_Sys_TopUp="N")*B167*(pt&gt;=H167+5)</f>
        <v>0</v>
      </c>
      <c r="AK167" s="50">
        <f t="shared" si="123"/>
        <v>0</v>
      </c>
      <c r="AL167" s="50">
        <f t="shared" si="144"/>
        <v>0</v>
      </c>
      <c r="AM167" s="50">
        <f t="shared" ca="1" si="145"/>
        <v>0</v>
      </c>
      <c r="AN167" s="50">
        <f ca="1">IF(B167=0,0,AT167*(_rpm1+(1+_emr1)*VLOOKUP(E167,Tab_Mort_Charge,IF(Input!$C$12="M",2,3),0))*(0.001*0.0833)*Flag_Mort_Rider_Charge*(AT167&gt;0))</f>
        <v>0</v>
      </c>
      <c r="AO167" s="50">
        <f t="shared" ca="1" si="124"/>
        <v>0</v>
      </c>
      <c r="AP167" s="50">
        <f t="shared" ca="1" si="151"/>
        <v>0</v>
      </c>
      <c r="AQ167" s="50">
        <f t="shared" ca="1" si="125"/>
        <v>0</v>
      </c>
      <c r="AR167" s="50">
        <f t="shared" ca="1" si="126"/>
        <v>0</v>
      </c>
      <c r="AS167" s="50">
        <f t="shared" si="127"/>
        <v>0</v>
      </c>
      <c r="AT167" s="50">
        <f ca="1">(MAX((MAX(AS167,105%*SUM($AJ$7:AJ167))-AM167*Flag_UL_Type),0)*B167)</f>
        <v>0</v>
      </c>
      <c r="AU167" s="50">
        <f ca="1">(MAX(AS167,AR167,105%*SUM($AJ$7:AJ167))*B167)</f>
        <v>0</v>
      </c>
      <c r="AV167" s="125"/>
      <c r="AW167" s="13"/>
      <c r="AX167" s="13"/>
      <c r="AY167" s="13"/>
      <c r="AZ167" s="13"/>
      <c r="BA167" s="13"/>
      <c r="BG167" s="51">
        <f t="shared" si="128"/>
        <v>0</v>
      </c>
      <c r="BH167" s="51">
        <f t="shared" ca="1" si="129"/>
        <v>0</v>
      </c>
      <c r="BI167" s="51">
        <f t="shared" ca="1" si="130"/>
        <v>0</v>
      </c>
      <c r="BJ167" s="51">
        <f t="shared" ca="1" si="131"/>
        <v>0</v>
      </c>
      <c r="BK167" s="51">
        <f t="shared" si="132"/>
        <v>90</v>
      </c>
      <c r="BL167" s="51">
        <f t="shared" ca="1" si="133"/>
        <v>1192.6207617340835</v>
      </c>
      <c r="BM167" s="51">
        <f t="shared" si="134"/>
        <v>0</v>
      </c>
      <c r="BN167" s="51">
        <f t="shared" ca="1" si="135"/>
        <v>0</v>
      </c>
      <c r="BO167" s="51">
        <f t="shared" ca="1" si="136"/>
        <v>0</v>
      </c>
      <c r="BP167" s="51">
        <f t="shared" ca="1" si="137"/>
        <v>1282.6207617340835</v>
      </c>
      <c r="BQ167" s="120"/>
      <c r="BR167" s="32"/>
      <c r="BS167" s="126"/>
      <c r="BT167" s="16"/>
      <c r="BU167" s="58"/>
      <c r="BW167" s="51">
        <f>IF(Input!$C$13="Offline",VLOOKUP(H167,Charges!$AT$4:$AU$33,2,FALSE)*I167,0)</f>
        <v>0</v>
      </c>
      <c r="BX167" s="51">
        <f t="shared" si="138"/>
        <v>0</v>
      </c>
      <c r="BY167" s="51">
        <f t="shared" si="146"/>
        <v>0</v>
      </c>
      <c r="BZ167" s="151"/>
      <c r="CA167" s="151"/>
      <c r="CB167" s="32"/>
      <c r="CC167" s="16">
        <f ca="1">SUM($N$7:$N167)</f>
        <v>0</v>
      </c>
      <c r="CD167" s="16">
        <f t="shared" ca="1" si="139"/>
        <v>0</v>
      </c>
      <c r="CE167" s="16">
        <f t="shared" ca="1" si="140"/>
        <v>0</v>
      </c>
      <c r="CF167" s="7">
        <f t="shared" ca="1" si="141"/>
        <v>0</v>
      </c>
      <c r="CH167" s="7">
        <f t="shared" ca="1" si="142"/>
        <v>0</v>
      </c>
    </row>
    <row r="168" spans="2:86" s="7" customFormat="1" x14ac:dyDescent="0.2">
      <c r="B168" s="14">
        <f t="shared" si="106"/>
        <v>1</v>
      </c>
      <c r="C168" s="12">
        <f t="shared" si="107"/>
        <v>1</v>
      </c>
      <c r="D168" s="17">
        <f t="shared" si="147"/>
        <v>162</v>
      </c>
      <c r="E168" s="17">
        <f t="shared" ca="1" si="108"/>
        <v>73</v>
      </c>
      <c r="F168" s="12">
        <f t="shared" si="149"/>
        <v>5</v>
      </c>
      <c r="G168" s="12">
        <f t="shared" si="148"/>
        <v>27</v>
      </c>
      <c r="H168" s="17">
        <f t="shared" si="150"/>
        <v>14</v>
      </c>
      <c r="I168" s="29">
        <f t="shared" si="109"/>
        <v>0</v>
      </c>
      <c r="J168" s="211">
        <f>IFERROR(VLOOKUP(H168,Charges!$T$6:$U$35,2,0)*C168,0)</f>
        <v>1</v>
      </c>
      <c r="K168" s="29">
        <f t="shared" si="110"/>
        <v>0</v>
      </c>
      <c r="L168" s="29">
        <f t="shared" si="111"/>
        <v>0</v>
      </c>
      <c r="M168" s="147">
        <f t="shared" ca="1" si="112"/>
        <v>0</v>
      </c>
      <c r="N168" s="148">
        <f ca="1">IF(AND(Option_SPW="Y",H168&gt;=Lock_In_Period,Z167&gt;SPW_Amount_pa+IF(option="Single",1/5*pr,2*pr),H168&gt;=SPW_Start_Year,H168&lt;=SPW_Start_Year+SPW_Duration-1,age+H168&gt;=Legal_Age),IF(AND(F168=0,SPW_Payout_Freq=1),SPW_Amount_pa,IF(AND(SPW_Payout_Freq=2,MOD(F168,6)=0),SPW_Amount_pa/SPW_Payout_Freq,IF(AND(SPW_Payout_Freq=4,MOD(F168,3)=0),SPW_Amount_pa/SPW_Payout_Freq,IF(SPW_Payout_Freq=12,SPW_Amount_pa/SPW_Payout_Freq,0)))),0)+IFERROR(VLOOKUP(H168,Input!$B$68:$C$74,2,0),0)*(F168=0)*(Option_PW="Y")*(Option_SPW="N")*(age+H168&gt;=Legal_Age)</f>
        <v>0</v>
      </c>
      <c r="O168" s="148">
        <f t="shared" ca="1" si="113"/>
        <v>0</v>
      </c>
      <c r="P168" s="14">
        <f ca="1">(MAX(MAX(sa-CF167*Flag_UL_Type,105%*SUM($I$7:I168))-(AD167+L168-N168)*Flag_UL_Type,0)*B168)</f>
        <v>0</v>
      </c>
      <c r="Q168" s="213">
        <f t="shared" ca="1" si="114"/>
        <v>0</v>
      </c>
      <c r="R168" s="14">
        <f t="shared" ca="1" si="115"/>
        <v>0</v>
      </c>
      <c r="S168" s="14">
        <f t="shared" ca="1" si="116"/>
        <v>0</v>
      </c>
      <c r="T168" s="14">
        <f>IFERROR(IF(WoP_Flag="Y",IF(fq=1,VLOOKUP(ppt*fq-H168,Charges!$AN$41:$AO$59,2,FALSE),IF(fq=2,VLOOKUP(ppt*fq-G168,Charges!$AP$41:$AQ$79,2,FALSE),VLOOKUP(ppt*fq-D168,Charges!$AR$41:$AS$279,2,FALSE)))*pr/fq,0),0)</f>
        <v>0</v>
      </c>
      <c r="U168" s="14">
        <f t="shared" ca="1" si="117"/>
        <v>0</v>
      </c>
      <c r="V168" s="34">
        <f>ROUND(MIN(IF(H168&gt;=7,Charges!$C$12*(1+Charges!$C$14)^((H168-7+1)),VLOOKUP(H168,Charges!$B$7:$C$12,2,0))*pr,Charges!$C$13)*B168,Round)</f>
        <v>500</v>
      </c>
      <c r="W168" s="14">
        <f t="shared" ca="1" si="118"/>
        <v>5877873.5770778656</v>
      </c>
      <c r="X168" s="14">
        <f t="shared" ca="1" si="119"/>
        <v>5915691.9926555781</v>
      </c>
      <c r="Y168" s="213">
        <f t="shared" ca="1" si="143"/>
        <v>6658.7752938790727</v>
      </c>
      <c r="Z168" s="14">
        <f t="shared" ca="1" si="120"/>
        <v>5907834.6378088007</v>
      </c>
      <c r="AA168" s="14">
        <f>IF(AND($H168=pt,$F168=11),SUM($K$7:K168)*VLOOKUP(pt,ROC,2,FALSE),0)</f>
        <v>0</v>
      </c>
      <c r="AB168" s="14">
        <f>IF(AND($H168=pt,$F168=11),SUM($V$7:V168)*VLOOKUP(pt,ROC,2,FALSE),0)</f>
        <v>0</v>
      </c>
      <c r="AC168" s="14">
        <f>IF(AND($H168=pt,$F168=11),SUM($Q$7:Q168)*VLOOKUP(pt,ROC,2,FALSE),0)</f>
        <v>0</v>
      </c>
      <c r="AD168" s="14">
        <f t="shared" ca="1" si="121"/>
        <v>5907834.6378088007</v>
      </c>
      <c r="AE168" s="14">
        <f ca="1">(MAX(sa-CF167*Flag_UL_Type,105%*SUM($I$7:I168),Z168)+AU168)*B168</f>
        <v>5907834.6378088007</v>
      </c>
      <c r="AF168" s="136"/>
      <c r="AG168" s="18">
        <v>162</v>
      </c>
      <c r="AH168" s="30">
        <f t="shared" ca="1" si="122"/>
        <v>0</v>
      </c>
      <c r="AI168" s="58"/>
      <c r="AJ168" s="50">
        <f>IF(AND(Option_Sys_TopUp&gt;="Y",H168&gt;=sytp,H168&lt;=(dtp+sytp-1),F168=0,H168&lt;=ppt+1),atp,0)+IFERROR(VLOOKUP(H168,Input!$B$55:$C$61,2,0),0)*(F168=0)*(Option_TopUP="Y")*(Option_Sys_TopUp="N")*B168*(pt&gt;=H168+5)</f>
        <v>0</v>
      </c>
      <c r="AK168" s="50">
        <f t="shared" si="123"/>
        <v>0</v>
      </c>
      <c r="AL168" s="50">
        <f t="shared" si="144"/>
        <v>0</v>
      </c>
      <c r="AM168" s="50">
        <f t="shared" ca="1" si="145"/>
        <v>0</v>
      </c>
      <c r="AN168" s="50">
        <f ca="1">IF(B168=0,0,AT168*(_rpm1+(1+_emr1)*VLOOKUP(E168,Tab_Mort_Charge,IF(Input!$C$12="M",2,3),0))*(0.001*0.0833)*Flag_Mort_Rider_Charge*(AT168&gt;0))</f>
        <v>0</v>
      </c>
      <c r="AO168" s="50">
        <f t="shared" ca="1" si="124"/>
        <v>0</v>
      </c>
      <c r="AP168" s="50">
        <f t="shared" ca="1" si="151"/>
        <v>0</v>
      </c>
      <c r="AQ168" s="50">
        <f t="shared" ca="1" si="125"/>
        <v>0</v>
      </c>
      <c r="AR168" s="50">
        <f t="shared" ca="1" si="126"/>
        <v>0</v>
      </c>
      <c r="AS168" s="50">
        <f t="shared" si="127"/>
        <v>0</v>
      </c>
      <c r="AT168" s="50">
        <f ca="1">(MAX((MAX(AS168,105%*SUM($AJ$7:AJ168))-AM168*Flag_UL_Type),0)*B168)</f>
        <v>0</v>
      </c>
      <c r="AU168" s="50">
        <f ca="1">(MAX(AS168,AR168,105%*SUM($AJ$7:AJ168))*B168)</f>
        <v>0</v>
      </c>
      <c r="AV168" s="125"/>
      <c r="AW168" s="13"/>
      <c r="AX168" s="13"/>
      <c r="AY168" s="13"/>
      <c r="AZ168" s="13"/>
      <c r="BA168" s="13"/>
      <c r="BG168" s="51">
        <f t="shared" si="128"/>
        <v>0</v>
      </c>
      <c r="BH168" s="51">
        <f t="shared" ca="1" si="129"/>
        <v>0</v>
      </c>
      <c r="BI168" s="51">
        <f t="shared" ca="1" si="130"/>
        <v>0</v>
      </c>
      <c r="BJ168" s="51">
        <f t="shared" ca="1" si="131"/>
        <v>0</v>
      </c>
      <c r="BK168" s="51">
        <f t="shared" si="132"/>
        <v>90</v>
      </c>
      <c r="BL168" s="51">
        <f t="shared" ca="1" si="133"/>
        <v>1198.579552898233</v>
      </c>
      <c r="BM168" s="51">
        <f t="shared" si="134"/>
        <v>0</v>
      </c>
      <c r="BN168" s="51">
        <f t="shared" ca="1" si="135"/>
        <v>0</v>
      </c>
      <c r="BO168" s="51">
        <f t="shared" ca="1" si="136"/>
        <v>0</v>
      </c>
      <c r="BP168" s="51">
        <f t="shared" ca="1" si="137"/>
        <v>1288.579552898233</v>
      </c>
      <c r="BQ168" s="120"/>
      <c r="BR168" s="32"/>
      <c r="BS168" s="126"/>
      <c r="BT168" s="16"/>
      <c r="BU168" s="58"/>
      <c r="BW168" s="51">
        <f>IF(Input!$C$13="Offline",VLOOKUP(H168,Charges!$AT$4:$AU$33,2,FALSE)*I168,0)</f>
        <v>0</v>
      </c>
      <c r="BX168" s="51">
        <f t="shared" si="138"/>
        <v>0</v>
      </c>
      <c r="BY168" s="51">
        <f t="shared" si="146"/>
        <v>0</v>
      </c>
      <c r="BZ168" s="151"/>
      <c r="CA168" s="151"/>
      <c r="CB168" s="32"/>
      <c r="CC168" s="16">
        <f ca="1">SUM($N$7:$N168)</f>
        <v>0</v>
      </c>
      <c r="CD168" s="16">
        <f t="shared" ca="1" si="139"/>
        <v>0</v>
      </c>
      <c r="CE168" s="16">
        <f t="shared" ca="1" si="140"/>
        <v>0</v>
      </c>
      <c r="CF168" s="7">
        <f t="shared" ca="1" si="141"/>
        <v>0</v>
      </c>
      <c r="CH168" s="7">
        <f t="shared" ca="1" si="142"/>
        <v>0</v>
      </c>
    </row>
    <row r="169" spans="2:86" s="7" customFormat="1" x14ac:dyDescent="0.2">
      <c r="B169" s="14">
        <f t="shared" si="106"/>
        <v>1</v>
      </c>
      <c r="C169" s="12">
        <f t="shared" si="107"/>
        <v>1</v>
      </c>
      <c r="D169" s="17">
        <f t="shared" si="147"/>
        <v>163</v>
      </c>
      <c r="E169" s="17">
        <f t="shared" ca="1" si="108"/>
        <v>73</v>
      </c>
      <c r="F169" s="12">
        <f t="shared" si="149"/>
        <v>6</v>
      </c>
      <c r="G169" s="12">
        <f t="shared" si="148"/>
        <v>28</v>
      </c>
      <c r="H169" s="17">
        <f t="shared" si="150"/>
        <v>14</v>
      </c>
      <c r="I169" s="29">
        <f t="shared" si="109"/>
        <v>0</v>
      </c>
      <c r="J169" s="211">
        <f>IFERROR(VLOOKUP(H169,Charges!$T$6:$U$35,2,0)*C169,0)</f>
        <v>1</v>
      </c>
      <c r="K169" s="29">
        <f t="shared" si="110"/>
        <v>0</v>
      </c>
      <c r="L169" s="29">
        <f t="shared" si="111"/>
        <v>0</v>
      </c>
      <c r="M169" s="147">
        <f t="shared" ca="1" si="112"/>
        <v>0</v>
      </c>
      <c r="N169" s="148">
        <f ca="1">IF(AND(Option_SPW="Y",H169&gt;=Lock_In_Period,Z168&gt;SPW_Amount_pa+IF(option="Single",1/5*pr,2*pr),H169&gt;=SPW_Start_Year,H169&lt;=SPW_Start_Year+SPW_Duration-1,age+H169&gt;=Legal_Age),IF(AND(F169=0,SPW_Payout_Freq=1),SPW_Amount_pa,IF(AND(SPW_Payout_Freq=2,MOD(F169,6)=0),SPW_Amount_pa/SPW_Payout_Freq,IF(AND(SPW_Payout_Freq=4,MOD(F169,3)=0),SPW_Amount_pa/SPW_Payout_Freq,IF(SPW_Payout_Freq=12,SPW_Amount_pa/SPW_Payout_Freq,0)))),0)+IFERROR(VLOOKUP(H169,Input!$B$68:$C$74,2,0),0)*(F169=0)*(Option_PW="Y")*(Option_SPW="N")*(age+H169&gt;=Legal_Age)</f>
        <v>0</v>
      </c>
      <c r="O169" s="148">
        <f t="shared" ca="1" si="113"/>
        <v>0</v>
      </c>
      <c r="P169" s="14">
        <f ca="1">(MAX(MAX(sa-CF168*Flag_UL_Type,105%*SUM($I$7:I169))-(AD168+L169-N169)*Flag_UL_Type,0)*B169)</f>
        <v>0</v>
      </c>
      <c r="Q169" s="213">
        <f t="shared" ca="1" si="114"/>
        <v>0</v>
      </c>
      <c r="R169" s="14">
        <f t="shared" ca="1" si="115"/>
        <v>0</v>
      </c>
      <c r="S169" s="14">
        <f t="shared" ca="1" si="116"/>
        <v>0</v>
      </c>
      <c r="T169" s="14">
        <f>IFERROR(IF(WoP_Flag="Y",IF(fq=1,VLOOKUP(ppt*fq-H169,Charges!$AN$41:$AO$59,2,FALSE),IF(fq=2,VLOOKUP(ppt*fq-G169,Charges!$AP$41:$AQ$79,2,FALSE),VLOOKUP(ppt*fq-D169,Charges!$AR$41:$AS$279,2,FALSE)))*pr/fq,0),0)</f>
        <v>0</v>
      </c>
      <c r="U169" s="14">
        <f t="shared" ca="1" si="117"/>
        <v>0</v>
      </c>
      <c r="V169" s="34">
        <f>ROUND(MIN(IF(H169&gt;=7,Charges!$C$12*(1+Charges!$C$14)^((H169-7+1)),VLOOKUP(H169,Charges!$B$7:$C$12,2,0))*pr,Charges!$C$13)*B169,Round)</f>
        <v>500</v>
      </c>
      <c r="W169" s="14">
        <f t="shared" ca="1" si="118"/>
        <v>5907244.6378088007</v>
      </c>
      <c r="X169" s="14">
        <f t="shared" ca="1" si="119"/>
        <v>5945252.0276756184</v>
      </c>
      <c r="Y169" s="213">
        <f t="shared" ca="1" si="143"/>
        <v>6692.0484310069041</v>
      </c>
      <c r="Z169" s="14">
        <f t="shared" ca="1" si="120"/>
        <v>5937355.41052703</v>
      </c>
      <c r="AA169" s="14">
        <f>IF(AND($H169=pt,$F169=11),SUM($K$7:K169)*VLOOKUP(pt,ROC,2,FALSE),0)</f>
        <v>0</v>
      </c>
      <c r="AB169" s="14">
        <f>IF(AND($H169=pt,$F169=11),SUM($V$7:V169)*VLOOKUP(pt,ROC,2,FALSE),0)</f>
        <v>0</v>
      </c>
      <c r="AC169" s="14">
        <f>IF(AND($H169=pt,$F169=11),SUM($Q$7:Q169)*VLOOKUP(pt,ROC,2,FALSE),0)</f>
        <v>0</v>
      </c>
      <c r="AD169" s="14">
        <f t="shared" ca="1" si="121"/>
        <v>5937355.41052703</v>
      </c>
      <c r="AE169" s="14">
        <f ca="1">(MAX(sa-CF168*Flag_UL_Type,105%*SUM($I$7:I169),Z169)+AU169)*B169</f>
        <v>5937355.41052703</v>
      </c>
      <c r="AF169" s="136"/>
      <c r="AG169" s="18">
        <v>163</v>
      </c>
      <c r="AH169" s="30">
        <f t="shared" ca="1" si="122"/>
        <v>0</v>
      </c>
      <c r="AI169" s="58"/>
      <c r="AJ169" s="50">
        <f>IF(AND(Option_Sys_TopUp&gt;="Y",H169&gt;=sytp,H169&lt;=(dtp+sytp-1),F169=0,H169&lt;=ppt+1),atp,0)+IFERROR(VLOOKUP(H169,Input!$B$55:$C$61,2,0),0)*(F169=0)*(Option_TopUP="Y")*(Option_Sys_TopUp="N")*B169*(pt&gt;=H169+5)</f>
        <v>0</v>
      </c>
      <c r="AK169" s="50">
        <f t="shared" si="123"/>
        <v>0</v>
      </c>
      <c r="AL169" s="50">
        <f t="shared" si="144"/>
        <v>0</v>
      </c>
      <c r="AM169" s="50">
        <f t="shared" ca="1" si="145"/>
        <v>0</v>
      </c>
      <c r="AN169" s="50">
        <f ca="1">IF(B169=0,0,AT169*(_rpm1+(1+_emr1)*VLOOKUP(E169,Tab_Mort_Charge,IF(Input!$C$12="M",2,3),0))*(0.001*0.0833)*Flag_Mort_Rider_Charge*(AT169&gt;0))</f>
        <v>0</v>
      </c>
      <c r="AO169" s="50">
        <f t="shared" ca="1" si="124"/>
        <v>0</v>
      </c>
      <c r="AP169" s="50">
        <f t="shared" ca="1" si="151"/>
        <v>0</v>
      </c>
      <c r="AQ169" s="50">
        <f t="shared" ca="1" si="125"/>
        <v>0</v>
      </c>
      <c r="AR169" s="50">
        <f t="shared" ca="1" si="126"/>
        <v>0</v>
      </c>
      <c r="AS169" s="50">
        <f t="shared" si="127"/>
        <v>0</v>
      </c>
      <c r="AT169" s="50">
        <f ca="1">(MAX((MAX(AS169,105%*SUM($AJ$7:AJ169))-AM169*Flag_UL_Type),0)*B169)</f>
        <v>0</v>
      </c>
      <c r="AU169" s="50">
        <f ca="1">(MAX(AS169,AR169,105%*SUM($AJ$7:AJ169))*B169)</f>
        <v>0</v>
      </c>
      <c r="AV169" s="125"/>
      <c r="AW169" s="13"/>
      <c r="AX169" s="13"/>
      <c r="AY169" s="13"/>
      <c r="AZ169" s="13"/>
      <c r="BA169" s="13"/>
      <c r="BG169" s="51">
        <f t="shared" si="128"/>
        <v>0</v>
      </c>
      <c r="BH169" s="51">
        <f t="shared" ca="1" si="129"/>
        <v>0</v>
      </c>
      <c r="BI169" s="51">
        <f t="shared" ca="1" si="130"/>
        <v>0</v>
      </c>
      <c r="BJ169" s="51">
        <f t="shared" ca="1" si="131"/>
        <v>0</v>
      </c>
      <c r="BK169" s="51">
        <f t="shared" si="132"/>
        <v>90</v>
      </c>
      <c r="BL169" s="51">
        <f t="shared" ca="1" si="133"/>
        <v>1204.5687175812427</v>
      </c>
      <c r="BM169" s="51">
        <f t="shared" si="134"/>
        <v>0</v>
      </c>
      <c r="BN169" s="51">
        <f t="shared" ca="1" si="135"/>
        <v>0</v>
      </c>
      <c r="BO169" s="51">
        <f t="shared" ca="1" si="136"/>
        <v>0</v>
      </c>
      <c r="BP169" s="51">
        <f t="shared" ca="1" si="137"/>
        <v>1294.5687175812427</v>
      </c>
      <c r="BQ169" s="120"/>
      <c r="BR169" s="32"/>
      <c r="BS169" s="126"/>
      <c r="BT169" s="16"/>
      <c r="BU169" s="58"/>
      <c r="BW169" s="51">
        <f>IF(Input!$C$13="Offline",VLOOKUP(H169,Charges!$AT$4:$AU$33,2,FALSE)*I169,0)</f>
        <v>0</v>
      </c>
      <c r="BX169" s="51">
        <f t="shared" si="138"/>
        <v>0</v>
      </c>
      <c r="BY169" s="51">
        <f t="shared" si="146"/>
        <v>0</v>
      </c>
      <c r="BZ169" s="151"/>
      <c r="CA169" s="151"/>
      <c r="CB169" s="32"/>
      <c r="CC169" s="16">
        <f ca="1">SUM($N$7:$N169)</f>
        <v>0</v>
      </c>
      <c r="CD169" s="16">
        <f t="shared" ca="1" si="139"/>
        <v>0</v>
      </c>
      <c r="CE169" s="16">
        <f t="shared" ca="1" si="140"/>
        <v>0</v>
      </c>
      <c r="CF169" s="7">
        <f t="shared" ca="1" si="141"/>
        <v>0</v>
      </c>
      <c r="CH169" s="7">
        <f t="shared" ca="1" si="142"/>
        <v>0</v>
      </c>
    </row>
    <row r="170" spans="2:86" s="7" customFormat="1" x14ac:dyDescent="0.2">
      <c r="B170" s="14">
        <f t="shared" si="106"/>
        <v>1</v>
      </c>
      <c r="C170" s="12">
        <f t="shared" si="107"/>
        <v>1</v>
      </c>
      <c r="D170" s="17">
        <f t="shared" si="147"/>
        <v>164</v>
      </c>
      <c r="E170" s="17">
        <f t="shared" ca="1" si="108"/>
        <v>73</v>
      </c>
      <c r="F170" s="12">
        <f t="shared" si="149"/>
        <v>7</v>
      </c>
      <c r="G170" s="12">
        <f t="shared" si="148"/>
        <v>28</v>
      </c>
      <c r="H170" s="17">
        <f t="shared" si="150"/>
        <v>14</v>
      </c>
      <c r="I170" s="29">
        <f t="shared" si="109"/>
        <v>0</v>
      </c>
      <c r="J170" s="211">
        <f>IFERROR(VLOOKUP(H170,Charges!$T$6:$U$35,2,0)*C170,0)</f>
        <v>1</v>
      </c>
      <c r="K170" s="29">
        <f t="shared" si="110"/>
        <v>0</v>
      </c>
      <c r="L170" s="29">
        <f t="shared" si="111"/>
        <v>0</v>
      </c>
      <c r="M170" s="147">
        <f t="shared" ca="1" si="112"/>
        <v>0</v>
      </c>
      <c r="N170" s="148">
        <f ca="1">IF(AND(Option_SPW="Y",H170&gt;=Lock_In_Period,Z169&gt;SPW_Amount_pa+IF(option="Single",1/5*pr,2*pr),H170&gt;=SPW_Start_Year,H170&lt;=SPW_Start_Year+SPW_Duration-1,age+H170&gt;=Legal_Age),IF(AND(F170=0,SPW_Payout_Freq=1),SPW_Amount_pa,IF(AND(SPW_Payout_Freq=2,MOD(F170,6)=0),SPW_Amount_pa/SPW_Payout_Freq,IF(AND(SPW_Payout_Freq=4,MOD(F170,3)=0),SPW_Amount_pa/SPW_Payout_Freq,IF(SPW_Payout_Freq=12,SPW_Amount_pa/SPW_Payout_Freq,0)))),0)+IFERROR(VLOOKUP(H170,Input!$B$68:$C$74,2,0),0)*(F170=0)*(Option_PW="Y")*(Option_SPW="N")*(age+H170&gt;=Legal_Age)</f>
        <v>0</v>
      </c>
      <c r="O170" s="148">
        <f t="shared" ca="1" si="113"/>
        <v>0</v>
      </c>
      <c r="P170" s="14">
        <f ca="1">(MAX(MAX(sa-CF169*Flag_UL_Type,105%*SUM($I$7:I170))-(AD169+L170-N170)*Flag_UL_Type,0)*B170)</f>
        <v>0</v>
      </c>
      <c r="Q170" s="213">
        <f t="shared" ca="1" si="114"/>
        <v>0</v>
      </c>
      <c r="R170" s="14">
        <f t="shared" ca="1" si="115"/>
        <v>0</v>
      </c>
      <c r="S170" s="14">
        <f t="shared" ca="1" si="116"/>
        <v>0</v>
      </c>
      <c r="T170" s="14">
        <f>IFERROR(IF(WoP_Flag="Y",IF(fq=1,VLOOKUP(ppt*fq-H170,Charges!$AN$41:$AO$59,2,FALSE),IF(fq=2,VLOOKUP(ppt*fq-G170,Charges!$AP$41:$AQ$79,2,FALSE),VLOOKUP(ppt*fq-D170,Charges!$AR$41:$AS$279,2,FALSE)))*pr/fq,0),0)</f>
        <v>0</v>
      </c>
      <c r="U170" s="14">
        <f t="shared" ca="1" si="117"/>
        <v>0</v>
      </c>
      <c r="V170" s="34">
        <f>ROUND(MIN(IF(H170&gt;=7,Charges!$C$12*(1+Charges!$C$14)^((H170-7+1)),VLOOKUP(H170,Charges!$B$7:$C$12,2,0))*pr,Charges!$C$13)*B170,Round)</f>
        <v>500</v>
      </c>
      <c r="W170" s="14">
        <f t="shared" ca="1" si="118"/>
        <v>5936765.41052703</v>
      </c>
      <c r="X170" s="14">
        <f t="shared" ca="1" si="119"/>
        <v>5974962.7379343882</v>
      </c>
      <c r="Y170" s="213">
        <f t="shared" ca="1" si="143"/>
        <v>6725.4911700271768</v>
      </c>
      <c r="Z170" s="14">
        <f t="shared" ca="1" si="120"/>
        <v>5967026.6583537562</v>
      </c>
      <c r="AA170" s="14">
        <f>IF(AND($H170=pt,$F170=11),SUM($K$7:K170)*VLOOKUP(pt,ROC,2,FALSE),0)</f>
        <v>0</v>
      </c>
      <c r="AB170" s="14">
        <f>IF(AND($H170=pt,$F170=11),SUM($V$7:V170)*VLOOKUP(pt,ROC,2,FALSE),0)</f>
        <v>0</v>
      </c>
      <c r="AC170" s="14">
        <f>IF(AND($H170=pt,$F170=11),SUM($Q$7:Q170)*VLOOKUP(pt,ROC,2,FALSE),0)</f>
        <v>0</v>
      </c>
      <c r="AD170" s="14">
        <f t="shared" ca="1" si="121"/>
        <v>5967026.6583537562</v>
      </c>
      <c r="AE170" s="14">
        <f ca="1">(MAX(sa-CF169*Flag_UL_Type,105%*SUM($I$7:I170),Z170)+AU170)*B170</f>
        <v>5967026.6583537562</v>
      </c>
      <c r="AF170" s="136"/>
      <c r="AG170" s="18">
        <v>164</v>
      </c>
      <c r="AH170" s="30">
        <f t="shared" ca="1" si="122"/>
        <v>0</v>
      </c>
      <c r="AI170" s="58"/>
      <c r="AJ170" s="50">
        <f>IF(AND(Option_Sys_TopUp&gt;="Y",H170&gt;=sytp,H170&lt;=(dtp+sytp-1),F170=0,H170&lt;=ppt+1),atp,0)+IFERROR(VLOOKUP(H170,Input!$B$55:$C$61,2,0),0)*(F170=0)*(Option_TopUP="Y")*(Option_Sys_TopUp="N")*B170*(pt&gt;=H170+5)</f>
        <v>0</v>
      </c>
      <c r="AK170" s="50">
        <f t="shared" si="123"/>
        <v>0</v>
      </c>
      <c r="AL170" s="50">
        <f t="shared" si="144"/>
        <v>0</v>
      </c>
      <c r="AM170" s="50">
        <f t="shared" ca="1" si="145"/>
        <v>0</v>
      </c>
      <c r="AN170" s="50">
        <f ca="1">IF(B170=0,0,AT170*(_rpm1+(1+_emr1)*VLOOKUP(E170,Tab_Mort_Charge,IF(Input!$C$12="M",2,3),0))*(0.001*0.0833)*Flag_Mort_Rider_Charge*(AT170&gt;0))</f>
        <v>0</v>
      </c>
      <c r="AO170" s="50">
        <f t="shared" ca="1" si="124"/>
        <v>0</v>
      </c>
      <c r="AP170" s="50">
        <f t="shared" ca="1" si="151"/>
        <v>0</v>
      </c>
      <c r="AQ170" s="50">
        <f t="shared" ca="1" si="125"/>
        <v>0</v>
      </c>
      <c r="AR170" s="50">
        <f t="shared" ca="1" si="126"/>
        <v>0</v>
      </c>
      <c r="AS170" s="50">
        <f t="shared" si="127"/>
        <v>0</v>
      </c>
      <c r="AT170" s="50">
        <f ca="1">(MAX((MAX(AS170,105%*SUM($AJ$7:AJ170))-AM170*Flag_UL_Type),0)*B170)</f>
        <v>0</v>
      </c>
      <c r="AU170" s="50">
        <f ca="1">(MAX(AS170,AR170,105%*SUM($AJ$7:AJ170))*B170)</f>
        <v>0</v>
      </c>
      <c r="AV170" s="125"/>
      <c r="AW170" s="13"/>
      <c r="AX170" s="13"/>
      <c r="AY170" s="13"/>
      <c r="AZ170" s="13"/>
      <c r="BA170" s="13"/>
      <c r="BG170" s="51">
        <f t="shared" si="128"/>
        <v>0</v>
      </c>
      <c r="BH170" s="51">
        <f t="shared" ca="1" si="129"/>
        <v>0</v>
      </c>
      <c r="BI170" s="51">
        <f t="shared" ca="1" si="130"/>
        <v>0</v>
      </c>
      <c r="BJ170" s="51">
        <f t="shared" ca="1" si="131"/>
        <v>0</v>
      </c>
      <c r="BK170" s="51">
        <f t="shared" si="132"/>
        <v>90</v>
      </c>
      <c r="BL170" s="51">
        <f t="shared" ca="1" si="133"/>
        <v>1210.5884106048918</v>
      </c>
      <c r="BM170" s="51">
        <f t="shared" si="134"/>
        <v>0</v>
      </c>
      <c r="BN170" s="51">
        <f t="shared" ca="1" si="135"/>
        <v>0</v>
      </c>
      <c r="BO170" s="51">
        <f t="shared" ca="1" si="136"/>
        <v>0</v>
      </c>
      <c r="BP170" s="51">
        <f t="shared" ca="1" si="137"/>
        <v>1300.5884106048918</v>
      </c>
      <c r="BQ170" s="120"/>
      <c r="BR170" s="32"/>
      <c r="BS170" s="126"/>
      <c r="BT170" s="16"/>
      <c r="BU170" s="58"/>
      <c r="BW170" s="51">
        <f>IF(Input!$C$13="Offline",VLOOKUP(H170,Charges!$AT$4:$AU$33,2,FALSE)*I170,0)</f>
        <v>0</v>
      </c>
      <c r="BX170" s="51">
        <f t="shared" si="138"/>
        <v>0</v>
      </c>
      <c r="BY170" s="51">
        <f t="shared" si="146"/>
        <v>0</v>
      </c>
      <c r="BZ170" s="151"/>
      <c r="CA170" s="151"/>
      <c r="CB170" s="32"/>
      <c r="CC170" s="16">
        <f ca="1">SUM($N$7:$N170)</f>
        <v>0</v>
      </c>
      <c r="CD170" s="16">
        <f t="shared" ca="1" si="139"/>
        <v>0</v>
      </c>
      <c r="CE170" s="16">
        <f t="shared" ca="1" si="140"/>
        <v>0</v>
      </c>
      <c r="CF170" s="7">
        <f t="shared" ca="1" si="141"/>
        <v>0</v>
      </c>
      <c r="CH170" s="7">
        <f t="shared" ca="1" si="142"/>
        <v>0</v>
      </c>
    </row>
    <row r="171" spans="2:86" s="7" customFormat="1" x14ac:dyDescent="0.2">
      <c r="B171" s="14">
        <f t="shared" si="106"/>
        <v>1</v>
      </c>
      <c r="C171" s="12">
        <f t="shared" si="107"/>
        <v>1</v>
      </c>
      <c r="D171" s="17">
        <f t="shared" si="147"/>
        <v>165</v>
      </c>
      <c r="E171" s="17">
        <f t="shared" ca="1" si="108"/>
        <v>73</v>
      </c>
      <c r="F171" s="12">
        <f t="shared" si="149"/>
        <v>8</v>
      </c>
      <c r="G171" s="12">
        <f t="shared" si="148"/>
        <v>28</v>
      </c>
      <c r="H171" s="17">
        <f t="shared" si="150"/>
        <v>14</v>
      </c>
      <c r="I171" s="29">
        <f t="shared" si="109"/>
        <v>0</v>
      </c>
      <c r="J171" s="211">
        <f>IFERROR(VLOOKUP(H171,Charges!$T$6:$U$35,2,0)*C171,0)</f>
        <v>1</v>
      </c>
      <c r="K171" s="29">
        <f t="shared" si="110"/>
        <v>0</v>
      </c>
      <c r="L171" s="29">
        <f t="shared" si="111"/>
        <v>0</v>
      </c>
      <c r="M171" s="147">
        <f t="shared" ca="1" si="112"/>
        <v>0</v>
      </c>
      <c r="N171" s="148">
        <f ca="1">IF(AND(Option_SPW="Y",H171&gt;=Lock_In_Period,Z170&gt;SPW_Amount_pa+IF(option="Single",1/5*pr,2*pr),H171&gt;=SPW_Start_Year,H171&lt;=SPW_Start_Year+SPW_Duration-1,age+H171&gt;=Legal_Age),IF(AND(F171=0,SPW_Payout_Freq=1),SPW_Amount_pa,IF(AND(SPW_Payout_Freq=2,MOD(F171,6)=0),SPW_Amount_pa/SPW_Payout_Freq,IF(AND(SPW_Payout_Freq=4,MOD(F171,3)=0),SPW_Amount_pa/SPW_Payout_Freq,IF(SPW_Payout_Freq=12,SPW_Amount_pa/SPW_Payout_Freq,0)))),0)+IFERROR(VLOOKUP(H171,Input!$B$68:$C$74,2,0),0)*(F171=0)*(Option_PW="Y")*(Option_SPW="N")*(age+H171&gt;=Legal_Age)</f>
        <v>0</v>
      </c>
      <c r="O171" s="148">
        <f t="shared" ca="1" si="113"/>
        <v>0</v>
      </c>
      <c r="P171" s="14">
        <f ca="1">(MAX(MAX(sa-CF170*Flag_UL_Type,105%*SUM($I$7:I171))-(AD170+L171-N171)*Flag_UL_Type,0)*B171)</f>
        <v>0</v>
      </c>
      <c r="Q171" s="213">
        <f t="shared" ca="1" si="114"/>
        <v>0</v>
      </c>
      <c r="R171" s="14">
        <f t="shared" ca="1" si="115"/>
        <v>0</v>
      </c>
      <c r="S171" s="14">
        <f t="shared" ca="1" si="116"/>
        <v>0</v>
      </c>
      <c r="T171" s="14">
        <f>IFERROR(IF(WoP_Flag="Y",IF(fq=1,VLOOKUP(ppt*fq-H171,Charges!$AN$41:$AO$59,2,FALSE),IF(fq=2,VLOOKUP(ppt*fq-G171,Charges!$AP$41:$AQ$79,2,FALSE),VLOOKUP(ppt*fq-D171,Charges!$AR$41:$AS$279,2,FALSE)))*pr/fq,0),0)</f>
        <v>0</v>
      </c>
      <c r="U171" s="14">
        <f t="shared" ca="1" si="117"/>
        <v>0</v>
      </c>
      <c r="V171" s="34">
        <f>ROUND(MIN(IF(H171&gt;=7,Charges!$C$12*(1+Charges!$C$14)^((H171-7+1)),VLOOKUP(H171,Charges!$B$7:$C$12,2,0))*pr,Charges!$C$13)*B171,Round)</f>
        <v>500</v>
      </c>
      <c r="W171" s="14">
        <f t="shared" ca="1" si="118"/>
        <v>5966436.6583537562</v>
      </c>
      <c r="X171" s="14">
        <f t="shared" ca="1" si="119"/>
        <v>6004824.8914630329</v>
      </c>
      <c r="Y171" s="213">
        <f t="shared" ca="1" si="143"/>
        <v>6759.1043754451448</v>
      </c>
      <c r="Z171" s="14">
        <f t="shared" ca="1" si="120"/>
        <v>5996849.1483000079</v>
      </c>
      <c r="AA171" s="14">
        <f>IF(AND($H171=pt,$F171=11),SUM($K$7:K171)*VLOOKUP(pt,ROC,2,FALSE),0)</f>
        <v>0</v>
      </c>
      <c r="AB171" s="14">
        <f>IF(AND($H171=pt,$F171=11),SUM($V$7:V171)*VLOOKUP(pt,ROC,2,FALSE),0)</f>
        <v>0</v>
      </c>
      <c r="AC171" s="14">
        <f>IF(AND($H171=pt,$F171=11),SUM($Q$7:Q171)*VLOOKUP(pt,ROC,2,FALSE),0)</f>
        <v>0</v>
      </c>
      <c r="AD171" s="14">
        <f t="shared" ca="1" si="121"/>
        <v>5996849.1483000079</v>
      </c>
      <c r="AE171" s="14">
        <f ca="1">(MAX(sa-CF170*Flag_UL_Type,105%*SUM($I$7:I171),Z171)+AU171)*B171</f>
        <v>5996849.1483000079</v>
      </c>
      <c r="AF171" s="136"/>
      <c r="AG171" s="18">
        <v>165</v>
      </c>
      <c r="AH171" s="30">
        <f t="shared" ca="1" si="122"/>
        <v>0</v>
      </c>
      <c r="AI171" s="58"/>
      <c r="AJ171" s="50">
        <f>IF(AND(Option_Sys_TopUp&gt;="Y",H171&gt;=sytp,H171&lt;=(dtp+sytp-1),F171=0,H171&lt;=ppt+1),atp,0)+IFERROR(VLOOKUP(H171,Input!$B$55:$C$61,2,0),0)*(F171=0)*(Option_TopUP="Y")*(Option_Sys_TopUp="N")*B171*(pt&gt;=H171+5)</f>
        <v>0</v>
      </c>
      <c r="AK171" s="50">
        <f t="shared" si="123"/>
        <v>0</v>
      </c>
      <c r="AL171" s="50">
        <f t="shared" si="144"/>
        <v>0</v>
      </c>
      <c r="AM171" s="50">
        <f t="shared" ca="1" si="145"/>
        <v>0</v>
      </c>
      <c r="AN171" s="50">
        <f ca="1">IF(B171=0,0,AT171*(_rpm1+(1+_emr1)*VLOOKUP(E171,Tab_Mort_Charge,IF(Input!$C$12="M",2,3),0))*(0.001*0.0833)*Flag_Mort_Rider_Charge*(AT171&gt;0))</f>
        <v>0</v>
      </c>
      <c r="AO171" s="50">
        <f t="shared" ca="1" si="124"/>
        <v>0</v>
      </c>
      <c r="AP171" s="50">
        <f t="shared" ca="1" si="151"/>
        <v>0</v>
      </c>
      <c r="AQ171" s="50">
        <f t="shared" ca="1" si="125"/>
        <v>0</v>
      </c>
      <c r="AR171" s="50">
        <f t="shared" ca="1" si="126"/>
        <v>0</v>
      </c>
      <c r="AS171" s="50">
        <f t="shared" si="127"/>
        <v>0</v>
      </c>
      <c r="AT171" s="50">
        <f ca="1">(MAX((MAX(AS171,105%*SUM($AJ$7:AJ171))-AM171*Flag_UL_Type),0)*B171)</f>
        <v>0</v>
      </c>
      <c r="AU171" s="50">
        <f ca="1">(MAX(AS171,AR171,105%*SUM($AJ$7:AJ171))*B171)</f>
        <v>0</v>
      </c>
      <c r="AV171" s="125"/>
      <c r="AW171" s="13"/>
      <c r="AX171" s="13"/>
      <c r="AY171" s="13"/>
      <c r="AZ171" s="13"/>
      <c r="BA171" s="13"/>
      <c r="BG171" s="51">
        <f t="shared" si="128"/>
        <v>0</v>
      </c>
      <c r="BH171" s="51">
        <f t="shared" ca="1" si="129"/>
        <v>0</v>
      </c>
      <c r="BI171" s="51">
        <f t="shared" ca="1" si="130"/>
        <v>0</v>
      </c>
      <c r="BJ171" s="51">
        <f t="shared" ca="1" si="131"/>
        <v>0</v>
      </c>
      <c r="BK171" s="51">
        <f t="shared" si="132"/>
        <v>90</v>
      </c>
      <c r="BL171" s="51">
        <f t="shared" ca="1" si="133"/>
        <v>1216.6387875801261</v>
      </c>
      <c r="BM171" s="51">
        <f t="shared" si="134"/>
        <v>0</v>
      </c>
      <c r="BN171" s="51">
        <f t="shared" ca="1" si="135"/>
        <v>0</v>
      </c>
      <c r="BO171" s="51">
        <f t="shared" ca="1" si="136"/>
        <v>0</v>
      </c>
      <c r="BP171" s="51">
        <f t="shared" ca="1" si="137"/>
        <v>1306.6387875801261</v>
      </c>
      <c r="BQ171" s="120"/>
      <c r="BR171" s="32"/>
      <c r="BS171" s="126"/>
      <c r="BT171" s="16"/>
      <c r="BU171" s="58"/>
      <c r="BW171" s="51">
        <f>IF(Input!$C$13="Offline",VLOOKUP(H171,Charges!$AT$4:$AU$33,2,FALSE)*I171,0)</f>
        <v>0</v>
      </c>
      <c r="BX171" s="51">
        <f t="shared" si="138"/>
        <v>0</v>
      </c>
      <c r="BY171" s="51">
        <f t="shared" si="146"/>
        <v>0</v>
      </c>
      <c r="BZ171" s="151"/>
      <c r="CA171" s="151"/>
      <c r="CB171" s="32"/>
      <c r="CC171" s="16">
        <f ca="1">SUM($N$7:$N171)</f>
        <v>0</v>
      </c>
      <c r="CD171" s="16">
        <f t="shared" ca="1" si="139"/>
        <v>0</v>
      </c>
      <c r="CE171" s="16">
        <f t="shared" ca="1" si="140"/>
        <v>0</v>
      </c>
      <c r="CF171" s="7">
        <f t="shared" ca="1" si="141"/>
        <v>0</v>
      </c>
      <c r="CH171" s="7">
        <f t="shared" ca="1" si="142"/>
        <v>0</v>
      </c>
    </row>
    <row r="172" spans="2:86" s="7" customFormat="1" x14ac:dyDescent="0.2">
      <c r="B172" s="14">
        <f t="shared" si="106"/>
        <v>1</v>
      </c>
      <c r="C172" s="12">
        <f t="shared" si="107"/>
        <v>1</v>
      </c>
      <c r="D172" s="17">
        <f t="shared" si="147"/>
        <v>166</v>
      </c>
      <c r="E172" s="17">
        <f t="shared" ca="1" si="108"/>
        <v>73</v>
      </c>
      <c r="F172" s="12">
        <f t="shared" si="149"/>
        <v>9</v>
      </c>
      <c r="G172" s="12">
        <f t="shared" si="148"/>
        <v>28</v>
      </c>
      <c r="H172" s="17">
        <f t="shared" si="150"/>
        <v>14</v>
      </c>
      <c r="I172" s="29">
        <f t="shared" si="109"/>
        <v>0</v>
      </c>
      <c r="J172" s="211">
        <f>IFERROR(VLOOKUP(H172,Charges!$T$6:$U$35,2,0)*C172,0)</f>
        <v>1</v>
      </c>
      <c r="K172" s="29">
        <f t="shared" si="110"/>
        <v>0</v>
      </c>
      <c r="L172" s="29">
        <f t="shared" si="111"/>
        <v>0</v>
      </c>
      <c r="M172" s="147">
        <f t="shared" ca="1" si="112"/>
        <v>0</v>
      </c>
      <c r="N172" s="148">
        <f ca="1">IF(AND(Option_SPW="Y",H172&gt;=Lock_In_Period,Z171&gt;SPW_Amount_pa+IF(option="Single",1/5*pr,2*pr),H172&gt;=SPW_Start_Year,H172&lt;=SPW_Start_Year+SPW_Duration-1,age+H172&gt;=Legal_Age),IF(AND(F172=0,SPW_Payout_Freq=1),SPW_Amount_pa,IF(AND(SPW_Payout_Freq=2,MOD(F172,6)=0),SPW_Amount_pa/SPW_Payout_Freq,IF(AND(SPW_Payout_Freq=4,MOD(F172,3)=0),SPW_Amount_pa/SPW_Payout_Freq,IF(SPW_Payout_Freq=12,SPW_Amount_pa/SPW_Payout_Freq,0)))),0)+IFERROR(VLOOKUP(H172,Input!$B$68:$C$74,2,0),0)*(F172=0)*(Option_PW="Y")*(Option_SPW="N")*(age+H172&gt;=Legal_Age)</f>
        <v>0</v>
      </c>
      <c r="O172" s="148">
        <f t="shared" ca="1" si="113"/>
        <v>0</v>
      </c>
      <c r="P172" s="14">
        <f ca="1">(MAX(MAX(sa-CF171*Flag_UL_Type,105%*SUM($I$7:I172))-(AD171+L172-N172)*Flag_UL_Type,0)*B172)</f>
        <v>0</v>
      </c>
      <c r="Q172" s="213">
        <f t="shared" ca="1" si="114"/>
        <v>0</v>
      </c>
      <c r="R172" s="14">
        <f t="shared" ca="1" si="115"/>
        <v>0</v>
      </c>
      <c r="S172" s="14">
        <f t="shared" ca="1" si="116"/>
        <v>0</v>
      </c>
      <c r="T172" s="14">
        <f>IFERROR(IF(WoP_Flag="Y",IF(fq=1,VLOOKUP(ppt*fq-H172,Charges!$AN$41:$AO$59,2,FALSE),IF(fq=2,VLOOKUP(ppt*fq-G172,Charges!$AP$41:$AQ$79,2,FALSE),VLOOKUP(ppt*fq-D172,Charges!$AR$41:$AS$279,2,FALSE)))*pr/fq,0),0)</f>
        <v>0</v>
      </c>
      <c r="U172" s="14">
        <f t="shared" ca="1" si="117"/>
        <v>0</v>
      </c>
      <c r="V172" s="34">
        <f>ROUND(MIN(IF(H172&gt;=7,Charges!$C$12*(1+Charges!$C$14)^((H172-7+1)),VLOOKUP(H172,Charges!$B$7:$C$12,2,0))*pr,Charges!$C$13)*B172,Round)</f>
        <v>500</v>
      </c>
      <c r="W172" s="14">
        <f t="shared" ca="1" si="118"/>
        <v>5996259.1483000079</v>
      </c>
      <c r="X172" s="14">
        <f t="shared" ca="1" si="119"/>
        <v>6034839.2602075534</v>
      </c>
      <c r="Y172" s="213">
        <f t="shared" ca="1" si="143"/>
        <v>6792.8889161726738</v>
      </c>
      <c r="Z172" s="14">
        <f t="shared" ca="1" si="120"/>
        <v>6026823.6512864698</v>
      </c>
      <c r="AA172" s="14">
        <f>IF(AND($H172=pt,$F172=11),SUM($K$7:K172)*VLOOKUP(pt,ROC,2,FALSE),0)</f>
        <v>0</v>
      </c>
      <c r="AB172" s="14">
        <f>IF(AND($H172=pt,$F172=11),SUM($V$7:V172)*VLOOKUP(pt,ROC,2,FALSE),0)</f>
        <v>0</v>
      </c>
      <c r="AC172" s="14">
        <f>IF(AND($H172=pt,$F172=11),SUM($Q$7:Q172)*VLOOKUP(pt,ROC,2,FALSE),0)</f>
        <v>0</v>
      </c>
      <c r="AD172" s="14">
        <f t="shared" ca="1" si="121"/>
        <v>6026823.6512864698</v>
      </c>
      <c r="AE172" s="14">
        <f ca="1">(MAX(sa-CF171*Flag_UL_Type,105%*SUM($I$7:I172),Z172)+AU172)*B172</f>
        <v>6026823.6512864698</v>
      </c>
      <c r="AF172" s="136"/>
      <c r="AG172" s="18">
        <v>166</v>
      </c>
      <c r="AH172" s="30">
        <f t="shared" ca="1" si="122"/>
        <v>0</v>
      </c>
      <c r="AI172" s="58"/>
      <c r="AJ172" s="50">
        <f>IF(AND(Option_Sys_TopUp&gt;="Y",H172&gt;=sytp,H172&lt;=(dtp+sytp-1),F172=0,H172&lt;=ppt+1),atp,0)+IFERROR(VLOOKUP(H172,Input!$B$55:$C$61,2,0),0)*(F172=0)*(Option_TopUP="Y")*(Option_Sys_TopUp="N")*B172*(pt&gt;=H172+5)</f>
        <v>0</v>
      </c>
      <c r="AK172" s="50">
        <f t="shared" si="123"/>
        <v>0</v>
      </c>
      <c r="AL172" s="50">
        <f t="shared" si="144"/>
        <v>0</v>
      </c>
      <c r="AM172" s="50">
        <f t="shared" ca="1" si="145"/>
        <v>0</v>
      </c>
      <c r="AN172" s="50">
        <f ca="1">IF(B172=0,0,AT172*(_rpm1+(1+_emr1)*VLOOKUP(E172,Tab_Mort_Charge,IF(Input!$C$12="M",2,3),0))*(0.001*0.0833)*Flag_Mort_Rider_Charge*(AT172&gt;0))</f>
        <v>0</v>
      </c>
      <c r="AO172" s="50">
        <f t="shared" ca="1" si="124"/>
        <v>0</v>
      </c>
      <c r="AP172" s="50">
        <f t="shared" ca="1" si="151"/>
        <v>0</v>
      </c>
      <c r="AQ172" s="50">
        <f t="shared" ca="1" si="125"/>
        <v>0</v>
      </c>
      <c r="AR172" s="50">
        <f t="shared" ca="1" si="126"/>
        <v>0</v>
      </c>
      <c r="AS172" s="50">
        <f t="shared" si="127"/>
        <v>0</v>
      </c>
      <c r="AT172" s="50">
        <f ca="1">(MAX((MAX(AS172,105%*SUM($AJ$7:AJ172))-AM172*Flag_UL_Type),0)*B172)</f>
        <v>0</v>
      </c>
      <c r="AU172" s="50">
        <f ca="1">(MAX(AS172,AR172,105%*SUM($AJ$7:AJ172))*B172)</f>
        <v>0</v>
      </c>
      <c r="AV172" s="125"/>
      <c r="AW172" s="13"/>
      <c r="AX172" s="13"/>
      <c r="AY172" s="13"/>
      <c r="AZ172" s="13"/>
      <c r="BA172" s="13"/>
      <c r="BG172" s="51">
        <f t="shared" si="128"/>
        <v>0</v>
      </c>
      <c r="BH172" s="51">
        <f t="shared" ca="1" si="129"/>
        <v>0</v>
      </c>
      <c r="BI172" s="51">
        <f t="shared" ca="1" si="130"/>
        <v>0</v>
      </c>
      <c r="BJ172" s="51">
        <f t="shared" ca="1" si="131"/>
        <v>0</v>
      </c>
      <c r="BK172" s="51">
        <f t="shared" si="132"/>
        <v>90</v>
      </c>
      <c r="BL172" s="51">
        <f t="shared" ca="1" si="133"/>
        <v>1222.7200049110813</v>
      </c>
      <c r="BM172" s="51">
        <f t="shared" si="134"/>
        <v>0</v>
      </c>
      <c r="BN172" s="51">
        <f t="shared" ca="1" si="135"/>
        <v>0</v>
      </c>
      <c r="BO172" s="51">
        <f t="shared" ca="1" si="136"/>
        <v>0</v>
      </c>
      <c r="BP172" s="51">
        <f t="shared" ca="1" si="137"/>
        <v>1312.7200049110813</v>
      </c>
      <c r="BQ172" s="120"/>
      <c r="BR172" s="32"/>
      <c r="BS172" s="126"/>
      <c r="BT172" s="16"/>
      <c r="BU172" s="58"/>
      <c r="BW172" s="51">
        <f>IF(Input!$C$13="Offline",VLOOKUP(H172,Charges!$AT$4:$AU$33,2,FALSE)*I172,0)</f>
        <v>0</v>
      </c>
      <c r="BX172" s="51">
        <f t="shared" si="138"/>
        <v>0</v>
      </c>
      <c r="BY172" s="51">
        <f t="shared" si="146"/>
        <v>0</v>
      </c>
      <c r="BZ172" s="151"/>
      <c r="CA172" s="151"/>
      <c r="CB172" s="32"/>
      <c r="CC172" s="16">
        <f ca="1">SUM($N$7:$N172)</f>
        <v>0</v>
      </c>
      <c r="CD172" s="16">
        <f t="shared" ca="1" si="139"/>
        <v>0</v>
      </c>
      <c r="CE172" s="16">
        <f t="shared" ca="1" si="140"/>
        <v>0</v>
      </c>
      <c r="CF172" s="7">
        <f t="shared" ca="1" si="141"/>
        <v>0</v>
      </c>
      <c r="CH172" s="7">
        <f t="shared" ca="1" si="142"/>
        <v>0</v>
      </c>
    </row>
    <row r="173" spans="2:86" s="7" customFormat="1" x14ac:dyDescent="0.2">
      <c r="B173" s="14">
        <f t="shared" si="106"/>
        <v>1</v>
      </c>
      <c r="C173" s="12">
        <f t="shared" si="107"/>
        <v>1</v>
      </c>
      <c r="D173" s="17">
        <f t="shared" si="147"/>
        <v>167</v>
      </c>
      <c r="E173" s="17">
        <f t="shared" ca="1" si="108"/>
        <v>73</v>
      </c>
      <c r="F173" s="12">
        <f t="shared" si="149"/>
        <v>10</v>
      </c>
      <c r="G173" s="12">
        <f t="shared" si="148"/>
        <v>28</v>
      </c>
      <c r="H173" s="17">
        <f t="shared" si="150"/>
        <v>14</v>
      </c>
      <c r="I173" s="29">
        <f t="shared" si="109"/>
        <v>0</v>
      </c>
      <c r="J173" s="211">
        <f>IFERROR(VLOOKUP(H173,Charges!$T$6:$U$35,2,0)*C173,0)</f>
        <v>1</v>
      </c>
      <c r="K173" s="29">
        <f t="shared" si="110"/>
        <v>0</v>
      </c>
      <c r="L173" s="29">
        <f t="shared" si="111"/>
        <v>0</v>
      </c>
      <c r="M173" s="147">
        <f t="shared" ca="1" si="112"/>
        <v>0</v>
      </c>
      <c r="N173" s="148">
        <f ca="1">IF(AND(Option_SPW="Y",H173&gt;=Lock_In_Period,Z172&gt;SPW_Amount_pa+IF(option="Single",1/5*pr,2*pr),H173&gt;=SPW_Start_Year,H173&lt;=SPW_Start_Year+SPW_Duration-1,age+H173&gt;=Legal_Age),IF(AND(F173=0,SPW_Payout_Freq=1),SPW_Amount_pa,IF(AND(SPW_Payout_Freq=2,MOD(F173,6)=0),SPW_Amount_pa/SPW_Payout_Freq,IF(AND(SPW_Payout_Freq=4,MOD(F173,3)=0),SPW_Amount_pa/SPW_Payout_Freq,IF(SPW_Payout_Freq=12,SPW_Amount_pa/SPW_Payout_Freq,0)))),0)+IFERROR(VLOOKUP(H173,Input!$B$68:$C$74,2,0),0)*(F173=0)*(Option_PW="Y")*(Option_SPW="N")*(age+H173&gt;=Legal_Age)</f>
        <v>0</v>
      </c>
      <c r="O173" s="148">
        <f t="shared" ca="1" si="113"/>
        <v>0</v>
      </c>
      <c r="P173" s="14">
        <f ca="1">(MAX(MAX(sa-CF172*Flag_UL_Type,105%*SUM($I$7:I173))-(AD172+L173-N173)*Flag_UL_Type,0)*B173)</f>
        <v>0</v>
      </c>
      <c r="Q173" s="213">
        <f t="shared" ca="1" si="114"/>
        <v>0</v>
      </c>
      <c r="R173" s="14">
        <f t="shared" ca="1" si="115"/>
        <v>0</v>
      </c>
      <c r="S173" s="14">
        <f t="shared" ca="1" si="116"/>
        <v>0</v>
      </c>
      <c r="T173" s="14">
        <f>IFERROR(IF(WoP_Flag="Y",IF(fq=1,VLOOKUP(ppt*fq-H173,Charges!$AN$41:$AO$59,2,FALSE),IF(fq=2,VLOOKUP(ppt*fq-G173,Charges!$AP$41:$AQ$79,2,FALSE),VLOOKUP(ppt*fq-D173,Charges!$AR$41:$AS$279,2,FALSE)))*pr/fq,0),0)</f>
        <v>0</v>
      </c>
      <c r="U173" s="14">
        <f t="shared" ca="1" si="117"/>
        <v>0</v>
      </c>
      <c r="V173" s="34">
        <f>ROUND(MIN(IF(H173&gt;=7,Charges!$C$12*(1+Charges!$C$14)^((H173-7+1)),VLOOKUP(H173,Charges!$B$7:$C$12,2,0))*pr,Charges!$C$13)*B173,Round)</f>
        <v>500</v>
      </c>
      <c r="W173" s="14">
        <f t="shared" ca="1" si="118"/>
        <v>6026233.6512864698</v>
      </c>
      <c r="X173" s="14">
        <f t="shared" ca="1" si="119"/>
        <v>6065006.6200487632</v>
      </c>
      <c r="Y173" s="213">
        <f t="shared" ca="1" si="143"/>
        <v>6826.8456655507007</v>
      </c>
      <c r="Z173" s="14">
        <f t="shared" ca="1" si="120"/>
        <v>6056950.9421634134</v>
      </c>
      <c r="AA173" s="14">
        <f>IF(AND($H173=pt,$F173=11),SUM($K$7:K173)*VLOOKUP(pt,ROC,2,FALSE),0)</f>
        <v>0</v>
      </c>
      <c r="AB173" s="14">
        <f>IF(AND($H173=pt,$F173=11),SUM($V$7:V173)*VLOOKUP(pt,ROC,2,FALSE),0)</f>
        <v>0</v>
      </c>
      <c r="AC173" s="14">
        <f>IF(AND($H173=pt,$F173=11),SUM($Q$7:Q173)*VLOOKUP(pt,ROC,2,FALSE),0)</f>
        <v>0</v>
      </c>
      <c r="AD173" s="14">
        <f t="shared" ca="1" si="121"/>
        <v>6056950.9421634134</v>
      </c>
      <c r="AE173" s="14">
        <f ca="1">(MAX(sa-CF172*Flag_UL_Type,105%*SUM($I$7:I173),Z173)+AU173)*B173</f>
        <v>6056950.9421634134</v>
      </c>
      <c r="AF173" s="136"/>
      <c r="AG173" s="18">
        <v>167</v>
      </c>
      <c r="AH173" s="30">
        <f t="shared" ca="1" si="122"/>
        <v>0</v>
      </c>
      <c r="AI173" s="58"/>
      <c r="AJ173" s="50">
        <f>IF(AND(Option_Sys_TopUp&gt;="Y",H173&gt;=sytp,H173&lt;=(dtp+sytp-1),F173=0,H173&lt;=ppt+1),atp,0)+IFERROR(VLOOKUP(H173,Input!$B$55:$C$61,2,0),0)*(F173=0)*(Option_TopUP="Y")*(Option_Sys_TopUp="N")*B173*(pt&gt;=H173+5)</f>
        <v>0</v>
      </c>
      <c r="AK173" s="50">
        <f t="shared" si="123"/>
        <v>0</v>
      </c>
      <c r="AL173" s="50">
        <f t="shared" si="144"/>
        <v>0</v>
      </c>
      <c r="AM173" s="50">
        <f t="shared" ca="1" si="145"/>
        <v>0</v>
      </c>
      <c r="AN173" s="50">
        <f ca="1">IF(B173=0,0,AT173*(_rpm1+(1+_emr1)*VLOOKUP(E173,Tab_Mort_Charge,IF(Input!$C$12="M",2,3),0))*(0.001*0.0833)*Flag_Mort_Rider_Charge*(AT173&gt;0))</f>
        <v>0</v>
      </c>
      <c r="AO173" s="50">
        <f t="shared" ca="1" si="124"/>
        <v>0</v>
      </c>
      <c r="AP173" s="50">
        <f t="shared" ca="1" si="151"/>
        <v>0</v>
      </c>
      <c r="AQ173" s="50">
        <f t="shared" ca="1" si="125"/>
        <v>0</v>
      </c>
      <c r="AR173" s="50">
        <f t="shared" ca="1" si="126"/>
        <v>0</v>
      </c>
      <c r="AS173" s="50">
        <f t="shared" si="127"/>
        <v>0</v>
      </c>
      <c r="AT173" s="50">
        <f ca="1">(MAX((MAX(AS173,105%*SUM($AJ$7:AJ173))-AM173*Flag_UL_Type),0)*B173)</f>
        <v>0</v>
      </c>
      <c r="AU173" s="50">
        <f ca="1">(MAX(AS173,AR173,105%*SUM($AJ$7:AJ173))*B173)</f>
        <v>0</v>
      </c>
      <c r="AV173" s="125"/>
      <c r="AW173" s="13"/>
      <c r="AX173" s="13"/>
      <c r="AY173" s="13"/>
      <c r="AZ173" s="13"/>
      <c r="BA173" s="13"/>
      <c r="BG173" s="51">
        <f t="shared" si="128"/>
        <v>0</v>
      </c>
      <c r="BH173" s="51">
        <f t="shared" ca="1" si="129"/>
        <v>0</v>
      </c>
      <c r="BI173" s="51">
        <f t="shared" ca="1" si="130"/>
        <v>0</v>
      </c>
      <c r="BJ173" s="51">
        <f t="shared" ca="1" si="131"/>
        <v>0</v>
      </c>
      <c r="BK173" s="51">
        <f t="shared" si="132"/>
        <v>90</v>
      </c>
      <c r="BL173" s="51">
        <f t="shared" ca="1" si="133"/>
        <v>1228.8322197991261</v>
      </c>
      <c r="BM173" s="51">
        <f t="shared" si="134"/>
        <v>0</v>
      </c>
      <c r="BN173" s="51">
        <f t="shared" ca="1" si="135"/>
        <v>0</v>
      </c>
      <c r="BO173" s="51">
        <f t="shared" ca="1" si="136"/>
        <v>0</v>
      </c>
      <c r="BP173" s="51">
        <f t="shared" ca="1" si="137"/>
        <v>1318.8322197991261</v>
      </c>
      <c r="BQ173" s="120"/>
      <c r="BR173" s="32"/>
      <c r="BS173" s="126"/>
      <c r="BT173" s="16"/>
      <c r="BU173" s="58"/>
      <c r="BW173" s="51">
        <f>IF(Input!$C$13="Offline",VLOOKUP(H173,Charges!$AT$4:$AU$33,2,FALSE)*I173,0)</f>
        <v>0</v>
      </c>
      <c r="BX173" s="51">
        <f t="shared" si="138"/>
        <v>0</v>
      </c>
      <c r="BY173" s="51">
        <f t="shared" si="146"/>
        <v>0</v>
      </c>
      <c r="BZ173" s="151"/>
      <c r="CA173" s="151"/>
      <c r="CB173" s="32"/>
      <c r="CC173" s="16">
        <f ca="1">SUM($N$7:$N173)</f>
        <v>0</v>
      </c>
      <c r="CD173" s="16">
        <f t="shared" ca="1" si="139"/>
        <v>0</v>
      </c>
      <c r="CE173" s="16">
        <f t="shared" ca="1" si="140"/>
        <v>0</v>
      </c>
      <c r="CF173" s="7">
        <f t="shared" ca="1" si="141"/>
        <v>0</v>
      </c>
      <c r="CH173" s="7">
        <f t="shared" ca="1" si="142"/>
        <v>0</v>
      </c>
    </row>
    <row r="174" spans="2:86" s="7" customFormat="1" x14ac:dyDescent="0.2">
      <c r="B174" s="14">
        <f t="shared" si="106"/>
        <v>1</v>
      </c>
      <c r="C174" s="12">
        <f t="shared" si="107"/>
        <v>1</v>
      </c>
      <c r="D174" s="17">
        <f t="shared" si="147"/>
        <v>168</v>
      </c>
      <c r="E174" s="17">
        <f t="shared" ca="1" si="108"/>
        <v>73</v>
      </c>
      <c r="F174" s="12">
        <f t="shared" si="149"/>
        <v>11</v>
      </c>
      <c r="G174" s="12">
        <f t="shared" si="148"/>
        <v>28</v>
      </c>
      <c r="H174" s="17">
        <f t="shared" si="150"/>
        <v>14</v>
      </c>
      <c r="I174" s="29">
        <f t="shared" si="109"/>
        <v>0</v>
      </c>
      <c r="J174" s="211">
        <f>IFERROR(VLOOKUP(H174,Charges!$T$6:$U$35,2,0)*C174,0)</f>
        <v>1</v>
      </c>
      <c r="K174" s="29">
        <f t="shared" si="110"/>
        <v>0</v>
      </c>
      <c r="L174" s="29">
        <f t="shared" si="111"/>
        <v>0</v>
      </c>
      <c r="M174" s="147">
        <f t="shared" ca="1" si="112"/>
        <v>0</v>
      </c>
      <c r="N174" s="148">
        <f ca="1">IF(AND(Option_SPW="Y",H174&gt;=Lock_In_Period,Z173&gt;SPW_Amount_pa+IF(option="Single",1/5*pr,2*pr),H174&gt;=SPW_Start_Year,H174&lt;=SPW_Start_Year+SPW_Duration-1,age+H174&gt;=Legal_Age),IF(AND(F174=0,SPW_Payout_Freq=1),SPW_Amount_pa,IF(AND(SPW_Payout_Freq=2,MOD(F174,6)=0),SPW_Amount_pa/SPW_Payout_Freq,IF(AND(SPW_Payout_Freq=4,MOD(F174,3)=0),SPW_Amount_pa/SPW_Payout_Freq,IF(SPW_Payout_Freq=12,SPW_Amount_pa/SPW_Payout_Freq,0)))),0)+IFERROR(VLOOKUP(H174,Input!$B$68:$C$74,2,0),0)*(F174=0)*(Option_PW="Y")*(Option_SPW="N")*(age+H174&gt;=Legal_Age)</f>
        <v>0</v>
      </c>
      <c r="O174" s="148">
        <f t="shared" ca="1" si="113"/>
        <v>0</v>
      </c>
      <c r="P174" s="14">
        <f ca="1">(MAX(MAX(sa-CF173*Flag_UL_Type,105%*SUM($I$7:I174))-(AD173+L174-N174)*Flag_UL_Type,0)*B174)</f>
        <v>0</v>
      </c>
      <c r="Q174" s="213">
        <f t="shared" ca="1" si="114"/>
        <v>0</v>
      </c>
      <c r="R174" s="14">
        <f t="shared" ca="1" si="115"/>
        <v>0</v>
      </c>
      <c r="S174" s="14">
        <f t="shared" ca="1" si="116"/>
        <v>0</v>
      </c>
      <c r="T174" s="14">
        <f>IFERROR(IF(WoP_Flag="Y",IF(fq=1,VLOOKUP(ppt*fq-H174,Charges!$AN$41:$AO$59,2,FALSE),IF(fq=2,VLOOKUP(ppt*fq-G174,Charges!$AP$41:$AQ$79,2,FALSE),VLOOKUP(ppt*fq-D174,Charges!$AR$41:$AS$279,2,FALSE)))*pr/fq,0),0)</f>
        <v>0</v>
      </c>
      <c r="U174" s="14">
        <f t="shared" ca="1" si="117"/>
        <v>0</v>
      </c>
      <c r="V174" s="34">
        <f>ROUND(MIN(IF(H174&gt;=7,Charges!$C$12*(1+Charges!$C$14)^((H174-7+1)),VLOOKUP(H174,Charges!$B$7:$C$12,2,0))*pr,Charges!$C$13)*B174,Round)</f>
        <v>500</v>
      </c>
      <c r="W174" s="14">
        <f t="shared" ca="1" si="118"/>
        <v>6056360.9421634134</v>
      </c>
      <c r="X174" s="14">
        <f t="shared" ca="1" si="119"/>
        <v>6095327.750822342</v>
      </c>
      <c r="Y174" s="213">
        <f t="shared" ca="1" si="143"/>
        <v>6860.9755013718095</v>
      </c>
      <c r="Z174" s="14">
        <f t="shared" ca="1" si="120"/>
        <v>6087231.7997307237</v>
      </c>
      <c r="AA174" s="14">
        <f>IF(AND($H174=pt,$F174=11),SUM($K$7:K174)*VLOOKUP(pt,ROC,2,FALSE),0)</f>
        <v>0</v>
      </c>
      <c r="AB174" s="14">
        <f>IF(AND($H174=pt,$F174=11),SUM($V$7:V174)*VLOOKUP(pt,ROC,2,FALSE),0)</f>
        <v>0</v>
      </c>
      <c r="AC174" s="14">
        <f>IF(AND($H174=pt,$F174=11),SUM($Q$7:Q174)*VLOOKUP(pt,ROC,2,FALSE),0)</f>
        <v>0</v>
      </c>
      <c r="AD174" s="14">
        <f t="shared" ca="1" si="121"/>
        <v>6087231.7997307237</v>
      </c>
      <c r="AE174" s="14">
        <f ca="1">(MAX(sa-CF173*Flag_UL_Type,105%*SUM($I$7:I174),Z174)+AU174)*B174</f>
        <v>6087231.7997307237</v>
      </c>
      <c r="AF174" s="136"/>
      <c r="AG174" s="18">
        <v>168</v>
      </c>
      <c r="AH174" s="30">
        <f t="shared" ca="1" si="122"/>
        <v>0</v>
      </c>
      <c r="AI174" s="58"/>
      <c r="AJ174" s="50">
        <f>IF(AND(Option_Sys_TopUp&gt;="Y",H174&gt;=sytp,H174&lt;=(dtp+sytp-1),F174=0,H174&lt;=ppt+1),atp,0)+IFERROR(VLOOKUP(H174,Input!$B$55:$C$61,2,0),0)*(F174=0)*(Option_TopUP="Y")*(Option_Sys_TopUp="N")*B174*(pt&gt;=H174+5)</f>
        <v>0</v>
      </c>
      <c r="AK174" s="50">
        <f t="shared" si="123"/>
        <v>0</v>
      </c>
      <c r="AL174" s="50">
        <f t="shared" si="144"/>
        <v>0</v>
      </c>
      <c r="AM174" s="50">
        <f t="shared" ca="1" si="145"/>
        <v>0</v>
      </c>
      <c r="AN174" s="50">
        <f ca="1">IF(B174=0,0,AT174*(_rpm1+(1+_emr1)*VLOOKUP(E174,Tab_Mort_Charge,IF(Input!$C$12="M",2,3),0))*(0.001*0.0833)*Flag_Mort_Rider_Charge*(AT174&gt;0))</f>
        <v>0</v>
      </c>
      <c r="AO174" s="50">
        <f t="shared" ca="1" si="124"/>
        <v>0</v>
      </c>
      <c r="AP174" s="50">
        <f t="shared" ca="1" si="151"/>
        <v>0</v>
      </c>
      <c r="AQ174" s="50">
        <f t="shared" ca="1" si="125"/>
        <v>0</v>
      </c>
      <c r="AR174" s="50">
        <f t="shared" ca="1" si="126"/>
        <v>0</v>
      </c>
      <c r="AS174" s="50">
        <f t="shared" si="127"/>
        <v>0</v>
      </c>
      <c r="AT174" s="50">
        <f ca="1">(MAX((MAX(AS174,105%*SUM($AJ$7:AJ174))-AM174*Flag_UL_Type),0)*B174)</f>
        <v>0</v>
      </c>
      <c r="AU174" s="50">
        <f ca="1">(MAX(AS174,AR174,105%*SUM($AJ$7:AJ174))*B174)</f>
        <v>0</v>
      </c>
      <c r="AV174" s="125"/>
      <c r="AW174" s="13"/>
      <c r="AX174" s="13"/>
      <c r="AY174" s="13"/>
      <c r="AZ174" s="13"/>
      <c r="BA174" s="13"/>
      <c r="BG174" s="51">
        <f t="shared" si="128"/>
        <v>0</v>
      </c>
      <c r="BH174" s="51">
        <f t="shared" ca="1" si="129"/>
        <v>0</v>
      </c>
      <c r="BI174" s="51">
        <f t="shared" ca="1" si="130"/>
        <v>0</v>
      </c>
      <c r="BJ174" s="51">
        <f t="shared" ca="1" si="131"/>
        <v>0</v>
      </c>
      <c r="BK174" s="51">
        <f t="shared" si="132"/>
        <v>90</v>
      </c>
      <c r="BL174" s="51">
        <f t="shared" ca="1" si="133"/>
        <v>1234.9755902469258</v>
      </c>
      <c r="BM174" s="51">
        <f t="shared" si="134"/>
        <v>0</v>
      </c>
      <c r="BN174" s="51">
        <f t="shared" ca="1" si="135"/>
        <v>0</v>
      </c>
      <c r="BO174" s="51">
        <f t="shared" ca="1" si="136"/>
        <v>0</v>
      </c>
      <c r="BP174" s="51">
        <f t="shared" ca="1" si="137"/>
        <v>1324.9755902469258</v>
      </c>
      <c r="BQ174" s="120"/>
      <c r="BR174" s="32"/>
      <c r="BS174" s="126"/>
      <c r="BT174" s="16"/>
      <c r="BU174" s="58"/>
      <c r="BW174" s="51">
        <f>IF(Input!$C$13="Offline",VLOOKUP(H174,Charges!$AT$4:$AU$33,2,FALSE)*I174,0)</f>
        <v>0</v>
      </c>
      <c r="BX174" s="51">
        <f t="shared" si="138"/>
        <v>0</v>
      </c>
      <c r="BY174" s="51">
        <f t="shared" si="146"/>
        <v>0</v>
      </c>
      <c r="BZ174" s="151"/>
      <c r="CA174" s="151"/>
      <c r="CB174" s="32"/>
      <c r="CC174" s="16">
        <f ca="1">SUM($N$7:$N174)</f>
        <v>0</v>
      </c>
      <c r="CD174" s="16">
        <f t="shared" ca="1" si="139"/>
        <v>0</v>
      </c>
      <c r="CE174" s="16">
        <f t="shared" ca="1" si="140"/>
        <v>0</v>
      </c>
      <c r="CF174" s="7">
        <f t="shared" ca="1" si="141"/>
        <v>0</v>
      </c>
      <c r="CH174" s="7">
        <f t="shared" ca="1" si="142"/>
        <v>0</v>
      </c>
    </row>
    <row r="175" spans="2:86" s="7" customFormat="1" x14ac:dyDescent="0.2">
      <c r="B175" s="14">
        <f t="shared" si="106"/>
        <v>1</v>
      </c>
      <c r="C175" s="12">
        <f t="shared" si="107"/>
        <v>1</v>
      </c>
      <c r="D175" s="17">
        <f t="shared" si="147"/>
        <v>169</v>
      </c>
      <c r="E175" s="17">
        <f t="shared" ca="1" si="108"/>
        <v>74</v>
      </c>
      <c r="F175" s="12">
        <f t="shared" si="149"/>
        <v>0</v>
      </c>
      <c r="G175" s="12">
        <f t="shared" si="148"/>
        <v>29</v>
      </c>
      <c r="H175" s="17">
        <f t="shared" si="150"/>
        <v>15</v>
      </c>
      <c r="I175" s="29">
        <f t="shared" si="109"/>
        <v>300000</v>
      </c>
      <c r="J175" s="211">
        <f>IFERROR(VLOOKUP(H175,Charges!$T$6:$U$35,2,0)*C175,0)</f>
        <v>1</v>
      </c>
      <c r="K175" s="29">
        <f t="shared" si="110"/>
        <v>0</v>
      </c>
      <c r="L175" s="29">
        <f t="shared" si="111"/>
        <v>300000</v>
      </c>
      <c r="M175" s="147">
        <f t="shared" ca="1" si="112"/>
        <v>0</v>
      </c>
      <c r="N175" s="148">
        <f ca="1">IF(AND(Option_SPW="Y",H175&gt;=Lock_In_Period,Z174&gt;SPW_Amount_pa+IF(option="Single",1/5*pr,2*pr),H175&gt;=SPW_Start_Year,H175&lt;=SPW_Start_Year+SPW_Duration-1,age+H175&gt;=Legal_Age),IF(AND(F175=0,SPW_Payout_Freq=1),SPW_Amount_pa,IF(AND(SPW_Payout_Freq=2,MOD(F175,6)=0),SPW_Amount_pa/SPW_Payout_Freq,IF(AND(SPW_Payout_Freq=4,MOD(F175,3)=0),SPW_Amount_pa/SPW_Payout_Freq,IF(SPW_Payout_Freq=12,SPW_Amount_pa/SPW_Payout_Freq,0)))),0)+IFERROR(VLOOKUP(H175,Input!$B$68:$C$74,2,0),0)*(F175=0)*(Option_PW="Y")*(Option_SPW="N")*(age+H175&gt;=Legal_Age)</f>
        <v>0</v>
      </c>
      <c r="O175" s="148">
        <f t="shared" ca="1" si="113"/>
        <v>0</v>
      </c>
      <c r="P175" s="14">
        <f ca="1">(MAX(MAX(sa-CF174*Flag_UL_Type,105%*SUM($I$7:I175))-(AD174+L175-N175)*Flag_UL_Type,0)*B175)</f>
        <v>0</v>
      </c>
      <c r="Q175" s="213">
        <f t="shared" ca="1" si="114"/>
        <v>0</v>
      </c>
      <c r="R175" s="14">
        <f t="shared" ca="1" si="115"/>
        <v>0</v>
      </c>
      <c r="S175" s="14">
        <f t="shared" ca="1" si="116"/>
        <v>0</v>
      </c>
      <c r="T175" s="14">
        <f>IFERROR(IF(WoP_Flag="Y",IF(fq=1,VLOOKUP(ppt*fq-H175,Charges!$AN$41:$AO$59,2,FALSE),IF(fq=2,VLOOKUP(ppt*fq-G175,Charges!$AP$41:$AQ$79,2,FALSE),VLOOKUP(ppt*fq-D175,Charges!$AR$41:$AS$279,2,FALSE)))*pr/fq,0),0)</f>
        <v>0</v>
      </c>
      <c r="U175" s="14">
        <f t="shared" ca="1" si="117"/>
        <v>0</v>
      </c>
      <c r="V175" s="34">
        <f>ROUND(MIN(IF(H175&gt;=7,Charges!$C$12*(1+Charges!$C$14)^((H175-7+1)),VLOOKUP(H175,Charges!$B$7:$C$12,2,0))*pr,Charges!$C$13)*B175,Round)</f>
        <v>500</v>
      </c>
      <c r="W175" s="14">
        <f t="shared" ca="1" si="118"/>
        <v>6386641.7997307237</v>
      </c>
      <c r="X175" s="14">
        <f t="shared" ca="1" si="119"/>
        <v>6427733.6453719977</v>
      </c>
      <c r="Y175" s="213">
        <f t="shared" ca="1" si="143"/>
        <v>7235.1356437380809</v>
      </c>
      <c r="Z175" s="14">
        <f t="shared" ca="1" si="120"/>
        <v>6419196.1853123866</v>
      </c>
      <c r="AA175" s="14">
        <f>IF(AND($H175=pt,$F175=11),SUM($K$7:K175)*VLOOKUP(pt,ROC,2,FALSE),0)</f>
        <v>0</v>
      </c>
      <c r="AB175" s="14">
        <f>IF(AND($H175=pt,$F175=11),SUM($V$7:V175)*VLOOKUP(pt,ROC,2,FALSE),0)</f>
        <v>0</v>
      </c>
      <c r="AC175" s="14">
        <f>IF(AND($H175=pt,$F175=11),SUM($Q$7:Q175)*VLOOKUP(pt,ROC,2,FALSE),0)</f>
        <v>0</v>
      </c>
      <c r="AD175" s="14">
        <f t="shared" ca="1" si="121"/>
        <v>6419196.1853123866</v>
      </c>
      <c r="AE175" s="14">
        <f ca="1">(MAX(sa-CF174*Flag_UL_Type,105%*SUM($I$7:I175),Z175)+AU175)*B175</f>
        <v>6419196.1853123866</v>
      </c>
      <c r="AF175" s="136"/>
      <c r="AG175" s="18">
        <v>169</v>
      </c>
      <c r="AH175" s="30">
        <f t="shared" ca="1" si="122"/>
        <v>300000</v>
      </c>
      <c r="AI175" s="58"/>
      <c r="AJ175" s="50">
        <f>IF(AND(Option_Sys_TopUp&gt;="Y",H175&gt;=sytp,H175&lt;=(dtp+sytp-1),F175=0,H175&lt;=ppt+1),atp,0)+IFERROR(VLOOKUP(H175,Input!$B$55:$C$61,2,0),0)*(F175=0)*(Option_TopUP="Y")*(Option_Sys_TopUp="N")*B175*(pt&gt;=H175+5)</f>
        <v>0</v>
      </c>
      <c r="AK175" s="50">
        <f t="shared" si="123"/>
        <v>0</v>
      </c>
      <c r="AL175" s="50">
        <f t="shared" si="144"/>
        <v>0</v>
      </c>
      <c r="AM175" s="50">
        <f t="shared" ca="1" si="145"/>
        <v>0</v>
      </c>
      <c r="AN175" s="50">
        <f ca="1">IF(B175=0,0,AT175*(_rpm1+(1+_emr1)*VLOOKUP(E175,Tab_Mort_Charge,IF(Input!$C$12="M",2,3),0))*(0.001*0.0833)*Flag_Mort_Rider_Charge*(AT175&gt;0))</f>
        <v>0</v>
      </c>
      <c r="AO175" s="50">
        <f t="shared" ca="1" si="124"/>
        <v>0</v>
      </c>
      <c r="AP175" s="50">
        <f t="shared" ca="1" si="151"/>
        <v>0</v>
      </c>
      <c r="AQ175" s="50">
        <f t="shared" ca="1" si="125"/>
        <v>0</v>
      </c>
      <c r="AR175" s="50">
        <f t="shared" ca="1" si="126"/>
        <v>0</v>
      </c>
      <c r="AS175" s="50">
        <f t="shared" si="127"/>
        <v>0</v>
      </c>
      <c r="AT175" s="50">
        <f ca="1">(MAX((MAX(AS175,105%*SUM($AJ$7:AJ175))-AM175*Flag_UL_Type),0)*B175)</f>
        <v>0</v>
      </c>
      <c r="AU175" s="50">
        <f ca="1">(MAX(AS175,AR175,105%*SUM($AJ$7:AJ175))*B175)</f>
        <v>0</v>
      </c>
      <c r="AV175" s="125"/>
      <c r="AW175" s="13"/>
      <c r="AX175" s="13"/>
      <c r="AY175" s="13"/>
      <c r="AZ175" s="13"/>
      <c r="BA175" s="13"/>
      <c r="BG175" s="51">
        <f t="shared" si="128"/>
        <v>0</v>
      </c>
      <c r="BH175" s="51">
        <f t="shared" ca="1" si="129"/>
        <v>0</v>
      </c>
      <c r="BI175" s="51">
        <f t="shared" ca="1" si="130"/>
        <v>0</v>
      </c>
      <c r="BJ175" s="51">
        <f t="shared" ca="1" si="131"/>
        <v>0</v>
      </c>
      <c r="BK175" s="51">
        <f t="shared" si="132"/>
        <v>90</v>
      </c>
      <c r="BL175" s="51">
        <f t="shared" ca="1" si="133"/>
        <v>1302.3244158728546</v>
      </c>
      <c r="BM175" s="51">
        <f t="shared" si="134"/>
        <v>0</v>
      </c>
      <c r="BN175" s="51">
        <f t="shared" ca="1" si="135"/>
        <v>0</v>
      </c>
      <c r="BO175" s="51">
        <f t="shared" ca="1" si="136"/>
        <v>0</v>
      </c>
      <c r="BP175" s="51">
        <f t="shared" ca="1" si="137"/>
        <v>1392.3244158728546</v>
      </c>
      <c r="BQ175" s="120"/>
      <c r="BR175" s="32"/>
      <c r="BS175" s="126"/>
      <c r="BT175" s="16"/>
      <c r="BU175" s="58"/>
      <c r="BW175" s="51">
        <f>IF(Input!$C$13="Offline",VLOOKUP(H175,Charges!$AT$4:$AU$33,2,FALSE)*I175,0)</f>
        <v>0</v>
      </c>
      <c r="BX175" s="51">
        <f t="shared" si="138"/>
        <v>0</v>
      </c>
      <c r="BY175" s="51">
        <f t="shared" si="146"/>
        <v>0</v>
      </c>
      <c r="BZ175" s="151"/>
      <c r="CA175" s="151"/>
      <c r="CB175" s="32"/>
      <c r="CC175" s="16">
        <f ca="1">SUM($N$7:$N175)</f>
        <v>0</v>
      </c>
      <c r="CD175" s="16">
        <f t="shared" ca="1" si="139"/>
        <v>0</v>
      </c>
      <c r="CE175" s="16">
        <f t="shared" ca="1" si="140"/>
        <v>0</v>
      </c>
      <c r="CF175" s="7">
        <f t="shared" ca="1" si="141"/>
        <v>0</v>
      </c>
      <c r="CH175" s="7">
        <f t="shared" ca="1" si="142"/>
        <v>0</v>
      </c>
    </row>
    <row r="176" spans="2:86" s="7" customFormat="1" x14ac:dyDescent="0.2">
      <c r="B176" s="14">
        <f t="shared" si="106"/>
        <v>1</v>
      </c>
      <c r="C176" s="12">
        <f t="shared" si="107"/>
        <v>1</v>
      </c>
      <c r="D176" s="17">
        <f t="shared" si="147"/>
        <v>170</v>
      </c>
      <c r="E176" s="17">
        <f t="shared" ca="1" si="108"/>
        <v>74</v>
      </c>
      <c r="F176" s="12">
        <f t="shared" si="149"/>
        <v>1</v>
      </c>
      <c r="G176" s="12">
        <f t="shared" si="148"/>
        <v>29</v>
      </c>
      <c r="H176" s="17">
        <f t="shared" si="150"/>
        <v>15</v>
      </c>
      <c r="I176" s="29">
        <f t="shared" si="109"/>
        <v>0</v>
      </c>
      <c r="J176" s="211">
        <f>IFERROR(VLOOKUP(H176,Charges!$T$6:$U$35,2,0)*C176,0)</f>
        <v>1</v>
      </c>
      <c r="K176" s="29">
        <f t="shared" si="110"/>
        <v>0</v>
      </c>
      <c r="L176" s="29">
        <f t="shared" si="111"/>
        <v>0</v>
      </c>
      <c r="M176" s="147">
        <f t="shared" ca="1" si="112"/>
        <v>0</v>
      </c>
      <c r="N176" s="148">
        <f ca="1">IF(AND(Option_SPW="Y",H176&gt;=Lock_In_Period,Z175&gt;SPW_Amount_pa+IF(option="Single",1/5*pr,2*pr),H176&gt;=SPW_Start_Year,H176&lt;=SPW_Start_Year+SPW_Duration-1,age+H176&gt;=Legal_Age),IF(AND(F176=0,SPW_Payout_Freq=1),SPW_Amount_pa,IF(AND(SPW_Payout_Freq=2,MOD(F176,6)=0),SPW_Amount_pa/SPW_Payout_Freq,IF(AND(SPW_Payout_Freq=4,MOD(F176,3)=0),SPW_Amount_pa/SPW_Payout_Freq,IF(SPW_Payout_Freq=12,SPW_Amount_pa/SPW_Payout_Freq,0)))),0)+IFERROR(VLOOKUP(H176,Input!$B$68:$C$74,2,0),0)*(F176=0)*(Option_PW="Y")*(Option_SPW="N")*(age+H176&gt;=Legal_Age)</f>
        <v>0</v>
      </c>
      <c r="O176" s="148">
        <f t="shared" ca="1" si="113"/>
        <v>0</v>
      </c>
      <c r="P176" s="14">
        <f ca="1">(MAX(MAX(sa-CF175*Flag_UL_Type,105%*SUM($I$7:I176))-(AD175+L176-N176)*Flag_UL_Type,0)*B176)</f>
        <v>0</v>
      </c>
      <c r="Q176" s="213">
        <f t="shared" ca="1" si="114"/>
        <v>0</v>
      </c>
      <c r="R176" s="14">
        <f t="shared" ca="1" si="115"/>
        <v>0</v>
      </c>
      <c r="S176" s="14">
        <f t="shared" ca="1" si="116"/>
        <v>0</v>
      </c>
      <c r="T176" s="14">
        <f>IFERROR(IF(WoP_Flag="Y",IF(fq=1,VLOOKUP(ppt*fq-H176,Charges!$AN$41:$AO$59,2,FALSE),IF(fq=2,VLOOKUP(ppt*fq-G176,Charges!$AP$41:$AQ$79,2,FALSE),VLOOKUP(ppt*fq-D176,Charges!$AR$41:$AS$279,2,FALSE)))*pr/fq,0),0)</f>
        <v>0</v>
      </c>
      <c r="U176" s="14">
        <f t="shared" ca="1" si="117"/>
        <v>0</v>
      </c>
      <c r="V176" s="34">
        <f>ROUND(MIN(IF(H176&gt;=7,Charges!$C$12*(1+Charges!$C$14)^((H176-7+1)),VLOOKUP(H176,Charges!$B$7:$C$12,2,0))*pr,Charges!$C$13)*B176,Round)</f>
        <v>500</v>
      </c>
      <c r="W176" s="14">
        <f t="shared" ca="1" si="118"/>
        <v>6418606.1853123866</v>
      </c>
      <c r="X176" s="14">
        <f t="shared" ca="1" si="119"/>
        <v>6459903.6907729404</v>
      </c>
      <c r="Y176" s="213">
        <f t="shared" ca="1" si="143"/>
        <v>7271.3466404878636</v>
      </c>
      <c r="Z176" s="14">
        <f t="shared" ca="1" si="120"/>
        <v>6451323.5017371643</v>
      </c>
      <c r="AA176" s="14">
        <f>IF(AND($H176=pt,$F176=11),SUM($K$7:K176)*VLOOKUP(pt,ROC,2,FALSE),0)</f>
        <v>0</v>
      </c>
      <c r="AB176" s="14">
        <f>IF(AND($H176=pt,$F176=11),SUM($V$7:V176)*VLOOKUP(pt,ROC,2,FALSE),0)</f>
        <v>0</v>
      </c>
      <c r="AC176" s="14">
        <f>IF(AND($H176=pt,$F176=11),SUM($Q$7:Q176)*VLOOKUP(pt,ROC,2,FALSE),0)</f>
        <v>0</v>
      </c>
      <c r="AD176" s="14">
        <f t="shared" ca="1" si="121"/>
        <v>6451323.5017371643</v>
      </c>
      <c r="AE176" s="14">
        <f ca="1">(MAX(sa-CF175*Flag_UL_Type,105%*SUM($I$7:I176),Z176)+AU176)*B176</f>
        <v>6451323.5017371643</v>
      </c>
      <c r="AF176" s="136"/>
      <c r="AG176" s="18">
        <v>170</v>
      </c>
      <c r="AH176" s="30">
        <f t="shared" ca="1" si="122"/>
        <v>0</v>
      </c>
      <c r="AI176" s="58"/>
      <c r="AJ176" s="50">
        <f>IF(AND(Option_Sys_TopUp&gt;="Y",H176&gt;=sytp,H176&lt;=(dtp+sytp-1),F176=0,H176&lt;=ppt+1),atp,0)+IFERROR(VLOOKUP(H176,Input!$B$55:$C$61,2,0),0)*(F176=0)*(Option_TopUP="Y")*(Option_Sys_TopUp="N")*B176*(pt&gt;=H176+5)</f>
        <v>0</v>
      </c>
      <c r="AK176" s="50">
        <f t="shared" si="123"/>
        <v>0</v>
      </c>
      <c r="AL176" s="50">
        <f t="shared" si="144"/>
        <v>0</v>
      </c>
      <c r="AM176" s="50">
        <f t="shared" ca="1" si="145"/>
        <v>0</v>
      </c>
      <c r="AN176" s="50">
        <f ca="1">IF(B176=0,0,AT176*(_rpm1+(1+_emr1)*VLOOKUP(E176,Tab_Mort_Charge,IF(Input!$C$12="M",2,3),0))*(0.001*0.0833)*Flag_Mort_Rider_Charge*(AT176&gt;0))</f>
        <v>0</v>
      </c>
      <c r="AO176" s="50">
        <f t="shared" ca="1" si="124"/>
        <v>0</v>
      </c>
      <c r="AP176" s="50">
        <f t="shared" ca="1" si="151"/>
        <v>0</v>
      </c>
      <c r="AQ176" s="50">
        <f t="shared" ca="1" si="125"/>
        <v>0</v>
      </c>
      <c r="AR176" s="50">
        <f t="shared" ca="1" si="126"/>
        <v>0</v>
      </c>
      <c r="AS176" s="50">
        <f t="shared" si="127"/>
        <v>0</v>
      </c>
      <c r="AT176" s="50">
        <f ca="1">(MAX((MAX(AS176,105%*SUM($AJ$7:AJ176))-AM176*Flag_UL_Type),0)*B176)</f>
        <v>0</v>
      </c>
      <c r="AU176" s="50">
        <f ca="1">(MAX(AS176,AR176,105%*SUM($AJ$7:AJ176))*B176)</f>
        <v>0</v>
      </c>
      <c r="AV176" s="125"/>
      <c r="AW176" s="13"/>
      <c r="AX176" s="13"/>
      <c r="AY176" s="13"/>
      <c r="AZ176" s="13"/>
      <c r="BA176" s="13"/>
      <c r="BG176" s="51">
        <f t="shared" si="128"/>
        <v>0</v>
      </c>
      <c r="BH176" s="51">
        <f t="shared" ca="1" si="129"/>
        <v>0</v>
      </c>
      <c r="BI176" s="51">
        <f t="shared" ca="1" si="130"/>
        <v>0</v>
      </c>
      <c r="BJ176" s="51">
        <f t="shared" ca="1" si="131"/>
        <v>0</v>
      </c>
      <c r="BK176" s="51">
        <f t="shared" si="132"/>
        <v>90</v>
      </c>
      <c r="BL176" s="51">
        <f t="shared" ca="1" si="133"/>
        <v>1308.8423952878154</v>
      </c>
      <c r="BM176" s="51">
        <f t="shared" si="134"/>
        <v>0</v>
      </c>
      <c r="BN176" s="51">
        <f t="shared" ca="1" si="135"/>
        <v>0</v>
      </c>
      <c r="BO176" s="51">
        <f t="shared" ca="1" si="136"/>
        <v>0</v>
      </c>
      <c r="BP176" s="51">
        <f t="shared" ca="1" si="137"/>
        <v>1398.8423952878154</v>
      </c>
      <c r="BQ176" s="120"/>
      <c r="BR176" s="32"/>
      <c r="BS176" s="126"/>
      <c r="BT176" s="16"/>
      <c r="BU176" s="58"/>
      <c r="BW176" s="51">
        <f>IF(Input!$C$13="Offline",VLOOKUP(H176,Charges!$AT$4:$AU$33,2,FALSE)*I176,0)</f>
        <v>0</v>
      </c>
      <c r="BX176" s="51">
        <f t="shared" si="138"/>
        <v>0</v>
      </c>
      <c r="BY176" s="51">
        <f t="shared" si="146"/>
        <v>0</v>
      </c>
      <c r="BZ176" s="151"/>
      <c r="CA176" s="151"/>
      <c r="CB176" s="32"/>
      <c r="CC176" s="16">
        <f ca="1">SUM($N$7:$N176)</f>
        <v>0</v>
      </c>
      <c r="CD176" s="16">
        <f t="shared" ca="1" si="139"/>
        <v>0</v>
      </c>
      <c r="CE176" s="16">
        <f t="shared" ca="1" si="140"/>
        <v>0</v>
      </c>
      <c r="CF176" s="7">
        <f t="shared" ca="1" si="141"/>
        <v>0</v>
      </c>
      <c r="CH176" s="7">
        <f t="shared" ca="1" si="142"/>
        <v>0</v>
      </c>
    </row>
    <row r="177" spans="2:86" s="7" customFormat="1" x14ac:dyDescent="0.2">
      <c r="B177" s="14">
        <f t="shared" si="106"/>
        <v>1</v>
      </c>
      <c r="C177" s="12">
        <f t="shared" si="107"/>
        <v>1</v>
      </c>
      <c r="D177" s="17">
        <f t="shared" si="147"/>
        <v>171</v>
      </c>
      <c r="E177" s="17">
        <f t="shared" ca="1" si="108"/>
        <v>74</v>
      </c>
      <c r="F177" s="12">
        <f t="shared" si="149"/>
        <v>2</v>
      </c>
      <c r="G177" s="12">
        <f t="shared" si="148"/>
        <v>29</v>
      </c>
      <c r="H177" s="17">
        <f t="shared" si="150"/>
        <v>15</v>
      </c>
      <c r="I177" s="29">
        <f t="shared" si="109"/>
        <v>0</v>
      </c>
      <c r="J177" s="211">
        <f>IFERROR(VLOOKUP(H177,Charges!$T$6:$U$35,2,0)*C177,0)</f>
        <v>1</v>
      </c>
      <c r="K177" s="29">
        <f t="shared" si="110"/>
        <v>0</v>
      </c>
      <c r="L177" s="29">
        <f t="shared" si="111"/>
        <v>0</v>
      </c>
      <c r="M177" s="147">
        <f t="shared" ca="1" si="112"/>
        <v>0</v>
      </c>
      <c r="N177" s="148">
        <f ca="1">IF(AND(Option_SPW="Y",H177&gt;=Lock_In_Period,Z176&gt;SPW_Amount_pa+IF(option="Single",1/5*pr,2*pr),H177&gt;=SPW_Start_Year,H177&lt;=SPW_Start_Year+SPW_Duration-1,age+H177&gt;=Legal_Age),IF(AND(F177=0,SPW_Payout_Freq=1),SPW_Amount_pa,IF(AND(SPW_Payout_Freq=2,MOD(F177,6)=0),SPW_Amount_pa/SPW_Payout_Freq,IF(AND(SPW_Payout_Freq=4,MOD(F177,3)=0),SPW_Amount_pa/SPW_Payout_Freq,IF(SPW_Payout_Freq=12,SPW_Amount_pa/SPW_Payout_Freq,0)))),0)+IFERROR(VLOOKUP(H177,Input!$B$68:$C$74,2,0),0)*(F177=0)*(Option_PW="Y")*(Option_SPW="N")*(age+H177&gt;=Legal_Age)</f>
        <v>0</v>
      </c>
      <c r="O177" s="148">
        <f t="shared" ca="1" si="113"/>
        <v>0</v>
      </c>
      <c r="P177" s="14">
        <f ca="1">(MAX(MAX(sa-CF176*Flag_UL_Type,105%*SUM($I$7:I177))-(AD176+L177-N177)*Flag_UL_Type,0)*B177)</f>
        <v>0</v>
      </c>
      <c r="Q177" s="213">
        <f t="shared" ca="1" si="114"/>
        <v>0</v>
      </c>
      <c r="R177" s="14">
        <f t="shared" ca="1" si="115"/>
        <v>0</v>
      </c>
      <c r="S177" s="14">
        <f t="shared" ca="1" si="116"/>
        <v>0</v>
      </c>
      <c r="T177" s="14">
        <f>IFERROR(IF(WoP_Flag="Y",IF(fq=1,VLOOKUP(ppt*fq-H177,Charges!$AN$41:$AO$59,2,FALSE),IF(fq=2,VLOOKUP(ppt*fq-G177,Charges!$AP$41:$AQ$79,2,FALSE),VLOOKUP(ppt*fq-D177,Charges!$AR$41:$AS$279,2,FALSE)))*pr/fq,0),0)</f>
        <v>0</v>
      </c>
      <c r="U177" s="14">
        <f t="shared" ca="1" si="117"/>
        <v>0</v>
      </c>
      <c r="V177" s="34">
        <f>ROUND(MIN(IF(H177&gt;=7,Charges!$C$12*(1+Charges!$C$14)^((H177-7+1)),VLOOKUP(H177,Charges!$B$7:$C$12,2,0))*pr,Charges!$C$13)*B177,Round)</f>
        <v>500</v>
      </c>
      <c r="W177" s="14">
        <f t="shared" ca="1" si="118"/>
        <v>6450733.5017371643</v>
      </c>
      <c r="X177" s="14">
        <f t="shared" ca="1" si="119"/>
        <v>6492237.715318949</v>
      </c>
      <c r="Y177" s="213">
        <f t="shared" ca="1" si="143"/>
        <v>7307.7422141698507</v>
      </c>
      <c r="Z177" s="14">
        <f t="shared" ca="1" si="120"/>
        <v>6483614.5795062287</v>
      </c>
      <c r="AA177" s="14">
        <f>IF(AND($H177=pt,$F177=11),SUM($K$7:K177)*VLOOKUP(pt,ROC,2,FALSE),0)</f>
        <v>0</v>
      </c>
      <c r="AB177" s="14">
        <f>IF(AND($H177=pt,$F177=11),SUM($V$7:V177)*VLOOKUP(pt,ROC,2,FALSE),0)</f>
        <v>0</v>
      </c>
      <c r="AC177" s="14">
        <f>IF(AND($H177=pt,$F177=11),SUM($Q$7:Q177)*VLOOKUP(pt,ROC,2,FALSE),0)</f>
        <v>0</v>
      </c>
      <c r="AD177" s="14">
        <f t="shared" ca="1" si="121"/>
        <v>6483614.5795062287</v>
      </c>
      <c r="AE177" s="14">
        <f ca="1">(MAX(sa-CF176*Flag_UL_Type,105%*SUM($I$7:I177),Z177)+AU177)*B177</f>
        <v>6483614.5795062287</v>
      </c>
      <c r="AF177" s="136"/>
      <c r="AG177" s="18">
        <v>171</v>
      </c>
      <c r="AH177" s="30">
        <f t="shared" ca="1" si="122"/>
        <v>0</v>
      </c>
      <c r="AI177" s="58"/>
      <c r="AJ177" s="50">
        <f>IF(AND(Option_Sys_TopUp&gt;="Y",H177&gt;=sytp,H177&lt;=(dtp+sytp-1),F177=0,H177&lt;=ppt+1),atp,0)+IFERROR(VLOOKUP(H177,Input!$B$55:$C$61,2,0),0)*(F177=0)*(Option_TopUP="Y")*(Option_Sys_TopUp="N")*B177*(pt&gt;=H177+5)</f>
        <v>0</v>
      </c>
      <c r="AK177" s="50">
        <f t="shared" si="123"/>
        <v>0</v>
      </c>
      <c r="AL177" s="50">
        <f t="shared" si="144"/>
        <v>0</v>
      </c>
      <c r="AM177" s="50">
        <f t="shared" ca="1" si="145"/>
        <v>0</v>
      </c>
      <c r="AN177" s="50">
        <f ca="1">IF(B177=0,0,AT177*(_rpm1+(1+_emr1)*VLOOKUP(E177,Tab_Mort_Charge,IF(Input!$C$12="M",2,3),0))*(0.001*0.0833)*Flag_Mort_Rider_Charge*(AT177&gt;0))</f>
        <v>0</v>
      </c>
      <c r="AO177" s="50">
        <f t="shared" ca="1" si="124"/>
        <v>0</v>
      </c>
      <c r="AP177" s="50">
        <f t="shared" ca="1" si="151"/>
        <v>0</v>
      </c>
      <c r="AQ177" s="50">
        <f t="shared" ca="1" si="125"/>
        <v>0</v>
      </c>
      <c r="AR177" s="50">
        <f t="shared" ca="1" si="126"/>
        <v>0</v>
      </c>
      <c r="AS177" s="50">
        <f t="shared" si="127"/>
        <v>0</v>
      </c>
      <c r="AT177" s="50">
        <f ca="1">(MAX((MAX(AS177,105%*SUM($AJ$7:AJ177))-AM177*Flag_UL_Type),0)*B177)</f>
        <v>0</v>
      </c>
      <c r="AU177" s="50">
        <f ca="1">(MAX(AS177,AR177,105%*SUM($AJ$7:AJ177))*B177)</f>
        <v>0</v>
      </c>
      <c r="AV177" s="125"/>
      <c r="AW177" s="13"/>
      <c r="AX177" s="13"/>
      <c r="AY177" s="13"/>
      <c r="AZ177" s="13"/>
      <c r="BA177" s="13"/>
      <c r="BG177" s="51">
        <f t="shared" si="128"/>
        <v>0</v>
      </c>
      <c r="BH177" s="51">
        <f t="shared" ca="1" si="129"/>
        <v>0</v>
      </c>
      <c r="BI177" s="51">
        <f t="shared" ca="1" si="130"/>
        <v>0</v>
      </c>
      <c r="BJ177" s="51">
        <f t="shared" ca="1" si="131"/>
        <v>0</v>
      </c>
      <c r="BK177" s="51">
        <f t="shared" si="132"/>
        <v>90</v>
      </c>
      <c r="BL177" s="51">
        <f t="shared" ca="1" si="133"/>
        <v>1315.3935985505732</v>
      </c>
      <c r="BM177" s="51">
        <f t="shared" si="134"/>
        <v>0</v>
      </c>
      <c r="BN177" s="51">
        <f t="shared" ca="1" si="135"/>
        <v>0</v>
      </c>
      <c r="BO177" s="51">
        <f t="shared" ca="1" si="136"/>
        <v>0</v>
      </c>
      <c r="BP177" s="51">
        <f t="shared" ca="1" si="137"/>
        <v>1405.3935985505732</v>
      </c>
      <c r="BQ177" s="120"/>
      <c r="BR177" s="32"/>
      <c r="BS177" s="126"/>
      <c r="BT177" s="16"/>
      <c r="BU177" s="58"/>
      <c r="BW177" s="51">
        <f>IF(Input!$C$13="Offline",VLOOKUP(H177,Charges!$AT$4:$AU$33,2,FALSE)*I177,0)</f>
        <v>0</v>
      </c>
      <c r="BX177" s="51">
        <f t="shared" si="138"/>
        <v>0</v>
      </c>
      <c r="BY177" s="51">
        <f t="shared" si="146"/>
        <v>0</v>
      </c>
      <c r="BZ177" s="151"/>
      <c r="CA177" s="151"/>
      <c r="CB177" s="32"/>
      <c r="CC177" s="16">
        <f ca="1">SUM($N$7:$N177)</f>
        <v>0</v>
      </c>
      <c r="CD177" s="16">
        <f t="shared" ca="1" si="139"/>
        <v>0</v>
      </c>
      <c r="CE177" s="16">
        <f t="shared" ca="1" si="140"/>
        <v>0</v>
      </c>
      <c r="CF177" s="7">
        <f t="shared" ca="1" si="141"/>
        <v>0</v>
      </c>
      <c r="CH177" s="7">
        <f t="shared" ca="1" si="142"/>
        <v>0</v>
      </c>
    </row>
    <row r="178" spans="2:86" s="7" customFormat="1" x14ac:dyDescent="0.2">
      <c r="B178" s="14">
        <f t="shared" si="106"/>
        <v>1</v>
      </c>
      <c r="C178" s="12">
        <f t="shared" si="107"/>
        <v>1</v>
      </c>
      <c r="D178" s="17">
        <f t="shared" si="147"/>
        <v>172</v>
      </c>
      <c r="E178" s="17">
        <f t="shared" ca="1" si="108"/>
        <v>74</v>
      </c>
      <c r="F178" s="12">
        <f t="shared" si="149"/>
        <v>3</v>
      </c>
      <c r="G178" s="12">
        <f t="shared" si="148"/>
        <v>29</v>
      </c>
      <c r="H178" s="17">
        <f t="shared" si="150"/>
        <v>15</v>
      </c>
      <c r="I178" s="29">
        <f t="shared" si="109"/>
        <v>0</v>
      </c>
      <c r="J178" s="211">
        <f>IFERROR(VLOOKUP(H178,Charges!$T$6:$U$35,2,0)*C178,0)</f>
        <v>1</v>
      </c>
      <c r="K178" s="29">
        <f t="shared" si="110"/>
        <v>0</v>
      </c>
      <c r="L178" s="29">
        <f t="shared" si="111"/>
        <v>0</v>
      </c>
      <c r="M178" s="147">
        <f t="shared" ca="1" si="112"/>
        <v>0</v>
      </c>
      <c r="N178" s="148">
        <f ca="1">IF(AND(Option_SPW="Y",H178&gt;=Lock_In_Period,Z177&gt;SPW_Amount_pa+IF(option="Single",1/5*pr,2*pr),H178&gt;=SPW_Start_Year,H178&lt;=SPW_Start_Year+SPW_Duration-1,age+H178&gt;=Legal_Age),IF(AND(F178=0,SPW_Payout_Freq=1),SPW_Amount_pa,IF(AND(SPW_Payout_Freq=2,MOD(F178,6)=0),SPW_Amount_pa/SPW_Payout_Freq,IF(AND(SPW_Payout_Freq=4,MOD(F178,3)=0),SPW_Amount_pa/SPW_Payout_Freq,IF(SPW_Payout_Freq=12,SPW_Amount_pa/SPW_Payout_Freq,0)))),0)+IFERROR(VLOOKUP(H178,Input!$B$68:$C$74,2,0),0)*(F178=0)*(Option_PW="Y")*(Option_SPW="N")*(age+H178&gt;=Legal_Age)</f>
        <v>0</v>
      </c>
      <c r="O178" s="148">
        <f t="shared" ca="1" si="113"/>
        <v>0</v>
      </c>
      <c r="P178" s="14">
        <f ca="1">(MAX(MAX(sa-CF177*Flag_UL_Type,105%*SUM($I$7:I178))-(AD177+L178-N178)*Flag_UL_Type,0)*B178)</f>
        <v>0</v>
      </c>
      <c r="Q178" s="213">
        <f t="shared" ca="1" si="114"/>
        <v>0</v>
      </c>
      <c r="R178" s="14">
        <f t="shared" ca="1" si="115"/>
        <v>0</v>
      </c>
      <c r="S178" s="14">
        <f t="shared" ca="1" si="116"/>
        <v>0</v>
      </c>
      <c r="T178" s="14">
        <f>IFERROR(IF(WoP_Flag="Y",IF(fq=1,VLOOKUP(ppt*fq-H178,Charges!$AN$41:$AO$59,2,FALSE),IF(fq=2,VLOOKUP(ppt*fq-G178,Charges!$AP$41:$AQ$79,2,FALSE),VLOOKUP(ppt*fq-D178,Charges!$AR$41:$AS$279,2,FALSE)))*pr/fq,0),0)</f>
        <v>0</v>
      </c>
      <c r="U178" s="14">
        <f t="shared" ca="1" si="117"/>
        <v>0</v>
      </c>
      <c r="V178" s="34">
        <f>ROUND(MIN(IF(H178&gt;=7,Charges!$C$12*(1+Charges!$C$14)^((H178-7+1)),VLOOKUP(H178,Charges!$B$7:$C$12,2,0))*pr,Charges!$C$13)*B178,Round)</f>
        <v>500</v>
      </c>
      <c r="W178" s="14">
        <f t="shared" ca="1" si="118"/>
        <v>6483024.5795062287</v>
      </c>
      <c r="X178" s="14">
        <f t="shared" ca="1" si="119"/>
        <v>6524736.554854664</v>
      </c>
      <c r="Y178" s="213">
        <f t="shared" ca="1" si="143"/>
        <v>7344.3233056209992</v>
      </c>
      <c r="Z178" s="14">
        <f t="shared" ca="1" si="120"/>
        <v>6516070.2533540316</v>
      </c>
      <c r="AA178" s="14">
        <f>IF(AND($H178=pt,$F178=11),SUM($K$7:K178)*VLOOKUP(pt,ROC,2,FALSE),0)</f>
        <v>0</v>
      </c>
      <c r="AB178" s="14">
        <f>IF(AND($H178=pt,$F178=11),SUM($V$7:V178)*VLOOKUP(pt,ROC,2,FALSE),0)</f>
        <v>0</v>
      </c>
      <c r="AC178" s="14">
        <f>IF(AND($H178=pt,$F178=11),SUM($Q$7:Q178)*VLOOKUP(pt,ROC,2,FALSE),0)</f>
        <v>0</v>
      </c>
      <c r="AD178" s="14">
        <f t="shared" ca="1" si="121"/>
        <v>6516070.2533540316</v>
      </c>
      <c r="AE178" s="14">
        <f ca="1">(MAX(sa-CF177*Flag_UL_Type,105%*SUM($I$7:I178),Z178)+AU178)*B178</f>
        <v>6516070.2533540316</v>
      </c>
      <c r="AF178" s="136"/>
      <c r="AG178" s="18">
        <v>172</v>
      </c>
      <c r="AH178" s="30">
        <f t="shared" ca="1" si="122"/>
        <v>0</v>
      </c>
      <c r="AI178" s="58"/>
      <c r="AJ178" s="50">
        <f>IF(AND(Option_Sys_TopUp&gt;="Y",H178&gt;=sytp,H178&lt;=(dtp+sytp-1),F178=0,H178&lt;=ppt+1),atp,0)+IFERROR(VLOOKUP(H178,Input!$B$55:$C$61,2,0),0)*(F178=0)*(Option_TopUP="Y")*(Option_Sys_TopUp="N")*B178*(pt&gt;=H178+5)</f>
        <v>0</v>
      </c>
      <c r="AK178" s="50">
        <f t="shared" si="123"/>
        <v>0</v>
      </c>
      <c r="AL178" s="50">
        <f t="shared" si="144"/>
        <v>0</v>
      </c>
      <c r="AM178" s="50">
        <f t="shared" ca="1" si="145"/>
        <v>0</v>
      </c>
      <c r="AN178" s="50">
        <f ca="1">IF(B178=0,0,AT178*(_rpm1+(1+_emr1)*VLOOKUP(E178,Tab_Mort_Charge,IF(Input!$C$12="M",2,3),0))*(0.001*0.0833)*Flag_Mort_Rider_Charge*(AT178&gt;0))</f>
        <v>0</v>
      </c>
      <c r="AO178" s="50">
        <f t="shared" ca="1" si="124"/>
        <v>0</v>
      </c>
      <c r="AP178" s="50">
        <f t="shared" ca="1" si="151"/>
        <v>0</v>
      </c>
      <c r="AQ178" s="50">
        <f t="shared" ca="1" si="125"/>
        <v>0</v>
      </c>
      <c r="AR178" s="50">
        <f t="shared" ca="1" si="126"/>
        <v>0</v>
      </c>
      <c r="AS178" s="50">
        <f t="shared" si="127"/>
        <v>0</v>
      </c>
      <c r="AT178" s="50">
        <f ca="1">(MAX((MAX(AS178,105%*SUM($AJ$7:AJ178))-AM178*Flag_UL_Type),0)*B178)</f>
        <v>0</v>
      </c>
      <c r="AU178" s="50">
        <f ca="1">(MAX(AS178,AR178,105%*SUM($AJ$7:AJ178))*B178)</f>
        <v>0</v>
      </c>
      <c r="AV178" s="125"/>
      <c r="AW178" s="13"/>
      <c r="AX178" s="13"/>
      <c r="AY178" s="13"/>
      <c r="AZ178" s="13"/>
      <c r="BA178" s="13"/>
      <c r="BG178" s="51">
        <f t="shared" si="128"/>
        <v>0</v>
      </c>
      <c r="BH178" s="51">
        <f t="shared" ca="1" si="129"/>
        <v>0</v>
      </c>
      <c r="BI178" s="51">
        <f t="shared" ca="1" si="130"/>
        <v>0</v>
      </c>
      <c r="BJ178" s="51">
        <f t="shared" ca="1" si="131"/>
        <v>0</v>
      </c>
      <c r="BK178" s="51">
        <f t="shared" si="132"/>
        <v>90</v>
      </c>
      <c r="BL178" s="51">
        <f t="shared" ca="1" si="133"/>
        <v>1321.9781950117799</v>
      </c>
      <c r="BM178" s="51">
        <f t="shared" si="134"/>
        <v>0</v>
      </c>
      <c r="BN178" s="51">
        <f t="shared" ca="1" si="135"/>
        <v>0</v>
      </c>
      <c r="BO178" s="51">
        <f t="shared" ca="1" si="136"/>
        <v>0</v>
      </c>
      <c r="BP178" s="51">
        <f t="shared" ca="1" si="137"/>
        <v>1411.9781950117799</v>
      </c>
      <c r="BQ178" s="120"/>
      <c r="BR178" s="32"/>
      <c r="BS178" s="126"/>
      <c r="BT178" s="16"/>
      <c r="BU178" s="58"/>
      <c r="BW178" s="51">
        <f>IF(Input!$C$13="Offline",VLOOKUP(H178,Charges!$AT$4:$AU$33,2,FALSE)*I178,0)</f>
        <v>0</v>
      </c>
      <c r="BX178" s="51">
        <f t="shared" si="138"/>
        <v>0</v>
      </c>
      <c r="BY178" s="51">
        <f t="shared" si="146"/>
        <v>0</v>
      </c>
      <c r="BZ178" s="151"/>
      <c r="CA178" s="151"/>
      <c r="CB178" s="32"/>
      <c r="CC178" s="16">
        <f ca="1">SUM($N$7:$N178)</f>
        <v>0</v>
      </c>
      <c r="CD178" s="16">
        <f t="shared" ca="1" si="139"/>
        <v>0</v>
      </c>
      <c r="CE178" s="16">
        <f t="shared" ca="1" si="140"/>
        <v>0</v>
      </c>
      <c r="CF178" s="7">
        <f t="shared" ca="1" si="141"/>
        <v>0</v>
      </c>
      <c r="CH178" s="7">
        <f t="shared" ca="1" si="142"/>
        <v>0</v>
      </c>
    </row>
    <row r="179" spans="2:86" s="7" customFormat="1" x14ac:dyDescent="0.2">
      <c r="B179" s="14">
        <f t="shared" si="106"/>
        <v>1</v>
      </c>
      <c r="C179" s="12">
        <f t="shared" si="107"/>
        <v>1</v>
      </c>
      <c r="D179" s="17">
        <f t="shared" si="147"/>
        <v>173</v>
      </c>
      <c r="E179" s="17">
        <f t="shared" ca="1" si="108"/>
        <v>74</v>
      </c>
      <c r="F179" s="12">
        <f t="shared" si="149"/>
        <v>4</v>
      </c>
      <c r="G179" s="12">
        <f t="shared" si="148"/>
        <v>29</v>
      </c>
      <c r="H179" s="17">
        <f t="shared" si="150"/>
        <v>15</v>
      </c>
      <c r="I179" s="29">
        <f t="shared" si="109"/>
        <v>0</v>
      </c>
      <c r="J179" s="211">
        <f>IFERROR(VLOOKUP(H179,Charges!$T$6:$U$35,2,0)*C179,0)</f>
        <v>1</v>
      </c>
      <c r="K179" s="29">
        <f t="shared" si="110"/>
        <v>0</v>
      </c>
      <c r="L179" s="29">
        <f t="shared" si="111"/>
        <v>0</v>
      </c>
      <c r="M179" s="147">
        <f t="shared" ca="1" si="112"/>
        <v>0</v>
      </c>
      <c r="N179" s="148">
        <f ca="1">IF(AND(Option_SPW="Y",H179&gt;=Lock_In_Period,Z178&gt;SPW_Amount_pa+IF(option="Single",1/5*pr,2*pr),H179&gt;=SPW_Start_Year,H179&lt;=SPW_Start_Year+SPW_Duration-1,age+H179&gt;=Legal_Age),IF(AND(F179=0,SPW_Payout_Freq=1),SPW_Amount_pa,IF(AND(SPW_Payout_Freq=2,MOD(F179,6)=0),SPW_Amount_pa/SPW_Payout_Freq,IF(AND(SPW_Payout_Freq=4,MOD(F179,3)=0),SPW_Amount_pa/SPW_Payout_Freq,IF(SPW_Payout_Freq=12,SPW_Amount_pa/SPW_Payout_Freq,0)))),0)+IFERROR(VLOOKUP(H179,Input!$B$68:$C$74,2,0),0)*(F179=0)*(Option_PW="Y")*(Option_SPW="N")*(age+H179&gt;=Legal_Age)</f>
        <v>0</v>
      </c>
      <c r="O179" s="148">
        <f t="shared" ca="1" si="113"/>
        <v>0</v>
      </c>
      <c r="P179" s="14">
        <f ca="1">(MAX(MAX(sa-CF178*Flag_UL_Type,105%*SUM($I$7:I179))-(AD178+L179-N179)*Flag_UL_Type,0)*B179)</f>
        <v>0</v>
      </c>
      <c r="Q179" s="213">
        <f t="shared" ca="1" si="114"/>
        <v>0</v>
      </c>
      <c r="R179" s="14">
        <f t="shared" ca="1" si="115"/>
        <v>0</v>
      </c>
      <c r="S179" s="14">
        <f t="shared" ca="1" si="116"/>
        <v>0</v>
      </c>
      <c r="T179" s="14">
        <f>IFERROR(IF(WoP_Flag="Y",IF(fq=1,VLOOKUP(ppt*fq-H179,Charges!$AN$41:$AO$59,2,FALSE),IF(fq=2,VLOOKUP(ppt*fq-G179,Charges!$AP$41:$AQ$79,2,FALSE),VLOOKUP(ppt*fq-D179,Charges!$AR$41:$AS$279,2,FALSE)))*pr/fq,0),0)</f>
        <v>0</v>
      </c>
      <c r="U179" s="14">
        <f t="shared" ca="1" si="117"/>
        <v>0</v>
      </c>
      <c r="V179" s="34">
        <f>ROUND(MIN(IF(H179&gt;=7,Charges!$C$12*(1+Charges!$C$14)^((H179-7+1)),VLOOKUP(H179,Charges!$B$7:$C$12,2,0))*pr,Charges!$C$13)*B179,Round)</f>
        <v>500</v>
      </c>
      <c r="W179" s="14">
        <f t="shared" ca="1" si="118"/>
        <v>6515480.2533540316</v>
      </c>
      <c r="X179" s="14">
        <f t="shared" ca="1" si="119"/>
        <v>6557401.0494852439</v>
      </c>
      <c r="Y179" s="213">
        <f t="shared" ca="1" si="143"/>
        <v>7381.0908604739543</v>
      </c>
      <c r="Z179" s="14">
        <f t="shared" ca="1" si="120"/>
        <v>6548691.3622698849</v>
      </c>
      <c r="AA179" s="14">
        <f>IF(AND($H179=pt,$F179=11),SUM($K$7:K179)*VLOOKUP(pt,ROC,2,FALSE),0)</f>
        <v>0</v>
      </c>
      <c r="AB179" s="14">
        <f>IF(AND($H179=pt,$F179=11),SUM($V$7:V179)*VLOOKUP(pt,ROC,2,FALSE),0)</f>
        <v>0</v>
      </c>
      <c r="AC179" s="14">
        <f>IF(AND($H179=pt,$F179=11),SUM($Q$7:Q179)*VLOOKUP(pt,ROC,2,FALSE),0)</f>
        <v>0</v>
      </c>
      <c r="AD179" s="14">
        <f t="shared" ca="1" si="121"/>
        <v>6548691.3622698849</v>
      </c>
      <c r="AE179" s="14">
        <f ca="1">(MAX(sa-CF178*Flag_UL_Type,105%*SUM($I$7:I179),Z179)+AU179)*B179</f>
        <v>6548691.3622698849</v>
      </c>
      <c r="AF179" s="136"/>
      <c r="AG179" s="18">
        <v>173</v>
      </c>
      <c r="AH179" s="30">
        <f t="shared" ca="1" si="122"/>
        <v>0</v>
      </c>
      <c r="AI179" s="58"/>
      <c r="AJ179" s="50">
        <f>IF(AND(Option_Sys_TopUp&gt;="Y",H179&gt;=sytp,H179&lt;=(dtp+sytp-1),F179=0,H179&lt;=ppt+1),atp,0)+IFERROR(VLOOKUP(H179,Input!$B$55:$C$61,2,0),0)*(F179=0)*(Option_TopUP="Y")*(Option_Sys_TopUp="N")*B179*(pt&gt;=H179+5)</f>
        <v>0</v>
      </c>
      <c r="AK179" s="50">
        <f t="shared" si="123"/>
        <v>0</v>
      </c>
      <c r="AL179" s="50">
        <f t="shared" si="144"/>
        <v>0</v>
      </c>
      <c r="AM179" s="50">
        <f t="shared" ca="1" si="145"/>
        <v>0</v>
      </c>
      <c r="AN179" s="50">
        <f ca="1">IF(B179=0,0,AT179*(_rpm1+(1+_emr1)*VLOOKUP(E179,Tab_Mort_Charge,IF(Input!$C$12="M",2,3),0))*(0.001*0.0833)*Flag_Mort_Rider_Charge*(AT179&gt;0))</f>
        <v>0</v>
      </c>
      <c r="AO179" s="50">
        <f t="shared" ca="1" si="124"/>
        <v>0</v>
      </c>
      <c r="AP179" s="50">
        <f t="shared" ca="1" si="151"/>
        <v>0</v>
      </c>
      <c r="AQ179" s="50">
        <f t="shared" ca="1" si="125"/>
        <v>0</v>
      </c>
      <c r="AR179" s="50">
        <f t="shared" ca="1" si="126"/>
        <v>0</v>
      </c>
      <c r="AS179" s="50">
        <f t="shared" si="127"/>
        <v>0</v>
      </c>
      <c r="AT179" s="50">
        <f ca="1">(MAX((MAX(AS179,105%*SUM($AJ$7:AJ179))-AM179*Flag_UL_Type),0)*B179)</f>
        <v>0</v>
      </c>
      <c r="AU179" s="50">
        <f ca="1">(MAX(AS179,AR179,105%*SUM($AJ$7:AJ179))*B179)</f>
        <v>0</v>
      </c>
      <c r="AV179" s="125"/>
      <c r="AW179" s="13"/>
      <c r="AX179" s="13"/>
      <c r="AY179" s="13"/>
      <c r="AZ179" s="13"/>
      <c r="BA179" s="13"/>
      <c r="BG179" s="51">
        <f t="shared" si="128"/>
        <v>0</v>
      </c>
      <c r="BH179" s="51">
        <f t="shared" ca="1" si="129"/>
        <v>0</v>
      </c>
      <c r="BI179" s="51">
        <f t="shared" ca="1" si="130"/>
        <v>0</v>
      </c>
      <c r="BJ179" s="51">
        <f t="shared" ca="1" si="131"/>
        <v>0</v>
      </c>
      <c r="BK179" s="51">
        <f t="shared" si="132"/>
        <v>90</v>
      </c>
      <c r="BL179" s="51">
        <f t="shared" ca="1" si="133"/>
        <v>1328.5963548853117</v>
      </c>
      <c r="BM179" s="51">
        <f t="shared" si="134"/>
        <v>0</v>
      </c>
      <c r="BN179" s="51">
        <f t="shared" ca="1" si="135"/>
        <v>0</v>
      </c>
      <c r="BO179" s="51">
        <f t="shared" ca="1" si="136"/>
        <v>0</v>
      </c>
      <c r="BP179" s="51">
        <f t="shared" ca="1" si="137"/>
        <v>1418.5963548853117</v>
      </c>
      <c r="BQ179" s="120"/>
      <c r="BR179" s="32"/>
      <c r="BS179" s="126"/>
      <c r="BT179" s="16"/>
      <c r="BU179" s="58"/>
      <c r="BW179" s="51">
        <f>IF(Input!$C$13="Offline",VLOOKUP(H179,Charges!$AT$4:$AU$33,2,FALSE)*I179,0)</f>
        <v>0</v>
      </c>
      <c r="BX179" s="51">
        <f t="shared" si="138"/>
        <v>0</v>
      </c>
      <c r="BY179" s="51">
        <f t="shared" si="146"/>
        <v>0</v>
      </c>
      <c r="BZ179" s="151"/>
      <c r="CA179" s="151"/>
      <c r="CB179" s="32"/>
      <c r="CC179" s="16">
        <f ca="1">SUM($N$7:$N179)</f>
        <v>0</v>
      </c>
      <c r="CD179" s="16">
        <f t="shared" ca="1" si="139"/>
        <v>0</v>
      </c>
      <c r="CE179" s="16">
        <f t="shared" ca="1" si="140"/>
        <v>0</v>
      </c>
      <c r="CF179" s="7">
        <f t="shared" ca="1" si="141"/>
        <v>0</v>
      </c>
      <c r="CH179" s="7">
        <f t="shared" ca="1" si="142"/>
        <v>0</v>
      </c>
    </row>
    <row r="180" spans="2:86" s="7" customFormat="1" x14ac:dyDescent="0.2">
      <c r="B180" s="14">
        <f t="shared" si="106"/>
        <v>1</v>
      </c>
      <c r="C180" s="12">
        <f t="shared" si="107"/>
        <v>1</v>
      </c>
      <c r="D180" s="17">
        <f t="shared" si="147"/>
        <v>174</v>
      </c>
      <c r="E180" s="17">
        <f t="shared" ca="1" si="108"/>
        <v>74</v>
      </c>
      <c r="F180" s="12">
        <f t="shared" si="149"/>
        <v>5</v>
      </c>
      <c r="G180" s="12">
        <f t="shared" si="148"/>
        <v>29</v>
      </c>
      <c r="H180" s="17">
        <f t="shared" si="150"/>
        <v>15</v>
      </c>
      <c r="I180" s="29">
        <f t="shared" si="109"/>
        <v>0</v>
      </c>
      <c r="J180" s="211">
        <f>IFERROR(VLOOKUP(H180,Charges!$T$6:$U$35,2,0)*C180,0)</f>
        <v>1</v>
      </c>
      <c r="K180" s="29">
        <f t="shared" si="110"/>
        <v>0</v>
      </c>
      <c r="L180" s="29">
        <f t="shared" si="111"/>
        <v>0</v>
      </c>
      <c r="M180" s="147">
        <f t="shared" ca="1" si="112"/>
        <v>0</v>
      </c>
      <c r="N180" s="148">
        <f ca="1">IF(AND(Option_SPW="Y",H180&gt;=Lock_In_Period,Z179&gt;SPW_Amount_pa+IF(option="Single",1/5*pr,2*pr),H180&gt;=SPW_Start_Year,H180&lt;=SPW_Start_Year+SPW_Duration-1,age+H180&gt;=Legal_Age),IF(AND(F180=0,SPW_Payout_Freq=1),SPW_Amount_pa,IF(AND(SPW_Payout_Freq=2,MOD(F180,6)=0),SPW_Amount_pa/SPW_Payout_Freq,IF(AND(SPW_Payout_Freq=4,MOD(F180,3)=0),SPW_Amount_pa/SPW_Payout_Freq,IF(SPW_Payout_Freq=12,SPW_Amount_pa/SPW_Payout_Freq,0)))),0)+IFERROR(VLOOKUP(H180,Input!$B$68:$C$74,2,0),0)*(F180=0)*(Option_PW="Y")*(Option_SPW="N")*(age+H180&gt;=Legal_Age)</f>
        <v>0</v>
      </c>
      <c r="O180" s="148">
        <f t="shared" ca="1" si="113"/>
        <v>0</v>
      </c>
      <c r="P180" s="14">
        <f ca="1">(MAX(MAX(sa-CF179*Flag_UL_Type,105%*SUM($I$7:I180))-(AD179+L180-N180)*Flag_UL_Type,0)*B180)</f>
        <v>0</v>
      </c>
      <c r="Q180" s="213">
        <f t="shared" ca="1" si="114"/>
        <v>0</v>
      </c>
      <c r="R180" s="14">
        <f t="shared" ca="1" si="115"/>
        <v>0</v>
      </c>
      <c r="S180" s="14">
        <f t="shared" ca="1" si="116"/>
        <v>0</v>
      </c>
      <c r="T180" s="14">
        <f>IFERROR(IF(WoP_Flag="Y",IF(fq=1,VLOOKUP(ppt*fq-H180,Charges!$AN$41:$AO$59,2,FALSE),IF(fq=2,VLOOKUP(ppt*fq-G180,Charges!$AP$41:$AQ$79,2,FALSE),VLOOKUP(ppt*fq-D180,Charges!$AR$41:$AS$279,2,FALSE)))*pr/fq,0),0)</f>
        <v>0</v>
      </c>
      <c r="U180" s="14">
        <f t="shared" ca="1" si="117"/>
        <v>0</v>
      </c>
      <c r="V180" s="34">
        <f>ROUND(MIN(IF(H180&gt;=7,Charges!$C$12*(1+Charges!$C$14)^((H180-7+1)),VLOOKUP(H180,Charges!$B$7:$C$12,2,0))*pr,Charges!$C$13)*B180,Round)</f>
        <v>500</v>
      </c>
      <c r="W180" s="14">
        <f t="shared" ca="1" si="118"/>
        <v>6548101.3622698849</v>
      </c>
      <c r="X180" s="14">
        <f t="shared" ca="1" si="119"/>
        <v>6590232.0435980838</v>
      </c>
      <c r="Y180" s="213">
        <f t="shared" ca="1" si="143"/>
        <v>7418.0458291815003</v>
      </c>
      <c r="Z180" s="14">
        <f t="shared" ca="1" si="120"/>
        <v>6581478.7495196499</v>
      </c>
      <c r="AA180" s="14">
        <f>IF(AND($H180=pt,$F180=11),SUM($K$7:K180)*VLOOKUP(pt,ROC,2,FALSE),0)</f>
        <v>0</v>
      </c>
      <c r="AB180" s="14">
        <f>IF(AND($H180=pt,$F180=11),SUM($V$7:V180)*VLOOKUP(pt,ROC,2,FALSE),0)</f>
        <v>0</v>
      </c>
      <c r="AC180" s="14">
        <f>IF(AND($H180=pt,$F180=11),SUM($Q$7:Q180)*VLOOKUP(pt,ROC,2,FALSE),0)</f>
        <v>0</v>
      </c>
      <c r="AD180" s="14">
        <f t="shared" ca="1" si="121"/>
        <v>6581478.7495196499</v>
      </c>
      <c r="AE180" s="14">
        <f ca="1">(MAX(sa-CF179*Flag_UL_Type,105%*SUM($I$7:I180),Z180)+AU180)*B180</f>
        <v>6581478.7495196499</v>
      </c>
      <c r="AF180" s="136"/>
      <c r="AG180" s="18">
        <v>174</v>
      </c>
      <c r="AH180" s="30">
        <f t="shared" ca="1" si="122"/>
        <v>0</v>
      </c>
      <c r="AI180" s="58"/>
      <c r="AJ180" s="50">
        <f>IF(AND(Option_Sys_TopUp&gt;="Y",H180&gt;=sytp,H180&lt;=(dtp+sytp-1),F180=0,H180&lt;=ppt+1),atp,0)+IFERROR(VLOOKUP(H180,Input!$B$55:$C$61,2,0),0)*(F180=0)*(Option_TopUP="Y")*(Option_Sys_TopUp="N")*B180*(pt&gt;=H180+5)</f>
        <v>0</v>
      </c>
      <c r="AK180" s="50">
        <f t="shared" si="123"/>
        <v>0</v>
      </c>
      <c r="AL180" s="50">
        <f t="shared" si="144"/>
        <v>0</v>
      </c>
      <c r="AM180" s="50">
        <f t="shared" ca="1" si="145"/>
        <v>0</v>
      </c>
      <c r="AN180" s="50">
        <f ca="1">IF(B180=0,0,AT180*(_rpm1+(1+_emr1)*VLOOKUP(E180,Tab_Mort_Charge,IF(Input!$C$12="M",2,3),0))*(0.001*0.0833)*Flag_Mort_Rider_Charge*(AT180&gt;0))</f>
        <v>0</v>
      </c>
      <c r="AO180" s="50">
        <f t="shared" ca="1" si="124"/>
        <v>0</v>
      </c>
      <c r="AP180" s="50">
        <f t="shared" ca="1" si="151"/>
        <v>0</v>
      </c>
      <c r="AQ180" s="50">
        <f t="shared" ca="1" si="125"/>
        <v>0</v>
      </c>
      <c r="AR180" s="50">
        <f t="shared" ca="1" si="126"/>
        <v>0</v>
      </c>
      <c r="AS180" s="50">
        <f t="shared" si="127"/>
        <v>0</v>
      </c>
      <c r="AT180" s="50">
        <f ca="1">(MAX((MAX(AS180,105%*SUM($AJ$7:AJ180))-AM180*Flag_UL_Type),0)*B180)</f>
        <v>0</v>
      </c>
      <c r="AU180" s="50">
        <f ca="1">(MAX(AS180,AR180,105%*SUM($AJ$7:AJ180))*B180)</f>
        <v>0</v>
      </c>
      <c r="AV180" s="125"/>
      <c r="AW180" s="13"/>
      <c r="AX180" s="13"/>
      <c r="AY180" s="13"/>
      <c r="AZ180" s="13"/>
      <c r="BA180" s="13"/>
      <c r="BG180" s="51">
        <f t="shared" si="128"/>
        <v>0</v>
      </c>
      <c r="BH180" s="51">
        <f t="shared" ca="1" si="129"/>
        <v>0</v>
      </c>
      <c r="BI180" s="51">
        <f t="shared" ca="1" si="130"/>
        <v>0</v>
      </c>
      <c r="BJ180" s="51">
        <f t="shared" ca="1" si="131"/>
        <v>0</v>
      </c>
      <c r="BK180" s="51">
        <f t="shared" si="132"/>
        <v>90</v>
      </c>
      <c r="BL180" s="51">
        <f t="shared" ca="1" si="133"/>
        <v>1335.2482492526699</v>
      </c>
      <c r="BM180" s="51">
        <f t="shared" si="134"/>
        <v>0</v>
      </c>
      <c r="BN180" s="51">
        <f t="shared" ca="1" si="135"/>
        <v>0</v>
      </c>
      <c r="BO180" s="51">
        <f t="shared" ca="1" si="136"/>
        <v>0</v>
      </c>
      <c r="BP180" s="51">
        <f t="shared" ca="1" si="137"/>
        <v>1425.2482492526699</v>
      </c>
      <c r="BQ180" s="120"/>
      <c r="BR180" s="32"/>
      <c r="BS180" s="126"/>
      <c r="BT180" s="16"/>
      <c r="BU180" s="58"/>
      <c r="BW180" s="51">
        <f>IF(Input!$C$13="Offline",VLOOKUP(H180,Charges!$AT$4:$AU$33,2,FALSE)*I180,0)</f>
        <v>0</v>
      </c>
      <c r="BX180" s="51">
        <f t="shared" si="138"/>
        <v>0</v>
      </c>
      <c r="BY180" s="51">
        <f t="shared" si="146"/>
        <v>0</v>
      </c>
      <c r="BZ180" s="151"/>
      <c r="CA180" s="151"/>
      <c r="CB180" s="32"/>
      <c r="CC180" s="16">
        <f ca="1">SUM($N$7:$N180)</f>
        <v>0</v>
      </c>
      <c r="CD180" s="16">
        <f t="shared" ca="1" si="139"/>
        <v>0</v>
      </c>
      <c r="CE180" s="16">
        <f t="shared" ca="1" si="140"/>
        <v>0</v>
      </c>
      <c r="CF180" s="7">
        <f t="shared" ca="1" si="141"/>
        <v>0</v>
      </c>
      <c r="CH180" s="7">
        <f t="shared" ca="1" si="142"/>
        <v>0</v>
      </c>
    </row>
    <row r="181" spans="2:86" s="7" customFormat="1" x14ac:dyDescent="0.2">
      <c r="B181" s="14">
        <f t="shared" si="106"/>
        <v>1</v>
      </c>
      <c r="C181" s="12">
        <f t="shared" si="107"/>
        <v>1</v>
      </c>
      <c r="D181" s="17">
        <f t="shared" si="147"/>
        <v>175</v>
      </c>
      <c r="E181" s="17">
        <f t="shared" ca="1" si="108"/>
        <v>74</v>
      </c>
      <c r="F181" s="12">
        <f t="shared" si="149"/>
        <v>6</v>
      </c>
      <c r="G181" s="12">
        <f t="shared" si="148"/>
        <v>30</v>
      </c>
      <c r="H181" s="17">
        <f t="shared" si="150"/>
        <v>15</v>
      </c>
      <c r="I181" s="29">
        <f t="shared" si="109"/>
        <v>0</v>
      </c>
      <c r="J181" s="211">
        <f>IFERROR(VLOOKUP(H181,Charges!$T$6:$U$35,2,0)*C181,0)</f>
        <v>1</v>
      </c>
      <c r="K181" s="29">
        <f t="shared" si="110"/>
        <v>0</v>
      </c>
      <c r="L181" s="29">
        <f t="shared" si="111"/>
        <v>0</v>
      </c>
      <c r="M181" s="147">
        <f t="shared" ca="1" si="112"/>
        <v>0</v>
      </c>
      <c r="N181" s="148">
        <f ca="1">IF(AND(Option_SPW="Y",H181&gt;=Lock_In_Period,Z180&gt;SPW_Amount_pa+IF(option="Single",1/5*pr,2*pr),H181&gt;=SPW_Start_Year,H181&lt;=SPW_Start_Year+SPW_Duration-1,age+H181&gt;=Legal_Age),IF(AND(F181=0,SPW_Payout_Freq=1),SPW_Amount_pa,IF(AND(SPW_Payout_Freq=2,MOD(F181,6)=0),SPW_Amount_pa/SPW_Payout_Freq,IF(AND(SPW_Payout_Freq=4,MOD(F181,3)=0),SPW_Amount_pa/SPW_Payout_Freq,IF(SPW_Payout_Freq=12,SPW_Amount_pa/SPW_Payout_Freq,0)))),0)+IFERROR(VLOOKUP(H181,Input!$B$68:$C$74,2,0),0)*(F181=0)*(Option_PW="Y")*(Option_SPW="N")*(age+H181&gt;=Legal_Age)</f>
        <v>0</v>
      </c>
      <c r="O181" s="148">
        <f t="shared" ca="1" si="113"/>
        <v>0</v>
      </c>
      <c r="P181" s="14">
        <f ca="1">(MAX(MAX(sa-CF180*Flag_UL_Type,105%*SUM($I$7:I181))-(AD180+L181-N181)*Flag_UL_Type,0)*B181)</f>
        <v>0</v>
      </c>
      <c r="Q181" s="213">
        <f t="shared" ca="1" si="114"/>
        <v>0</v>
      </c>
      <c r="R181" s="14">
        <f t="shared" ca="1" si="115"/>
        <v>0</v>
      </c>
      <c r="S181" s="14">
        <f t="shared" ca="1" si="116"/>
        <v>0</v>
      </c>
      <c r="T181" s="14">
        <f>IFERROR(IF(WoP_Flag="Y",IF(fq=1,VLOOKUP(ppt*fq-H181,Charges!$AN$41:$AO$59,2,FALSE),IF(fq=2,VLOOKUP(ppt*fq-G181,Charges!$AP$41:$AQ$79,2,FALSE),VLOOKUP(ppt*fq-D181,Charges!$AR$41:$AS$279,2,FALSE)))*pr/fq,0),0)</f>
        <v>0</v>
      </c>
      <c r="U181" s="14">
        <f t="shared" ca="1" si="117"/>
        <v>0</v>
      </c>
      <c r="V181" s="34">
        <f>ROUND(MIN(IF(H181&gt;=7,Charges!$C$12*(1+Charges!$C$14)^((H181-7+1)),VLOOKUP(H181,Charges!$B$7:$C$12,2,0))*pr,Charges!$C$13)*B181,Round)</f>
        <v>500</v>
      </c>
      <c r="W181" s="14">
        <f t="shared" ca="1" si="118"/>
        <v>6580888.7495196499</v>
      </c>
      <c r="X181" s="14">
        <f t="shared" ca="1" si="119"/>
        <v>6623230.3858846426</v>
      </c>
      <c r="Y181" s="213">
        <f t="shared" ca="1" si="143"/>
        <v>7455.1891670411287</v>
      </c>
      <c r="Z181" s="14">
        <f t="shared" ca="1" si="120"/>
        <v>6614433.2626675339</v>
      </c>
      <c r="AA181" s="14">
        <f>IF(AND($H181=pt,$F181=11),SUM($K$7:K181)*VLOOKUP(pt,ROC,2,FALSE),0)</f>
        <v>0</v>
      </c>
      <c r="AB181" s="14">
        <f>IF(AND($H181=pt,$F181=11),SUM($V$7:V181)*VLOOKUP(pt,ROC,2,FALSE),0)</f>
        <v>0</v>
      </c>
      <c r="AC181" s="14">
        <f>IF(AND($H181=pt,$F181=11),SUM($Q$7:Q181)*VLOOKUP(pt,ROC,2,FALSE),0)</f>
        <v>0</v>
      </c>
      <c r="AD181" s="14">
        <f t="shared" ca="1" si="121"/>
        <v>6614433.2626675339</v>
      </c>
      <c r="AE181" s="14">
        <f ca="1">(MAX(sa-CF180*Flag_UL_Type,105%*SUM($I$7:I181),Z181)+AU181)*B181</f>
        <v>6614433.2626675339</v>
      </c>
      <c r="AF181" s="136"/>
      <c r="AG181" s="18">
        <v>175</v>
      </c>
      <c r="AH181" s="30">
        <f t="shared" ca="1" si="122"/>
        <v>0</v>
      </c>
      <c r="AI181" s="58"/>
      <c r="AJ181" s="50">
        <f>IF(AND(Option_Sys_TopUp&gt;="Y",H181&gt;=sytp,H181&lt;=(dtp+sytp-1),F181=0,H181&lt;=ppt+1),atp,0)+IFERROR(VLOOKUP(H181,Input!$B$55:$C$61,2,0),0)*(F181=0)*(Option_TopUP="Y")*(Option_Sys_TopUp="N")*B181*(pt&gt;=H181+5)</f>
        <v>0</v>
      </c>
      <c r="AK181" s="50">
        <f t="shared" si="123"/>
        <v>0</v>
      </c>
      <c r="AL181" s="50">
        <f t="shared" si="144"/>
        <v>0</v>
      </c>
      <c r="AM181" s="50">
        <f t="shared" ca="1" si="145"/>
        <v>0</v>
      </c>
      <c r="AN181" s="50">
        <f ca="1">IF(B181=0,0,AT181*(_rpm1+(1+_emr1)*VLOOKUP(E181,Tab_Mort_Charge,IF(Input!$C$12="M",2,3),0))*(0.001*0.0833)*Flag_Mort_Rider_Charge*(AT181&gt;0))</f>
        <v>0</v>
      </c>
      <c r="AO181" s="50">
        <f t="shared" ca="1" si="124"/>
        <v>0</v>
      </c>
      <c r="AP181" s="50">
        <f t="shared" ca="1" si="151"/>
        <v>0</v>
      </c>
      <c r="AQ181" s="50">
        <f t="shared" ca="1" si="125"/>
        <v>0</v>
      </c>
      <c r="AR181" s="50">
        <f t="shared" ca="1" si="126"/>
        <v>0</v>
      </c>
      <c r="AS181" s="50">
        <f t="shared" si="127"/>
        <v>0</v>
      </c>
      <c r="AT181" s="50">
        <f ca="1">(MAX((MAX(AS181,105%*SUM($AJ$7:AJ181))-AM181*Flag_UL_Type),0)*B181)</f>
        <v>0</v>
      </c>
      <c r="AU181" s="50">
        <f ca="1">(MAX(AS181,AR181,105%*SUM($AJ$7:AJ181))*B181)</f>
        <v>0</v>
      </c>
      <c r="AV181" s="125"/>
      <c r="AW181" s="13"/>
      <c r="AX181" s="13"/>
      <c r="AY181" s="13"/>
      <c r="AZ181" s="13"/>
      <c r="BA181" s="13"/>
      <c r="BG181" s="51">
        <f t="shared" si="128"/>
        <v>0</v>
      </c>
      <c r="BH181" s="51">
        <f t="shared" ca="1" si="129"/>
        <v>0</v>
      </c>
      <c r="BI181" s="51">
        <f t="shared" ca="1" si="130"/>
        <v>0</v>
      </c>
      <c r="BJ181" s="51">
        <f t="shared" ca="1" si="131"/>
        <v>0</v>
      </c>
      <c r="BK181" s="51">
        <f t="shared" si="132"/>
        <v>90</v>
      </c>
      <c r="BL181" s="51">
        <f t="shared" ca="1" si="133"/>
        <v>1341.9340500674032</v>
      </c>
      <c r="BM181" s="51">
        <f t="shared" si="134"/>
        <v>0</v>
      </c>
      <c r="BN181" s="51">
        <f t="shared" ca="1" si="135"/>
        <v>0</v>
      </c>
      <c r="BO181" s="51">
        <f t="shared" ca="1" si="136"/>
        <v>0</v>
      </c>
      <c r="BP181" s="51">
        <f t="shared" ca="1" si="137"/>
        <v>1431.9340500674032</v>
      </c>
      <c r="BQ181" s="120"/>
      <c r="BR181" s="32"/>
      <c r="BS181" s="126"/>
      <c r="BT181" s="16"/>
      <c r="BU181" s="58"/>
      <c r="BW181" s="51">
        <f>IF(Input!$C$13="Offline",VLOOKUP(H181,Charges!$AT$4:$AU$33,2,FALSE)*I181,0)</f>
        <v>0</v>
      </c>
      <c r="BX181" s="51">
        <f t="shared" si="138"/>
        <v>0</v>
      </c>
      <c r="BY181" s="51">
        <f t="shared" si="146"/>
        <v>0</v>
      </c>
      <c r="BZ181" s="151"/>
      <c r="CA181" s="151"/>
      <c r="CB181" s="32"/>
      <c r="CC181" s="16">
        <f ca="1">SUM($N$7:$N181)</f>
        <v>0</v>
      </c>
      <c r="CD181" s="16">
        <f t="shared" ca="1" si="139"/>
        <v>0</v>
      </c>
      <c r="CE181" s="16">
        <f t="shared" ca="1" si="140"/>
        <v>0</v>
      </c>
      <c r="CF181" s="7">
        <f t="shared" ca="1" si="141"/>
        <v>0</v>
      </c>
      <c r="CH181" s="7">
        <f t="shared" ca="1" si="142"/>
        <v>0</v>
      </c>
    </row>
    <row r="182" spans="2:86" s="7" customFormat="1" x14ac:dyDescent="0.2">
      <c r="B182" s="14">
        <f t="shared" si="106"/>
        <v>1</v>
      </c>
      <c r="C182" s="12">
        <f t="shared" si="107"/>
        <v>1</v>
      </c>
      <c r="D182" s="17">
        <f t="shared" si="147"/>
        <v>176</v>
      </c>
      <c r="E182" s="17">
        <f t="shared" ca="1" si="108"/>
        <v>74</v>
      </c>
      <c r="F182" s="12">
        <f t="shared" si="149"/>
        <v>7</v>
      </c>
      <c r="G182" s="12">
        <f t="shared" si="148"/>
        <v>30</v>
      </c>
      <c r="H182" s="17">
        <f t="shared" si="150"/>
        <v>15</v>
      </c>
      <c r="I182" s="29">
        <f t="shared" si="109"/>
        <v>0</v>
      </c>
      <c r="J182" s="211">
        <f>IFERROR(VLOOKUP(H182,Charges!$T$6:$U$35,2,0)*C182,0)</f>
        <v>1</v>
      </c>
      <c r="K182" s="29">
        <f t="shared" si="110"/>
        <v>0</v>
      </c>
      <c r="L182" s="29">
        <f t="shared" si="111"/>
        <v>0</v>
      </c>
      <c r="M182" s="147">
        <f t="shared" ca="1" si="112"/>
        <v>0</v>
      </c>
      <c r="N182" s="148">
        <f ca="1">IF(AND(Option_SPW="Y",H182&gt;=Lock_In_Period,Z181&gt;SPW_Amount_pa+IF(option="Single",1/5*pr,2*pr),H182&gt;=SPW_Start_Year,H182&lt;=SPW_Start_Year+SPW_Duration-1,age+H182&gt;=Legal_Age),IF(AND(F182=0,SPW_Payout_Freq=1),SPW_Amount_pa,IF(AND(SPW_Payout_Freq=2,MOD(F182,6)=0),SPW_Amount_pa/SPW_Payout_Freq,IF(AND(SPW_Payout_Freq=4,MOD(F182,3)=0),SPW_Amount_pa/SPW_Payout_Freq,IF(SPW_Payout_Freq=12,SPW_Amount_pa/SPW_Payout_Freq,0)))),0)+IFERROR(VLOOKUP(H182,Input!$B$68:$C$74,2,0),0)*(F182=0)*(Option_PW="Y")*(Option_SPW="N")*(age+H182&gt;=Legal_Age)</f>
        <v>0</v>
      </c>
      <c r="O182" s="148">
        <f t="shared" ca="1" si="113"/>
        <v>0</v>
      </c>
      <c r="P182" s="14">
        <f ca="1">(MAX(MAX(sa-CF181*Flag_UL_Type,105%*SUM($I$7:I182))-(AD181+L182-N182)*Flag_UL_Type,0)*B182)</f>
        <v>0</v>
      </c>
      <c r="Q182" s="213">
        <f t="shared" ca="1" si="114"/>
        <v>0</v>
      </c>
      <c r="R182" s="14">
        <f t="shared" ca="1" si="115"/>
        <v>0</v>
      </c>
      <c r="S182" s="14">
        <f t="shared" ca="1" si="116"/>
        <v>0</v>
      </c>
      <c r="T182" s="14">
        <f>IFERROR(IF(WoP_Flag="Y",IF(fq=1,VLOOKUP(ppt*fq-H182,Charges!$AN$41:$AO$59,2,FALSE),IF(fq=2,VLOOKUP(ppt*fq-G182,Charges!$AP$41:$AQ$79,2,FALSE),VLOOKUP(ppt*fq-D182,Charges!$AR$41:$AS$279,2,FALSE)))*pr/fq,0),0)</f>
        <v>0</v>
      </c>
      <c r="U182" s="14">
        <f t="shared" ca="1" si="117"/>
        <v>0</v>
      </c>
      <c r="V182" s="34">
        <f>ROUND(MIN(IF(H182&gt;=7,Charges!$C$12*(1+Charges!$C$14)^((H182-7+1)),VLOOKUP(H182,Charges!$B$7:$C$12,2,0))*pr,Charges!$C$13)*B182,Round)</f>
        <v>500</v>
      </c>
      <c r="W182" s="14">
        <f t="shared" ca="1" si="118"/>
        <v>6613843.2626675339</v>
      </c>
      <c r="X182" s="14">
        <f t="shared" ca="1" si="119"/>
        <v>6656396.9293623799</v>
      </c>
      <c r="Y182" s="213">
        <f t="shared" ca="1" si="143"/>
        <v>7492.5218342197295</v>
      </c>
      <c r="Z182" s="14">
        <f t="shared" ca="1" si="120"/>
        <v>6647555.7535980009</v>
      </c>
      <c r="AA182" s="14">
        <f>IF(AND($H182=pt,$F182=11),SUM($K$7:K182)*VLOOKUP(pt,ROC,2,FALSE),0)</f>
        <v>0</v>
      </c>
      <c r="AB182" s="14">
        <f>IF(AND($H182=pt,$F182=11),SUM($V$7:V182)*VLOOKUP(pt,ROC,2,FALSE),0)</f>
        <v>0</v>
      </c>
      <c r="AC182" s="14">
        <f>IF(AND($H182=pt,$F182=11),SUM($Q$7:Q182)*VLOOKUP(pt,ROC,2,FALSE),0)</f>
        <v>0</v>
      </c>
      <c r="AD182" s="14">
        <f t="shared" ca="1" si="121"/>
        <v>6647555.7535980009</v>
      </c>
      <c r="AE182" s="14">
        <f ca="1">(MAX(sa-CF181*Flag_UL_Type,105%*SUM($I$7:I182),Z182)+AU182)*B182</f>
        <v>6647555.7535980009</v>
      </c>
      <c r="AF182" s="136"/>
      <c r="AG182" s="18">
        <v>176</v>
      </c>
      <c r="AH182" s="30">
        <f t="shared" ca="1" si="122"/>
        <v>0</v>
      </c>
      <c r="AI182" s="58"/>
      <c r="AJ182" s="50">
        <f>IF(AND(Option_Sys_TopUp&gt;="Y",H182&gt;=sytp,H182&lt;=(dtp+sytp-1),F182=0,H182&lt;=ppt+1),atp,0)+IFERROR(VLOOKUP(H182,Input!$B$55:$C$61,2,0),0)*(F182=0)*(Option_TopUP="Y")*(Option_Sys_TopUp="N")*B182*(pt&gt;=H182+5)</f>
        <v>0</v>
      </c>
      <c r="AK182" s="50">
        <f t="shared" si="123"/>
        <v>0</v>
      </c>
      <c r="AL182" s="50">
        <f t="shared" si="144"/>
        <v>0</v>
      </c>
      <c r="AM182" s="50">
        <f t="shared" ca="1" si="145"/>
        <v>0</v>
      </c>
      <c r="AN182" s="50">
        <f ca="1">IF(B182=0,0,AT182*(_rpm1+(1+_emr1)*VLOOKUP(E182,Tab_Mort_Charge,IF(Input!$C$12="M",2,3),0))*(0.001*0.0833)*Flag_Mort_Rider_Charge*(AT182&gt;0))</f>
        <v>0</v>
      </c>
      <c r="AO182" s="50">
        <f t="shared" ca="1" si="124"/>
        <v>0</v>
      </c>
      <c r="AP182" s="50">
        <f t="shared" ca="1" si="151"/>
        <v>0</v>
      </c>
      <c r="AQ182" s="50">
        <f t="shared" ca="1" si="125"/>
        <v>0</v>
      </c>
      <c r="AR182" s="50">
        <f t="shared" ca="1" si="126"/>
        <v>0</v>
      </c>
      <c r="AS182" s="50">
        <f t="shared" si="127"/>
        <v>0</v>
      </c>
      <c r="AT182" s="50">
        <f ca="1">(MAX((MAX(AS182,105%*SUM($AJ$7:AJ182))-AM182*Flag_UL_Type),0)*B182)</f>
        <v>0</v>
      </c>
      <c r="AU182" s="50">
        <f ca="1">(MAX(AS182,AR182,105%*SUM($AJ$7:AJ182))*B182)</f>
        <v>0</v>
      </c>
      <c r="AV182" s="125"/>
      <c r="AW182" s="13"/>
      <c r="AX182" s="13"/>
      <c r="AY182" s="13"/>
      <c r="AZ182" s="13"/>
      <c r="BA182" s="13"/>
      <c r="BG182" s="51">
        <f t="shared" si="128"/>
        <v>0</v>
      </c>
      <c r="BH182" s="51">
        <f t="shared" ca="1" si="129"/>
        <v>0</v>
      </c>
      <c r="BI182" s="51">
        <f t="shared" ca="1" si="130"/>
        <v>0</v>
      </c>
      <c r="BJ182" s="51">
        <f t="shared" ca="1" si="131"/>
        <v>0</v>
      </c>
      <c r="BK182" s="51">
        <f t="shared" si="132"/>
        <v>90</v>
      </c>
      <c r="BL182" s="51">
        <f t="shared" ca="1" si="133"/>
        <v>1348.6539301595512</v>
      </c>
      <c r="BM182" s="51">
        <f t="shared" si="134"/>
        <v>0</v>
      </c>
      <c r="BN182" s="51">
        <f t="shared" ca="1" si="135"/>
        <v>0</v>
      </c>
      <c r="BO182" s="51">
        <f t="shared" ca="1" si="136"/>
        <v>0</v>
      </c>
      <c r="BP182" s="51">
        <f t="shared" ca="1" si="137"/>
        <v>1438.6539301595512</v>
      </c>
      <c r="BQ182" s="120"/>
      <c r="BR182" s="32"/>
      <c r="BS182" s="126"/>
      <c r="BT182" s="16"/>
      <c r="BU182" s="58"/>
      <c r="BW182" s="51">
        <f>IF(Input!$C$13="Offline",VLOOKUP(H182,Charges!$AT$4:$AU$33,2,FALSE)*I182,0)</f>
        <v>0</v>
      </c>
      <c r="BX182" s="51">
        <f t="shared" si="138"/>
        <v>0</v>
      </c>
      <c r="BY182" s="51">
        <f t="shared" si="146"/>
        <v>0</v>
      </c>
      <c r="BZ182" s="151"/>
      <c r="CA182" s="151"/>
      <c r="CB182" s="32"/>
      <c r="CC182" s="16">
        <f ca="1">SUM($N$7:$N182)</f>
        <v>0</v>
      </c>
      <c r="CD182" s="16">
        <f t="shared" ca="1" si="139"/>
        <v>0</v>
      </c>
      <c r="CE182" s="16">
        <f t="shared" ca="1" si="140"/>
        <v>0</v>
      </c>
      <c r="CF182" s="7">
        <f t="shared" ca="1" si="141"/>
        <v>0</v>
      </c>
      <c r="CH182" s="7">
        <f t="shared" ca="1" si="142"/>
        <v>0</v>
      </c>
    </row>
    <row r="183" spans="2:86" s="7" customFormat="1" x14ac:dyDescent="0.2">
      <c r="B183" s="14">
        <f t="shared" si="106"/>
        <v>1</v>
      </c>
      <c r="C183" s="12">
        <f t="shared" si="107"/>
        <v>1</v>
      </c>
      <c r="D183" s="17">
        <f t="shared" si="147"/>
        <v>177</v>
      </c>
      <c r="E183" s="17">
        <f t="shared" ca="1" si="108"/>
        <v>74</v>
      </c>
      <c r="F183" s="12">
        <f t="shared" si="149"/>
        <v>8</v>
      </c>
      <c r="G183" s="12">
        <f t="shared" si="148"/>
        <v>30</v>
      </c>
      <c r="H183" s="17">
        <f t="shared" si="150"/>
        <v>15</v>
      </c>
      <c r="I183" s="29">
        <f t="shared" si="109"/>
        <v>0</v>
      </c>
      <c r="J183" s="211">
        <f>IFERROR(VLOOKUP(H183,Charges!$T$6:$U$35,2,0)*C183,0)</f>
        <v>1</v>
      </c>
      <c r="K183" s="29">
        <f t="shared" si="110"/>
        <v>0</v>
      </c>
      <c r="L183" s="29">
        <f t="shared" si="111"/>
        <v>0</v>
      </c>
      <c r="M183" s="147">
        <f t="shared" ca="1" si="112"/>
        <v>0</v>
      </c>
      <c r="N183" s="148">
        <f ca="1">IF(AND(Option_SPW="Y",H183&gt;=Lock_In_Period,Z182&gt;SPW_Amount_pa+IF(option="Single",1/5*pr,2*pr),H183&gt;=SPW_Start_Year,H183&lt;=SPW_Start_Year+SPW_Duration-1,age+H183&gt;=Legal_Age),IF(AND(F183=0,SPW_Payout_Freq=1),SPW_Amount_pa,IF(AND(SPW_Payout_Freq=2,MOD(F183,6)=0),SPW_Amount_pa/SPW_Payout_Freq,IF(AND(SPW_Payout_Freq=4,MOD(F183,3)=0),SPW_Amount_pa/SPW_Payout_Freq,IF(SPW_Payout_Freq=12,SPW_Amount_pa/SPW_Payout_Freq,0)))),0)+IFERROR(VLOOKUP(H183,Input!$B$68:$C$74,2,0),0)*(F183=0)*(Option_PW="Y")*(Option_SPW="N")*(age+H183&gt;=Legal_Age)</f>
        <v>0</v>
      </c>
      <c r="O183" s="148">
        <f t="shared" ca="1" si="113"/>
        <v>0</v>
      </c>
      <c r="P183" s="14">
        <f ca="1">(MAX(MAX(sa-CF182*Flag_UL_Type,105%*SUM($I$7:I183))-(AD182+L183-N183)*Flag_UL_Type,0)*B183)</f>
        <v>0</v>
      </c>
      <c r="Q183" s="213">
        <f t="shared" ca="1" si="114"/>
        <v>0</v>
      </c>
      <c r="R183" s="14">
        <f t="shared" ca="1" si="115"/>
        <v>0</v>
      </c>
      <c r="S183" s="14">
        <f t="shared" ca="1" si="116"/>
        <v>0</v>
      </c>
      <c r="T183" s="14">
        <f>IFERROR(IF(WoP_Flag="Y",IF(fq=1,VLOOKUP(ppt*fq-H183,Charges!$AN$41:$AO$59,2,FALSE),IF(fq=2,VLOOKUP(ppt*fq-G183,Charges!$AP$41:$AQ$79,2,FALSE),VLOOKUP(ppt*fq-D183,Charges!$AR$41:$AS$279,2,FALSE)))*pr/fq,0),0)</f>
        <v>0</v>
      </c>
      <c r="U183" s="14">
        <f t="shared" ca="1" si="117"/>
        <v>0</v>
      </c>
      <c r="V183" s="34">
        <f>ROUND(MIN(IF(H183&gt;=7,Charges!$C$12*(1+Charges!$C$14)^((H183-7+1)),VLOOKUP(H183,Charges!$B$7:$C$12,2,0))*pr,Charges!$C$13)*B183,Round)</f>
        <v>500</v>
      </c>
      <c r="W183" s="14">
        <f t="shared" ca="1" si="118"/>
        <v>6646965.7535980009</v>
      </c>
      <c r="X183" s="14">
        <f t="shared" ca="1" si="119"/>
        <v>6689732.5313968118</v>
      </c>
      <c r="Y183" s="213">
        <f t="shared" ca="1" si="143"/>
        <v>7530.0447957784181</v>
      </c>
      <c r="Z183" s="14">
        <f t="shared" ca="1" si="120"/>
        <v>6680847.0785377929</v>
      </c>
      <c r="AA183" s="14">
        <f>IF(AND($H183=pt,$F183=11),SUM($K$7:K183)*VLOOKUP(pt,ROC,2,FALSE),0)</f>
        <v>0</v>
      </c>
      <c r="AB183" s="14">
        <f>IF(AND($H183=pt,$F183=11),SUM($V$7:V183)*VLOOKUP(pt,ROC,2,FALSE),0)</f>
        <v>0</v>
      </c>
      <c r="AC183" s="14">
        <f>IF(AND($H183=pt,$F183=11),SUM($Q$7:Q183)*VLOOKUP(pt,ROC,2,FALSE),0)</f>
        <v>0</v>
      </c>
      <c r="AD183" s="14">
        <f t="shared" ca="1" si="121"/>
        <v>6680847.0785377929</v>
      </c>
      <c r="AE183" s="14">
        <f ca="1">(MAX(sa-CF182*Flag_UL_Type,105%*SUM($I$7:I183),Z183)+AU183)*B183</f>
        <v>6680847.0785377929</v>
      </c>
      <c r="AF183" s="136"/>
      <c r="AG183" s="18">
        <v>177</v>
      </c>
      <c r="AH183" s="30">
        <f t="shared" ca="1" si="122"/>
        <v>0</v>
      </c>
      <c r="AI183" s="58"/>
      <c r="AJ183" s="50">
        <f>IF(AND(Option_Sys_TopUp&gt;="Y",H183&gt;=sytp,H183&lt;=(dtp+sytp-1),F183=0,H183&lt;=ppt+1),atp,0)+IFERROR(VLOOKUP(H183,Input!$B$55:$C$61,2,0),0)*(F183=0)*(Option_TopUP="Y")*(Option_Sys_TopUp="N")*B183*(pt&gt;=H183+5)</f>
        <v>0</v>
      </c>
      <c r="AK183" s="50">
        <f t="shared" si="123"/>
        <v>0</v>
      </c>
      <c r="AL183" s="50">
        <f t="shared" si="144"/>
        <v>0</v>
      </c>
      <c r="AM183" s="50">
        <f t="shared" ca="1" si="145"/>
        <v>0</v>
      </c>
      <c r="AN183" s="50">
        <f ca="1">IF(B183=0,0,AT183*(_rpm1+(1+_emr1)*VLOOKUP(E183,Tab_Mort_Charge,IF(Input!$C$12="M",2,3),0))*(0.001*0.0833)*Flag_Mort_Rider_Charge*(AT183&gt;0))</f>
        <v>0</v>
      </c>
      <c r="AO183" s="50">
        <f t="shared" ca="1" si="124"/>
        <v>0</v>
      </c>
      <c r="AP183" s="50">
        <f t="shared" ca="1" si="151"/>
        <v>0</v>
      </c>
      <c r="AQ183" s="50">
        <f t="shared" ca="1" si="125"/>
        <v>0</v>
      </c>
      <c r="AR183" s="50">
        <f t="shared" ca="1" si="126"/>
        <v>0</v>
      </c>
      <c r="AS183" s="50">
        <f t="shared" si="127"/>
        <v>0</v>
      </c>
      <c r="AT183" s="50">
        <f ca="1">(MAX((MAX(AS183,105%*SUM($AJ$7:AJ183))-AM183*Flag_UL_Type),0)*B183)</f>
        <v>0</v>
      </c>
      <c r="AU183" s="50">
        <f ca="1">(MAX(AS183,AR183,105%*SUM($AJ$7:AJ183))*B183)</f>
        <v>0</v>
      </c>
      <c r="AV183" s="125"/>
      <c r="AW183" s="13"/>
      <c r="AX183" s="13"/>
      <c r="AY183" s="13"/>
      <c r="AZ183" s="13"/>
      <c r="BA183" s="13"/>
      <c r="BG183" s="51">
        <f t="shared" si="128"/>
        <v>0</v>
      </c>
      <c r="BH183" s="51">
        <f t="shared" ca="1" si="129"/>
        <v>0</v>
      </c>
      <c r="BI183" s="51">
        <f t="shared" ca="1" si="130"/>
        <v>0</v>
      </c>
      <c r="BJ183" s="51">
        <f t="shared" ca="1" si="131"/>
        <v>0</v>
      </c>
      <c r="BK183" s="51">
        <f t="shared" si="132"/>
        <v>90</v>
      </c>
      <c r="BL183" s="51">
        <f t="shared" ca="1" si="133"/>
        <v>1355.4080632401151</v>
      </c>
      <c r="BM183" s="51">
        <f t="shared" si="134"/>
        <v>0</v>
      </c>
      <c r="BN183" s="51">
        <f t="shared" ca="1" si="135"/>
        <v>0</v>
      </c>
      <c r="BO183" s="51">
        <f t="shared" ca="1" si="136"/>
        <v>0</v>
      </c>
      <c r="BP183" s="51">
        <f t="shared" ca="1" si="137"/>
        <v>1445.4080632401151</v>
      </c>
      <c r="BQ183" s="120"/>
      <c r="BR183" s="32"/>
      <c r="BS183" s="126"/>
      <c r="BT183" s="16"/>
      <c r="BU183" s="58"/>
      <c r="BW183" s="51">
        <f>IF(Input!$C$13="Offline",VLOOKUP(H183,Charges!$AT$4:$AU$33,2,FALSE)*I183,0)</f>
        <v>0</v>
      </c>
      <c r="BX183" s="51">
        <f t="shared" si="138"/>
        <v>0</v>
      </c>
      <c r="BY183" s="51">
        <f t="shared" si="146"/>
        <v>0</v>
      </c>
      <c r="BZ183" s="151"/>
      <c r="CA183" s="151"/>
      <c r="CB183" s="32"/>
      <c r="CC183" s="16">
        <f ca="1">SUM($N$7:$N183)</f>
        <v>0</v>
      </c>
      <c r="CD183" s="16">
        <f t="shared" ca="1" si="139"/>
        <v>0</v>
      </c>
      <c r="CE183" s="16">
        <f t="shared" ca="1" si="140"/>
        <v>0</v>
      </c>
      <c r="CF183" s="7">
        <f t="shared" ca="1" si="141"/>
        <v>0</v>
      </c>
      <c r="CH183" s="7">
        <f t="shared" ca="1" si="142"/>
        <v>0</v>
      </c>
    </row>
    <row r="184" spans="2:86" s="7" customFormat="1" x14ac:dyDescent="0.2">
      <c r="B184" s="14">
        <f t="shared" si="106"/>
        <v>1</v>
      </c>
      <c r="C184" s="12">
        <f t="shared" si="107"/>
        <v>1</v>
      </c>
      <c r="D184" s="17">
        <f t="shared" si="147"/>
        <v>178</v>
      </c>
      <c r="E184" s="17">
        <f t="shared" ca="1" si="108"/>
        <v>74</v>
      </c>
      <c r="F184" s="12">
        <f t="shared" si="149"/>
        <v>9</v>
      </c>
      <c r="G184" s="12">
        <f t="shared" si="148"/>
        <v>30</v>
      </c>
      <c r="H184" s="17">
        <f t="shared" si="150"/>
        <v>15</v>
      </c>
      <c r="I184" s="29">
        <f t="shared" si="109"/>
        <v>0</v>
      </c>
      <c r="J184" s="211">
        <f>IFERROR(VLOOKUP(H184,Charges!$T$6:$U$35,2,0)*C184,0)</f>
        <v>1</v>
      </c>
      <c r="K184" s="29">
        <f t="shared" si="110"/>
        <v>0</v>
      </c>
      <c r="L184" s="29">
        <f t="shared" si="111"/>
        <v>0</v>
      </c>
      <c r="M184" s="147">
        <f t="shared" ca="1" si="112"/>
        <v>0</v>
      </c>
      <c r="N184" s="148">
        <f ca="1">IF(AND(Option_SPW="Y",H184&gt;=Lock_In_Period,Z183&gt;SPW_Amount_pa+IF(option="Single",1/5*pr,2*pr),H184&gt;=SPW_Start_Year,H184&lt;=SPW_Start_Year+SPW_Duration-1,age+H184&gt;=Legal_Age),IF(AND(F184=0,SPW_Payout_Freq=1),SPW_Amount_pa,IF(AND(SPW_Payout_Freq=2,MOD(F184,6)=0),SPW_Amount_pa/SPW_Payout_Freq,IF(AND(SPW_Payout_Freq=4,MOD(F184,3)=0),SPW_Amount_pa/SPW_Payout_Freq,IF(SPW_Payout_Freq=12,SPW_Amount_pa/SPW_Payout_Freq,0)))),0)+IFERROR(VLOOKUP(H184,Input!$B$68:$C$74,2,0),0)*(F184=0)*(Option_PW="Y")*(Option_SPW="N")*(age+H184&gt;=Legal_Age)</f>
        <v>0</v>
      </c>
      <c r="O184" s="148">
        <f t="shared" ca="1" si="113"/>
        <v>0</v>
      </c>
      <c r="P184" s="14">
        <f ca="1">(MAX(MAX(sa-CF183*Flag_UL_Type,105%*SUM($I$7:I184))-(AD183+L184-N184)*Flag_UL_Type,0)*B184)</f>
        <v>0</v>
      </c>
      <c r="Q184" s="213">
        <f t="shared" ca="1" si="114"/>
        <v>0</v>
      </c>
      <c r="R184" s="14">
        <f t="shared" ca="1" si="115"/>
        <v>0</v>
      </c>
      <c r="S184" s="14">
        <f t="shared" ca="1" si="116"/>
        <v>0</v>
      </c>
      <c r="T184" s="14">
        <f>IFERROR(IF(WoP_Flag="Y",IF(fq=1,VLOOKUP(ppt*fq-H184,Charges!$AN$41:$AO$59,2,FALSE),IF(fq=2,VLOOKUP(ppt*fq-G184,Charges!$AP$41:$AQ$79,2,FALSE),VLOOKUP(ppt*fq-D184,Charges!$AR$41:$AS$279,2,FALSE)))*pr/fq,0),0)</f>
        <v>0</v>
      </c>
      <c r="U184" s="14">
        <f t="shared" ca="1" si="117"/>
        <v>0</v>
      </c>
      <c r="V184" s="34">
        <f>ROUND(MIN(IF(H184&gt;=7,Charges!$C$12*(1+Charges!$C$14)^((H184-7+1)),VLOOKUP(H184,Charges!$B$7:$C$12,2,0))*pr,Charges!$C$13)*B184,Round)</f>
        <v>500</v>
      </c>
      <c r="W184" s="14">
        <f t="shared" ca="1" si="118"/>
        <v>6680257.0785377929</v>
      </c>
      <c r="X184" s="14">
        <f t="shared" ca="1" si="119"/>
        <v>6723238.0537236687</v>
      </c>
      <c r="Y184" s="213">
        <f t="shared" ca="1" si="143"/>
        <v>7567.7590216974786</v>
      </c>
      <c r="Z184" s="14">
        <f t="shared" ca="1" si="120"/>
        <v>6714308.0980780656</v>
      </c>
      <c r="AA184" s="14">
        <f>IF(AND($H184=pt,$F184=11),SUM($K$7:K184)*VLOOKUP(pt,ROC,2,FALSE),0)</f>
        <v>0</v>
      </c>
      <c r="AB184" s="14">
        <f>IF(AND($H184=pt,$F184=11),SUM($V$7:V184)*VLOOKUP(pt,ROC,2,FALSE),0)</f>
        <v>0</v>
      </c>
      <c r="AC184" s="14">
        <f>IF(AND($H184=pt,$F184=11),SUM($Q$7:Q184)*VLOOKUP(pt,ROC,2,FALSE),0)</f>
        <v>0</v>
      </c>
      <c r="AD184" s="14">
        <f t="shared" ca="1" si="121"/>
        <v>6714308.0980780656</v>
      </c>
      <c r="AE184" s="14">
        <f ca="1">(MAX(sa-CF183*Flag_UL_Type,105%*SUM($I$7:I184),Z184)+AU184)*B184</f>
        <v>6714308.0980780656</v>
      </c>
      <c r="AF184" s="136"/>
      <c r="AG184" s="18">
        <v>178</v>
      </c>
      <c r="AH184" s="30">
        <f t="shared" ca="1" si="122"/>
        <v>0</v>
      </c>
      <c r="AI184" s="58"/>
      <c r="AJ184" s="50">
        <f>IF(AND(Option_Sys_TopUp&gt;="Y",H184&gt;=sytp,H184&lt;=(dtp+sytp-1),F184=0,H184&lt;=ppt+1),atp,0)+IFERROR(VLOOKUP(H184,Input!$B$55:$C$61,2,0),0)*(F184=0)*(Option_TopUP="Y")*(Option_Sys_TopUp="N")*B184*(pt&gt;=H184+5)</f>
        <v>0</v>
      </c>
      <c r="AK184" s="50">
        <f t="shared" si="123"/>
        <v>0</v>
      </c>
      <c r="AL184" s="50">
        <f t="shared" si="144"/>
        <v>0</v>
      </c>
      <c r="AM184" s="50">
        <f t="shared" ca="1" si="145"/>
        <v>0</v>
      </c>
      <c r="AN184" s="50">
        <f ca="1">IF(B184=0,0,AT184*(_rpm1+(1+_emr1)*VLOOKUP(E184,Tab_Mort_Charge,IF(Input!$C$12="M",2,3),0))*(0.001*0.0833)*Flag_Mort_Rider_Charge*(AT184&gt;0))</f>
        <v>0</v>
      </c>
      <c r="AO184" s="50">
        <f t="shared" ca="1" si="124"/>
        <v>0</v>
      </c>
      <c r="AP184" s="50">
        <f t="shared" ca="1" si="151"/>
        <v>0</v>
      </c>
      <c r="AQ184" s="50">
        <f t="shared" ca="1" si="125"/>
        <v>0</v>
      </c>
      <c r="AR184" s="50">
        <f t="shared" ca="1" si="126"/>
        <v>0</v>
      </c>
      <c r="AS184" s="50">
        <f t="shared" si="127"/>
        <v>0</v>
      </c>
      <c r="AT184" s="50">
        <f ca="1">(MAX((MAX(AS184,105%*SUM($AJ$7:AJ184))-AM184*Flag_UL_Type),0)*B184)</f>
        <v>0</v>
      </c>
      <c r="AU184" s="50">
        <f ca="1">(MAX(AS184,AR184,105%*SUM($AJ$7:AJ184))*B184)</f>
        <v>0</v>
      </c>
      <c r="AV184" s="125"/>
      <c r="AW184" s="13"/>
      <c r="AX184" s="13"/>
      <c r="AY184" s="13"/>
      <c r="AZ184" s="13"/>
      <c r="BA184" s="13"/>
      <c r="BG184" s="51">
        <f t="shared" si="128"/>
        <v>0</v>
      </c>
      <c r="BH184" s="51">
        <f t="shared" ca="1" si="129"/>
        <v>0</v>
      </c>
      <c r="BI184" s="51">
        <f t="shared" ca="1" si="130"/>
        <v>0</v>
      </c>
      <c r="BJ184" s="51">
        <f t="shared" ca="1" si="131"/>
        <v>0</v>
      </c>
      <c r="BK184" s="51">
        <f t="shared" si="132"/>
        <v>90</v>
      </c>
      <c r="BL184" s="51">
        <f t="shared" ca="1" si="133"/>
        <v>1362.1966239055462</v>
      </c>
      <c r="BM184" s="51">
        <f t="shared" si="134"/>
        <v>0</v>
      </c>
      <c r="BN184" s="51">
        <f t="shared" ca="1" si="135"/>
        <v>0</v>
      </c>
      <c r="BO184" s="51">
        <f t="shared" ca="1" si="136"/>
        <v>0</v>
      </c>
      <c r="BP184" s="51">
        <f t="shared" ca="1" si="137"/>
        <v>1452.1966239055462</v>
      </c>
      <c r="BQ184" s="120"/>
      <c r="BR184" s="32"/>
      <c r="BS184" s="126"/>
      <c r="BT184" s="16"/>
      <c r="BU184" s="58"/>
      <c r="BW184" s="51">
        <f>IF(Input!$C$13="Offline",VLOOKUP(H184,Charges!$AT$4:$AU$33,2,FALSE)*I184,0)</f>
        <v>0</v>
      </c>
      <c r="BX184" s="51">
        <f t="shared" si="138"/>
        <v>0</v>
      </c>
      <c r="BY184" s="51">
        <f t="shared" si="146"/>
        <v>0</v>
      </c>
      <c r="BZ184" s="151"/>
      <c r="CA184" s="151"/>
      <c r="CB184" s="32"/>
      <c r="CC184" s="16">
        <f ca="1">SUM($N$7:$N184)</f>
        <v>0</v>
      </c>
      <c r="CD184" s="16">
        <f t="shared" ca="1" si="139"/>
        <v>0</v>
      </c>
      <c r="CE184" s="16">
        <f t="shared" ca="1" si="140"/>
        <v>0</v>
      </c>
      <c r="CF184" s="7">
        <f t="shared" ca="1" si="141"/>
        <v>0</v>
      </c>
      <c r="CH184" s="7">
        <f t="shared" ca="1" si="142"/>
        <v>0</v>
      </c>
    </row>
    <row r="185" spans="2:86" s="7" customFormat="1" x14ac:dyDescent="0.2">
      <c r="B185" s="14">
        <f t="shared" si="106"/>
        <v>1</v>
      </c>
      <c r="C185" s="12">
        <f t="shared" si="107"/>
        <v>1</v>
      </c>
      <c r="D185" s="17">
        <f t="shared" si="147"/>
        <v>179</v>
      </c>
      <c r="E185" s="17">
        <f t="shared" ca="1" si="108"/>
        <v>74</v>
      </c>
      <c r="F185" s="12">
        <f t="shared" si="149"/>
        <v>10</v>
      </c>
      <c r="G185" s="12">
        <f t="shared" si="148"/>
        <v>30</v>
      </c>
      <c r="H185" s="17">
        <f t="shared" si="150"/>
        <v>15</v>
      </c>
      <c r="I185" s="29">
        <f t="shared" si="109"/>
        <v>0</v>
      </c>
      <c r="J185" s="211">
        <f>IFERROR(VLOOKUP(H185,Charges!$T$6:$U$35,2,0)*C185,0)</f>
        <v>1</v>
      </c>
      <c r="K185" s="29">
        <f t="shared" si="110"/>
        <v>0</v>
      </c>
      <c r="L185" s="29">
        <f t="shared" si="111"/>
        <v>0</v>
      </c>
      <c r="M185" s="147">
        <f t="shared" ca="1" si="112"/>
        <v>0</v>
      </c>
      <c r="N185" s="148">
        <f ca="1">IF(AND(Option_SPW="Y",H185&gt;=Lock_In_Period,Z184&gt;SPW_Amount_pa+IF(option="Single",1/5*pr,2*pr),H185&gt;=SPW_Start_Year,H185&lt;=SPW_Start_Year+SPW_Duration-1,age+H185&gt;=Legal_Age),IF(AND(F185=0,SPW_Payout_Freq=1),SPW_Amount_pa,IF(AND(SPW_Payout_Freq=2,MOD(F185,6)=0),SPW_Amount_pa/SPW_Payout_Freq,IF(AND(SPW_Payout_Freq=4,MOD(F185,3)=0),SPW_Amount_pa/SPW_Payout_Freq,IF(SPW_Payout_Freq=12,SPW_Amount_pa/SPW_Payout_Freq,0)))),0)+IFERROR(VLOOKUP(H185,Input!$B$68:$C$74,2,0),0)*(F185=0)*(Option_PW="Y")*(Option_SPW="N")*(age+H185&gt;=Legal_Age)</f>
        <v>0</v>
      </c>
      <c r="O185" s="148">
        <f t="shared" ca="1" si="113"/>
        <v>0</v>
      </c>
      <c r="P185" s="14">
        <f ca="1">(MAX(MAX(sa-CF184*Flag_UL_Type,105%*SUM($I$7:I185))-(AD184+L185-N185)*Flag_UL_Type,0)*B185)</f>
        <v>0</v>
      </c>
      <c r="Q185" s="213">
        <f t="shared" ca="1" si="114"/>
        <v>0</v>
      </c>
      <c r="R185" s="14">
        <f t="shared" ca="1" si="115"/>
        <v>0</v>
      </c>
      <c r="S185" s="14">
        <f t="shared" ca="1" si="116"/>
        <v>0</v>
      </c>
      <c r="T185" s="14">
        <f>IFERROR(IF(WoP_Flag="Y",IF(fq=1,VLOOKUP(ppt*fq-H185,Charges!$AN$41:$AO$59,2,FALSE),IF(fq=2,VLOOKUP(ppt*fq-G185,Charges!$AP$41:$AQ$79,2,FALSE),VLOOKUP(ppt*fq-D185,Charges!$AR$41:$AS$279,2,FALSE)))*pr/fq,0),0)</f>
        <v>0</v>
      </c>
      <c r="U185" s="14">
        <f t="shared" ca="1" si="117"/>
        <v>0</v>
      </c>
      <c r="V185" s="34">
        <f>ROUND(MIN(IF(H185&gt;=7,Charges!$C$12*(1+Charges!$C$14)^((H185-7+1)),VLOOKUP(H185,Charges!$B$7:$C$12,2,0))*pr,Charges!$C$13)*B185,Round)</f>
        <v>500</v>
      </c>
      <c r="W185" s="14">
        <f t="shared" ca="1" si="118"/>
        <v>6713718.0980780656</v>
      </c>
      <c r="X185" s="14">
        <f t="shared" ca="1" si="119"/>
        <v>6756914.3624711744</v>
      </c>
      <c r="Y185" s="213">
        <f t="shared" ca="1" si="143"/>
        <v>7605.6654869014374</v>
      </c>
      <c r="Z185" s="14">
        <f t="shared" ca="1" si="120"/>
        <v>6747939.6771966312</v>
      </c>
      <c r="AA185" s="14">
        <f>IF(AND($H185=pt,$F185=11),SUM($K$7:K185)*VLOOKUP(pt,ROC,2,FALSE),0)</f>
        <v>0</v>
      </c>
      <c r="AB185" s="14">
        <f>IF(AND($H185=pt,$F185=11),SUM($V$7:V185)*VLOOKUP(pt,ROC,2,FALSE),0)</f>
        <v>0</v>
      </c>
      <c r="AC185" s="14">
        <f>IF(AND($H185=pt,$F185=11),SUM($Q$7:Q185)*VLOOKUP(pt,ROC,2,FALSE),0)</f>
        <v>0</v>
      </c>
      <c r="AD185" s="14">
        <f t="shared" ca="1" si="121"/>
        <v>6747939.6771966312</v>
      </c>
      <c r="AE185" s="14">
        <f ca="1">(MAX(sa-CF184*Flag_UL_Type,105%*SUM($I$7:I185),Z185)+AU185)*B185</f>
        <v>6747939.6771966312</v>
      </c>
      <c r="AF185" s="136"/>
      <c r="AG185" s="18">
        <v>179</v>
      </c>
      <c r="AH185" s="30">
        <f t="shared" ca="1" si="122"/>
        <v>0</v>
      </c>
      <c r="AI185" s="58"/>
      <c r="AJ185" s="50">
        <f>IF(AND(Option_Sys_TopUp&gt;="Y",H185&gt;=sytp,H185&lt;=(dtp+sytp-1),F185=0,H185&lt;=ppt+1),atp,0)+IFERROR(VLOOKUP(H185,Input!$B$55:$C$61,2,0),0)*(F185=0)*(Option_TopUP="Y")*(Option_Sys_TopUp="N")*B185*(pt&gt;=H185+5)</f>
        <v>0</v>
      </c>
      <c r="AK185" s="50">
        <f t="shared" si="123"/>
        <v>0</v>
      </c>
      <c r="AL185" s="50">
        <f t="shared" si="144"/>
        <v>0</v>
      </c>
      <c r="AM185" s="50">
        <f t="shared" ca="1" si="145"/>
        <v>0</v>
      </c>
      <c r="AN185" s="50">
        <f ca="1">IF(B185=0,0,AT185*(_rpm1+(1+_emr1)*VLOOKUP(E185,Tab_Mort_Charge,IF(Input!$C$12="M",2,3),0))*(0.001*0.0833)*Flag_Mort_Rider_Charge*(AT185&gt;0))</f>
        <v>0</v>
      </c>
      <c r="AO185" s="50">
        <f t="shared" ca="1" si="124"/>
        <v>0</v>
      </c>
      <c r="AP185" s="50">
        <f t="shared" ca="1" si="151"/>
        <v>0</v>
      </c>
      <c r="AQ185" s="50">
        <f t="shared" ca="1" si="125"/>
        <v>0</v>
      </c>
      <c r="AR185" s="50">
        <f t="shared" ca="1" si="126"/>
        <v>0</v>
      </c>
      <c r="AS185" s="50">
        <f t="shared" si="127"/>
        <v>0</v>
      </c>
      <c r="AT185" s="50">
        <f ca="1">(MAX((MAX(AS185,105%*SUM($AJ$7:AJ185))-AM185*Flag_UL_Type),0)*B185)</f>
        <v>0</v>
      </c>
      <c r="AU185" s="50">
        <f ca="1">(MAX(AS185,AR185,105%*SUM($AJ$7:AJ185))*B185)</f>
        <v>0</v>
      </c>
      <c r="AV185" s="125"/>
      <c r="AW185" s="13"/>
      <c r="AX185" s="13"/>
      <c r="AY185" s="13"/>
      <c r="AZ185" s="13"/>
      <c r="BA185" s="13"/>
      <c r="BG185" s="51">
        <f t="shared" si="128"/>
        <v>0</v>
      </c>
      <c r="BH185" s="51">
        <f t="shared" ca="1" si="129"/>
        <v>0</v>
      </c>
      <c r="BI185" s="51">
        <f t="shared" ca="1" si="130"/>
        <v>0</v>
      </c>
      <c r="BJ185" s="51">
        <f t="shared" ca="1" si="131"/>
        <v>0</v>
      </c>
      <c r="BK185" s="51">
        <f t="shared" si="132"/>
        <v>90</v>
      </c>
      <c r="BL185" s="51">
        <f t="shared" ca="1" si="133"/>
        <v>1369.0197876422587</v>
      </c>
      <c r="BM185" s="51">
        <f t="shared" si="134"/>
        <v>0</v>
      </c>
      <c r="BN185" s="51">
        <f t="shared" ca="1" si="135"/>
        <v>0</v>
      </c>
      <c r="BO185" s="51">
        <f t="shared" ca="1" si="136"/>
        <v>0</v>
      </c>
      <c r="BP185" s="51">
        <f t="shared" ca="1" si="137"/>
        <v>1459.0197876422587</v>
      </c>
      <c r="BQ185" s="120"/>
      <c r="BR185" s="32"/>
      <c r="BS185" s="126"/>
      <c r="BT185" s="16"/>
      <c r="BU185" s="58"/>
      <c r="BW185" s="51">
        <f>IF(Input!$C$13="Offline",VLOOKUP(H185,Charges!$AT$4:$AU$33,2,FALSE)*I185,0)</f>
        <v>0</v>
      </c>
      <c r="BX185" s="51">
        <f t="shared" si="138"/>
        <v>0</v>
      </c>
      <c r="BY185" s="51">
        <f t="shared" si="146"/>
        <v>0</v>
      </c>
      <c r="BZ185" s="151"/>
      <c r="CA185" s="151"/>
      <c r="CB185" s="32"/>
      <c r="CC185" s="16">
        <f ca="1">SUM($N$7:$N185)</f>
        <v>0</v>
      </c>
      <c r="CD185" s="16">
        <f t="shared" ca="1" si="139"/>
        <v>0</v>
      </c>
      <c r="CE185" s="16">
        <f t="shared" ca="1" si="140"/>
        <v>0</v>
      </c>
      <c r="CF185" s="7">
        <f t="shared" ca="1" si="141"/>
        <v>0</v>
      </c>
      <c r="CH185" s="7">
        <f t="shared" ca="1" si="142"/>
        <v>0</v>
      </c>
    </row>
    <row r="186" spans="2:86" s="7" customFormat="1" x14ac:dyDescent="0.2">
      <c r="B186" s="14">
        <f t="shared" si="106"/>
        <v>1</v>
      </c>
      <c r="C186" s="12">
        <f t="shared" si="107"/>
        <v>1</v>
      </c>
      <c r="D186" s="17">
        <f t="shared" si="147"/>
        <v>180</v>
      </c>
      <c r="E186" s="17">
        <f t="shared" ca="1" si="108"/>
        <v>74</v>
      </c>
      <c r="F186" s="12">
        <f t="shared" si="149"/>
        <v>11</v>
      </c>
      <c r="G186" s="12">
        <f t="shared" si="148"/>
        <v>30</v>
      </c>
      <c r="H186" s="17">
        <f t="shared" si="150"/>
        <v>15</v>
      </c>
      <c r="I186" s="29">
        <f t="shared" si="109"/>
        <v>0</v>
      </c>
      <c r="J186" s="211">
        <f>IFERROR(VLOOKUP(H186,Charges!$T$6:$U$35,2,0)*C186,0)</f>
        <v>1</v>
      </c>
      <c r="K186" s="29">
        <f t="shared" si="110"/>
        <v>0</v>
      </c>
      <c r="L186" s="29">
        <f t="shared" si="111"/>
        <v>0</v>
      </c>
      <c r="M186" s="147">
        <f t="shared" ca="1" si="112"/>
        <v>0</v>
      </c>
      <c r="N186" s="148">
        <f ca="1">IF(AND(Option_SPW="Y",H186&gt;=Lock_In_Period,Z185&gt;SPW_Amount_pa+IF(option="Single",1/5*pr,2*pr),H186&gt;=SPW_Start_Year,H186&lt;=SPW_Start_Year+SPW_Duration-1,age+H186&gt;=Legal_Age),IF(AND(F186=0,SPW_Payout_Freq=1),SPW_Amount_pa,IF(AND(SPW_Payout_Freq=2,MOD(F186,6)=0),SPW_Amount_pa/SPW_Payout_Freq,IF(AND(SPW_Payout_Freq=4,MOD(F186,3)=0),SPW_Amount_pa/SPW_Payout_Freq,IF(SPW_Payout_Freq=12,SPW_Amount_pa/SPW_Payout_Freq,0)))),0)+IFERROR(VLOOKUP(H186,Input!$B$68:$C$74,2,0),0)*(F186=0)*(Option_PW="Y")*(Option_SPW="N")*(age+H186&gt;=Legal_Age)</f>
        <v>0</v>
      </c>
      <c r="O186" s="148">
        <f t="shared" ca="1" si="113"/>
        <v>0</v>
      </c>
      <c r="P186" s="14">
        <f ca="1">(MAX(MAX(sa-CF185*Flag_UL_Type,105%*SUM($I$7:I186))-(AD185+L186-N186)*Flag_UL_Type,0)*B186)</f>
        <v>0</v>
      </c>
      <c r="Q186" s="213">
        <f t="shared" ca="1" si="114"/>
        <v>0</v>
      </c>
      <c r="R186" s="14">
        <f t="shared" ca="1" si="115"/>
        <v>0</v>
      </c>
      <c r="S186" s="14">
        <f t="shared" ca="1" si="116"/>
        <v>0</v>
      </c>
      <c r="T186" s="14">
        <f>IFERROR(IF(WoP_Flag="Y",IF(fq=1,VLOOKUP(ppt*fq-H186,Charges!$AN$41:$AO$59,2,FALSE),IF(fq=2,VLOOKUP(ppt*fq-G186,Charges!$AP$41:$AQ$79,2,FALSE),VLOOKUP(ppt*fq-D186,Charges!$AR$41:$AS$279,2,FALSE)))*pr/fq,0),0)</f>
        <v>0</v>
      </c>
      <c r="U186" s="14">
        <f t="shared" ca="1" si="117"/>
        <v>0</v>
      </c>
      <c r="V186" s="34">
        <f>ROUND(MIN(IF(H186&gt;=7,Charges!$C$12*(1+Charges!$C$14)^((H186-7+1)),VLOOKUP(H186,Charges!$B$7:$C$12,2,0))*pr,Charges!$C$13)*B186,Round)</f>
        <v>500</v>
      </c>
      <c r="W186" s="14">
        <f t="shared" ca="1" si="118"/>
        <v>6747349.6771966312</v>
      </c>
      <c r="X186" s="14">
        <f t="shared" ca="1" si="119"/>
        <v>6790762.3281824365</v>
      </c>
      <c r="Y186" s="213">
        <f t="shared" ca="1" si="143"/>
        <v>7643.765171284268</v>
      </c>
      <c r="Z186" s="14">
        <f t="shared" ca="1" si="120"/>
        <v>6781742.6852803212</v>
      </c>
      <c r="AA186" s="14">
        <f>IF(AND($H186=pt,$F186=11),SUM($K$7:K186)*VLOOKUP(pt,ROC,2,FALSE),0)</f>
        <v>100650.00000000009</v>
      </c>
      <c r="AB186" s="14">
        <f>IF(AND($H186=pt,$F186=11),SUM($V$7:V186)*VLOOKUP(pt,ROC,2,FALSE),0)</f>
        <v>95700.000000000015</v>
      </c>
      <c r="AC186" s="14">
        <f ca="1">IF(AND($H186=pt,$F186=11),SUM($Q$7:Q186)*VLOOKUP(pt,ROC,2,FALSE),0)</f>
        <v>188037.7871711668</v>
      </c>
      <c r="AD186" s="14">
        <f t="shared" ca="1" si="121"/>
        <v>7166130.4724514876</v>
      </c>
      <c r="AE186" s="14">
        <f ca="1">(MAX(sa-CF185*Flag_UL_Type,105%*SUM($I$7:I186),Z186)+AU186)*B186</f>
        <v>6781742.6852803212</v>
      </c>
      <c r="AF186" s="136"/>
      <c r="AG186" s="18">
        <v>180</v>
      </c>
      <c r="AH186" s="30">
        <f t="shared" ca="1" si="122"/>
        <v>0</v>
      </c>
      <c r="AI186" s="58"/>
      <c r="AJ186" s="50">
        <f>IF(AND(Option_Sys_TopUp&gt;="Y",H186&gt;=sytp,H186&lt;=(dtp+sytp-1),F186=0,H186&lt;=ppt+1),atp,0)+IFERROR(VLOOKUP(H186,Input!$B$55:$C$61,2,0),0)*(F186=0)*(Option_TopUP="Y")*(Option_Sys_TopUp="N")*B186*(pt&gt;=H186+5)</f>
        <v>0</v>
      </c>
      <c r="AK186" s="50">
        <f t="shared" si="123"/>
        <v>0</v>
      </c>
      <c r="AL186" s="50">
        <f t="shared" si="144"/>
        <v>0</v>
      </c>
      <c r="AM186" s="50">
        <f t="shared" ca="1" si="145"/>
        <v>0</v>
      </c>
      <c r="AN186" s="50">
        <f ca="1">IF(B186=0,0,AT186*(_rpm1+(1+_emr1)*VLOOKUP(E186,Tab_Mort_Charge,IF(Input!$C$12="M",2,3),0))*(0.001*0.0833)*Flag_Mort_Rider_Charge*(AT186&gt;0))</f>
        <v>0</v>
      </c>
      <c r="AO186" s="50">
        <f t="shared" ca="1" si="124"/>
        <v>0</v>
      </c>
      <c r="AP186" s="50">
        <f t="shared" ca="1" si="151"/>
        <v>0</v>
      </c>
      <c r="AQ186" s="50">
        <f t="shared" ca="1" si="125"/>
        <v>0</v>
      </c>
      <c r="AR186" s="50">
        <f t="shared" ca="1" si="126"/>
        <v>0</v>
      </c>
      <c r="AS186" s="50">
        <f t="shared" si="127"/>
        <v>0</v>
      </c>
      <c r="AT186" s="50">
        <f ca="1">(MAX((MAX(AS186,105%*SUM($AJ$7:AJ186))-AM186*Flag_UL_Type),0)*B186)</f>
        <v>0</v>
      </c>
      <c r="AU186" s="50">
        <f ca="1">(MAX(AS186,AR186,105%*SUM($AJ$7:AJ186))*B186)</f>
        <v>0</v>
      </c>
      <c r="AV186" s="125"/>
      <c r="AW186" s="13"/>
      <c r="AX186" s="13"/>
      <c r="AY186" s="13"/>
      <c r="AZ186" s="13"/>
      <c r="BA186" s="13"/>
      <c r="BG186" s="51">
        <f t="shared" si="128"/>
        <v>0</v>
      </c>
      <c r="BH186" s="51">
        <f t="shared" ca="1" si="129"/>
        <v>0</v>
      </c>
      <c r="BI186" s="51">
        <f t="shared" ca="1" si="130"/>
        <v>0</v>
      </c>
      <c r="BJ186" s="51">
        <f t="shared" ca="1" si="131"/>
        <v>0</v>
      </c>
      <c r="BK186" s="51">
        <f t="shared" si="132"/>
        <v>90</v>
      </c>
      <c r="BL186" s="51">
        <f t="shared" ca="1" si="133"/>
        <v>1375.8777308311683</v>
      </c>
      <c r="BM186" s="51">
        <f t="shared" si="134"/>
        <v>0</v>
      </c>
      <c r="BN186" s="51">
        <f t="shared" ca="1" si="135"/>
        <v>0</v>
      </c>
      <c r="BO186" s="51">
        <f t="shared" ca="1" si="136"/>
        <v>0</v>
      </c>
      <c r="BP186" s="51">
        <f t="shared" ca="1" si="137"/>
        <v>1465.8777308311683</v>
      </c>
      <c r="BQ186" s="120"/>
      <c r="BR186" s="32"/>
      <c r="BS186" s="126"/>
      <c r="BT186" s="16"/>
      <c r="BU186" s="58"/>
      <c r="BW186" s="51">
        <f>IF(Input!$C$13="Offline",VLOOKUP(H186,Charges!$AT$4:$AU$33,2,FALSE)*I186,0)</f>
        <v>0</v>
      </c>
      <c r="BX186" s="51">
        <f t="shared" si="138"/>
        <v>0</v>
      </c>
      <c r="BY186" s="51">
        <f t="shared" si="146"/>
        <v>0</v>
      </c>
      <c r="BZ186" s="151"/>
      <c r="CA186" s="151"/>
      <c r="CB186" s="32"/>
      <c r="CC186" s="16">
        <f ca="1">SUM($N$7:$N186)</f>
        <v>0</v>
      </c>
      <c r="CD186" s="16">
        <f t="shared" ca="1" si="139"/>
        <v>0</v>
      </c>
      <c r="CE186" s="16">
        <f t="shared" ca="1" si="140"/>
        <v>0</v>
      </c>
      <c r="CF186" s="7">
        <f t="shared" ca="1" si="141"/>
        <v>0</v>
      </c>
      <c r="CH186" s="7">
        <f t="shared" ca="1" si="142"/>
        <v>0</v>
      </c>
    </row>
    <row r="187" spans="2:86" s="7" customFormat="1" x14ac:dyDescent="0.2">
      <c r="B187" s="14">
        <f t="shared" si="106"/>
        <v>0</v>
      </c>
      <c r="C187" s="12">
        <f t="shared" si="107"/>
        <v>0</v>
      </c>
      <c r="D187" s="17">
        <f t="shared" si="147"/>
        <v>181</v>
      </c>
      <c r="E187" s="17">
        <f t="shared" ca="1" si="108"/>
        <v>75</v>
      </c>
      <c r="F187" s="12">
        <f t="shared" si="149"/>
        <v>0</v>
      </c>
      <c r="G187" s="12">
        <f t="shared" si="148"/>
        <v>31</v>
      </c>
      <c r="H187" s="17">
        <f t="shared" si="150"/>
        <v>16</v>
      </c>
      <c r="I187" s="29">
        <f t="shared" si="109"/>
        <v>0</v>
      </c>
      <c r="J187" s="211">
        <f>IFERROR(VLOOKUP(H187,Charges!$T$6:$U$35,2,0)*C187,0)</f>
        <v>0</v>
      </c>
      <c r="K187" s="29">
        <f t="shared" si="110"/>
        <v>0</v>
      </c>
      <c r="L187" s="29">
        <f t="shared" si="111"/>
        <v>0</v>
      </c>
      <c r="M187" s="147">
        <f t="shared" ca="1" si="112"/>
        <v>0</v>
      </c>
      <c r="N187" s="148">
        <f ca="1">IF(AND(Option_SPW="Y",H187&gt;=Lock_In_Period,Z186&gt;SPW_Amount_pa+IF(option="Single",1/5*pr,2*pr),H187&gt;=SPW_Start_Year,H187&lt;=SPW_Start_Year+SPW_Duration-1,age+H187&gt;=Legal_Age),IF(AND(F187=0,SPW_Payout_Freq=1),SPW_Amount_pa,IF(AND(SPW_Payout_Freq=2,MOD(F187,6)=0),SPW_Amount_pa/SPW_Payout_Freq,IF(AND(SPW_Payout_Freq=4,MOD(F187,3)=0),SPW_Amount_pa/SPW_Payout_Freq,IF(SPW_Payout_Freq=12,SPW_Amount_pa/SPW_Payout_Freq,0)))),0)+IFERROR(VLOOKUP(H187,Input!$B$68:$C$74,2,0),0)*(F187=0)*(Option_PW="Y")*(Option_SPW="N")*(age+H187&gt;=Legal_Age)</f>
        <v>0</v>
      </c>
      <c r="O187" s="148">
        <f t="shared" ca="1" si="113"/>
        <v>0</v>
      </c>
      <c r="P187" s="14">
        <f ca="1">(MAX(MAX(sa-CF186*Flag_UL_Type,105%*SUM($I$7:I187))-(AD186+L187-N187)*Flag_UL_Type,0)*B187)</f>
        <v>0</v>
      </c>
      <c r="Q187" s="213">
        <f t="shared" si="114"/>
        <v>0</v>
      </c>
      <c r="R187" s="14">
        <f t="shared" ca="1" si="115"/>
        <v>0</v>
      </c>
      <c r="S187" s="14">
        <f t="shared" ca="1" si="116"/>
        <v>0</v>
      </c>
      <c r="T187" s="14">
        <f>IFERROR(IF(WoP_Flag="Y",IF(fq=1,VLOOKUP(ppt*fq-H187,Charges!$AN$41:$AO$59,2,FALSE),IF(fq=2,VLOOKUP(ppt*fq-G187,Charges!$AP$41:$AQ$79,2,FALSE),VLOOKUP(ppt*fq-D187,Charges!$AR$41:$AS$279,2,FALSE)))*pr/fq,0),0)</f>
        <v>0</v>
      </c>
      <c r="U187" s="14">
        <f t="shared" ca="1" si="117"/>
        <v>0</v>
      </c>
      <c r="V187" s="34">
        <f>ROUND(MIN(IF(H187&gt;=7,Charges!$C$12*(1+Charges!$C$14)^((H187-7+1)),VLOOKUP(H187,Charges!$B$7:$C$12,2,0))*pr,Charges!$C$13)*B187,Round)</f>
        <v>0</v>
      </c>
      <c r="W187" s="14">
        <f t="shared" ca="1" si="118"/>
        <v>0</v>
      </c>
      <c r="X187" s="14">
        <f t="shared" ca="1" si="119"/>
        <v>0</v>
      </c>
      <c r="Y187" s="213">
        <f t="shared" ca="1" si="143"/>
        <v>0</v>
      </c>
      <c r="Z187" s="14">
        <f t="shared" ca="1" si="120"/>
        <v>0</v>
      </c>
      <c r="AA187" s="14">
        <f>IF(AND($H187=pt,$F187=11),SUM($K$7:K187)*VLOOKUP(pt,ROC,2,FALSE),0)</f>
        <v>0</v>
      </c>
      <c r="AB187" s="14">
        <f>IF(AND($H187=pt,$F187=11),SUM($V$7:V187)*VLOOKUP(pt,ROC,2,FALSE),0)</f>
        <v>0</v>
      </c>
      <c r="AC187" s="14">
        <f>IF(AND($H187=pt,$F187=11),SUM($Q$7:Q187)*VLOOKUP(pt,ROC,2,FALSE),0)</f>
        <v>0</v>
      </c>
      <c r="AD187" s="14">
        <f t="shared" ca="1" si="121"/>
        <v>0</v>
      </c>
      <c r="AE187" s="14">
        <f ca="1">(MAX(sa-CF186*Flag_UL_Type,105%*SUM($I$7:I187),Z187)+AU187)*B187</f>
        <v>0</v>
      </c>
      <c r="AF187" s="136"/>
      <c r="AG187" s="18">
        <v>181</v>
      </c>
      <c r="AH187" s="30">
        <f t="shared" ca="1" si="122"/>
        <v>-7166130.4724514876</v>
      </c>
      <c r="AI187" s="58"/>
      <c r="AJ187" s="50">
        <f>IF(AND(Option_Sys_TopUp&gt;="Y",H187&gt;=sytp,H187&lt;=(dtp+sytp-1),F187=0,H187&lt;=ppt+1),atp,0)+IFERROR(VLOOKUP(H187,Input!$B$55:$C$61,2,0),0)*(F187=0)*(Option_TopUP="Y")*(Option_Sys_TopUp="N")*B187*(pt&gt;=H187+5)</f>
        <v>0</v>
      </c>
      <c r="AK187" s="50">
        <f t="shared" si="123"/>
        <v>0</v>
      </c>
      <c r="AL187" s="50">
        <f t="shared" si="144"/>
        <v>0</v>
      </c>
      <c r="AM187" s="50">
        <f t="shared" ca="1" si="145"/>
        <v>0</v>
      </c>
      <c r="AN187" s="50">
        <f>IF(B187=0,0,AT187*(_rpm1+(1+_emr1)*VLOOKUP(E187,Tab_Mort_Charge,IF(Input!$C$12="M",2,3),0))*(0.001*0.0833)*Flag_Mort_Rider_Charge*(AT187&gt;0))</f>
        <v>0</v>
      </c>
      <c r="AO187" s="50">
        <f t="shared" ca="1" si="124"/>
        <v>0</v>
      </c>
      <c r="AP187" s="50">
        <f t="shared" ca="1" si="151"/>
        <v>0</v>
      </c>
      <c r="AQ187" s="50">
        <f t="shared" ca="1" si="125"/>
        <v>0</v>
      </c>
      <c r="AR187" s="50">
        <f t="shared" ca="1" si="126"/>
        <v>0</v>
      </c>
      <c r="AS187" s="50">
        <f t="shared" si="127"/>
        <v>0</v>
      </c>
      <c r="AT187" s="50">
        <f ca="1">(MAX((MAX(AS187,105%*SUM($AJ$7:AJ187))-AM187*Flag_UL_Type),0)*B187)</f>
        <v>0</v>
      </c>
      <c r="AU187" s="50">
        <f ca="1">(MAX(AS187,AR187,105%*SUM($AJ$7:AJ187))*B187)</f>
        <v>0</v>
      </c>
      <c r="AV187" s="125"/>
      <c r="AW187" s="13"/>
      <c r="AX187" s="13"/>
      <c r="AY187" s="13"/>
      <c r="AZ187" s="13"/>
      <c r="BA187" s="13"/>
      <c r="BG187" s="51">
        <f t="shared" si="128"/>
        <v>0</v>
      </c>
      <c r="BH187" s="51">
        <f t="shared" si="129"/>
        <v>0</v>
      </c>
      <c r="BI187" s="51">
        <f t="shared" ca="1" si="130"/>
        <v>0</v>
      </c>
      <c r="BJ187" s="51">
        <f t="shared" ca="1" si="131"/>
        <v>0</v>
      </c>
      <c r="BK187" s="51">
        <f t="shared" si="132"/>
        <v>0</v>
      </c>
      <c r="BL187" s="51">
        <f t="shared" ca="1" si="133"/>
        <v>0</v>
      </c>
      <c r="BM187" s="51">
        <f t="shared" si="134"/>
        <v>0</v>
      </c>
      <c r="BN187" s="51">
        <f t="shared" si="135"/>
        <v>0</v>
      </c>
      <c r="BO187" s="51">
        <f t="shared" ca="1" si="136"/>
        <v>0</v>
      </c>
      <c r="BP187" s="51">
        <f t="shared" ca="1" si="137"/>
        <v>0</v>
      </c>
      <c r="BQ187" s="120"/>
      <c r="BR187" s="32"/>
      <c r="BS187" s="126"/>
      <c r="BT187" s="16"/>
      <c r="BU187" s="58"/>
      <c r="BW187" s="51">
        <f>IF(Input!$C$13="Offline",VLOOKUP(H187,Charges!$AT$4:$AU$33,2,FALSE)*I187,0)</f>
        <v>0</v>
      </c>
      <c r="BX187" s="51">
        <f t="shared" si="138"/>
        <v>0</v>
      </c>
      <c r="BY187" s="51">
        <f t="shared" si="146"/>
        <v>0</v>
      </c>
      <c r="BZ187" s="151"/>
      <c r="CA187" s="151"/>
      <c r="CB187" s="32"/>
      <c r="CC187" s="16">
        <f ca="1">SUM($N$7:$N187)</f>
        <v>0</v>
      </c>
      <c r="CD187" s="16">
        <f t="shared" ca="1" si="139"/>
        <v>0</v>
      </c>
      <c r="CE187" s="16">
        <f t="shared" ca="1" si="140"/>
        <v>0</v>
      </c>
      <c r="CF187" s="7">
        <f t="shared" ca="1" si="141"/>
        <v>0</v>
      </c>
      <c r="CH187" s="7">
        <f t="shared" ca="1" si="142"/>
        <v>0</v>
      </c>
    </row>
    <row r="188" spans="2:86" s="7" customFormat="1" x14ac:dyDescent="0.2">
      <c r="B188" s="14">
        <f t="shared" si="106"/>
        <v>0</v>
      </c>
      <c r="C188" s="12">
        <f t="shared" si="107"/>
        <v>0</v>
      </c>
      <c r="D188" s="17">
        <f t="shared" si="147"/>
        <v>182</v>
      </c>
      <c r="E188" s="17">
        <f t="shared" ca="1" si="108"/>
        <v>75</v>
      </c>
      <c r="F188" s="12">
        <f t="shared" si="149"/>
        <v>1</v>
      </c>
      <c r="G188" s="12">
        <f t="shared" si="148"/>
        <v>31</v>
      </c>
      <c r="H188" s="17">
        <f t="shared" si="150"/>
        <v>16</v>
      </c>
      <c r="I188" s="29">
        <f t="shared" si="109"/>
        <v>0</v>
      </c>
      <c r="J188" s="211">
        <f>IFERROR(VLOOKUP(H188,Charges!$T$6:$U$35,2,0)*C188,0)</f>
        <v>0</v>
      </c>
      <c r="K188" s="29">
        <f t="shared" si="110"/>
        <v>0</v>
      </c>
      <c r="L188" s="29">
        <f t="shared" si="111"/>
        <v>0</v>
      </c>
      <c r="M188" s="147">
        <f t="shared" ca="1" si="112"/>
        <v>0</v>
      </c>
      <c r="N188" s="148">
        <f ca="1">IF(AND(Option_SPW="Y",H188&gt;=Lock_In_Period,Z187&gt;SPW_Amount_pa+IF(option="Single",1/5*pr,2*pr),H188&gt;=SPW_Start_Year,H188&lt;=SPW_Start_Year+SPW_Duration-1,age+H188&gt;=Legal_Age),IF(AND(F188=0,SPW_Payout_Freq=1),SPW_Amount_pa,IF(AND(SPW_Payout_Freq=2,MOD(F188,6)=0),SPW_Amount_pa/SPW_Payout_Freq,IF(AND(SPW_Payout_Freq=4,MOD(F188,3)=0),SPW_Amount_pa/SPW_Payout_Freq,IF(SPW_Payout_Freq=12,SPW_Amount_pa/SPW_Payout_Freq,0)))),0)+IFERROR(VLOOKUP(H188,Input!$B$68:$C$74,2,0),0)*(F188=0)*(Option_PW="Y")*(Option_SPW="N")*(age+H188&gt;=Legal_Age)</f>
        <v>0</v>
      </c>
      <c r="O188" s="148">
        <f t="shared" ca="1" si="113"/>
        <v>0</v>
      </c>
      <c r="P188" s="14">
        <f ca="1">(MAX(MAX(sa-CF187*Flag_UL_Type,105%*SUM($I$7:I188))-(AD187+L188-N188)*Flag_UL_Type,0)*B188)</f>
        <v>0</v>
      </c>
      <c r="Q188" s="213">
        <f t="shared" si="114"/>
        <v>0</v>
      </c>
      <c r="R188" s="14">
        <f t="shared" ca="1" si="115"/>
        <v>0</v>
      </c>
      <c r="S188" s="14">
        <f t="shared" ca="1" si="116"/>
        <v>0</v>
      </c>
      <c r="T188" s="14">
        <f>IFERROR(IF(WoP_Flag="Y",IF(fq=1,VLOOKUP(ppt*fq-H188,Charges!$AN$41:$AO$59,2,FALSE),IF(fq=2,VLOOKUP(ppt*fq-G188,Charges!$AP$41:$AQ$79,2,FALSE),VLOOKUP(ppt*fq-D188,Charges!$AR$41:$AS$279,2,FALSE)))*pr/fq,0),0)</f>
        <v>0</v>
      </c>
      <c r="U188" s="14">
        <f t="shared" ca="1" si="117"/>
        <v>0</v>
      </c>
      <c r="V188" s="34">
        <f>ROUND(MIN(IF(H188&gt;=7,Charges!$C$12*(1+Charges!$C$14)^((H188-7+1)),VLOOKUP(H188,Charges!$B$7:$C$12,2,0))*pr,Charges!$C$13)*B188,Round)</f>
        <v>0</v>
      </c>
      <c r="W188" s="14">
        <f t="shared" ca="1" si="118"/>
        <v>0</v>
      </c>
      <c r="X188" s="14">
        <f t="shared" ca="1" si="119"/>
        <v>0</v>
      </c>
      <c r="Y188" s="213">
        <f t="shared" ca="1" si="143"/>
        <v>0</v>
      </c>
      <c r="Z188" s="14">
        <f t="shared" ca="1" si="120"/>
        <v>0</v>
      </c>
      <c r="AA188" s="14">
        <f>IF(AND($H188=pt,$F188=11),SUM($K$7:K188)*VLOOKUP(pt,ROC,2,FALSE),0)</f>
        <v>0</v>
      </c>
      <c r="AB188" s="14">
        <f>IF(AND($H188=pt,$F188=11),SUM($V$7:V188)*VLOOKUP(pt,ROC,2,FALSE),0)</f>
        <v>0</v>
      </c>
      <c r="AC188" s="14">
        <f>IF(AND($H188=pt,$F188=11),SUM($Q$7:Q188)*VLOOKUP(pt,ROC,2,FALSE),0)</f>
        <v>0</v>
      </c>
      <c r="AD188" s="14">
        <f t="shared" ca="1" si="121"/>
        <v>0</v>
      </c>
      <c r="AE188" s="14">
        <f ca="1">(MAX(sa-CF187*Flag_UL_Type,105%*SUM($I$7:I188),Z188)+AU188)*B188</f>
        <v>0</v>
      </c>
      <c r="AF188" s="136"/>
      <c r="AG188" s="18">
        <v>182</v>
      </c>
      <c r="AH188" s="30">
        <f t="shared" ca="1" si="122"/>
        <v>0</v>
      </c>
      <c r="AI188" s="58"/>
      <c r="AJ188" s="50">
        <f>IF(AND(Option_Sys_TopUp&gt;="Y",H188&gt;=sytp,H188&lt;=(dtp+sytp-1),F188=0,H188&lt;=ppt+1),atp,0)+IFERROR(VLOOKUP(H188,Input!$B$55:$C$61,2,0),0)*(F188=0)*(Option_TopUP="Y")*(Option_Sys_TopUp="N")*B188*(pt&gt;=H188+5)</f>
        <v>0</v>
      </c>
      <c r="AK188" s="50">
        <f t="shared" si="123"/>
        <v>0</v>
      </c>
      <c r="AL188" s="50">
        <f t="shared" si="144"/>
        <v>0</v>
      </c>
      <c r="AM188" s="50">
        <f t="shared" ca="1" si="145"/>
        <v>0</v>
      </c>
      <c r="AN188" s="50">
        <f>IF(B188=0,0,AT188*(_rpm1+(1+_emr1)*VLOOKUP(E188,Tab_Mort_Charge,IF(Input!$C$12="M",2,3),0))*(0.001*0.0833)*Flag_Mort_Rider_Charge*(AT188&gt;0))</f>
        <v>0</v>
      </c>
      <c r="AO188" s="50">
        <f t="shared" ca="1" si="124"/>
        <v>0</v>
      </c>
      <c r="AP188" s="50">
        <f t="shared" ca="1" si="151"/>
        <v>0</v>
      </c>
      <c r="AQ188" s="50">
        <f t="shared" ca="1" si="125"/>
        <v>0</v>
      </c>
      <c r="AR188" s="50">
        <f t="shared" ca="1" si="126"/>
        <v>0</v>
      </c>
      <c r="AS188" s="50">
        <f t="shared" si="127"/>
        <v>0</v>
      </c>
      <c r="AT188" s="50">
        <f ca="1">(MAX((MAX(AS188,105%*SUM($AJ$7:AJ188))-AM188*Flag_UL_Type),0)*B188)</f>
        <v>0</v>
      </c>
      <c r="AU188" s="50">
        <f ca="1">(MAX(AS188,AR188,105%*SUM($AJ$7:AJ188))*B188)</f>
        <v>0</v>
      </c>
      <c r="AV188" s="125"/>
      <c r="AW188" s="13"/>
      <c r="AX188" s="13"/>
      <c r="AY188" s="13"/>
      <c r="AZ188" s="13"/>
      <c r="BA188" s="13"/>
      <c r="BG188" s="51">
        <f t="shared" si="128"/>
        <v>0</v>
      </c>
      <c r="BH188" s="51">
        <f t="shared" si="129"/>
        <v>0</v>
      </c>
      <c r="BI188" s="51">
        <f t="shared" ca="1" si="130"/>
        <v>0</v>
      </c>
      <c r="BJ188" s="51">
        <f t="shared" ca="1" si="131"/>
        <v>0</v>
      </c>
      <c r="BK188" s="51">
        <f t="shared" si="132"/>
        <v>0</v>
      </c>
      <c r="BL188" s="51">
        <f t="shared" ca="1" si="133"/>
        <v>0</v>
      </c>
      <c r="BM188" s="51">
        <f t="shared" si="134"/>
        <v>0</v>
      </c>
      <c r="BN188" s="51">
        <f t="shared" si="135"/>
        <v>0</v>
      </c>
      <c r="BO188" s="51">
        <f t="shared" ca="1" si="136"/>
        <v>0</v>
      </c>
      <c r="BP188" s="51">
        <f t="shared" ca="1" si="137"/>
        <v>0</v>
      </c>
      <c r="BQ188" s="120"/>
      <c r="BR188" s="32"/>
      <c r="BS188" s="126"/>
      <c r="BT188" s="16"/>
      <c r="BU188" s="58"/>
      <c r="BW188" s="51">
        <f>IF(Input!$C$13="Offline",VLOOKUP(H188,Charges!$AT$4:$AU$33,2,FALSE)*I188,0)</f>
        <v>0</v>
      </c>
      <c r="BX188" s="51">
        <f t="shared" si="138"/>
        <v>0</v>
      </c>
      <c r="BY188" s="51">
        <f t="shared" si="146"/>
        <v>0</v>
      </c>
      <c r="BZ188" s="151"/>
      <c r="CA188" s="151"/>
      <c r="CB188" s="32"/>
      <c r="CC188" s="16">
        <f ca="1">SUM($N$7:$N188)</f>
        <v>0</v>
      </c>
      <c r="CD188" s="16">
        <f t="shared" ca="1" si="139"/>
        <v>0</v>
      </c>
      <c r="CE188" s="16">
        <f t="shared" ca="1" si="140"/>
        <v>0</v>
      </c>
      <c r="CF188" s="7">
        <f t="shared" ca="1" si="141"/>
        <v>0</v>
      </c>
      <c r="CH188" s="7">
        <f t="shared" ca="1" si="142"/>
        <v>0</v>
      </c>
    </row>
    <row r="189" spans="2:86" s="7" customFormat="1" x14ac:dyDescent="0.2">
      <c r="B189" s="14">
        <f t="shared" si="106"/>
        <v>0</v>
      </c>
      <c r="C189" s="12">
        <f t="shared" si="107"/>
        <v>0</v>
      </c>
      <c r="D189" s="17">
        <f t="shared" si="147"/>
        <v>183</v>
      </c>
      <c r="E189" s="17">
        <f t="shared" ca="1" si="108"/>
        <v>75</v>
      </c>
      <c r="F189" s="12">
        <f t="shared" si="149"/>
        <v>2</v>
      </c>
      <c r="G189" s="12">
        <f t="shared" si="148"/>
        <v>31</v>
      </c>
      <c r="H189" s="17">
        <f t="shared" si="150"/>
        <v>16</v>
      </c>
      <c r="I189" s="29">
        <f t="shared" si="109"/>
        <v>0</v>
      </c>
      <c r="J189" s="211">
        <f>IFERROR(VLOOKUP(H189,Charges!$T$6:$U$35,2,0)*C189,0)</f>
        <v>0</v>
      </c>
      <c r="K189" s="29">
        <f t="shared" si="110"/>
        <v>0</v>
      </c>
      <c r="L189" s="29">
        <f t="shared" si="111"/>
        <v>0</v>
      </c>
      <c r="M189" s="147">
        <f t="shared" ca="1" si="112"/>
        <v>0</v>
      </c>
      <c r="N189" s="148">
        <f ca="1">IF(AND(Option_SPW="Y",H189&gt;=Lock_In_Period,Z188&gt;SPW_Amount_pa+IF(option="Single",1/5*pr,2*pr),H189&gt;=SPW_Start_Year,H189&lt;=SPW_Start_Year+SPW_Duration-1,age+H189&gt;=Legal_Age),IF(AND(F189=0,SPW_Payout_Freq=1),SPW_Amount_pa,IF(AND(SPW_Payout_Freq=2,MOD(F189,6)=0),SPW_Amount_pa/SPW_Payout_Freq,IF(AND(SPW_Payout_Freq=4,MOD(F189,3)=0),SPW_Amount_pa/SPW_Payout_Freq,IF(SPW_Payout_Freq=12,SPW_Amount_pa/SPW_Payout_Freq,0)))),0)+IFERROR(VLOOKUP(H189,Input!$B$68:$C$74,2,0),0)*(F189=0)*(Option_PW="Y")*(Option_SPW="N")*(age+H189&gt;=Legal_Age)</f>
        <v>0</v>
      </c>
      <c r="O189" s="148">
        <f t="shared" ca="1" si="113"/>
        <v>0</v>
      </c>
      <c r="P189" s="14">
        <f ca="1">(MAX(MAX(sa-CF188*Flag_UL_Type,105%*SUM($I$7:I189))-(AD188+L189-N189)*Flag_UL_Type,0)*B189)</f>
        <v>0</v>
      </c>
      <c r="Q189" s="213">
        <f t="shared" si="114"/>
        <v>0</v>
      </c>
      <c r="R189" s="14">
        <f t="shared" ca="1" si="115"/>
        <v>0</v>
      </c>
      <c r="S189" s="14">
        <f t="shared" ca="1" si="116"/>
        <v>0</v>
      </c>
      <c r="T189" s="14">
        <f>IFERROR(IF(WoP_Flag="Y",IF(fq=1,VLOOKUP(ppt*fq-H189,Charges!$AN$41:$AO$59,2,FALSE),IF(fq=2,VLOOKUP(ppt*fq-G189,Charges!$AP$41:$AQ$79,2,FALSE),VLOOKUP(ppt*fq-D189,Charges!$AR$41:$AS$279,2,FALSE)))*pr/fq,0),0)</f>
        <v>0</v>
      </c>
      <c r="U189" s="14">
        <f t="shared" ca="1" si="117"/>
        <v>0</v>
      </c>
      <c r="V189" s="34">
        <f>ROUND(MIN(IF(H189&gt;=7,Charges!$C$12*(1+Charges!$C$14)^((H189-7+1)),VLOOKUP(H189,Charges!$B$7:$C$12,2,0))*pr,Charges!$C$13)*B189,Round)</f>
        <v>0</v>
      </c>
      <c r="W189" s="14">
        <f t="shared" ca="1" si="118"/>
        <v>0</v>
      </c>
      <c r="X189" s="14">
        <f t="shared" ca="1" si="119"/>
        <v>0</v>
      </c>
      <c r="Y189" s="213">
        <f t="shared" ca="1" si="143"/>
        <v>0</v>
      </c>
      <c r="Z189" s="14">
        <f t="shared" ca="1" si="120"/>
        <v>0</v>
      </c>
      <c r="AA189" s="14">
        <f>IF(AND($H189=pt,$F189=11),SUM($K$7:K189)*VLOOKUP(pt,ROC,2,FALSE),0)</f>
        <v>0</v>
      </c>
      <c r="AB189" s="14">
        <f>IF(AND($H189=pt,$F189=11),SUM($V$7:V189)*VLOOKUP(pt,ROC,2,FALSE),0)</f>
        <v>0</v>
      </c>
      <c r="AC189" s="14">
        <f>IF(AND($H189=pt,$F189=11),SUM($Q$7:Q189)*VLOOKUP(pt,ROC,2,FALSE),0)</f>
        <v>0</v>
      </c>
      <c r="AD189" s="14">
        <f t="shared" ca="1" si="121"/>
        <v>0</v>
      </c>
      <c r="AE189" s="14">
        <f ca="1">(MAX(sa-CF188*Flag_UL_Type,105%*SUM($I$7:I189),Z189)+AU189)*B189</f>
        <v>0</v>
      </c>
      <c r="AF189" s="136"/>
      <c r="AG189" s="18">
        <v>183</v>
      </c>
      <c r="AH189" s="30">
        <f t="shared" ca="1" si="122"/>
        <v>0</v>
      </c>
      <c r="AI189" s="58"/>
      <c r="AJ189" s="50">
        <f>IF(AND(Option_Sys_TopUp&gt;="Y",H189&gt;=sytp,H189&lt;=(dtp+sytp-1),F189=0,H189&lt;=ppt+1),atp,0)+IFERROR(VLOOKUP(H189,Input!$B$55:$C$61,2,0),0)*(F189=0)*(Option_TopUP="Y")*(Option_Sys_TopUp="N")*B189*(pt&gt;=H189+5)</f>
        <v>0</v>
      </c>
      <c r="AK189" s="50">
        <f t="shared" si="123"/>
        <v>0</v>
      </c>
      <c r="AL189" s="50">
        <f t="shared" si="144"/>
        <v>0</v>
      </c>
      <c r="AM189" s="50">
        <f t="shared" ca="1" si="145"/>
        <v>0</v>
      </c>
      <c r="AN189" s="50">
        <f>IF(B189=0,0,AT189*(_rpm1+(1+_emr1)*VLOOKUP(E189,Tab_Mort_Charge,IF(Input!$C$12="M",2,3),0))*(0.001*0.0833)*Flag_Mort_Rider_Charge*(AT189&gt;0))</f>
        <v>0</v>
      </c>
      <c r="AO189" s="50">
        <f t="shared" ca="1" si="124"/>
        <v>0</v>
      </c>
      <c r="AP189" s="50">
        <f t="shared" ca="1" si="151"/>
        <v>0</v>
      </c>
      <c r="AQ189" s="50">
        <f t="shared" ca="1" si="125"/>
        <v>0</v>
      </c>
      <c r="AR189" s="50">
        <f t="shared" ca="1" si="126"/>
        <v>0</v>
      </c>
      <c r="AS189" s="50">
        <f t="shared" si="127"/>
        <v>0</v>
      </c>
      <c r="AT189" s="50">
        <f ca="1">(MAX((MAX(AS189,105%*SUM($AJ$7:AJ189))-AM189*Flag_UL_Type),0)*B189)</f>
        <v>0</v>
      </c>
      <c r="AU189" s="50">
        <f ca="1">(MAX(AS189,AR189,105%*SUM($AJ$7:AJ189))*B189)</f>
        <v>0</v>
      </c>
      <c r="AV189" s="125"/>
      <c r="AW189" s="13"/>
      <c r="AX189" s="13"/>
      <c r="AY189" s="13"/>
      <c r="AZ189" s="13"/>
      <c r="BA189" s="13"/>
      <c r="BG189" s="51">
        <f t="shared" si="128"/>
        <v>0</v>
      </c>
      <c r="BH189" s="51">
        <f t="shared" si="129"/>
        <v>0</v>
      </c>
      <c r="BI189" s="51">
        <f t="shared" ca="1" si="130"/>
        <v>0</v>
      </c>
      <c r="BJ189" s="51">
        <f t="shared" ca="1" si="131"/>
        <v>0</v>
      </c>
      <c r="BK189" s="51">
        <f t="shared" si="132"/>
        <v>0</v>
      </c>
      <c r="BL189" s="51">
        <f t="shared" ca="1" si="133"/>
        <v>0</v>
      </c>
      <c r="BM189" s="51">
        <f t="shared" si="134"/>
        <v>0</v>
      </c>
      <c r="BN189" s="51">
        <f t="shared" si="135"/>
        <v>0</v>
      </c>
      <c r="BO189" s="51">
        <f t="shared" ca="1" si="136"/>
        <v>0</v>
      </c>
      <c r="BP189" s="51">
        <f t="shared" ca="1" si="137"/>
        <v>0</v>
      </c>
      <c r="BQ189" s="120"/>
      <c r="BR189" s="32"/>
      <c r="BS189" s="126"/>
      <c r="BT189" s="16"/>
      <c r="BU189" s="58"/>
      <c r="BW189" s="51">
        <f>IF(Input!$C$13="Offline",VLOOKUP(H189,Charges!$AT$4:$AU$33,2,FALSE)*I189,0)</f>
        <v>0</v>
      </c>
      <c r="BX189" s="51">
        <f t="shared" si="138"/>
        <v>0</v>
      </c>
      <c r="BY189" s="51">
        <f t="shared" si="146"/>
        <v>0</v>
      </c>
      <c r="BZ189" s="151"/>
      <c r="CA189" s="151"/>
      <c r="CB189" s="32"/>
      <c r="CC189" s="16">
        <f ca="1">SUM($N$7:$N189)</f>
        <v>0</v>
      </c>
      <c r="CD189" s="16">
        <f t="shared" ca="1" si="139"/>
        <v>0</v>
      </c>
      <c r="CE189" s="16">
        <f t="shared" ca="1" si="140"/>
        <v>0</v>
      </c>
      <c r="CF189" s="7">
        <f t="shared" ca="1" si="141"/>
        <v>0</v>
      </c>
      <c r="CH189" s="7">
        <f t="shared" ca="1" si="142"/>
        <v>0</v>
      </c>
    </row>
    <row r="190" spans="2:86" s="7" customFormat="1" x14ac:dyDescent="0.2">
      <c r="B190" s="14">
        <f t="shared" si="106"/>
        <v>0</v>
      </c>
      <c r="C190" s="12">
        <f t="shared" si="107"/>
        <v>0</v>
      </c>
      <c r="D190" s="17">
        <f t="shared" si="147"/>
        <v>184</v>
      </c>
      <c r="E190" s="17">
        <f t="shared" ca="1" si="108"/>
        <v>75</v>
      </c>
      <c r="F190" s="12">
        <f t="shared" si="149"/>
        <v>3</v>
      </c>
      <c r="G190" s="12">
        <f t="shared" si="148"/>
        <v>31</v>
      </c>
      <c r="H190" s="17">
        <f t="shared" si="150"/>
        <v>16</v>
      </c>
      <c r="I190" s="29">
        <f t="shared" si="109"/>
        <v>0</v>
      </c>
      <c r="J190" s="211">
        <f>IFERROR(VLOOKUP(H190,Charges!$T$6:$U$35,2,0)*C190,0)</f>
        <v>0</v>
      </c>
      <c r="K190" s="29">
        <f t="shared" si="110"/>
        <v>0</v>
      </c>
      <c r="L190" s="29">
        <f t="shared" si="111"/>
        <v>0</v>
      </c>
      <c r="M190" s="147">
        <f t="shared" ca="1" si="112"/>
        <v>0</v>
      </c>
      <c r="N190" s="148">
        <f ca="1">IF(AND(Option_SPW="Y",H190&gt;=Lock_In_Period,Z189&gt;SPW_Amount_pa+IF(option="Single",1/5*pr,2*pr),H190&gt;=SPW_Start_Year,H190&lt;=SPW_Start_Year+SPW_Duration-1,age+H190&gt;=Legal_Age),IF(AND(F190=0,SPW_Payout_Freq=1),SPW_Amount_pa,IF(AND(SPW_Payout_Freq=2,MOD(F190,6)=0),SPW_Amount_pa/SPW_Payout_Freq,IF(AND(SPW_Payout_Freq=4,MOD(F190,3)=0),SPW_Amount_pa/SPW_Payout_Freq,IF(SPW_Payout_Freq=12,SPW_Amount_pa/SPW_Payout_Freq,0)))),0)+IFERROR(VLOOKUP(H190,Input!$B$68:$C$74,2,0),0)*(F190=0)*(Option_PW="Y")*(Option_SPW="N")*(age+H190&gt;=Legal_Age)</f>
        <v>0</v>
      </c>
      <c r="O190" s="148">
        <f t="shared" ca="1" si="113"/>
        <v>0</v>
      </c>
      <c r="P190" s="14">
        <f ca="1">(MAX(MAX(sa-CF189*Flag_UL_Type,105%*SUM($I$7:I190))-(AD189+L190-N190)*Flag_UL_Type,0)*B190)</f>
        <v>0</v>
      </c>
      <c r="Q190" s="213">
        <f t="shared" si="114"/>
        <v>0</v>
      </c>
      <c r="R190" s="14">
        <f t="shared" ca="1" si="115"/>
        <v>0</v>
      </c>
      <c r="S190" s="14">
        <f t="shared" ca="1" si="116"/>
        <v>0</v>
      </c>
      <c r="T190" s="14">
        <f>IFERROR(IF(WoP_Flag="Y",IF(fq=1,VLOOKUP(ppt*fq-H190,Charges!$AN$41:$AO$59,2,FALSE),IF(fq=2,VLOOKUP(ppt*fq-G190,Charges!$AP$41:$AQ$79,2,FALSE),VLOOKUP(ppt*fq-D190,Charges!$AR$41:$AS$279,2,FALSE)))*pr/fq,0),0)</f>
        <v>0</v>
      </c>
      <c r="U190" s="14">
        <f t="shared" ca="1" si="117"/>
        <v>0</v>
      </c>
      <c r="V190" s="34">
        <f>ROUND(MIN(IF(H190&gt;=7,Charges!$C$12*(1+Charges!$C$14)^((H190-7+1)),VLOOKUP(H190,Charges!$B$7:$C$12,2,0))*pr,Charges!$C$13)*B190,Round)</f>
        <v>0</v>
      </c>
      <c r="W190" s="14">
        <f t="shared" ca="1" si="118"/>
        <v>0</v>
      </c>
      <c r="X190" s="14">
        <f t="shared" ca="1" si="119"/>
        <v>0</v>
      </c>
      <c r="Y190" s="213">
        <f t="shared" ca="1" si="143"/>
        <v>0</v>
      </c>
      <c r="Z190" s="14">
        <f t="shared" ca="1" si="120"/>
        <v>0</v>
      </c>
      <c r="AA190" s="14">
        <f>IF(AND($H190=pt,$F190=11),SUM($K$7:K190)*VLOOKUP(pt,ROC,2,FALSE),0)</f>
        <v>0</v>
      </c>
      <c r="AB190" s="14">
        <f>IF(AND($H190=pt,$F190=11),SUM($V$7:V190)*VLOOKUP(pt,ROC,2,FALSE),0)</f>
        <v>0</v>
      </c>
      <c r="AC190" s="14">
        <f>IF(AND($H190=pt,$F190=11),SUM($Q$7:Q190)*VLOOKUP(pt,ROC,2,FALSE),0)</f>
        <v>0</v>
      </c>
      <c r="AD190" s="14">
        <f t="shared" ca="1" si="121"/>
        <v>0</v>
      </c>
      <c r="AE190" s="14">
        <f ca="1">(MAX(sa-CF189*Flag_UL_Type,105%*SUM($I$7:I190),Z190)+AU190)*B190</f>
        <v>0</v>
      </c>
      <c r="AF190" s="136"/>
      <c r="AG190" s="18">
        <v>184</v>
      </c>
      <c r="AH190" s="30">
        <f t="shared" ca="1" si="122"/>
        <v>0</v>
      </c>
      <c r="AI190" s="58"/>
      <c r="AJ190" s="50">
        <f>IF(AND(Option_Sys_TopUp&gt;="Y",H190&gt;=sytp,H190&lt;=(dtp+sytp-1),F190=0,H190&lt;=ppt+1),atp,0)+IFERROR(VLOOKUP(H190,Input!$B$55:$C$61,2,0),0)*(F190=0)*(Option_TopUP="Y")*(Option_Sys_TopUp="N")*B190*(pt&gt;=H190+5)</f>
        <v>0</v>
      </c>
      <c r="AK190" s="50">
        <f t="shared" si="123"/>
        <v>0</v>
      </c>
      <c r="AL190" s="50">
        <f t="shared" si="144"/>
        <v>0</v>
      </c>
      <c r="AM190" s="50">
        <f t="shared" ca="1" si="145"/>
        <v>0</v>
      </c>
      <c r="AN190" s="50">
        <f>IF(B190=0,0,AT190*(_rpm1+(1+_emr1)*VLOOKUP(E190,Tab_Mort_Charge,IF(Input!$C$12="M",2,3),0))*(0.001*0.0833)*Flag_Mort_Rider_Charge*(AT190&gt;0))</f>
        <v>0</v>
      </c>
      <c r="AO190" s="50">
        <f t="shared" ca="1" si="124"/>
        <v>0</v>
      </c>
      <c r="AP190" s="50">
        <f t="shared" ca="1" si="151"/>
        <v>0</v>
      </c>
      <c r="AQ190" s="50">
        <f t="shared" ca="1" si="125"/>
        <v>0</v>
      </c>
      <c r="AR190" s="50">
        <f t="shared" ca="1" si="126"/>
        <v>0</v>
      </c>
      <c r="AS190" s="50">
        <f t="shared" si="127"/>
        <v>0</v>
      </c>
      <c r="AT190" s="50">
        <f ca="1">(MAX((MAX(AS190,105%*SUM($AJ$7:AJ190))-AM190*Flag_UL_Type),0)*B190)</f>
        <v>0</v>
      </c>
      <c r="AU190" s="50">
        <f ca="1">(MAX(AS190,AR190,105%*SUM($AJ$7:AJ190))*B190)</f>
        <v>0</v>
      </c>
      <c r="AV190" s="125"/>
      <c r="AW190" s="13"/>
      <c r="AX190" s="13"/>
      <c r="AY190" s="13"/>
      <c r="AZ190" s="13"/>
      <c r="BA190" s="13"/>
      <c r="BG190" s="51">
        <f t="shared" si="128"/>
        <v>0</v>
      </c>
      <c r="BH190" s="51">
        <f t="shared" si="129"/>
        <v>0</v>
      </c>
      <c r="BI190" s="51">
        <f t="shared" ca="1" si="130"/>
        <v>0</v>
      </c>
      <c r="BJ190" s="51">
        <f t="shared" ca="1" si="131"/>
        <v>0</v>
      </c>
      <c r="BK190" s="51">
        <f t="shared" si="132"/>
        <v>0</v>
      </c>
      <c r="BL190" s="51">
        <f t="shared" ca="1" si="133"/>
        <v>0</v>
      </c>
      <c r="BM190" s="51">
        <f t="shared" si="134"/>
        <v>0</v>
      </c>
      <c r="BN190" s="51">
        <f t="shared" si="135"/>
        <v>0</v>
      </c>
      <c r="BO190" s="51">
        <f t="shared" ca="1" si="136"/>
        <v>0</v>
      </c>
      <c r="BP190" s="51">
        <f t="shared" ca="1" si="137"/>
        <v>0</v>
      </c>
      <c r="BQ190" s="120"/>
      <c r="BR190" s="32"/>
      <c r="BS190" s="126"/>
      <c r="BT190" s="16"/>
      <c r="BU190" s="58"/>
      <c r="BW190" s="51">
        <f>IF(Input!$C$13="Offline",VLOOKUP(H190,Charges!$AT$4:$AU$33,2,FALSE)*I190,0)</f>
        <v>0</v>
      </c>
      <c r="BX190" s="51">
        <f t="shared" si="138"/>
        <v>0</v>
      </c>
      <c r="BY190" s="51">
        <f t="shared" si="146"/>
        <v>0</v>
      </c>
      <c r="BZ190" s="151"/>
      <c r="CA190" s="151"/>
      <c r="CB190" s="32"/>
      <c r="CC190" s="16">
        <f ca="1">SUM($N$7:$N190)</f>
        <v>0</v>
      </c>
      <c r="CD190" s="16">
        <f t="shared" ca="1" si="139"/>
        <v>0</v>
      </c>
      <c r="CE190" s="16">
        <f t="shared" ca="1" si="140"/>
        <v>0</v>
      </c>
      <c r="CF190" s="7">
        <f t="shared" ca="1" si="141"/>
        <v>0</v>
      </c>
      <c r="CH190" s="7">
        <f t="shared" ca="1" si="142"/>
        <v>0</v>
      </c>
    </row>
    <row r="191" spans="2:86" s="7" customFormat="1" x14ac:dyDescent="0.2">
      <c r="B191" s="14">
        <f t="shared" si="106"/>
        <v>0</v>
      </c>
      <c r="C191" s="12">
        <f t="shared" si="107"/>
        <v>0</v>
      </c>
      <c r="D191" s="17">
        <f t="shared" si="147"/>
        <v>185</v>
      </c>
      <c r="E191" s="17">
        <f t="shared" ca="1" si="108"/>
        <v>75</v>
      </c>
      <c r="F191" s="12">
        <f t="shared" si="149"/>
        <v>4</v>
      </c>
      <c r="G191" s="12">
        <f t="shared" si="148"/>
        <v>31</v>
      </c>
      <c r="H191" s="17">
        <f t="shared" si="150"/>
        <v>16</v>
      </c>
      <c r="I191" s="29">
        <f t="shared" si="109"/>
        <v>0</v>
      </c>
      <c r="J191" s="211">
        <f>IFERROR(VLOOKUP(H191,Charges!$T$6:$U$35,2,0)*C191,0)</f>
        <v>0</v>
      </c>
      <c r="K191" s="29">
        <f t="shared" si="110"/>
        <v>0</v>
      </c>
      <c r="L191" s="29">
        <f t="shared" si="111"/>
        <v>0</v>
      </c>
      <c r="M191" s="147">
        <f t="shared" ca="1" si="112"/>
        <v>0</v>
      </c>
      <c r="N191" s="148">
        <f ca="1">IF(AND(Option_SPW="Y",H191&gt;=Lock_In_Period,Z190&gt;SPW_Amount_pa+IF(option="Single",1/5*pr,2*pr),H191&gt;=SPW_Start_Year,H191&lt;=SPW_Start_Year+SPW_Duration-1,age+H191&gt;=Legal_Age),IF(AND(F191=0,SPW_Payout_Freq=1),SPW_Amount_pa,IF(AND(SPW_Payout_Freq=2,MOD(F191,6)=0),SPW_Amount_pa/SPW_Payout_Freq,IF(AND(SPW_Payout_Freq=4,MOD(F191,3)=0),SPW_Amount_pa/SPW_Payout_Freq,IF(SPW_Payout_Freq=12,SPW_Amount_pa/SPW_Payout_Freq,0)))),0)+IFERROR(VLOOKUP(H191,Input!$B$68:$C$74,2,0),0)*(F191=0)*(Option_PW="Y")*(Option_SPW="N")*(age+H191&gt;=Legal_Age)</f>
        <v>0</v>
      </c>
      <c r="O191" s="148">
        <f t="shared" ca="1" si="113"/>
        <v>0</v>
      </c>
      <c r="P191" s="14">
        <f ca="1">(MAX(MAX(sa-CF190*Flag_UL_Type,105%*SUM($I$7:I191))-(AD190+L191-N191)*Flag_UL_Type,0)*B191)</f>
        <v>0</v>
      </c>
      <c r="Q191" s="213">
        <f t="shared" si="114"/>
        <v>0</v>
      </c>
      <c r="R191" s="14">
        <f t="shared" ca="1" si="115"/>
        <v>0</v>
      </c>
      <c r="S191" s="14">
        <f t="shared" ca="1" si="116"/>
        <v>0</v>
      </c>
      <c r="T191" s="14">
        <f>IFERROR(IF(WoP_Flag="Y",IF(fq=1,VLOOKUP(ppt*fq-H191,Charges!$AN$41:$AO$59,2,FALSE),IF(fq=2,VLOOKUP(ppt*fq-G191,Charges!$AP$41:$AQ$79,2,FALSE),VLOOKUP(ppt*fq-D191,Charges!$AR$41:$AS$279,2,FALSE)))*pr/fq,0),0)</f>
        <v>0</v>
      </c>
      <c r="U191" s="14">
        <f t="shared" ca="1" si="117"/>
        <v>0</v>
      </c>
      <c r="V191" s="34">
        <f>ROUND(MIN(IF(H191&gt;=7,Charges!$C$12*(1+Charges!$C$14)^((H191-7+1)),VLOOKUP(H191,Charges!$B$7:$C$12,2,0))*pr,Charges!$C$13)*B191,Round)</f>
        <v>0</v>
      </c>
      <c r="W191" s="14">
        <f t="shared" ca="1" si="118"/>
        <v>0</v>
      </c>
      <c r="X191" s="14">
        <f t="shared" ca="1" si="119"/>
        <v>0</v>
      </c>
      <c r="Y191" s="213">
        <f t="shared" ca="1" si="143"/>
        <v>0</v>
      </c>
      <c r="Z191" s="14">
        <f t="shared" ca="1" si="120"/>
        <v>0</v>
      </c>
      <c r="AA191" s="14">
        <f>IF(AND($H191=pt,$F191=11),SUM($K$7:K191)*VLOOKUP(pt,ROC,2,FALSE),0)</f>
        <v>0</v>
      </c>
      <c r="AB191" s="14">
        <f>IF(AND($H191=pt,$F191=11),SUM($V$7:V191)*VLOOKUP(pt,ROC,2,FALSE),0)</f>
        <v>0</v>
      </c>
      <c r="AC191" s="14">
        <f>IF(AND($H191=pt,$F191=11),SUM($Q$7:Q191)*VLOOKUP(pt,ROC,2,FALSE),0)</f>
        <v>0</v>
      </c>
      <c r="AD191" s="14">
        <f t="shared" ca="1" si="121"/>
        <v>0</v>
      </c>
      <c r="AE191" s="14">
        <f ca="1">(MAX(sa-CF190*Flag_UL_Type,105%*SUM($I$7:I191),Z191)+AU191)*B191</f>
        <v>0</v>
      </c>
      <c r="AF191" s="136"/>
      <c r="AG191" s="18">
        <v>185</v>
      </c>
      <c r="AH191" s="30">
        <f t="shared" ca="1" si="122"/>
        <v>0</v>
      </c>
      <c r="AI191" s="58"/>
      <c r="AJ191" s="50">
        <f>IF(AND(Option_Sys_TopUp&gt;="Y",H191&gt;=sytp,H191&lt;=(dtp+sytp-1),F191=0,H191&lt;=ppt+1),atp,0)+IFERROR(VLOOKUP(H191,Input!$B$55:$C$61,2,0),0)*(F191=0)*(Option_TopUP="Y")*(Option_Sys_TopUp="N")*B191*(pt&gt;=H191+5)</f>
        <v>0</v>
      </c>
      <c r="AK191" s="50">
        <f t="shared" si="123"/>
        <v>0</v>
      </c>
      <c r="AL191" s="50">
        <f t="shared" si="144"/>
        <v>0</v>
      </c>
      <c r="AM191" s="50">
        <f t="shared" ca="1" si="145"/>
        <v>0</v>
      </c>
      <c r="AN191" s="50">
        <f>IF(B191=0,0,AT191*(_rpm1+(1+_emr1)*VLOOKUP(E191,Tab_Mort_Charge,IF(Input!$C$12="M",2,3),0))*(0.001*0.0833)*Flag_Mort_Rider_Charge*(AT191&gt;0))</f>
        <v>0</v>
      </c>
      <c r="AO191" s="50">
        <f t="shared" ca="1" si="124"/>
        <v>0</v>
      </c>
      <c r="AP191" s="50">
        <f t="shared" ca="1" si="151"/>
        <v>0</v>
      </c>
      <c r="AQ191" s="50">
        <f t="shared" ca="1" si="125"/>
        <v>0</v>
      </c>
      <c r="AR191" s="50">
        <f t="shared" ca="1" si="126"/>
        <v>0</v>
      </c>
      <c r="AS191" s="50">
        <f t="shared" si="127"/>
        <v>0</v>
      </c>
      <c r="AT191" s="50">
        <f ca="1">(MAX((MAX(AS191,105%*SUM($AJ$7:AJ191))-AM191*Flag_UL_Type),0)*B191)</f>
        <v>0</v>
      </c>
      <c r="AU191" s="50">
        <f ca="1">(MAX(AS191,AR191,105%*SUM($AJ$7:AJ191))*B191)</f>
        <v>0</v>
      </c>
      <c r="AV191" s="125"/>
      <c r="AW191" s="13"/>
      <c r="AX191" s="13"/>
      <c r="AY191" s="13"/>
      <c r="AZ191" s="13"/>
      <c r="BA191" s="13"/>
      <c r="BG191" s="51">
        <f t="shared" si="128"/>
        <v>0</v>
      </c>
      <c r="BH191" s="51">
        <f t="shared" si="129"/>
        <v>0</v>
      </c>
      <c r="BI191" s="51">
        <f t="shared" ca="1" si="130"/>
        <v>0</v>
      </c>
      <c r="BJ191" s="51">
        <f t="shared" ca="1" si="131"/>
        <v>0</v>
      </c>
      <c r="BK191" s="51">
        <f t="shared" si="132"/>
        <v>0</v>
      </c>
      <c r="BL191" s="51">
        <f t="shared" ca="1" si="133"/>
        <v>0</v>
      </c>
      <c r="BM191" s="51">
        <f t="shared" si="134"/>
        <v>0</v>
      </c>
      <c r="BN191" s="51">
        <f t="shared" si="135"/>
        <v>0</v>
      </c>
      <c r="BO191" s="51">
        <f t="shared" ca="1" si="136"/>
        <v>0</v>
      </c>
      <c r="BP191" s="51">
        <f t="shared" ca="1" si="137"/>
        <v>0</v>
      </c>
      <c r="BQ191" s="120"/>
      <c r="BR191" s="32"/>
      <c r="BS191" s="126"/>
      <c r="BT191" s="16"/>
      <c r="BU191" s="58"/>
      <c r="BW191" s="51">
        <f>IF(Input!$C$13="Offline",VLOOKUP(H191,Charges!$AT$4:$AU$33,2,FALSE)*I191,0)</f>
        <v>0</v>
      </c>
      <c r="BX191" s="51">
        <f t="shared" si="138"/>
        <v>0</v>
      </c>
      <c r="BY191" s="51">
        <f t="shared" si="146"/>
        <v>0</v>
      </c>
      <c r="BZ191" s="151"/>
      <c r="CA191" s="151"/>
      <c r="CB191" s="32"/>
      <c r="CC191" s="16">
        <f ca="1">SUM($N$7:$N191)</f>
        <v>0</v>
      </c>
      <c r="CD191" s="16">
        <f t="shared" ca="1" si="139"/>
        <v>0</v>
      </c>
      <c r="CE191" s="16">
        <f t="shared" ca="1" si="140"/>
        <v>0</v>
      </c>
      <c r="CF191" s="7">
        <f t="shared" ca="1" si="141"/>
        <v>0</v>
      </c>
      <c r="CH191" s="7">
        <f t="shared" ca="1" si="142"/>
        <v>0</v>
      </c>
    </row>
    <row r="192" spans="2:86" s="7" customFormat="1" x14ac:dyDescent="0.2">
      <c r="B192" s="14">
        <f t="shared" si="106"/>
        <v>0</v>
      </c>
      <c r="C192" s="12">
        <f t="shared" si="107"/>
        <v>0</v>
      </c>
      <c r="D192" s="17">
        <f t="shared" si="147"/>
        <v>186</v>
      </c>
      <c r="E192" s="17">
        <f t="shared" ca="1" si="108"/>
        <v>75</v>
      </c>
      <c r="F192" s="12">
        <f t="shared" si="149"/>
        <v>5</v>
      </c>
      <c r="G192" s="12">
        <f t="shared" si="148"/>
        <v>31</v>
      </c>
      <c r="H192" s="17">
        <f t="shared" si="150"/>
        <v>16</v>
      </c>
      <c r="I192" s="29">
        <f t="shared" si="109"/>
        <v>0</v>
      </c>
      <c r="J192" s="211">
        <f>IFERROR(VLOOKUP(H192,Charges!$T$6:$U$35,2,0)*C192,0)</f>
        <v>0</v>
      </c>
      <c r="K192" s="29">
        <f t="shared" si="110"/>
        <v>0</v>
      </c>
      <c r="L192" s="29">
        <f t="shared" si="111"/>
        <v>0</v>
      </c>
      <c r="M192" s="147">
        <f t="shared" ca="1" si="112"/>
        <v>0</v>
      </c>
      <c r="N192" s="148">
        <f ca="1">IF(AND(Option_SPW="Y",H192&gt;=Lock_In_Period,Z191&gt;SPW_Amount_pa+IF(option="Single",1/5*pr,2*pr),H192&gt;=SPW_Start_Year,H192&lt;=SPW_Start_Year+SPW_Duration-1,age+H192&gt;=Legal_Age),IF(AND(F192=0,SPW_Payout_Freq=1),SPW_Amount_pa,IF(AND(SPW_Payout_Freq=2,MOD(F192,6)=0),SPW_Amount_pa/SPW_Payout_Freq,IF(AND(SPW_Payout_Freq=4,MOD(F192,3)=0),SPW_Amount_pa/SPW_Payout_Freq,IF(SPW_Payout_Freq=12,SPW_Amount_pa/SPW_Payout_Freq,0)))),0)+IFERROR(VLOOKUP(H192,Input!$B$68:$C$74,2,0),0)*(F192=0)*(Option_PW="Y")*(Option_SPW="N")*(age+H192&gt;=Legal_Age)</f>
        <v>0</v>
      </c>
      <c r="O192" s="148">
        <f t="shared" ca="1" si="113"/>
        <v>0</v>
      </c>
      <c r="P192" s="14">
        <f ca="1">(MAX(MAX(sa-CF191*Flag_UL_Type,105%*SUM($I$7:I192))-(AD191+L192-N192)*Flag_UL_Type,0)*B192)</f>
        <v>0</v>
      </c>
      <c r="Q192" s="213">
        <f t="shared" si="114"/>
        <v>0</v>
      </c>
      <c r="R192" s="14">
        <f t="shared" ca="1" si="115"/>
        <v>0</v>
      </c>
      <c r="S192" s="14">
        <f t="shared" ca="1" si="116"/>
        <v>0</v>
      </c>
      <c r="T192" s="14">
        <f>IFERROR(IF(WoP_Flag="Y",IF(fq=1,VLOOKUP(ppt*fq-H192,Charges!$AN$41:$AO$59,2,FALSE),IF(fq=2,VLOOKUP(ppt*fq-G192,Charges!$AP$41:$AQ$79,2,FALSE),VLOOKUP(ppt*fq-D192,Charges!$AR$41:$AS$279,2,FALSE)))*pr/fq,0),0)</f>
        <v>0</v>
      </c>
      <c r="U192" s="14">
        <f t="shared" ca="1" si="117"/>
        <v>0</v>
      </c>
      <c r="V192" s="34">
        <f>ROUND(MIN(IF(H192&gt;=7,Charges!$C$12*(1+Charges!$C$14)^((H192-7+1)),VLOOKUP(H192,Charges!$B$7:$C$12,2,0))*pr,Charges!$C$13)*B192,Round)</f>
        <v>0</v>
      </c>
      <c r="W192" s="14">
        <f t="shared" ca="1" si="118"/>
        <v>0</v>
      </c>
      <c r="X192" s="14">
        <f t="shared" ca="1" si="119"/>
        <v>0</v>
      </c>
      <c r="Y192" s="213">
        <f t="shared" ca="1" si="143"/>
        <v>0</v>
      </c>
      <c r="Z192" s="14">
        <f t="shared" ca="1" si="120"/>
        <v>0</v>
      </c>
      <c r="AA192" s="14">
        <f>IF(AND($H192=pt,$F192=11),SUM($K$7:K192)*VLOOKUP(pt,ROC,2,FALSE),0)</f>
        <v>0</v>
      </c>
      <c r="AB192" s="14">
        <f>IF(AND($H192=pt,$F192=11),SUM($V$7:V192)*VLOOKUP(pt,ROC,2,FALSE),0)</f>
        <v>0</v>
      </c>
      <c r="AC192" s="14">
        <f>IF(AND($H192=pt,$F192=11),SUM($Q$7:Q192)*VLOOKUP(pt,ROC,2,FALSE),0)</f>
        <v>0</v>
      </c>
      <c r="AD192" s="14">
        <f t="shared" ca="1" si="121"/>
        <v>0</v>
      </c>
      <c r="AE192" s="14">
        <f ca="1">(MAX(sa-CF191*Flag_UL_Type,105%*SUM($I$7:I192),Z192)+AU192)*B192</f>
        <v>0</v>
      </c>
      <c r="AF192" s="136"/>
      <c r="AG192" s="18">
        <v>186</v>
      </c>
      <c r="AH192" s="30">
        <f t="shared" ca="1" si="122"/>
        <v>0</v>
      </c>
      <c r="AI192" s="58"/>
      <c r="AJ192" s="50">
        <f>IF(AND(Option_Sys_TopUp&gt;="Y",H192&gt;=sytp,H192&lt;=(dtp+sytp-1),F192=0,H192&lt;=ppt+1),atp,0)+IFERROR(VLOOKUP(H192,Input!$B$55:$C$61,2,0),0)*(F192=0)*(Option_TopUP="Y")*(Option_Sys_TopUp="N")*B192*(pt&gt;=H192+5)</f>
        <v>0</v>
      </c>
      <c r="AK192" s="50">
        <f t="shared" si="123"/>
        <v>0</v>
      </c>
      <c r="AL192" s="50">
        <f t="shared" si="144"/>
        <v>0</v>
      </c>
      <c r="AM192" s="50">
        <f t="shared" ca="1" si="145"/>
        <v>0</v>
      </c>
      <c r="AN192" s="50">
        <f>IF(B192=0,0,AT192*(_rpm1+(1+_emr1)*VLOOKUP(E192,Tab_Mort_Charge,IF(Input!$C$12="M",2,3),0))*(0.001*0.0833)*Flag_Mort_Rider_Charge*(AT192&gt;0))</f>
        <v>0</v>
      </c>
      <c r="AO192" s="50">
        <f t="shared" ca="1" si="124"/>
        <v>0</v>
      </c>
      <c r="AP192" s="50">
        <f t="shared" ca="1" si="151"/>
        <v>0</v>
      </c>
      <c r="AQ192" s="50">
        <f t="shared" ca="1" si="125"/>
        <v>0</v>
      </c>
      <c r="AR192" s="50">
        <f t="shared" ca="1" si="126"/>
        <v>0</v>
      </c>
      <c r="AS192" s="50">
        <f t="shared" si="127"/>
        <v>0</v>
      </c>
      <c r="AT192" s="50">
        <f ca="1">(MAX((MAX(AS192,105%*SUM($AJ$7:AJ192))-AM192*Flag_UL_Type),0)*B192)</f>
        <v>0</v>
      </c>
      <c r="AU192" s="50">
        <f ca="1">(MAX(AS192,AR192,105%*SUM($AJ$7:AJ192))*B192)</f>
        <v>0</v>
      </c>
      <c r="AV192" s="125"/>
      <c r="AW192" s="13"/>
      <c r="AX192" s="13"/>
      <c r="AY192" s="13"/>
      <c r="AZ192" s="13"/>
      <c r="BA192" s="13"/>
      <c r="BG192" s="51">
        <f t="shared" si="128"/>
        <v>0</v>
      </c>
      <c r="BH192" s="51">
        <f t="shared" si="129"/>
        <v>0</v>
      </c>
      <c r="BI192" s="51">
        <f t="shared" ca="1" si="130"/>
        <v>0</v>
      </c>
      <c r="BJ192" s="51">
        <f t="shared" ca="1" si="131"/>
        <v>0</v>
      </c>
      <c r="BK192" s="51">
        <f t="shared" si="132"/>
        <v>0</v>
      </c>
      <c r="BL192" s="51">
        <f t="shared" ca="1" si="133"/>
        <v>0</v>
      </c>
      <c r="BM192" s="51">
        <f t="shared" si="134"/>
        <v>0</v>
      </c>
      <c r="BN192" s="51">
        <f t="shared" si="135"/>
        <v>0</v>
      </c>
      <c r="BO192" s="51">
        <f t="shared" ca="1" si="136"/>
        <v>0</v>
      </c>
      <c r="BP192" s="51">
        <f t="shared" ca="1" si="137"/>
        <v>0</v>
      </c>
      <c r="BQ192" s="120"/>
      <c r="BR192" s="32"/>
      <c r="BS192" s="126"/>
      <c r="BT192" s="16"/>
      <c r="BU192" s="58"/>
      <c r="BW192" s="51">
        <f>IF(Input!$C$13="Offline",VLOOKUP(H192,Charges!$AT$4:$AU$33,2,FALSE)*I192,0)</f>
        <v>0</v>
      </c>
      <c r="BX192" s="51">
        <f t="shared" si="138"/>
        <v>0</v>
      </c>
      <c r="BY192" s="51">
        <f t="shared" si="146"/>
        <v>0</v>
      </c>
      <c r="BZ192" s="151"/>
      <c r="CA192" s="151"/>
      <c r="CB192" s="32"/>
      <c r="CC192" s="16">
        <f ca="1">SUM($N$7:$N192)</f>
        <v>0</v>
      </c>
      <c r="CD192" s="16">
        <f t="shared" ca="1" si="139"/>
        <v>0</v>
      </c>
      <c r="CE192" s="16">
        <f t="shared" ca="1" si="140"/>
        <v>0</v>
      </c>
      <c r="CF192" s="7">
        <f t="shared" ca="1" si="141"/>
        <v>0</v>
      </c>
      <c r="CH192" s="7">
        <f t="shared" ca="1" si="142"/>
        <v>0</v>
      </c>
    </row>
    <row r="193" spans="2:86" s="7" customFormat="1" x14ac:dyDescent="0.2">
      <c r="B193" s="14">
        <f t="shared" si="106"/>
        <v>0</v>
      </c>
      <c r="C193" s="12">
        <f t="shared" si="107"/>
        <v>0</v>
      </c>
      <c r="D193" s="17">
        <f t="shared" si="147"/>
        <v>187</v>
      </c>
      <c r="E193" s="17">
        <f t="shared" ca="1" si="108"/>
        <v>75</v>
      </c>
      <c r="F193" s="12">
        <f t="shared" si="149"/>
        <v>6</v>
      </c>
      <c r="G193" s="12">
        <f t="shared" si="148"/>
        <v>32</v>
      </c>
      <c r="H193" s="17">
        <f t="shared" si="150"/>
        <v>16</v>
      </c>
      <c r="I193" s="29">
        <f t="shared" si="109"/>
        <v>0</v>
      </c>
      <c r="J193" s="211">
        <f>IFERROR(VLOOKUP(H193,Charges!$T$6:$U$35,2,0)*C193,0)</f>
        <v>0</v>
      </c>
      <c r="K193" s="29">
        <f t="shared" si="110"/>
        <v>0</v>
      </c>
      <c r="L193" s="29">
        <f t="shared" si="111"/>
        <v>0</v>
      </c>
      <c r="M193" s="147">
        <f t="shared" ca="1" si="112"/>
        <v>0</v>
      </c>
      <c r="N193" s="148">
        <f ca="1">IF(AND(Option_SPW="Y",H193&gt;=Lock_In_Period,Z192&gt;SPW_Amount_pa+IF(option="Single",1/5*pr,2*pr),H193&gt;=SPW_Start_Year,H193&lt;=SPW_Start_Year+SPW_Duration-1,age+H193&gt;=Legal_Age),IF(AND(F193=0,SPW_Payout_Freq=1),SPW_Amount_pa,IF(AND(SPW_Payout_Freq=2,MOD(F193,6)=0),SPW_Amount_pa/SPW_Payout_Freq,IF(AND(SPW_Payout_Freq=4,MOD(F193,3)=0),SPW_Amount_pa/SPW_Payout_Freq,IF(SPW_Payout_Freq=12,SPW_Amount_pa/SPW_Payout_Freq,0)))),0)+IFERROR(VLOOKUP(H193,Input!$B$68:$C$74,2,0),0)*(F193=0)*(Option_PW="Y")*(Option_SPW="N")*(age+H193&gt;=Legal_Age)</f>
        <v>0</v>
      </c>
      <c r="O193" s="148">
        <f t="shared" ca="1" si="113"/>
        <v>0</v>
      </c>
      <c r="P193" s="14">
        <f ca="1">(MAX(MAX(sa-CF192*Flag_UL_Type,105%*SUM($I$7:I193))-(AD192+L193-N193)*Flag_UL_Type,0)*B193)</f>
        <v>0</v>
      </c>
      <c r="Q193" s="213">
        <f t="shared" si="114"/>
        <v>0</v>
      </c>
      <c r="R193" s="14">
        <f t="shared" ca="1" si="115"/>
        <v>0</v>
      </c>
      <c r="S193" s="14">
        <f t="shared" ca="1" si="116"/>
        <v>0</v>
      </c>
      <c r="T193" s="14">
        <f>IFERROR(IF(WoP_Flag="Y",IF(fq=1,VLOOKUP(ppt*fq-H193,Charges!$AN$41:$AO$59,2,FALSE),IF(fq=2,VLOOKUP(ppt*fq-G193,Charges!$AP$41:$AQ$79,2,FALSE),VLOOKUP(ppt*fq-D193,Charges!$AR$41:$AS$279,2,FALSE)))*pr/fq,0),0)</f>
        <v>0</v>
      </c>
      <c r="U193" s="14">
        <f t="shared" ca="1" si="117"/>
        <v>0</v>
      </c>
      <c r="V193" s="34">
        <f>ROUND(MIN(IF(H193&gt;=7,Charges!$C$12*(1+Charges!$C$14)^((H193-7+1)),VLOOKUP(H193,Charges!$B$7:$C$12,2,0))*pr,Charges!$C$13)*B193,Round)</f>
        <v>0</v>
      </c>
      <c r="W193" s="14">
        <f t="shared" ca="1" si="118"/>
        <v>0</v>
      </c>
      <c r="X193" s="14">
        <f t="shared" ca="1" si="119"/>
        <v>0</v>
      </c>
      <c r="Y193" s="213">
        <f t="shared" ca="1" si="143"/>
        <v>0</v>
      </c>
      <c r="Z193" s="14">
        <f t="shared" ca="1" si="120"/>
        <v>0</v>
      </c>
      <c r="AA193" s="14">
        <f>IF(AND($H193=pt,$F193=11),SUM($K$7:K193)*VLOOKUP(pt,ROC,2,FALSE),0)</f>
        <v>0</v>
      </c>
      <c r="AB193" s="14">
        <f>IF(AND($H193=pt,$F193=11),SUM($V$7:V193)*VLOOKUP(pt,ROC,2,FALSE),0)</f>
        <v>0</v>
      </c>
      <c r="AC193" s="14">
        <f>IF(AND($H193=pt,$F193=11),SUM($Q$7:Q193)*VLOOKUP(pt,ROC,2,FALSE),0)</f>
        <v>0</v>
      </c>
      <c r="AD193" s="14">
        <f t="shared" ca="1" si="121"/>
        <v>0</v>
      </c>
      <c r="AE193" s="14">
        <f ca="1">(MAX(sa-CF192*Flag_UL_Type,105%*SUM($I$7:I193),Z193)+AU193)*B193</f>
        <v>0</v>
      </c>
      <c r="AF193" s="136"/>
      <c r="AG193" s="18">
        <v>187</v>
      </c>
      <c r="AH193" s="30">
        <f t="shared" ca="1" si="122"/>
        <v>0</v>
      </c>
      <c r="AI193" s="58"/>
      <c r="AJ193" s="50">
        <f>IF(AND(Option_Sys_TopUp&gt;="Y",H193&gt;=sytp,H193&lt;=(dtp+sytp-1),F193=0,H193&lt;=ppt+1),atp,0)+IFERROR(VLOOKUP(H193,Input!$B$55:$C$61,2,0),0)*(F193=0)*(Option_TopUP="Y")*(Option_Sys_TopUp="N")*B193*(pt&gt;=H193+5)</f>
        <v>0</v>
      </c>
      <c r="AK193" s="50">
        <f t="shared" si="123"/>
        <v>0</v>
      </c>
      <c r="AL193" s="50">
        <f t="shared" si="144"/>
        <v>0</v>
      </c>
      <c r="AM193" s="50">
        <f t="shared" ca="1" si="145"/>
        <v>0</v>
      </c>
      <c r="AN193" s="50">
        <f>IF(B193=0,0,AT193*(_rpm1+(1+_emr1)*VLOOKUP(E193,Tab_Mort_Charge,IF(Input!$C$12="M",2,3),0))*(0.001*0.0833)*Flag_Mort_Rider_Charge*(AT193&gt;0))</f>
        <v>0</v>
      </c>
      <c r="AO193" s="50">
        <f t="shared" ca="1" si="124"/>
        <v>0</v>
      </c>
      <c r="AP193" s="50">
        <f t="shared" ca="1" si="151"/>
        <v>0</v>
      </c>
      <c r="AQ193" s="50">
        <f t="shared" ca="1" si="125"/>
        <v>0</v>
      </c>
      <c r="AR193" s="50">
        <f t="shared" ca="1" si="126"/>
        <v>0</v>
      </c>
      <c r="AS193" s="50">
        <f t="shared" si="127"/>
        <v>0</v>
      </c>
      <c r="AT193" s="50">
        <f ca="1">(MAX((MAX(AS193,105%*SUM($AJ$7:AJ193))-AM193*Flag_UL_Type),0)*B193)</f>
        <v>0</v>
      </c>
      <c r="AU193" s="50">
        <f ca="1">(MAX(AS193,AR193,105%*SUM($AJ$7:AJ193))*B193)</f>
        <v>0</v>
      </c>
      <c r="AV193" s="125"/>
      <c r="AW193" s="13"/>
      <c r="AX193" s="13"/>
      <c r="AY193" s="13"/>
      <c r="AZ193" s="13"/>
      <c r="BA193" s="13"/>
      <c r="BG193" s="51">
        <f t="shared" si="128"/>
        <v>0</v>
      </c>
      <c r="BH193" s="51">
        <f t="shared" si="129"/>
        <v>0</v>
      </c>
      <c r="BI193" s="51">
        <f t="shared" ca="1" si="130"/>
        <v>0</v>
      </c>
      <c r="BJ193" s="51">
        <f t="shared" ca="1" si="131"/>
        <v>0</v>
      </c>
      <c r="BK193" s="51">
        <f t="shared" si="132"/>
        <v>0</v>
      </c>
      <c r="BL193" s="51">
        <f t="shared" ca="1" si="133"/>
        <v>0</v>
      </c>
      <c r="BM193" s="51">
        <f t="shared" si="134"/>
        <v>0</v>
      </c>
      <c r="BN193" s="51">
        <f t="shared" si="135"/>
        <v>0</v>
      </c>
      <c r="BO193" s="51">
        <f t="shared" ca="1" si="136"/>
        <v>0</v>
      </c>
      <c r="BP193" s="51">
        <f t="shared" ca="1" si="137"/>
        <v>0</v>
      </c>
      <c r="BQ193" s="120"/>
      <c r="BR193" s="32"/>
      <c r="BS193" s="126"/>
      <c r="BT193" s="16"/>
      <c r="BU193" s="58"/>
      <c r="BW193" s="51">
        <f>IF(Input!$C$13="Offline",VLOOKUP(H193,Charges!$AT$4:$AU$33,2,FALSE)*I193,0)</f>
        <v>0</v>
      </c>
      <c r="BX193" s="51">
        <f t="shared" si="138"/>
        <v>0</v>
      </c>
      <c r="BY193" s="51">
        <f t="shared" si="146"/>
        <v>0</v>
      </c>
      <c r="BZ193" s="151"/>
      <c r="CA193" s="151"/>
      <c r="CB193" s="32"/>
      <c r="CC193" s="16">
        <f ca="1">SUM($N$7:$N193)</f>
        <v>0</v>
      </c>
      <c r="CD193" s="16">
        <f t="shared" ca="1" si="139"/>
        <v>0</v>
      </c>
      <c r="CE193" s="16">
        <f t="shared" ca="1" si="140"/>
        <v>0</v>
      </c>
      <c r="CF193" s="7">
        <f t="shared" ca="1" si="141"/>
        <v>0</v>
      </c>
      <c r="CH193" s="7">
        <f t="shared" ca="1" si="142"/>
        <v>0</v>
      </c>
    </row>
    <row r="194" spans="2:86" s="7" customFormat="1" x14ac:dyDescent="0.2">
      <c r="B194" s="14">
        <f t="shared" si="106"/>
        <v>0</v>
      </c>
      <c r="C194" s="12">
        <f t="shared" si="107"/>
        <v>0</v>
      </c>
      <c r="D194" s="17">
        <f t="shared" si="147"/>
        <v>188</v>
      </c>
      <c r="E194" s="17">
        <f t="shared" ca="1" si="108"/>
        <v>75</v>
      </c>
      <c r="F194" s="12">
        <f t="shared" si="149"/>
        <v>7</v>
      </c>
      <c r="G194" s="12">
        <f t="shared" si="148"/>
        <v>32</v>
      </c>
      <c r="H194" s="17">
        <f t="shared" si="150"/>
        <v>16</v>
      </c>
      <c r="I194" s="29">
        <f t="shared" si="109"/>
        <v>0</v>
      </c>
      <c r="J194" s="211">
        <f>IFERROR(VLOOKUP(H194,Charges!$T$6:$U$35,2,0)*C194,0)</f>
        <v>0</v>
      </c>
      <c r="K194" s="29">
        <f t="shared" si="110"/>
        <v>0</v>
      </c>
      <c r="L194" s="29">
        <f t="shared" si="111"/>
        <v>0</v>
      </c>
      <c r="M194" s="147">
        <f t="shared" ca="1" si="112"/>
        <v>0</v>
      </c>
      <c r="N194" s="148">
        <f ca="1">IF(AND(Option_SPW="Y",H194&gt;=Lock_In_Period,Z193&gt;SPW_Amount_pa+IF(option="Single",1/5*pr,2*pr),H194&gt;=SPW_Start_Year,H194&lt;=SPW_Start_Year+SPW_Duration-1,age+H194&gt;=Legal_Age),IF(AND(F194=0,SPW_Payout_Freq=1),SPW_Amount_pa,IF(AND(SPW_Payout_Freq=2,MOD(F194,6)=0),SPW_Amount_pa/SPW_Payout_Freq,IF(AND(SPW_Payout_Freq=4,MOD(F194,3)=0),SPW_Amount_pa/SPW_Payout_Freq,IF(SPW_Payout_Freq=12,SPW_Amount_pa/SPW_Payout_Freq,0)))),0)+IFERROR(VLOOKUP(H194,Input!$B$68:$C$74,2,0),0)*(F194=0)*(Option_PW="Y")*(Option_SPW="N")*(age+H194&gt;=Legal_Age)</f>
        <v>0</v>
      </c>
      <c r="O194" s="148">
        <f t="shared" ca="1" si="113"/>
        <v>0</v>
      </c>
      <c r="P194" s="14">
        <f ca="1">(MAX(MAX(sa-CF193*Flag_UL_Type,105%*SUM($I$7:I194))-(AD193+L194-N194)*Flag_UL_Type,0)*B194)</f>
        <v>0</v>
      </c>
      <c r="Q194" s="213">
        <f t="shared" si="114"/>
        <v>0</v>
      </c>
      <c r="R194" s="14">
        <f t="shared" ca="1" si="115"/>
        <v>0</v>
      </c>
      <c r="S194" s="14">
        <f t="shared" ca="1" si="116"/>
        <v>0</v>
      </c>
      <c r="T194" s="14">
        <f>IFERROR(IF(WoP_Flag="Y",IF(fq=1,VLOOKUP(ppt*fq-H194,Charges!$AN$41:$AO$59,2,FALSE),IF(fq=2,VLOOKUP(ppt*fq-G194,Charges!$AP$41:$AQ$79,2,FALSE),VLOOKUP(ppt*fq-D194,Charges!$AR$41:$AS$279,2,FALSE)))*pr/fq,0),0)</f>
        <v>0</v>
      </c>
      <c r="U194" s="14">
        <f t="shared" ca="1" si="117"/>
        <v>0</v>
      </c>
      <c r="V194" s="34">
        <f>ROUND(MIN(IF(H194&gt;=7,Charges!$C$12*(1+Charges!$C$14)^((H194-7+1)),VLOOKUP(H194,Charges!$B$7:$C$12,2,0))*pr,Charges!$C$13)*B194,Round)</f>
        <v>0</v>
      </c>
      <c r="W194" s="14">
        <f t="shared" ca="1" si="118"/>
        <v>0</v>
      </c>
      <c r="X194" s="14">
        <f t="shared" ca="1" si="119"/>
        <v>0</v>
      </c>
      <c r="Y194" s="213">
        <f t="shared" ca="1" si="143"/>
        <v>0</v>
      </c>
      <c r="Z194" s="14">
        <f t="shared" ca="1" si="120"/>
        <v>0</v>
      </c>
      <c r="AA194" s="14">
        <f>IF(AND($H194=pt,$F194=11),SUM($K$7:K194)*VLOOKUP(pt,ROC,2,FALSE),0)</f>
        <v>0</v>
      </c>
      <c r="AB194" s="14">
        <f>IF(AND($H194=pt,$F194=11),SUM($V$7:V194)*VLOOKUP(pt,ROC,2,FALSE),0)</f>
        <v>0</v>
      </c>
      <c r="AC194" s="14">
        <f>IF(AND($H194=pt,$F194=11),SUM($Q$7:Q194)*VLOOKUP(pt,ROC,2,FALSE),0)</f>
        <v>0</v>
      </c>
      <c r="AD194" s="14">
        <f t="shared" ca="1" si="121"/>
        <v>0</v>
      </c>
      <c r="AE194" s="14">
        <f ca="1">(MAX(sa-CF193*Flag_UL_Type,105%*SUM($I$7:I194),Z194)+AU194)*B194</f>
        <v>0</v>
      </c>
      <c r="AF194" s="136"/>
      <c r="AG194" s="18">
        <v>188</v>
      </c>
      <c r="AH194" s="30">
        <f t="shared" ca="1" si="122"/>
        <v>0</v>
      </c>
      <c r="AI194" s="58"/>
      <c r="AJ194" s="50">
        <f>IF(AND(Option_Sys_TopUp&gt;="Y",H194&gt;=sytp,H194&lt;=(dtp+sytp-1),F194=0,H194&lt;=ppt+1),atp,0)+IFERROR(VLOOKUP(H194,Input!$B$55:$C$61,2,0),0)*(F194=0)*(Option_TopUP="Y")*(Option_Sys_TopUp="N")*B194*(pt&gt;=H194+5)</f>
        <v>0</v>
      </c>
      <c r="AK194" s="50">
        <f t="shared" si="123"/>
        <v>0</v>
      </c>
      <c r="AL194" s="50">
        <f t="shared" si="144"/>
        <v>0</v>
      </c>
      <c r="AM194" s="50">
        <f t="shared" ca="1" si="145"/>
        <v>0</v>
      </c>
      <c r="AN194" s="50">
        <f>IF(B194=0,0,AT194*(_rpm1+(1+_emr1)*VLOOKUP(E194,Tab_Mort_Charge,IF(Input!$C$12="M",2,3),0))*(0.001*0.0833)*Flag_Mort_Rider_Charge*(AT194&gt;0))</f>
        <v>0</v>
      </c>
      <c r="AO194" s="50">
        <f t="shared" ca="1" si="124"/>
        <v>0</v>
      </c>
      <c r="AP194" s="50">
        <f t="shared" ca="1" si="151"/>
        <v>0</v>
      </c>
      <c r="AQ194" s="50">
        <f t="shared" ca="1" si="125"/>
        <v>0</v>
      </c>
      <c r="AR194" s="50">
        <f t="shared" ca="1" si="126"/>
        <v>0</v>
      </c>
      <c r="AS194" s="50">
        <f t="shared" si="127"/>
        <v>0</v>
      </c>
      <c r="AT194" s="50">
        <f ca="1">(MAX((MAX(AS194,105%*SUM($AJ$7:AJ194))-AM194*Flag_UL_Type),0)*B194)</f>
        <v>0</v>
      </c>
      <c r="AU194" s="50">
        <f ca="1">(MAX(AS194,AR194,105%*SUM($AJ$7:AJ194))*B194)</f>
        <v>0</v>
      </c>
      <c r="AV194" s="125"/>
      <c r="AW194" s="13"/>
      <c r="AX194" s="13"/>
      <c r="AY194" s="13"/>
      <c r="AZ194" s="13"/>
      <c r="BA194" s="13"/>
      <c r="BG194" s="51">
        <f t="shared" si="128"/>
        <v>0</v>
      </c>
      <c r="BH194" s="51">
        <f t="shared" si="129"/>
        <v>0</v>
      </c>
      <c r="BI194" s="51">
        <f t="shared" ca="1" si="130"/>
        <v>0</v>
      </c>
      <c r="BJ194" s="51">
        <f t="shared" ca="1" si="131"/>
        <v>0</v>
      </c>
      <c r="BK194" s="51">
        <f t="shared" si="132"/>
        <v>0</v>
      </c>
      <c r="BL194" s="51">
        <f t="shared" ca="1" si="133"/>
        <v>0</v>
      </c>
      <c r="BM194" s="51">
        <f t="shared" si="134"/>
        <v>0</v>
      </c>
      <c r="BN194" s="51">
        <f t="shared" si="135"/>
        <v>0</v>
      </c>
      <c r="BO194" s="51">
        <f t="shared" ca="1" si="136"/>
        <v>0</v>
      </c>
      <c r="BP194" s="51">
        <f t="shared" ca="1" si="137"/>
        <v>0</v>
      </c>
      <c r="BQ194" s="120"/>
      <c r="BR194" s="32"/>
      <c r="BS194" s="126"/>
      <c r="BT194" s="16"/>
      <c r="BU194" s="58"/>
      <c r="BW194" s="51">
        <f>IF(Input!$C$13="Offline",VLOOKUP(H194,Charges!$AT$4:$AU$33,2,FALSE)*I194,0)</f>
        <v>0</v>
      </c>
      <c r="BX194" s="51">
        <f t="shared" si="138"/>
        <v>0</v>
      </c>
      <c r="BY194" s="51">
        <f t="shared" si="146"/>
        <v>0</v>
      </c>
      <c r="BZ194" s="151"/>
      <c r="CA194" s="151"/>
      <c r="CB194" s="32"/>
      <c r="CC194" s="16">
        <f ca="1">SUM($N$7:$N194)</f>
        <v>0</v>
      </c>
      <c r="CD194" s="16">
        <f t="shared" ca="1" si="139"/>
        <v>0</v>
      </c>
      <c r="CE194" s="16">
        <f t="shared" ca="1" si="140"/>
        <v>0</v>
      </c>
      <c r="CF194" s="7">
        <f t="shared" ca="1" si="141"/>
        <v>0</v>
      </c>
      <c r="CH194" s="7">
        <f t="shared" ca="1" si="142"/>
        <v>0</v>
      </c>
    </row>
    <row r="195" spans="2:86" s="7" customFormat="1" x14ac:dyDescent="0.2">
      <c r="B195" s="14">
        <f t="shared" si="106"/>
        <v>0</v>
      </c>
      <c r="C195" s="12">
        <f t="shared" si="107"/>
        <v>0</v>
      </c>
      <c r="D195" s="17">
        <f t="shared" si="147"/>
        <v>189</v>
      </c>
      <c r="E195" s="17">
        <f t="shared" ca="1" si="108"/>
        <v>75</v>
      </c>
      <c r="F195" s="12">
        <f t="shared" si="149"/>
        <v>8</v>
      </c>
      <c r="G195" s="12">
        <f t="shared" si="148"/>
        <v>32</v>
      </c>
      <c r="H195" s="17">
        <f t="shared" si="150"/>
        <v>16</v>
      </c>
      <c r="I195" s="29">
        <f t="shared" si="109"/>
        <v>0</v>
      </c>
      <c r="J195" s="211">
        <f>IFERROR(VLOOKUP(H195,Charges!$T$6:$U$35,2,0)*C195,0)</f>
        <v>0</v>
      </c>
      <c r="K195" s="29">
        <f t="shared" si="110"/>
        <v>0</v>
      </c>
      <c r="L195" s="29">
        <f t="shared" si="111"/>
        <v>0</v>
      </c>
      <c r="M195" s="147">
        <f t="shared" ca="1" si="112"/>
        <v>0</v>
      </c>
      <c r="N195" s="148">
        <f ca="1">IF(AND(Option_SPW="Y",H195&gt;=Lock_In_Period,Z194&gt;SPW_Amount_pa+IF(option="Single",1/5*pr,2*pr),H195&gt;=SPW_Start_Year,H195&lt;=SPW_Start_Year+SPW_Duration-1,age+H195&gt;=Legal_Age),IF(AND(F195=0,SPW_Payout_Freq=1),SPW_Amount_pa,IF(AND(SPW_Payout_Freq=2,MOD(F195,6)=0),SPW_Amount_pa/SPW_Payout_Freq,IF(AND(SPW_Payout_Freq=4,MOD(F195,3)=0),SPW_Amount_pa/SPW_Payout_Freq,IF(SPW_Payout_Freq=12,SPW_Amount_pa/SPW_Payout_Freq,0)))),0)+IFERROR(VLOOKUP(H195,Input!$B$68:$C$74,2,0),0)*(F195=0)*(Option_PW="Y")*(Option_SPW="N")*(age+H195&gt;=Legal_Age)</f>
        <v>0</v>
      </c>
      <c r="O195" s="148">
        <f t="shared" ca="1" si="113"/>
        <v>0</v>
      </c>
      <c r="P195" s="14">
        <f ca="1">(MAX(MAX(sa-CF194*Flag_UL_Type,105%*SUM($I$7:I195))-(AD194+L195-N195)*Flag_UL_Type,0)*B195)</f>
        <v>0</v>
      </c>
      <c r="Q195" s="213">
        <f t="shared" si="114"/>
        <v>0</v>
      </c>
      <c r="R195" s="14">
        <f t="shared" ca="1" si="115"/>
        <v>0</v>
      </c>
      <c r="S195" s="14">
        <f t="shared" ca="1" si="116"/>
        <v>0</v>
      </c>
      <c r="T195" s="14">
        <f>IFERROR(IF(WoP_Flag="Y",IF(fq=1,VLOOKUP(ppt*fq-H195,Charges!$AN$41:$AO$59,2,FALSE),IF(fq=2,VLOOKUP(ppt*fq-G195,Charges!$AP$41:$AQ$79,2,FALSE),VLOOKUP(ppt*fq-D195,Charges!$AR$41:$AS$279,2,FALSE)))*pr/fq,0),0)</f>
        <v>0</v>
      </c>
      <c r="U195" s="14">
        <f t="shared" ca="1" si="117"/>
        <v>0</v>
      </c>
      <c r="V195" s="34">
        <f>ROUND(MIN(IF(H195&gt;=7,Charges!$C$12*(1+Charges!$C$14)^((H195-7+1)),VLOOKUP(H195,Charges!$B$7:$C$12,2,0))*pr,Charges!$C$13)*B195,Round)</f>
        <v>0</v>
      </c>
      <c r="W195" s="14">
        <f t="shared" ca="1" si="118"/>
        <v>0</v>
      </c>
      <c r="X195" s="14">
        <f t="shared" ca="1" si="119"/>
        <v>0</v>
      </c>
      <c r="Y195" s="213">
        <f t="shared" ca="1" si="143"/>
        <v>0</v>
      </c>
      <c r="Z195" s="14">
        <f t="shared" ca="1" si="120"/>
        <v>0</v>
      </c>
      <c r="AA195" s="14">
        <f>IF(AND($H195=pt,$F195=11),SUM($K$7:K195)*VLOOKUP(pt,ROC,2,FALSE),0)</f>
        <v>0</v>
      </c>
      <c r="AB195" s="14">
        <f>IF(AND($H195=pt,$F195=11),SUM($V$7:V195)*VLOOKUP(pt,ROC,2,FALSE),0)</f>
        <v>0</v>
      </c>
      <c r="AC195" s="14">
        <f>IF(AND($H195=pt,$F195=11),SUM($Q$7:Q195)*VLOOKUP(pt,ROC,2,FALSE),0)</f>
        <v>0</v>
      </c>
      <c r="AD195" s="14">
        <f t="shared" ca="1" si="121"/>
        <v>0</v>
      </c>
      <c r="AE195" s="14">
        <f ca="1">(MAX(sa-CF194*Flag_UL_Type,105%*SUM($I$7:I195),Z195)+AU195)*B195</f>
        <v>0</v>
      </c>
      <c r="AF195" s="136"/>
      <c r="AG195" s="18">
        <v>189</v>
      </c>
      <c r="AH195" s="30">
        <f t="shared" ca="1" si="122"/>
        <v>0</v>
      </c>
      <c r="AI195" s="58"/>
      <c r="AJ195" s="50">
        <f>IF(AND(Option_Sys_TopUp&gt;="Y",H195&gt;=sytp,H195&lt;=(dtp+sytp-1),F195=0,H195&lt;=ppt+1),atp,0)+IFERROR(VLOOKUP(H195,Input!$B$55:$C$61,2,0),0)*(F195=0)*(Option_TopUP="Y")*(Option_Sys_TopUp="N")*B195*(pt&gt;=H195+5)</f>
        <v>0</v>
      </c>
      <c r="AK195" s="50">
        <f t="shared" si="123"/>
        <v>0</v>
      </c>
      <c r="AL195" s="50">
        <f t="shared" si="144"/>
        <v>0</v>
      </c>
      <c r="AM195" s="50">
        <f t="shared" ca="1" si="145"/>
        <v>0</v>
      </c>
      <c r="AN195" s="50">
        <f>IF(B195=0,0,AT195*(_rpm1+(1+_emr1)*VLOOKUP(E195,Tab_Mort_Charge,IF(Input!$C$12="M",2,3),0))*(0.001*0.0833)*Flag_Mort_Rider_Charge*(AT195&gt;0))</f>
        <v>0</v>
      </c>
      <c r="AO195" s="50">
        <f t="shared" ca="1" si="124"/>
        <v>0</v>
      </c>
      <c r="AP195" s="50">
        <f t="shared" ca="1" si="151"/>
        <v>0</v>
      </c>
      <c r="AQ195" s="50">
        <f t="shared" ca="1" si="125"/>
        <v>0</v>
      </c>
      <c r="AR195" s="50">
        <f t="shared" ca="1" si="126"/>
        <v>0</v>
      </c>
      <c r="AS195" s="50">
        <f t="shared" si="127"/>
        <v>0</v>
      </c>
      <c r="AT195" s="50">
        <f ca="1">(MAX((MAX(AS195,105%*SUM($AJ$7:AJ195))-AM195*Flag_UL_Type),0)*B195)</f>
        <v>0</v>
      </c>
      <c r="AU195" s="50">
        <f ca="1">(MAX(AS195,AR195,105%*SUM($AJ$7:AJ195))*B195)</f>
        <v>0</v>
      </c>
      <c r="AV195" s="125"/>
      <c r="AW195" s="13"/>
      <c r="AX195" s="13"/>
      <c r="AY195" s="13"/>
      <c r="AZ195" s="13"/>
      <c r="BA195" s="13"/>
      <c r="BG195" s="51">
        <f t="shared" si="128"/>
        <v>0</v>
      </c>
      <c r="BH195" s="51">
        <f t="shared" si="129"/>
        <v>0</v>
      </c>
      <c r="BI195" s="51">
        <f t="shared" ca="1" si="130"/>
        <v>0</v>
      </c>
      <c r="BJ195" s="51">
        <f t="shared" ca="1" si="131"/>
        <v>0</v>
      </c>
      <c r="BK195" s="51">
        <f t="shared" si="132"/>
        <v>0</v>
      </c>
      <c r="BL195" s="51">
        <f t="shared" ca="1" si="133"/>
        <v>0</v>
      </c>
      <c r="BM195" s="51">
        <f t="shared" si="134"/>
        <v>0</v>
      </c>
      <c r="BN195" s="51">
        <f t="shared" si="135"/>
        <v>0</v>
      </c>
      <c r="BO195" s="51">
        <f t="shared" ca="1" si="136"/>
        <v>0</v>
      </c>
      <c r="BP195" s="51">
        <f t="shared" ca="1" si="137"/>
        <v>0</v>
      </c>
      <c r="BQ195" s="120"/>
      <c r="BR195" s="32"/>
      <c r="BS195" s="126"/>
      <c r="BT195" s="16"/>
      <c r="BU195" s="58"/>
      <c r="BW195" s="51">
        <f>IF(Input!$C$13="Offline",VLOOKUP(H195,Charges!$AT$4:$AU$33,2,FALSE)*I195,0)</f>
        <v>0</v>
      </c>
      <c r="BX195" s="51">
        <f t="shared" si="138"/>
        <v>0</v>
      </c>
      <c r="BY195" s="51">
        <f t="shared" si="146"/>
        <v>0</v>
      </c>
      <c r="BZ195" s="151"/>
      <c r="CA195" s="151"/>
      <c r="CB195" s="32"/>
      <c r="CC195" s="16">
        <f ca="1">SUM($N$7:$N195)</f>
        <v>0</v>
      </c>
      <c r="CD195" s="16">
        <f t="shared" ca="1" si="139"/>
        <v>0</v>
      </c>
      <c r="CE195" s="16">
        <f t="shared" ca="1" si="140"/>
        <v>0</v>
      </c>
      <c r="CF195" s="7">
        <f t="shared" ca="1" si="141"/>
        <v>0</v>
      </c>
      <c r="CH195" s="7">
        <f t="shared" ca="1" si="142"/>
        <v>0</v>
      </c>
    </row>
    <row r="196" spans="2:86" s="7" customFormat="1" x14ac:dyDescent="0.2">
      <c r="B196" s="14">
        <f t="shared" si="106"/>
        <v>0</v>
      </c>
      <c r="C196" s="12">
        <f t="shared" si="107"/>
        <v>0</v>
      </c>
      <c r="D196" s="17">
        <f t="shared" si="147"/>
        <v>190</v>
      </c>
      <c r="E196" s="17">
        <f t="shared" ca="1" si="108"/>
        <v>75</v>
      </c>
      <c r="F196" s="12">
        <f t="shared" si="149"/>
        <v>9</v>
      </c>
      <c r="G196" s="12">
        <f t="shared" si="148"/>
        <v>32</v>
      </c>
      <c r="H196" s="17">
        <f t="shared" si="150"/>
        <v>16</v>
      </c>
      <c r="I196" s="29">
        <f t="shared" si="109"/>
        <v>0</v>
      </c>
      <c r="J196" s="211">
        <f>IFERROR(VLOOKUP(H196,Charges!$T$6:$U$35,2,0)*C196,0)</f>
        <v>0</v>
      </c>
      <c r="K196" s="29">
        <f t="shared" si="110"/>
        <v>0</v>
      </c>
      <c r="L196" s="29">
        <f t="shared" si="111"/>
        <v>0</v>
      </c>
      <c r="M196" s="147">
        <f t="shared" ca="1" si="112"/>
        <v>0</v>
      </c>
      <c r="N196" s="148">
        <f ca="1">IF(AND(Option_SPW="Y",H196&gt;=Lock_In_Period,Z195&gt;SPW_Amount_pa+IF(option="Single",1/5*pr,2*pr),H196&gt;=SPW_Start_Year,H196&lt;=SPW_Start_Year+SPW_Duration-1,age+H196&gt;=Legal_Age),IF(AND(F196=0,SPW_Payout_Freq=1),SPW_Amount_pa,IF(AND(SPW_Payout_Freq=2,MOD(F196,6)=0),SPW_Amount_pa/SPW_Payout_Freq,IF(AND(SPW_Payout_Freq=4,MOD(F196,3)=0),SPW_Amount_pa/SPW_Payout_Freq,IF(SPW_Payout_Freq=12,SPW_Amount_pa/SPW_Payout_Freq,0)))),0)+IFERROR(VLOOKUP(H196,Input!$B$68:$C$74,2,0),0)*(F196=0)*(Option_PW="Y")*(Option_SPW="N")*(age+H196&gt;=Legal_Age)</f>
        <v>0</v>
      </c>
      <c r="O196" s="148">
        <f t="shared" ca="1" si="113"/>
        <v>0</v>
      </c>
      <c r="P196" s="14">
        <f ca="1">(MAX(MAX(sa-CF195*Flag_UL_Type,105%*SUM($I$7:I196))-(AD195+L196-N196)*Flag_UL_Type,0)*B196)</f>
        <v>0</v>
      </c>
      <c r="Q196" s="213">
        <f t="shared" si="114"/>
        <v>0</v>
      </c>
      <c r="R196" s="14">
        <f t="shared" ca="1" si="115"/>
        <v>0</v>
      </c>
      <c r="S196" s="14">
        <f t="shared" ca="1" si="116"/>
        <v>0</v>
      </c>
      <c r="T196" s="14">
        <f>IFERROR(IF(WoP_Flag="Y",IF(fq=1,VLOOKUP(ppt*fq-H196,Charges!$AN$41:$AO$59,2,FALSE),IF(fq=2,VLOOKUP(ppt*fq-G196,Charges!$AP$41:$AQ$79,2,FALSE),VLOOKUP(ppt*fq-D196,Charges!$AR$41:$AS$279,2,FALSE)))*pr/fq,0),0)</f>
        <v>0</v>
      </c>
      <c r="U196" s="14">
        <f t="shared" ca="1" si="117"/>
        <v>0</v>
      </c>
      <c r="V196" s="34">
        <f>ROUND(MIN(IF(H196&gt;=7,Charges!$C$12*(1+Charges!$C$14)^((H196-7+1)),VLOOKUP(H196,Charges!$B$7:$C$12,2,0))*pr,Charges!$C$13)*B196,Round)</f>
        <v>0</v>
      </c>
      <c r="W196" s="14">
        <f t="shared" ca="1" si="118"/>
        <v>0</v>
      </c>
      <c r="X196" s="14">
        <f t="shared" ca="1" si="119"/>
        <v>0</v>
      </c>
      <c r="Y196" s="213">
        <f t="shared" ca="1" si="143"/>
        <v>0</v>
      </c>
      <c r="Z196" s="14">
        <f t="shared" ca="1" si="120"/>
        <v>0</v>
      </c>
      <c r="AA196" s="14">
        <f>IF(AND($H196=pt,$F196=11),SUM($K$7:K196)*VLOOKUP(pt,ROC,2,FALSE),0)</f>
        <v>0</v>
      </c>
      <c r="AB196" s="14">
        <f>IF(AND($H196=pt,$F196=11),SUM($V$7:V196)*VLOOKUP(pt,ROC,2,FALSE),0)</f>
        <v>0</v>
      </c>
      <c r="AC196" s="14">
        <f>IF(AND($H196=pt,$F196=11),SUM($Q$7:Q196)*VLOOKUP(pt,ROC,2,FALSE),0)</f>
        <v>0</v>
      </c>
      <c r="AD196" s="14">
        <f t="shared" ca="1" si="121"/>
        <v>0</v>
      </c>
      <c r="AE196" s="14">
        <f ca="1">(MAX(sa-CF195*Flag_UL_Type,105%*SUM($I$7:I196),Z196)+AU196)*B196</f>
        <v>0</v>
      </c>
      <c r="AF196" s="136"/>
      <c r="AG196" s="18">
        <v>190</v>
      </c>
      <c r="AH196" s="30">
        <f t="shared" ca="1" si="122"/>
        <v>0</v>
      </c>
      <c r="AI196" s="58"/>
      <c r="AJ196" s="50">
        <f>IF(AND(Option_Sys_TopUp&gt;="Y",H196&gt;=sytp,H196&lt;=(dtp+sytp-1),F196=0,H196&lt;=ppt+1),atp,0)+IFERROR(VLOOKUP(H196,Input!$B$55:$C$61,2,0),0)*(F196=0)*(Option_TopUP="Y")*(Option_Sys_TopUp="N")*B196*(pt&gt;=H196+5)</f>
        <v>0</v>
      </c>
      <c r="AK196" s="50">
        <f t="shared" si="123"/>
        <v>0</v>
      </c>
      <c r="AL196" s="50">
        <f t="shared" si="144"/>
        <v>0</v>
      </c>
      <c r="AM196" s="50">
        <f t="shared" ca="1" si="145"/>
        <v>0</v>
      </c>
      <c r="AN196" s="50">
        <f>IF(B196=0,0,AT196*(_rpm1+(1+_emr1)*VLOOKUP(E196,Tab_Mort_Charge,IF(Input!$C$12="M",2,3),0))*(0.001*0.0833)*Flag_Mort_Rider_Charge*(AT196&gt;0))</f>
        <v>0</v>
      </c>
      <c r="AO196" s="50">
        <f t="shared" ca="1" si="124"/>
        <v>0</v>
      </c>
      <c r="AP196" s="50">
        <f t="shared" ca="1" si="151"/>
        <v>0</v>
      </c>
      <c r="AQ196" s="50">
        <f t="shared" ca="1" si="125"/>
        <v>0</v>
      </c>
      <c r="AR196" s="50">
        <f t="shared" ca="1" si="126"/>
        <v>0</v>
      </c>
      <c r="AS196" s="50">
        <f t="shared" si="127"/>
        <v>0</v>
      </c>
      <c r="AT196" s="50">
        <f ca="1">(MAX((MAX(AS196,105%*SUM($AJ$7:AJ196))-AM196*Flag_UL_Type),0)*B196)</f>
        <v>0</v>
      </c>
      <c r="AU196" s="50">
        <f ca="1">(MAX(AS196,AR196,105%*SUM($AJ$7:AJ196))*B196)</f>
        <v>0</v>
      </c>
      <c r="AV196" s="125"/>
      <c r="AW196" s="13"/>
      <c r="AX196" s="13"/>
      <c r="AY196" s="13"/>
      <c r="AZ196" s="13"/>
      <c r="BA196" s="13"/>
      <c r="BG196" s="51">
        <f t="shared" si="128"/>
        <v>0</v>
      </c>
      <c r="BH196" s="51">
        <f t="shared" si="129"/>
        <v>0</v>
      </c>
      <c r="BI196" s="51">
        <f t="shared" ca="1" si="130"/>
        <v>0</v>
      </c>
      <c r="BJ196" s="51">
        <f t="shared" ca="1" si="131"/>
        <v>0</v>
      </c>
      <c r="BK196" s="51">
        <f t="shared" si="132"/>
        <v>0</v>
      </c>
      <c r="BL196" s="51">
        <f t="shared" ca="1" si="133"/>
        <v>0</v>
      </c>
      <c r="BM196" s="51">
        <f t="shared" si="134"/>
        <v>0</v>
      </c>
      <c r="BN196" s="51">
        <f t="shared" si="135"/>
        <v>0</v>
      </c>
      <c r="BO196" s="51">
        <f t="shared" ca="1" si="136"/>
        <v>0</v>
      </c>
      <c r="BP196" s="51">
        <f t="shared" ca="1" si="137"/>
        <v>0</v>
      </c>
      <c r="BQ196" s="120"/>
      <c r="BR196" s="32"/>
      <c r="BS196" s="126"/>
      <c r="BT196" s="16"/>
      <c r="BU196" s="58"/>
      <c r="BW196" s="51">
        <f>IF(Input!$C$13="Offline",VLOOKUP(H196,Charges!$AT$4:$AU$33,2,FALSE)*I196,0)</f>
        <v>0</v>
      </c>
      <c r="BX196" s="51">
        <f t="shared" si="138"/>
        <v>0</v>
      </c>
      <c r="BY196" s="51">
        <f t="shared" si="146"/>
        <v>0</v>
      </c>
      <c r="BZ196" s="151"/>
      <c r="CA196" s="151"/>
      <c r="CB196" s="32"/>
      <c r="CC196" s="16">
        <f ca="1">SUM($N$7:$N196)</f>
        <v>0</v>
      </c>
      <c r="CD196" s="16">
        <f t="shared" ca="1" si="139"/>
        <v>0</v>
      </c>
      <c r="CE196" s="16">
        <f t="shared" ca="1" si="140"/>
        <v>0</v>
      </c>
      <c r="CF196" s="7">
        <f t="shared" ca="1" si="141"/>
        <v>0</v>
      </c>
      <c r="CH196" s="7">
        <f t="shared" ca="1" si="142"/>
        <v>0</v>
      </c>
    </row>
    <row r="197" spans="2:86" s="7" customFormat="1" x14ac:dyDescent="0.2">
      <c r="B197" s="14">
        <f t="shared" si="106"/>
        <v>0</v>
      </c>
      <c r="C197" s="12">
        <f t="shared" si="107"/>
        <v>0</v>
      </c>
      <c r="D197" s="17">
        <f t="shared" si="147"/>
        <v>191</v>
      </c>
      <c r="E197" s="17">
        <f t="shared" ca="1" si="108"/>
        <v>75</v>
      </c>
      <c r="F197" s="12">
        <f t="shared" si="149"/>
        <v>10</v>
      </c>
      <c r="G197" s="12">
        <f t="shared" si="148"/>
        <v>32</v>
      </c>
      <c r="H197" s="17">
        <f t="shared" si="150"/>
        <v>16</v>
      </c>
      <c r="I197" s="29">
        <f t="shared" si="109"/>
        <v>0</v>
      </c>
      <c r="J197" s="211">
        <f>IFERROR(VLOOKUP(H197,Charges!$T$6:$U$35,2,0)*C197,0)</f>
        <v>0</v>
      </c>
      <c r="K197" s="29">
        <f t="shared" si="110"/>
        <v>0</v>
      </c>
      <c r="L197" s="29">
        <f t="shared" si="111"/>
        <v>0</v>
      </c>
      <c r="M197" s="147">
        <f t="shared" ca="1" si="112"/>
        <v>0</v>
      </c>
      <c r="N197" s="148">
        <f ca="1">IF(AND(Option_SPW="Y",H197&gt;=Lock_In_Period,Z196&gt;SPW_Amount_pa+IF(option="Single",1/5*pr,2*pr),H197&gt;=SPW_Start_Year,H197&lt;=SPW_Start_Year+SPW_Duration-1,age+H197&gt;=Legal_Age),IF(AND(F197=0,SPW_Payout_Freq=1),SPW_Amount_pa,IF(AND(SPW_Payout_Freq=2,MOD(F197,6)=0),SPW_Amount_pa/SPW_Payout_Freq,IF(AND(SPW_Payout_Freq=4,MOD(F197,3)=0),SPW_Amount_pa/SPW_Payout_Freq,IF(SPW_Payout_Freq=12,SPW_Amount_pa/SPW_Payout_Freq,0)))),0)+IFERROR(VLOOKUP(H197,Input!$B$68:$C$74,2,0),0)*(F197=0)*(Option_PW="Y")*(Option_SPW="N")*(age+H197&gt;=Legal_Age)</f>
        <v>0</v>
      </c>
      <c r="O197" s="148">
        <f t="shared" ca="1" si="113"/>
        <v>0</v>
      </c>
      <c r="P197" s="14">
        <f ca="1">(MAX(MAX(sa-CF196*Flag_UL_Type,105%*SUM($I$7:I197))-(AD196+L197-N197)*Flag_UL_Type,0)*B197)</f>
        <v>0</v>
      </c>
      <c r="Q197" s="213">
        <f t="shared" si="114"/>
        <v>0</v>
      </c>
      <c r="R197" s="14">
        <f t="shared" ca="1" si="115"/>
        <v>0</v>
      </c>
      <c r="S197" s="14">
        <f t="shared" ca="1" si="116"/>
        <v>0</v>
      </c>
      <c r="T197" s="14">
        <f>IFERROR(IF(WoP_Flag="Y",IF(fq=1,VLOOKUP(ppt*fq-H197,Charges!$AN$41:$AO$59,2,FALSE),IF(fq=2,VLOOKUP(ppt*fq-G197,Charges!$AP$41:$AQ$79,2,FALSE),VLOOKUP(ppt*fq-D197,Charges!$AR$41:$AS$279,2,FALSE)))*pr/fq,0),0)</f>
        <v>0</v>
      </c>
      <c r="U197" s="14">
        <f t="shared" ca="1" si="117"/>
        <v>0</v>
      </c>
      <c r="V197" s="34">
        <f>ROUND(MIN(IF(H197&gt;=7,Charges!$C$12*(1+Charges!$C$14)^((H197-7+1)),VLOOKUP(H197,Charges!$B$7:$C$12,2,0))*pr,Charges!$C$13)*B197,Round)</f>
        <v>0</v>
      </c>
      <c r="W197" s="14">
        <f t="shared" ca="1" si="118"/>
        <v>0</v>
      </c>
      <c r="X197" s="14">
        <f t="shared" ca="1" si="119"/>
        <v>0</v>
      </c>
      <c r="Y197" s="213">
        <f t="shared" ca="1" si="143"/>
        <v>0</v>
      </c>
      <c r="Z197" s="14">
        <f t="shared" ca="1" si="120"/>
        <v>0</v>
      </c>
      <c r="AA197" s="14">
        <f>IF(AND($H197=pt,$F197=11),SUM($K$7:K197)*VLOOKUP(pt,ROC,2,FALSE),0)</f>
        <v>0</v>
      </c>
      <c r="AB197" s="14">
        <f>IF(AND($H197=pt,$F197=11),SUM($V$7:V197)*VLOOKUP(pt,ROC,2,FALSE),0)</f>
        <v>0</v>
      </c>
      <c r="AC197" s="14">
        <f>IF(AND($H197=pt,$F197=11),SUM($Q$7:Q197)*VLOOKUP(pt,ROC,2,FALSE),0)</f>
        <v>0</v>
      </c>
      <c r="AD197" s="14">
        <f t="shared" ca="1" si="121"/>
        <v>0</v>
      </c>
      <c r="AE197" s="14">
        <f ca="1">(MAX(sa-CF196*Flag_UL_Type,105%*SUM($I$7:I197),Z197)+AU197)*B197</f>
        <v>0</v>
      </c>
      <c r="AF197" s="136"/>
      <c r="AG197" s="18">
        <v>191</v>
      </c>
      <c r="AH197" s="30">
        <f t="shared" ca="1" si="122"/>
        <v>0</v>
      </c>
      <c r="AI197" s="58"/>
      <c r="AJ197" s="50">
        <f>IF(AND(Option_Sys_TopUp&gt;="Y",H197&gt;=sytp,H197&lt;=(dtp+sytp-1),F197=0,H197&lt;=ppt+1),atp,0)+IFERROR(VLOOKUP(H197,Input!$B$55:$C$61,2,0),0)*(F197=0)*(Option_TopUP="Y")*(Option_Sys_TopUp="N")*B197*(pt&gt;=H197+5)</f>
        <v>0</v>
      </c>
      <c r="AK197" s="50">
        <f t="shared" si="123"/>
        <v>0</v>
      </c>
      <c r="AL197" s="50">
        <f t="shared" si="144"/>
        <v>0</v>
      </c>
      <c r="AM197" s="50">
        <f t="shared" ca="1" si="145"/>
        <v>0</v>
      </c>
      <c r="AN197" s="50">
        <f>IF(B197=0,0,AT197*(_rpm1+(1+_emr1)*VLOOKUP(E197,Tab_Mort_Charge,IF(Input!$C$12="M",2,3),0))*(0.001*0.0833)*Flag_Mort_Rider_Charge*(AT197&gt;0))</f>
        <v>0</v>
      </c>
      <c r="AO197" s="50">
        <f t="shared" ca="1" si="124"/>
        <v>0</v>
      </c>
      <c r="AP197" s="50">
        <f t="shared" ca="1" si="151"/>
        <v>0</v>
      </c>
      <c r="AQ197" s="50">
        <f t="shared" ca="1" si="125"/>
        <v>0</v>
      </c>
      <c r="AR197" s="50">
        <f t="shared" ca="1" si="126"/>
        <v>0</v>
      </c>
      <c r="AS197" s="50">
        <f t="shared" si="127"/>
        <v>0</v>
      </c>
      <c r="AT197" s="50">
        <f ca="1">(MAX((MAX(AS197,105%*SUM($AJ$7:AJ197))-AM197*Flag_UL_Type),0)*B197)</f>
        <v>0</v>
      </c>
      <c r="AU197" s="50">
        <f ca="1">(MAX(AS197,AR197,105%*SUM($AJ$7:AJ197))*B197)</f>
        <v>0</v>
      </c>
      <c r="AV197" s="125"/>
      <c r="AW197" s="13"/>
      <c r="AX197" s="13"/>
      <c r="AY197" s="13"/>
      <c r="AZ197" s="13"/>
      <c r="BA197" s="13"/>
      <c r="BG197" s="51">
        <f t="shared" si="128"/>
        <v>0</v>
      </c>
      <c r="BH197" s="51">
        <f t="shared" si="129"/>
        <v>0</v>
      </c>
      <c r="BI197" s="51">
        <f t="shared" ca="1" si="130"/>
        <v>0</v>
      </c>
      <c r="BJ197" s="51">
        <f t="shared" ca="1" si="131"/>
        <v>0</v>
      </c>
      <c r="BK197" s="51">
        <f t="shared" si="132"/>
        <v>0</v>
      </c>
      <c r="BL197" s="51">
        <f t="shared" ca="1" si="133"/>
        <v>0</v>
      </c>
      <c r="BM197" s="51">
        <f t="shared" si="134"/>
        <v>0</v>
      </c>
      <c r="BN197" s="51">
        <f t="shared" si="135"/>
        <v>0</v>
      </c>
      <c r="BO197" s="51">
        <f t="shared" ca="1" si="136"/>
        <v>0</v>
      </c>
      <c r="BP197" s="51">
        <f t="shared" ca="1" si="137"/>
        <v>0</v>
      </c>
      <c r="BQ197" s="120"/>
      <c r="BR197" s="32"/>
      <c r="BS197" s="126"/>
      <c r="BT197" s="16"/>
      <c r="BU197" s="58"/>
      <c r="BW197" s="51">
        <f>IF(Input!$C$13="Offline",VLOOKUP(H197,Charges!$AT$4:$AU$33,2,FALSE)*I197,0)</f>
        <v>0</v>
      </c>
      <c r="BX197" s="51">
        <f t="shared" si="138"/>
        <v>0</v>
      </c>
      <c r="BY197" s="51">
        <f t="shared" si="146"/>
        <v>0</v>
      </c>
      <c r="BZ197" s="151"/>
      <c r="CA197" s="151"/>
      <c r="CB197" s="32"/>
      <c r="CC197" s="16">
        <f ca="1">SUM($N$7:$N197)</f>
        <v>0</v>
      </c>
      <c r="CD197" s="16">
        <f t="shared" ca="1" si="139"/>
        <v>0</v>
      </c>
      <c r="CE197" s="16">
        <f t="shared" ca="1" si="140"/>
        <v>0</v>
      </c>
      <c r="CF197" s="7">
        <f t="shared" ca="1" si="141"/>
        <v>0</v>
      </c>
      <c r="CH197" s="7">
        <f t="shared" ca="1" si="142"/>
        <v>0</v>
      </c>
    </row>
    <row r="198" spans="2:86" s="7" customFormat="1" x14ac:dyDescent="0.2">
      <c r="B198" s="14">
        <f t="shared" si="106"/>
        <v>0</v>
      </c>
      <c r="C198" s="12">
        <f t="shared" si="107"/>
        <v>0</v>
      </c>
      <c r="D198" s="17">
        <f t="shared" si="147"/>
        <v>192</v>
      </c>
      <c r="E198" s="17">
        <f t="shared" ca="1" si="108"/>
        <v>75</v>
      </c>
      <c r="F198" s="12">
        <f t="shared" si="149"/>
        <v>11</v>
      </c>
      <c r="G198" s="12">
        <f t="shared" si="148"/>
        <v>32</v>
      </c>
      <c r="H198" s="17">
        <f t="shared" si="150"/>
        <v>16</v>
      </c>
      <c r="I198" s="29">
        <f t="shared" si="109"/>
        <v>0</v>
      </c>
      <c r="J198" s="211">
        <f>IFERROR(VLOOKUP(H198,Charges!$T$6:$U$35,2,0)*C198,0)</f>
        <v>0</v>
      </c>
      <c r="K198" s="29">
        <f t="shared" si="110"/>
        <v>0</v>
      </c>
      <c r="L198" s="29">
        <f t="shared" si="111"/>
        <v>0</v>
      </c>
      <c r="M198" s="147">
        <f t="shared" ca="1" si="112"/>
        <v>0</v>
      </c>
      <c r="N198" s="148">
        <f ca="1">IF(AND(Option_SPW="Y",H198&gt;=Lock_In_Period,Z197&gt;SPW_Amount_pa+IF(option="Single",1/5*pr,2*pr),H198&gt;=SPW_Start_Year,H198&lt;=SPW_Start_Year+SPW_Duration-1,age+H198&gt;=Legal_Age),IF(AND(F198=0,SPW_Payout_Freq=1),SPW_Amount_pa,IF(AND(SPW_Payout_Freq=2,MOD(F198,6)=0),SPW_Amount_pa/SPW_Payout_Freq,IF(AND(SPW_Payout_Freq=4,MOD(F198,3)=0),SPW_Amount_pa/SPW_Payout_Freq,IF(SPW_Payout_Freq=12,SPW_Amount_pa/SPW_Payout_Freq,0)))),0)+IFERROR(VLOOKUP(H198,Input!$B$68:$C$74,2,0),0)*(F198=0)*(Option_PW="Y")*(Option_SPW="N")*(age+H198&gt;=Legal_Age)</f>
        <v>0</v>
      </c>
      <c r="O198" s="148">
        <f t="shared" ca="1" si="113"/>
        <v>0</v>
      </c>
      <c r="P198" s="14">
        <f ca="1">(MAX(MAX(sa-CF197*Flag_UL_Type,105%*SUM($I$7:I198))-(AD197+L198-N198)*Flag_UL_Type,0)*B198)</f>
        <v>0</v>
      </c>
      <c r="Q198" s="213">
        <f t="shared" si="114"/>
        <v>0</v>
      </c>
      <c r="R198" s="14">
        <f t="shared" ca="1" si="115"/>
        <v>0</v>
      </c>
      <c r="S198" s="14">
        <f t="shared" ca="1" si="116"/>
        <v>0</v>
      </c>
      <c r="T198" s="14">
        <f>IFERROR(IF(WoP_Flag="Y",IF(fq=1,VLOOKUP(ppt*fq-H198,Charges!$AN$41:$AO$59,2,FALSE),IF(fq=2,VLOOKUP(ppt*fq-G198,Charges!$AP$41:$AQ$79,2,FALSE),VLOOKUP(ppt*fq-D198,Charges!$AR$41:$AS$279,2,FALSE)))*pr/fq,0),0)</f>
        <v>0</v>
      </c>
      <c r="U198" s="14">
        <f t="shared" ca="1" si="117"/>
        <v>0</v>
      </c>
      <c r="V198" s="34">
        <f>ROUND(MIN(IF(H198&gt;=7,Charges!$C$12*(1+Charges!$C$14)^((H198-7+1)),VLOOKUP(H198,Charges!$B$7:$C$12,2,0))*pr,Charges!$C$13)*B198,Round)</f>
        <v>0</v>
      </c>
      <c r="W198" s="14">
        <f t="shared" ca="1" si="118"/>
        <v>0</v>
      </c>
      <c r="X198" s="14">
        <f t="shared" ca="1" si="119"/>
        <v>0</v>
      </c>
      <c r="Y198" s="213">
        <f t="shared" ca="1" si="143"/>
        <v>0</v>
      </c>
      <c r="Z198" s="14">
        <f t="shared" ca="1" si="120"/>
        <v>0</v>
      </c>
      <c r="AA198" s="14">
        <f>IF(AND($H198=pt,$F198=11),SUM($K$7:K198)*VLOOKUP(pt,ROC,2,FALSE),0)</f>
        <v>0</v>
      </c>
      <c r="AB198" s="14">
        <f>IF(AND($H198=pt,$F198=11),SUM($V$7:V198)*VLOOKUP(pt,ROC,2,FALSE),0)</f>
        <v>0</v>
      </c>
      <c r="AC198" s="14">
        <f>IF(AND($H198=pt,$F198=11),SUM($Q$7:Q198)*VLOOKUP(pt,ROC,2,FALSE),0)</f>
        <v>0</v>
      </c>
      <c r="AD198" s="14">
        <f t="shared" ca="1" si="121"/>
        <v>0</v>
      </c>
      <c r="AE198" s="14">
        <f ca="1">(MAX(sa-CF197*Flag_UL_Type,105%*SUM($I$7:I198),Z198)+AU198)*B198</f>
        <v>0</v>
      </c>
      <c r="AF198" s="136"/>
      <c r="AG198" s="18">
        <v>192</v>
      </c>
      <c r="AH198" s="30">
        <f t="shared" ca="1" si="122"/>
        <v>0</v>
      </c>
      <c r="AI198" s="58"/>
      <c r="AJ198" s="50">
        <f>IF(AND(Option_Sys_TopUp&gt;="Y",H198&gt;=sytp,H198&lt;=(dtp+sytp-1),F198=0,H198&lt;=ppt+1),atp,0)+IFERROR(VLOOKUP(H198,Input!$B$55:$C$61,2,0),0)*(F198=0)*(Option_TopUP="Y")*(Option_Sys_TopUp="N")*B198*(pt&gt;=H198+5)</f>
        <v>0</v>
      </c>
      <c r="AK198" s="50">
        <f t="shared" si="123"/>
        <v>0</v>
      </c>
      <c r="AL198" s="50">
        <f t="shared" si="144"/>
        <v>0</v>
      </c>
      <c r="AM198" s="50">
        <f t="shared" ca="1" si="145"/>
        <v>0</v>
      </c>
      <c r="AN198" s="50">
        <f>IF(B198=0,0,AT198*(_rpm1+(1+_emr1)*VLOOKUP(E198,Tab_Mort_Charge,IF(Input!$C$12="M",2,3),0))*(0.001*0.0833)*Flag_Mort_Rider_Charge*(AT198&gt;0))</f>
        <v>0</v>
      </c>
      <c r="AO198" s="50">
        <f t="shared" ca="1" si="124"/>
        <v>0</v>
      </c>
      <c r="AP198" s="50">
        <f t="shared" ca="1" si="151"/>
        <v>0</v>
      </c>
      <c r="AQ198" s="50">
        <f t="shared" ca="1" si="125"/>
        <v>0</v>
      </c>
      <c r="AR198" s="50">
        <f t="shared" ca="1" si="126"/>
        <v>0</v>
      </c>
      <c r="AS198" s="50">
        <f t="shared" si="127"/>
        <v>0</v>
      </c>
      <c r="AT198" s="50">
        <f ca="1">(MAX((MAX(AS198,105%*SUM($AJ$7:AJ198))-AM198*Flag_UL_Type),0)*B198)</f>
        <v>0</v>
      </c>
      <c r="AU198" s="50">
        <f ca="1">(MAX(AS198,AR198,105%*SUM($AJ$7:AJ198))*B198)</f>
        <v>0</v>
      </c>
      <c r="AV198" s="125"/>
      <c r="AW198" s="13"/>
      <c r="AX198" s="13"/>
      <c r="AY198" s="13"/>
      <c r="AZ198" s="13"/>
      <c r="BA198" s="13"/>
      <c r="BG198" s="51">
        <f t="shared" si="128"/>
        <v>0</v>
      </c>
      <c r="BH198" s="51">
        <f t="shared" si="129"/>
        <v>0</v>
      </c>
      <c r="BI198" s="51">
        <f t="shared" ca="1" si="130"/>
        <v>0</v>
      </c>
      <c r="BJ198" s="51">
        <f t="shared" ca="1" si="131"/>
        <v>0</v>
      </c>
      <c r="BK198" s="51">
        <f t="shared" si="132"/>
        <v>0</v>
      </c>
      <c r="BL198" s="51">
        <f t="shared" ca="1" si="133"/>
        <v>0</v>
      </c>
      <c r="BM198" s="51">
        <f t="shared" si="134"/>
        <v>0</v>
      </c>
      <c r="BN198" s="51">
        <f t="shared" si="135"/>
        <v>0</v>
      </c>
      <c r="BO198" s="51">
        <f t="shared" ca="1" si="136"/>
        <v>0</v>
      </c>
      <c r="BP198" s="51">
        <f t="shared" ca="1" si="137"/>
        <v>0</v>
      </c>
      <c r="BQ198" s="120"/>
      <c r="BR198" s="32"/>
      <c r="BS198" s="126"/>
      <c r="BT198" s="16"/>
      <c r="BU198" s="58"/>
      <c r="BW198" s="51">
        <f>IF(Input!$C$13="Offline",VLOOKUP(H198,Charges!$AT$4:$AU$33,2,FALSE)*I198,0)</f>
        <v>0</v>
      </c>
      <c r="BX198" s="51">
        <f t="shared" si="138"/>
        <v>0</v>
      </c>
      <c r="BY198" s="51">
        <f t="shared" si="146"/>
        <v>0</v>
      </c>
      <c r="BZ198" s="151"/>
      <c r="CA198" s="151"/>
      <c r="CB198" s="32"/>
      <c r="CC198" s="16">
        <f ca="1">SUM($N$7:$N198)</f>
        <v>0</v>
      </c>
      <c r="CD198" s="16">
        <f t="shared" ca="1" si="139"/>
        <v>0</v>
      </c>
      <c r="CE198" s="16">
        <f t="shared" ca="1" si="140"/>
        <v>0</v>
      </c>
      <c r="CF198" s="7">
        <f t="shared" ca="1" si="141"/>
        <v>0</v>
      </c>
      <c r="CH198" s="7">
        <f t="shared" ca="1" si="142"/>
        <v>0</v>
      </c>
    </row>
    <row r="199" spans="2:86" s="7" customFormat="1" x14ac:dyDescent="0.2">
      <c r="B199" s="14">
        <f t="shared" ref="B199:B262" si="152">IF(H199&lt;=pt,1,0)</f>
        <v>0</v>
      </c>
      <c r="C199" s="12">
        <f t="shared" ref="C199:C262" si="153">IF(H199&lt;=ppt,1,0)</f>
        <v>0</v>
      </c>
      <c r="D199" s="17">
        <f t="shared" si="147"/>
        <v>193</v>
      </c>
      <c r="E199" s="17">
        <f t="shared" ref="E199:E262" ca="1" si="154">(age+(H199-1))</f>
        <v>76</v>
      </c>
      <c r="F199" s="12">
        <f t="shared" si="149"/>
        <v>0</v>
      </c>
      <c r="G199" s="12">
        <f t="shared" si="148"/>
        <v>33</v>
      </c>
      <c r="H199" s="17">
        <f t="shared" si="150"/>
        <v>17</v>
      </c>
      <c r="I199" s="29">
        <f t="shared" ref="I199:I262" si="155">IF(AND(H199&lt;=pt,H199&lt;=ppt,F199=0,fq=1),pr,IF(AND(H199&lt;=pt,H199&lt;=ppt,fq=2,MOD(F199,6)=0),pr/fq,IF(AND(H199&lt;=pt,H199&lt;=ppt,fq=12),pr/fq,0)))</f>
        <v>0</v>
      </c>
      <c r="J199" s="211">
        <f>IFERROR(VLOOKUP(H199,Charges!$T$6:$U$35,2,0)*C199,0)</f>
        <v>0</v>
      </c>
      <c r="K199" s="29">
        <f t="shared" ref="K199:K262" si="156">ROUND((100%-J199)*I199,Round)</f>
        <v>0</v>
      </c>
      <c r="L199" s="29">
        <f t="shared" ref="L199:L262" si="157">(I199-(K199+BG199*IF(Model_Type="Pricing_Unit",1,0)))*C199</f>
        <v>0</v>
      </c>
      <c r="M199" s="147">
        <f t="shared" ref="M199:M262" ca="1" si="158">IF(AND(OR(Option_PW="Y",Option_SPW="Y"),H199&gt;Lock_In_Period,H199&lt;=pt,(W199-IF(option="Single",1/5*pr,2*pr))&gt;0,(age+H199)&gt;=Legal_Age),(W198+L199-IF(option="Single",1/5*pr,2*pr)),0)</f>
        <v>0</v>
      </c>
      <c r="N199" s="148">
        <f ca="1">IF(AND(Option_SPW="Y",H199&gt;=Lock_In_Period,Z198&gt;SPW_Amount_pa+IF(option="Single",1/5*pr,2*pr),H199&gt;=SPW_Start_Year,H199&lt;=SPW_Start_Year+SPW_Duration-1,age+H199&gt;=Legal_Age),IF(AND(F199=0,SPW_Payout_Freq=1),SPW_Amount_pa,IF(AND(SPW_Payout_Freq=2,MOD(F199,6)=0),SPW_Amount_pa/SPW_Payout_Freq,IF(AND(SPW_Payout_Freq=4,MOD(F199,3)=0),SPW_Amount_pa/SPW_Payout_Freq,IF(SPW_Payout_Freq=12,SPW_Amount_pa/SPW_Payout_Freq,0)))),0)+IFERROR(VLOOKUP(H199,Input!$B$68:$C$74,2,0),0)*(F199=0)*(Option_PW="Y")*(Option_SPW="N")*(age+H199&gt;=Legal_Age)</f>
        <v>0</v>
      </c>
      <c r="O199" s="148">
        <f t="shared" ref="O199:O262" ca="1" si="159">IF(N199&lt;=M199,0,1)</f>
        <v>0</v>
      </c>
      <c r="P199" s="14">
        <f ca="1">(MAX(MAX(sa-CF198*Flag_UL_Type,105%*SUM($I$7:I199))-(AD198+L199-N199)*Flag_UL_Type,0)*B199)</f>
        <v>0</v>
      </c>
      <c r="Q199" s="213">
        <f t="shared" ref="Q199:Q262" si="160">IF(B199=0,0,ROUND(P199*(_rpm1+(1+_emr1)*VLOOKUP(E199,Tab_Mort_Charge,IF(Gender="M",2,3),0))*Flag_Mort_Rider_Charge*(P199&gt;0),Round))*(0.001*IF(Model_Type="LA_PQIS",0.0833,(1/12)))</f>
        <v>0</v>
      </c>
      <c r="R199" s="14">
        <f t="shared" ref="R199:R262" ca="1" si="161">IF(AND(B199,ADB_Flag="Y",age&lt;=ADB_MAX_AGE,age&gt;=ADB_MIN_AGE,E199&lt;=age+pt),sa_adb,0)</f>
        <v>0</v>
      </c>
      <c r="S199" s="14">
        <f t="shared" ref="S199:S262" ca="1" si="162">ROUND((adb_rate*(1+adb_emr)+adb_rpm)*R199*(0.001*IF(Model_Type="LA_PQIS",0.0833,(1/12)))*Flag_Mort_Rider_Charge*IF(age+H199-1&lt;=Max_Maturity_Age,1,0),Round)</f>
        <v>0</v>
      </c>
      <c r="T199" s="14">
        <f>IFERROR(IF(WoP_Flag="Y",IF(fq=1,VLOOKUP(ppt*fq-H199,Charges!$AN$41:$AO$59,2,FALSE),IF(fq=2,VLOOKUP(ppt*fq-G199,Charges!$AP$41:$AQ$79,2,FALSE),VLOOKUP(ppt*fq-D199,Charges!$AR$41:$AS$279,2,FALSE)))*pr/fq,0),0)</f>
        <v>0</v>
      </c>
      <c r="U199" s="14">
        <f t="shared" ref="U199:U262" ca="1" si="163">IFERROR(((T199*(VLOOKUP(age_2+H199-1,Tab_Mort_Charge,IF(Gender_2="M",2,3),FALSE)*(1+_emr2)+_rpm2)/IF(Model_Type="LA_PQIS",1000/0.0833,(12*1000))))*Flag_Mort_Rider_Charge*(T199&gt;0),0)</f>
        <v>0</v>
      </c>
      <c r="V199" s="34">
        <f>ROUND(MIN(IF(H199&gt;=7,Charges!$C$12*(1+Charges!$C$14)^((H199-7+1)),VLOOKUP(H199,Charges!$B$7:$C$12,2,0))*pr,Charges!$C$13)*B199,Round)</f>
        <v>0</v>
      </c>
      <c r="W199" s="14">
        <f t="shared" ref="W199:W262" ca="1" si="164">+(AD198+L199-(N199+Q199+S199+U199+V199+BG199*IF(Model_Type="La_PQIS",1,0)+BH199+BK199+BJ199+BI199+BM199*IF(Model_Type="La_PQIS",1,0)))*B199</f>
        <v>0</v>
      </c>
      <c r="X199" s="14">
        <f t="shared" ref="X199:X262" ca="1" si="165">W199*(1+$F$3)</f>
        <v>0</v>
      </c>
      <c r="Y199" s="213">
        <f t="shared" ca="1" si="143"/>
        <v>0</v>
      </c>
      <c r="Z199" s="14">
        <f t="shared" ref="Z199:Z262" ca="1" si="166">X199-(Y199+BL199)</f>
        <v>0</v>
      </c>
      <c r="AA199" s="14">
        <f>IF(AND($H199=pt,$F199=11),SUM($K$7:K199)*VLOOKUP(pt,ROC,2,FALSE),0)</f>
        <v>0</v>
      </c>
      <c r="AB199" s="14">
        <f>IF(AND($H199=pt,$F199=11),SUM($V$7:V199)*VLOOKUP(pt,ROC,2,FALSE),0)</f>
        <v>0</v>
      </c>
      <c r="AC199" s="14">
        <f>IF(AND($H199=pt,$F199=11),SUM($Q$7:Q199)*VLOOKUP(pt,ROC,2,FALSE),0)</f>
        <v>0</v>
      </c>
      <c r="AD199" s="14">
        <f t="shared" ref="AD199:AD262" ca="1" si="167">Z199+AA199+AB199+AC199</f>
        <v>0</v>
      </c>
      <c r="AE199" s="14">
        <f ca="1">(MAX(sa-CF198*Flag_UL_Type,105%*SUM($I$7:I199),Z199)+AU199)*B199</f>
        <v>0</v>
      </c>
      <c r="AF199" s="136"/>
      <c r="AG199" s="18">
        <v>193</v>
      </c>
      <c r="AH199" s="30">
        <f t="shared" ref="AH199:AH262" ca="1" si="168">(I199+AJ199)-IF(AG199=pt*12+1,AD198,0)-IF(AG199=pt*12+1,AR198,0)-N199</f>
        <v>0</v>
      </c>
      <c r="AI199" s="58"/>
      <c r="AJ199" s="50">
        <f>IF(AND(Option_Sys_TopUp&gt;="Y",H199&gt;=sytp,H199&lt;=(dtp+sytp-1),F199=0,H199&lt;=ppt+1),atp,0)+IFERROR(VLOOKUP(H199,Input!$B$55:$C$61,2,0),0)*(F199=0)*(Option_TopUP="Y")*(Option_Sys_TopUp="N")*B199*(pt&gt;=H199+5)</f>
        <v>0</v>
      </c>
      <c r="AK199" s="50">
        <f t="shared" ref="AK199:AK262" si="169">ROUND(allctp*AJ199,0)</f>
        <v>0</v>
      </c>
      <c r="AL199" s="50">
        <f t="shared" si="144"/>
        <v>0</v>
      </c>
      <c r="AM199" s="50">
        <f t="shared" ca="1" si="145"/>
        <v>0</v>
      </c>
      <c r="AN199" s="50">
        <f>IF(B199=0,0,AT199*(_rpm1+(1+_emr1)*VLOOKUP(E199,Tab_Mort_Charge,IF(Input!$C$12="M",2,3),0))*(0.001*0.0833)*Flag_Mort_Rider_Charge*(AT199&gt;0))</f>
        <v>0</v>
      </c>
      <c r="AO199" s="50">
        <f t="shared" ref="AO199:AO262" ca="1" si="170">AM199-AN199-BM199*1-BN199*1</f>
        <v>0</v>
      </c>
      <c r="AP199" s="50">
        <f t="shared" ca="1" si="151"/>
        <v>0</v>
      </c>
      <c r="AQ199" s="50">
        <f t="shared" ref="AQ199:AQ262" ca="1" si="171">AP199*$Y$2</f>
        <v>0</v>
      </c>
      <c r="AR199" s="50">
        <f t="shared" ref="AR199:AR262" ca="1" si="172">AP199-(AQ199+BO199)</f>
        <v>0</v>
      </c>
      <c r="AS199" s="50">
        <f t="shared" ref="AS199:AS262" si="173">(AJ199*TOPUP_Cover_Level+AS198)*B199</f>
        <v>0</v>
      </c>
      <c r="AT199" s="50">
        <f ca="1">(MAX((MAX(AS199,105%*SUM($AJ$7:AJ199))-AM199*Flag_UL_Type),0)*B199)</f>
        <v>0</v>
      </c>
      <c r="AU199" s="50">
        <f ca="1">(MAX(AS199,AR199,105%*SUM($AJ$7:AJ199))*B199)</f>
        <v>0</v>
      </c>
      <c r="AV199" s="125"/>
      <c r="AW199" s="13"/>
      <c r="AX199" s="13"/>
      <c r="AY199" s="13"/>
      <c r="AZ199" s="13"/>
      <c r="BA199" s="13"/>
      <c r="BG199" s="51">
        <f t="shared" ref="BG199:BG262" si="174">ROUND(K199*Service_Tax_Rate*Flag_Service_Tax,Round)+ROUND(K199*Cess1_Rate*Flag_Service_Tax,Round)+ROUND(K199*Cess2_Rate*Flag_Service_Tax,Round)</f>
        <v>0</v>
      </c>
      <c r="BH199" s="51">
        <f t="shared" ref="BH199:BH246" si="175">ROUND(Q199*Service_Tax_Rate*Flag_Service_Tax,Round)+ROUND(Q199*Cess1_Rate*Flag_Service_Tax,Round)+ROUND(Q199*Cess2_Rate*Flag_Service_Tax,Round)</f>
        <v>0</v>
      </c>
      <c r="BI199" s="51">
        <f t="shared" ref="BI199:BI262" ca="1" si="176">ROUND(S199*Service_Tax_Rate*Flag_Service_Tax,Round)+ROUND(S199*Cess1_Rate*Flag_Service_Tax,Round)+ROUND(S199*Cess2_Rate*Flag_Service_Tax,Round)</f>
        <v>0</v>
      </c>
      <c r="BJ199" s="51">
        <f t="shared" ref="BJ199:BJ262" ca="1" si="177">ROUND(U199*Service_Tax_Rate*Flag_Service_Tax,Round)+ROUND(U199*Cess1_Rate*Flag_Service_Tax,Round)+ROUND(U199*Cess2_Rate*Flag_Service_Tax,2)</f>
        <v>0</v>
      </c>
      <c r="BK199" s="51">
        <f t="shared" ref="BK199:BK262" si="178">ROUND(V199*Service_Tax_Rate*Flag_Service_Tax,Round)+ROUND(V199*Cess1_Rate*Flag_Service_Tax,Round)+ROUND(V199*Cess2_Rate*Flag_Service_Tax,Round)</f>
        <v>0</v>
      </c>
      <c r="BL199" s="51">
        <f t="shared" ref="BL199:BL262" ca="1" si="179">Y199*Service_Tax_Rate*Flag_Service_Tax+Y199*Cess1_Rate*Flag_Service_Tax+Y199*Cess2_Rate*Flag_Service_Tax</f>
        <v>0</v>
      </c>
      <c r="BM199" s="51">
        <f t="shared" ref="BM199:BM262" si="180">ROUND(AK199*Service_Tax_Rate*Flag_Service_Tax,Round)+ROUND(AK199*Cess1_Rate*Flag_Service_Tax,Round)+ROUND(AK199*Cess2_Rate*Flag_Service_Tax,Round)</f>
        <v>0</v>
      </c>
      <c r="BN199" s="51">
        <f t="shared" ref="BN199:BN246" si="181">ROUND(AN199*Service_Tax_Rate*Flag_Service_Tax,Round)+ROUND(AN199*Cess1_Rate*Flag_Service_Tax,Round)+ROUND(AN199*Cess2_Rate*Flag_Service_Tax,Round)</f>
        <v>0</v>
      </c>
      <c r="BO199" s="51">
        <f t="shared" ref="BO199:BO262" ca="1" si="182">AQ199*Service_Tax_Rate*Flag_Service_Tax+AQ199*Cess1_Rate*Flag_Service_Tax+AQ199*Cess2_Rate*Flag_Service_Tax</f>
        <v>0</v>
      </c>
      <c r="BP199" s="51">
        <f t="shared" ref="BP199:BP262" ca="1" si="183">SUM(BG199:BO199)</f>
        <v>0</v>
      </c>
      <c r="BQ199" s="120"/>
      <c r="BR199" s="32"/>
      <c r="BS199" s="126"/>
      <c r="BT199" s="16"/>
      <c r="BU199" s="58"/>
      <c r="BW199" s="51">
        <f>IF(Input!$C$13="Offline",VLOOKUP(H199,Charges!$AT$4:$AU$33,2,FALSE)*I199,0)</f>
        <v>0</v>
      </c>
      <c r="BX199" s="51">
        <f t="shared" ref="BX199:BX262" si="184">AJ199*Commission_TOPUP</f>
        <v>0</v>
      </c>
      <c r="BY199" s="51">
        <f t="shared" si="146"/>
        <v>0</v>
      </c>
      <c r="BZ199" s="151"/>
      <c r="CA199" s="151"/>
      <c r="CB199" s="32"/>
      <c r="CC199" s="16">
        <f ca="1">SUM($N$7:$N199)</f>
        <v>0</v>
      </c>
      <c r="CD199" s="16">
        <f t="shared" ref="CD199:CD262" ca="1" si="185">IF(AND((B199=1)*(H199&gt;Lock_In_Period)),CC199-INDEX($CC$7:$CC$367,D199-24,1),0)*(E199&lt;60)</f>
        <v>0</v>
      </c>
      <c r="CE199" s="16">
        <f t="shared" ref="CE199:CE262" ca="1" si="186">(B199=1)*(H199&gt;Lock_In_Period)*(E199&gt;=60)*IFERROR((CC199-INDEX($CC$7:$CC$367,D199-24,1)),0)</f>
        <v>0</v>
      </c>
      <c r="CF199" s="7">
        <f t="shared" ref="CF199:CF262" ca="1" si="187">IF(E199&lt;60,CD199,CE199)</f>
        <v>0</v>
      </c>
      <c r="CH199" s="7">
        <f t="shared" ref="CH199:CH262" ca="1" si="188">IF(Z198&gt;(IF(option="SP",1/5*pr,2*pr)),0,1)*(H199&gt;=SPW_Start_Year)*B199</f>
        <v>0</v>
      </c>
    </row>
    <row r="200" spans="2:86" s="7" customFormat="1" x14ac:dyDescent="0.2">
      <c r="B200" s="14">
        <f t="shared" si="152"/>
        <v>0</v>
      </c>
      <c r="C200" s="12">
        <f t="shared" si="153"/>
        <v>0</v>
      </c>
      <c r="D200" s="17">
        <f t="shared" si="147"/>
        <v>194</v>
      </c>
      <c r="E200" s="17">
        <f t="shared" ca="1" si="154"/>
        <v>76</v>
      </c>
      <c r="F200" s="12">
        <f t="shared" si="149"/>
        <v>1</v>
      </c>
      <c r="G200" s="12">
        <f t="shared" si="148"/>
        <v>33</v>
      </c>
      <c r="H200" s="17">
        <f t="shared" si="150"/>
        <v>17</v>
      </c>
      <c r="I200" s="29">
        <f t="shared" si="155"/>
        <v>0</v>
      </c>
      <c r="J200" s="211">
        <f>IFERROR(VLOOKUP(H200,Charges!$T$6:$U$35,2,0)*C200,0)</f>
        <v>0</v>
      </c>
      <c r="K200" s="29">
        <f t="shared" si="156"/>
        <v>0</v>
      </c>
      <c r="L200" s="29">
        <f t="shared" si="157"/>
        <v>0</v>
      </c>
      <c r="M200" s="147">
        <f t="shared" ca="1" si="158"/>
        <v>0</v>
      </c>
      <c r="N200" s="148">
        <f ca="1">IF(AND(Option_SPW="Y",H200&gt;=Lock_In_Period,Z199&gt;SPW_Amount_pa+IF(option="Single",1/5*pr,2*pr),H200&gt;=SPW_Start_Year,H200&lt;=SPW_Start_Year+SPW_Duration-1,age+H200&gt;=Legal_Age),IF(AND(F200=0,SPW_Payout_Freq=1),SPW_Amount_pa,IF(AND(SPW_Payout_Freq=2,MOD(F200,6)=0),SPW_Amount_pa/SPW_Payout_Freq,IF(AND(SPW_Payout_Freq=4,MOD(F200,3)=0),SPW_Amount_pa/SPW_Payout_Freq,IF(SPW_Payout_Freq=12,SPW_Amount_pa/SPW_Payout_Freq,0)))),0)+IFERROR(VLOOKUP(H200,Input!$B$68:$C$74,2,0),0)*(F200=0)*(Option_PW="Y")*(Option_SPW="N")*(age+H200&gt;=Legal_Age)</f>
        <v>0</v>
      </c>
      <c r="O200" s="148">
        <f t="shared" ca="1" si="159"/>
        <v>0</v>
      </c>
      <c r="P200" s="14">
        <f ca="1">(MAX(MAX(sa-CF199*Flag_UL_Type,105%*SUM($I$7:I200))-(AD199+L200-N200)*Flag_UL_Type,0)*B200)</f>
        <v>0</v>
      </c>
      <c r="Q200" s="213">
        <f t="shared" si="160"/>
        <v>0</v>
      </c>
      <c r="R200" s="14">
        <f t="shared" ca="1" si="161"/>
        <v>0</v>
      </c>
      <c r="S200" s="14">
        <f t="shared" ca="1" si="162"/>
        <v>0</v>
      </c>
      <c r="T200" s="14">
        <f>IFERROR(IF(WoP_Flag="Y",IF(fq=1,VLOOKUP(ppt*fq-H200,Charges!$AN$41:$AO$59,2,FALSE),IF(fq=2,VLOOKUP(ppt*fq-G200,Charges!$AP$41:$AQ$79,2,FALSE),VLOOKUP(ppt*fq-D200,Charges!$AR$41:$AS$279,2,FALSE)))*pr/fq,0),0)</f>
        <v>0</v>
      </c>
      <c r="U200" s="14">
        <f t="shared" ca="1" si="163"/>
        <v>0</v>
      </c>
      <c r="V200" s="34">
        <f>ROUND(MIN(IF(H200&gt;=7,Charges!$C$12*(1+Charges!$C$14)^((H200-7+1)),VLOOKUP(H200,Charges!$B$7:$C$12,2,0))*pr,Charges!$C$13)*B200,Round)</f>
        <v>0</v>
      </c>
      <c r="W200" s="14">
        <f t="shared" ca="1" si="164"/>
        <v>0</v>
      </c>
      <c r="X200" s="14">
        <f t="shared" ca="1" si="165"/>
        <v>0</v>
      </c>
      <c r="Y200" s="213">
        <f t="shared" ref="Y200:Y263" ca="1" si="189">X200*$Y$2</f>
        <v>0</v>
      </c>
      <c r="Z200" s="14">
        <f t="shared" ca="1" si="166"/>
        <v>0</v>
      </c>
      <c r="AA200" s="14">
        <f>IF(AND($H200=pt,$F200=11),SUM($K$7:K200)*VLOOKUP(pt,ROC,2,FALSE),0)</f>
        <v>0</v>
      </c>
      <c r="AB200" s="14">
        <f>IF(AND($H200=pt,$F200=11),SUM($V$7:V200)*VLOOKUP(pt,ROC,2,FALSE),0)</f>
        <v>0</v>
      </c>
      <c r="AC200" s="14">
        <f>IF(AND($H200=pt,$F200=11),SUM($Q$7:Q200)*VLOOKUP(pt,ROC,2,FALSE),0)</f>
        <v>0</v>
      </c>
      <c r="AD200" s="14">
        <f t="shared" ca="1" si="167"/>
        <v>0</v>
      </c>
      <c r="AE200" s="14">
        <f ca="1">(MAX(sa-CF199*Flag_UL_Type,105%*SUM($I$7:I200),Z200)+AU200)*B200</f>
        <v>0</v>
      </c>
      <c r="AF200" s="136"/>
      <c r="AG200" s="18">
        <v>194</v>
      </c>
      <c r="AH200" s="30">
        <f t="shared" ca="1" si="168"/>
        <v>0</v>
      </c>
      <c r="AI200" s="58"/>
      <c r="AJ200" s="50">
        <f>IF(AND(Option_Sys_TopUp&gt;="Y",H200&gt;=sytp,H200&lt;=(dtp+sytp-1),F200=0,H200&lt;=ppt+1),atp,0)+IFERROR(VLOOKUP(H200,Input!$B$55:$C$61,2,0),0)*(F200=0)*(Option_TopUP="Y")*(Option_Sys_TopUp="N")*B200*(pt&gt;=H200+5)</f>
        <v>0</v>
      </c>
      <c r="AK200" s="50">
        <f t="shared" si="169"/>
        <v>0</v>
      </c>
      <c r="AL200" s="50">
        <f t="shared" ref="AL200:AL263" si="190">AJ200-(AK200+BM200*0)</f>
        <v>0</v>
      </c>
      <c r="AM200" s="50">
        <f t="shared" ref="AM200:AM263" ca="1" si="191">AR199+AL200</f>
        <v>0</v>
      </c>
      <c r="AN200" s="50">
        <f>IF(B200=0,0,AT200*(_rpm1+(1+_emr1)*VLOOKUP(E200,Tab_Mort_Charge,IF(Input!$C$12="M",2,3),0))*(0.001*0.0833)*Flag_Mort_Rider_Charge*(AT200&gt;0))</f>
        <v>0</v>
      </c>
      <c r="AO200" s="50">
        <f t="shared" ca="1" si="170"/>
        <v>0</v>
      </c>
      <c r="AP200" s="50">
        <f t="shared" ca="1" si="151"/>
        <v>0</v>
      </c>
      <c r="AQ200" s="50">
        <f t="shared" ca="1" si="171"/>
        <v>0</v>
      </c>
      <c r="AR200" s="50">
        <f t="shared" ca="1" si="172"/>
        <v>0</v>
      </c>
      <c r="AS200" s="50">
        <f t="shared" si="173"/>
        <v>0</v>
      </c>
      <c r="AT200" s="50">
        <f ca="1">(MAX((MAX(AS200,105%*SUM($AJ$7:AJ200))-AM200*Flag_UL_Type),0)*B200)</f>
        <v>0</v>
      </c>
      <c r="AU200" s="50">
        <f ca="1">(MAX(AS200,AR200,105%*SUM($AJ$7:AJ200))*B200)</f>
        <v>0</v>
      </c>
      <c r="AV200" s="125"/>
      <c r="AW200" s="13"/>
      <c r="AX200" s="13"/>
      <c r="AY200" s="13"/>
      <c r="AZ200" s="13"/>
      <c r="BA200" s="13"/>
      <c r="BG200" s="51">
        <f t="shared" si="174"/>
        <v>0</v>
      </c>
      <c r="BH200" s="51">
        <f t="shared" si="175"/>
        <v>0</v>
      </c>
      <c r="BI200" s="51">
        <f t="shared" ca="1" si="176"/>
        <v>0</v>
      </c>
      <c r="BJ200" s="51">
        <f t="shared" ca="1" si="177"/>
        <v>0</v>
      </c>
      <c r="BK200" s="51">
        <f t="shared" si="178"/>
        <v>0</v>
      </c>
      <c r="BL200" s="51">
        <f t="shared" ca="1" si="179"/>
        <v>0</v>
      </c>
      <c r="BM200" s="51">
        <f t="shared" si="180"/>
        <v>0</v>
      </c>
      <c r="BN200" s="51">
        <f t="shared" si="181"/>
        <v>0</v>
      </c>
      <c r="BO200" s="51">
        <f t="shared" ca="1" si="182"/>
        <v>0</v>
      </c>
      <c r="BP200" s="51">
        <f t="shared" ca="1" si="183"/>
        <v>0</v>
      </c>
      <c r="BQ200" s="120"/>
      <c r="BR200" s="32"/>
      <c r="BS200" s="126"/>
      <c r="BT200" s="16"/>
      <c r="BU200" s="58"/>
      <c r="BW200" s="51">
        <f>IF(Input!$C$13="Offline",VLOOKUP(H200,Charges!$AT$4:$AU$33,2,FALSE)*I200,0)</f>
        <v>0</v>
      </c>
      <c r="BX200" s="51">
        <f t="shared" si="184"/>
        <v>0</v>
      </c>
      <c r="BY200" s="51">
        <f t="shared" ref="BY200:BY263" si="192">SUM(BW200:BX200)</f>
        <v>0</v>
      </c>
      <c r="BZ200" s="151"/>
      <c r="CA200" s="151"/>
      <c r="CB200" s="32"/>
      <c r="CC200" s="16">
        <f ca="1">SUM($N$7:$N200)</f>
        <v>0</v>
      </c>
      <c r="CD200" s="16">
        <f t="shared" ca="1" si="185"/>
        <v>0</v>
      </c>
      <c r="CE200" s="16">
        <f t="shared" ca="1" si="186"/>
        <v>0</v>
      </c>
      <c r="CF200" s="7">
        <f t="shared" ca="1" si="187"/>
        <v>0</v>
      </c>
      <c r="CH200" s="7">
        <f t="shared" ca="1" si="188"/>
        <v>0</v>
      </c>
    </row>
    <row r="201" spans="2:86" s="7" customFormat="1" x14ac:dyDescent="0.2">
      <c r="B201" s="14">
        <f t="shared" si="152"/>
        <v>0</v>
      </c>
      <c r="C201" s="12">
        <f t="shared" si="153"/>
        <v>0</v>
      </c>
      <c r="D201" s="17">
        <f t="shared" ref="D201:D264" si="193">D200+1</f>
        <v>195</v>
      </c>
      <c r="E201" s="17">
        <f t="shared" ca="1" si="154"/>
        <v>76</v>
      </c>
      <c r="F201" s="12">
        <f t="shared" si="149"/>
        <v>2</v>
      </c>
      <c r="G201" s="12">
        <f t="shared" si="148"/>
        <v>33</v>
      </c>
      <c r="H201" s="17">
        <f t="shared" si="150"/>
        <v>17</v>
      </c>
      <c r="I201" s="29">
        <f t="shared" si="155"/>
        <v>0</v>
      </c>
      <c r="J201" s="211">
        <f>IFERROR(VLOOKUP(H201,Charges!$T$6:$U$35,2,0)*C201,0)</f>
        <v>0</v>
      </c>
      <c r="K201" s="29">
        <f t="shared" si="156"/>
        <v>0</v>
      </c>
      <c r="L201" s="29">
        <f t="shared" si="157"/>
        <v>0</v>
      </c>
      <c r="M201" s="147">
        <f t="shared" ca="1" si="158"/>
        <v>0</v>
      </c>
      <c r="N201" s="148">
        <f ca="1">IF(AND(Option_SPW="Y",H201&gt;=Lock_In_Period,Z200&gt;SPW_Amount_pa+IF(option="Single",1/5*pr,2*pr),H201&gt;=SPW_Start_Year,H201&lt;=SPW_Start_Year+SPW_Duration-1,age+H201&gt;=Legal_Age),IF(AND(F201=0,SPW_Payout_Freq=1),SPW_Amount_pa,IF(AND(SPW_Payout_Freq=2,MOD(F201,6)=0),SPW_Amount_pa/SPW_Payout_Freq,IF(AND(SPW_Payout_Freq=4,MOD(F201,3)=0),SPW_Amount_pa/SPW_Payout_Freq,IF(SPW_Payout_Freq=12,SPW_Amount_pa/SPW_Payout_Freq,0)))),0)+IFERROR(VLOOKUP(H201,Input!$B$68:$C$74,2,0),0)*(F201=0)*(Option_PW="Y")*(Option_SPW="N")*(age+H201&gt;=Legal_Age)</f>
        <v>0</v>
      </c>
      <c r="O201" s="148">
        <f t="shared" ca="1" si="159"/>
        <v>0</v>
      </c>
      <c r="P201" s="14">
        <f ca="1">(MAX(MAX(sa-CF200*Flag_UL_Type,105%*SUM($I$7:I201))-(AD200+L201-N201)*Flag_UL_Type,0)*B201)</f>
        <v>0</v>
      </c>
      <c r="Q201" s="213">
        <f t="shared" si="160"/>
        <v>0</v>
      </c>
      <c r="R201" s="14">
        <f t="shared" ca="1" si="161"/>
        <v>0</v>
      </c>
      <c r="S201" s="14">
        <f t="shared" ca="1" si="162"/>
        <v>0</v>
      </c>
      <c r="T201" s="14">
        <f>IFERROR(IF(WoP_Flag="Y",IF(fq=1,VLOOKUP(ppt*fq-H201,Charges!$AN$41:$AO$59,2,FALSE),IF(fq=2,VLOOKUP(ppt*fq-G201,Charges!$AP$41:$AQ$79,2,FALSE),VLOOKUP(ppt*fq-D201,Charges!$AR$41:$AS$279,2,FALSE)))*pr/fq,0),0)</f>
        <v>0</v>
      </c>
      <c r="U201" s="14">
        <f t="shared" ca="1" si="163"/>
        <v>0</v>
      </c>
      <c r="V201" s="34">
        <f>ROUND(MIN(IF(H201&gt;=7,Charges!$C$12*(1+Charges!$C$14)^((H201-7+1)),VLOOKUP(H201,Charges!$B$7:$C$12,2,0))*pr,Charges!$C$13)*B201,Round)</f>
        <v>0</v>
      </c>
      <c r="W201" s="14">
        <f t="shared" ca="1" si="164"/>
        <v>0</v>
      </c>
      <c r="X201" s="14">
        <f t="shared" ca="1" si="165"/>
        <v>0</v>
      </c>
      <c r="Y201" s="213">
        <f t="shared" ca="1" si="189"/>
        <v>0</v>
      </c>
      <c r="Z201" s="14">
        <f t="shared" ca="1" si="166"/>
        <v>0</v>
      </c>
      <c r="AA201" s="14">
        <f>IF(AND($H201=pt,$F201=11),SUM($K$7:K201)*VLOOKUP(pt,ROC,2,FALSE),0)</f>
        <v>0</v>
      </c>
      <c r="AB201" s="14">
        <f>IF(AND($H201=pt,$F201=11),SUM($V$7:V201)*VLOOKUP(pt,ROC,2,FALSE),0)</f>
        <v>0</v>
      </c>
      <c r="AC201" s="14">
        <f>IF(AND($H201=pt,$F201=11),SUM($Q$7:Q201)*VLOOKUP(pt,ROC,2,FALSE),0)</f>
        <v>0</v>
      </c>
      <c r="AD201" s="14">
        <f t="shared" ca="1" si="167"/>
        <v>0</v>
      </c>
      <c r="AE201" s="14">
        <f ca="1">(MAX(sa-CF200*Flag_UL_Type,105%*SUM($I$7:I201),Z201)+AU201)*B201</f>
        <v>0</v>
      </c>
      <c r="AF201" s="136"/>
      <c r="AG201" s="18">
        <v>195</v>
      </c>
      <c r="AH201" s="30">
        <f t="shared" ca="1" si="168"/>
        <v>0</v>
      </c>
      <c r="AI201" s="58"/>
      <c r="AJ201" s="50">
        <f>IF(AND(Option_Sys_TopUp&gt;="Y",H201&gt;=sytp,H201&lt;=(dtp+sytp-1),F201=0,H201&lt;=ppt+1),atp,0)+IFERROR(VLOOKUP(H201,Input!$B$55:$C$61,2,0),0)*(F201=0)*(Option_TopUP="Y")*(Option_Sys_TopUp="N")*B201*(pt&gt;=H201+5)</f>
        <v>0</v>
      </c>
      <c r="AK201" s="50">
        <f t="shared" si="169"/>
        <v>0</v>
      </c>
      <c r="AL201" s="50">
        <f t="shared" si="190"/>
        <v>0</v>
      </c>
      <c r="AM201" s="50">
        <f t="shared" ca="1" si="191"/>
        <v>0</v>
      </c>
      <c r="AN201" s="50">
        <f>IF(B201=0,0,AT201*(_rpm1+(1+_emr1)*VLOOKUP(E201,Tab_Mort_Charge,IF(Input!$C$12="M",2,3),0))*(0.001*0.0833)*Flag_Mort_Rider_Charge*(AT201&gt;0))</f>
        <v>0</v>
      </c>
      <c r="AO201" s="50">
        <f t="shared" ca="1" si="170"/>
        <v>0</v>
      </c>
      <c r="AP201" s="50">
        <f t="shared" ca="1" si="151"/>
        <v>0</v>
      </c>
      <c r="AQ201" s="50">
        <f t="shared" ca="1" si="171"/>
        <v>0</v>
      </c>
      <c r="AR201" s="50">
        <f t="shared" ca="1" si="172"/>
        <v>0</v>
      </c>
      <c r="AS201" s="50">
        <f t="shared" si="173"/>
        <v>0</v>
      </c>
      <c r="AT201" s="50">
        <f ca="1">(MAX((MAX(AS201,105%*SUM($AJ$7:AJ201))-AM201*Flag_UL_Type),0)*B201)</f>
        <v>0</v>
      </c>
      <c r="AU201" s="50">
        <f ca="1">(MAX(AS201,AR201,105%*SUM($AJ$7:AJ201))*B201)</f>
        <v>0</v>
      </c>
      <c r="AV201" s="125"/>
      <c r="AW201" s="13"/>
      <c r="AX201" s="13"/>
      <c r="AY201" s="13"/>
      <c r="AZ201" s="13"/>
      <c r="BA201" s="13"/>
      <c r="BG201" s="51">
        <f t="shared" si="174"/>
        <v>0</v>
      </c>
      <c r="BH201" s="51">
        <f t="shared" si="175"/>
        <v>0</v>
      </c>
      <c r="BI201" s="51">
        <f t="shared" ca="1" si="176"/>
        <v>0</v>
      </c>
      <c r="BJ201" s="51">
        <f t="shared" ca="1" si="177"/>
        <v>0</v>
      </c>
      <c r="BK201" s="51">
        <f t="shared" si="178"/>
        <v>0</v>
      </c>
      <c r="BL201" s="51">
        <f t="shared" ca="1" si="179"/>
        <v>0</v>
      </c>
      <c r="BM201" s="51">
        <f t="shared" si="180"/>
        <v>0</v>
      </c>
      <c r="BN201" s="51">
        <f t="shared" si="181"/>
        <v>0</v>
      </c>
      <c r="BO201" s="51">
        <f t="shared" ca="1" si="182"/>
        <v>0</v>
      </c>
      <c r="BP201" s="51">
        <f t="shared" ca="1" si="183"/>
        <v>0</v>
      </c>
      <c r="BQ201" s="120"/>
      <c r="BR201" s="32"/>
      <c r="BS201" s="126"/>
      <c r="BT201" s="16"/>
      <c r="BU201" s="58"/>
      <c r="BW201" s="51">
        <f>IF(Input!$C$13="Offline",VLOOKUP(H201,Charges!$AT$4:$AU$33,2,FALSE)*I201,0)</f>
        <v>0</v>
      </c>
      <c r="BX201" s="51">
        <f t="shared" si="184"/>
        <v>0</v>
      </c>
      <c r="BY201" s="51">
        <f t="shared" si="192"/>
        <v>0</v>
      </c>
      <c r="BZ201" s="151"/>
      <c r="CA201" s="151"/>
      <c r="CB201" s="32"/>
      <c r="CC201" s="16">
        <f ca="1">SUM($N$7:$N201)</f>
        <v>0</v>
      </c>
      <c r="CD201" s="16">
        <f t="shared" ca="1" si="185"/>
        <v>0</v>
      </c>
      <c r="CE201" s="16">
        <f t="shared" ca="1" si="186"/>
        <v>0</v>
      </c>
      <c r="CF201" s="7">
        <f t="shared" ca="1" si="187"/>
        <v>0</v>
      </c>
      <c r="CH201" s="7">
        <f t="shared" ca="1" si="188"/>
        <v>0</v>
      </c>
    </row>
    <row r="202" spans="2:86" s="7" customFormat="1" x14ac:dyDescent="0.2">
      <c r="B202" s="14">
        <f t="shared" si="152"/>
        <v>0</v>
      </c>
      <c r="C202" s="12">
        <f t="shared" si="153"/>
        <v>0</v>
      </c>
      <c r="D202" s="17">
        <f t="shared" si="193"/>
        <v>196</v>
      </c>
      <c r="E202" s="17">
        <f t="shared" ca="1" si="154"/>
        <v>76</v>
      </c>
      <c r="F202" s="12">
        <f t="shared" si="149"/>
        <v>3</v>
      </c>
      <c r="G202" s="12">
        <f t="shared" si="148"/>
        <v>33</v>
      </c>
      <c r="H202" s="17">
        <f t="shared" si="150"/>
        <v>17</v>
      </c>
      <c r="I202" s="29">
        <f t="shared" si="155"/>
        <v>0</v>
      </c>
      <c r="J202" s="211">
        <f>IFERROR(VLOOKUP(H202,Charges!$T$6:$U$35,2,0)*C202,0)</f>
        <v>0</v>
      </c>
      <c r="K202" s="29">
        <f t="shared" si="156"/>
        <v>0</v>
      </c>
      <c r="L202" s="29">
        <f t="shared" si="157"/>
        <v>0</v>
      </c>
      <c r="M202" s="147">
        <f t="shared" ca="1" si="158"/>
        <v>0</v>
      </c>
      <c r="N202" s="148">
        <f ca="1">IF(AND(Option_SPW="Y",H202&gt;=Lock_In_Period,Z201&gt;SPW_Amount_pa+IF(option="Single",1/5*pr,2*pr),H202&gt;=SPW_Start_Year,H202&lt;=SPW_Start_Year+SPW_Duration-1,age+H202&gt;=Legal_Age),IF(AND(F202=0,SPW_Payout_Freq=1),SPW_Amount_pa,IF(AND(SPW_Payout_Freq=2,MOD(F202,6)=0),SPW_Amount_pa/SPW_Payout_Freq,IF(AND(SPW_Payout_Freq=4,MOD(F202,3)=0),SPW_Amount_pa/SPW_Payout_Freq,IF(SPW_Payout_Freq=12,SPW_Amount_pa/SPW_Payout_Freq,0)))),0)+IFERROR(VLOOKUP(H202,Input!$B$68:$C$74,2,0),0)*(F202=0)*(Option_PW="Y")*(Option_SPW="N")*(age+H202&gt;=Legal_Age)</f>
        <v>0</v>
      </c>
      <c r="O202" s="148">
        <f t="shared" ca="1" si="159"/>
        <v>0</v>
      </c>
      <c r="P202" s="14">
        <f ca="1">(MAX(MAX(sa-CF201*Flag_UL_Type,105%*SUM($I$7:I202))-(AD201+L202-N202)*Flag_UL_Type,0)*B202)</f>
        <v>0</v>
      </c>
      <c r="Q202" s="213">
        <f t="shared" si="160"/>
        <v>0</v>
      </c>
      <c r="R202" s="14">
        <f t="shared" ca="1" si="161"/>
        <v>0</v>
      </c>
      <c r="S202" s="14">
        <f t="shared" ca="1" si="162"/>
        <v>0</v>
      </c>
      <c r="T202" s="14">
        <f>IFERROR(IF(WoP_Flag="Y",IF(fq=1,VLOOKUP(ppt*fq-H202,Charges!$AN$41:$AO$59,2,FALSE),IF(fq=2,VLOOKUP(ppt*fq-G202,Charges!$AP$41:$AQ$79,2,FALSE),VLOOKUP(ppt*fq-D202,Charges!$AR$41:$AS$279,2,FALSE)))*pr/fq,0),0)</f>
        <v>0</v>
      </c>
      <c r="U202" s="14">
        <f t="shared" ca="1" si="163"/>
        <v>0</v>
      </c>
      <c r="V202" s="34">
        <f>ROUND(MIN(IF(H202&gt;=7,Charges!$C$12*(1+Charges!$C$14)^((H202-7+1)),VLOOKUP(H202,Charges!$B$7:$C$12,2,0))*pr,Charges!$C$13)*B202,Round)</f>
        <v>0</v>
      </c>
      <c r="W202" s="14">
        <f t="shared" ca="1" si="164"/>
        <v>0</v>
      </c>
      <c r="X202" s="14">
        <f t="shared" ca="1" si="165"/>
        <v>0</v>
      </c>
      <c r="Y202" s="213">
        <f t="shared" ca="1" si="189"/>
        <v>0</v>
      </c>
      <c r="Z202" s="14">
        <f t="shared" ca="1" si="166"/>
        <v>0</v>
      </c>
      <c r="AA202" s="14">
        <f>IF(AND($H202=pt,$F202=11),SUM($K$7:K202)*VLOOKUP(pt,ROC,2,FALSE),0)</f>
        <v>0</v>
      </c>
      <c r="AB202" s="14">
        <f>IF(AND($H202=pt,$F202=11),SUM($V$7:V202)*VLOOKUP(pt,ROC,2,FALSE),0)</f>
        <v>0</v>
      </c>
      <c r="AC202" s="14">
        <f>IF(AND($H202=pt,$F202=11),SUM($Q$7:Q202)*VLOOKUP(pt,ROC,2,FALSE),0)</f>
        <v>0</v>
      </c>
      <c r="AD202" s="14">
        <f t="shared" ca="1" si="167"/>
        <v>0</v>
      </c>
      <c r="AE202" s="14">
        <f ca="1">(MAX(sa-CF201*Flag_UL_Type,105%*SUM($I$7:I202),Z202)+AU202)*B202</f>
        <v>0</v>
      </c>
      <c r="AF202" s="136"/>
      <c r="AG202" s="18">
        <v>196</v>
      </c>
      <c r="AH202" s="30">
        <f t="shared" ca="1" si="168"/>
        <v>0</v>
      </c>
      <c r="AI202" s="58"/>
      <c r="AJ202" s="50">
        <f>IF(AND(Option_Sys_TopUp&gt;="Y",H202&gt;=sytp,H202&lt;=(dtp+sytp-1),F202=0,H202&lt;=ppt+1),atp,0)+IFERROR(VLOOKUP(H202,Input!$B$55:$C$61,2,0),0)*(F202=0)*(Option_TopUP="Y")*(Option_Sys_TopUp="N")*B202*(pt&gt;=H202+5)</f>
        <v>0</v>
      </c>
      <c r="AK202" s="50">
        <f t="shared" si="169"/>
        <v>0</v>
      </c>
      <c r="AL202" s="50">
        <f t="shared" si="190"/>
        <v>0</v>
      </c>
      <c r="AM202" s="50">
        <f t="shared" ca="1" si="191"/>
        <v>0</v>
      </c>
      <c r="AN202" s="50">
        <f>IF(B202=0,0,AT202*(_rpm1+(1+_emr1)*VLOOKUP(E202,Tab_Mort_Charge,IF(Input!$C$12="M",2,3),0))*(0.001*0.0833)*Flag_Mort_Rider_Charge*(AT202&gt;0))</f>
        <v>0</v>
      </c>
      <c r="AO202" s="50">
        <f t="shared" ca="1" si="170"/>
        <v>0</v>
      </c>
      <c r="AP202" s="50">
        <f t="shared" ca="1" si="151"/>
        <v>0</v>
      </c>
      <c r="AQ202" s="50">
        <f t="shared" ca="1" si="171"/>
        <v>0</v>
      </c>
      <c r="AR202" s="50">
        <f t="shared" ca="1" si="172"/>
        <v>0</v>
      </c>
      <c r="AS202" s="50">
        <f t="shared" si="173"/>
        <v>0</v>
      </c>
      <c r="AT202" s="50">
        <f ca="1">(MAX((MAX(AS202,105%*SUM($AJ$7:AJ202))-AM202*Flag_UL_Type),0)*B202)</f>
        <v>0</v>
      </c>
      <c r="AU202" s="50">
        <f ca="1">(MAX(AS202,AR202,105%*SUM($AJ$7:AJ202))*B202)</f>
        <v>0</v>
      </c>
      <c r="AV202" s="125"/>
      <c r="AW202" s="13"/>
      <c r="AX202" s="13"/>
      <c r="AY202" s="13"/>
      <c r="AZ202" s="13"/>
      <c r="BA202" s="13"/>
      <c r="BG202" s="51">
        <f t="shared" si="174"/>
        <v>0</v>
      </c>
      <c r="BH202" s="51">
        <f t="shared" si="175"/>
        <v>0</v>
      </c>
      <c r="BI202" s="51">
        <f t="shared" ca="1" si="176"/>
        <v>0</v>
      </c>
      <c r="BJ202" s="51">
        <f t="shared" ca="1" si="177"/>
        <v>0</v>
      </c>
      <c r="BK202" s="51">
        <f t="shared" si="178"/>
        <v>0</v>
      </c>
      <c r="BL202" s="51">
        <f t="shared" ca="1" si="179"/>
        <v>0</v>
      </c>
      <c r="BM202" s="51">
        <f t="shared" si="180"/>
        <v>0</v>
      </c>
      <c r="BN202" s="51">
        <f t="shared" si="181"/>
        <v>0</v>
      </c>
      <c r="BO202" s="51">
        <f t="shared" ca="1" si="182"/>
        <v>0</v>
      </c>
      <c r="BP202" s="51">
        <f t="shared" ca="1" si="183"/>
        <v>0</v>
      </c>
      <c r="BQ202" s="120"/>
      <c r="BR202" s="32"/>
      <c r="BS202" s="126"/>
      <c r="BT202" s="16"/>
      <c r="BU202" s="58"/>
      <c r="BW202" s="51">
        <f>IF(Input!$C$13="Offline",VLOOKUP(H202,Charges!$AT$4:$AU$33,2,FALSE)*I202,0)</f>
        <v>0</v>
      </c>
      <c r="BX202" s="51">
        <f t="shared" si="184"/>
        <v>0</v>
      </c>
      <c r="BY202" s="51">
        <f t="shared" si="192"/>
        <v>0</v>
      </c>
      <c r="BZ202" s="151"/>
      <c r="CA202" s="151"/>
      <c r="CB202" s="32"/>
      <c r="CC202" s="16">
        <f ca="1">SUM($N$7:$N202)</f>
        <v>0</v>
      </c>
      <c r="CD202" s="16">
        <f t="shared" ca="1" si="185"/>
        <v>0</v>
      </c>
      <c r="CE202" s="16">
        <f t="shared" ca="1" si="186"/>
        <v>0</v>
      </c>
      <c r="CF202" s="7">
        <f t="shared" ca="1" si="187"/>
        <v>0</v>
      </c>
      <c r="CH202" s="7">
        <f t="shared" ca="1" si="188"/>
        <v>0</v>
      </c>
    </row>
    <row r="203" spans="2:86" s="7" customFormat="1" x14ac:dyDescent="0.2">
      <c r="B203" s="14">
        <f t="shared" si="152"/>
        <v>0</v>
      </c>
      <c r="C203" s="12">
        <f t="shared" si="153"/>
        <v>0</v>
      </c>
      <c r="D203" s="17">
        <f t="shared" si="193"/>
        <v>197</v>
      </c>
      <c r="E203" s="17">
        <f t="shared" ca="1" si="154"/>
        <v>76</v>
      </c>
      <c r="F203" s="12">
        <f t="shared" si="149"/>
        <v>4</v>
      </c>
      <c r="G203" s="12">
        <f t="shared" si="148"/>
        <v>33</v>
      </c>
      <c r="H203" s="17">
        <f t="shared" si="150"/>
        <v>17</v>
      </c>
      <c r="I203" s="29">
        <f t="shared" si="155"/>
        <v>0</v>
      </c>
      <c r="J203" s="211">
        <f>IFERROR(VLOOKUP(H203,Charges!$T$6:$U$35,2,0)*C203,0)</f>
        <v>0</v>
      </c>
      <c r="K203" s="29">
        <f t="shared" si="156"/>
        <v>0</v>
      </c>
      <c r="L203" s="29">
        <f t="shared" si="157"/>
        <v>0</v>
      </c>
      <c r="M203" s="147">
        <f t="shared" ca="1" si="158"/>
        <v>0</v>
      </c>
      <c r="N203" s="148">
        <f ca="1">IF(AND(Option_SPW="Y",H203&gt;=Lock_In_Period,Z202&gt;SPW_Amount_pa+IF(option="Single",1/5*pr,2*pr),H203&gt;=SPW_Start_Year,H203&lt;=SPW_Start_Year+SPW_Duration-1,age+H203&gt;=Legal_Age),IF(AND(F203=0,SPW_Payout_Freq=1),SPW_Amount_pa,IF(AND(SPW_Payout_Freq=2,MOD(F203,6)=0),SPW_Amount_pa/SPW_Payout_Freq,IF(AND(SPW_Payout_Freq=4,MOD(F203,3)=0),SPW_Amount_pa/SPW_Payout_Freq,IF(SPW_Payout_Freq=12,SPW_Amount_pa/SPW_Payout_Freq,0)))),0)+IFERROR(VLOOKUP(H203,Input!$B$68:$C$74,2,0),0)*(F203=0)*(Option_PW="Y")*(Option_SPW="N")*(age+H203&gt;=Legal_Age)</f>
        <v>0</v>
      </c>
      <c r="O203" s="148">
        <f t="shared" ca="1" si="159"/>
        <v>0</v>
      </c>
      <c r="P203" s="14">
        <f ca="1">(MAX(MAX(sa-CF202*Flag_UL_Type,105%*SUM($I$7:I203))-(AD202+L203-N203)*Flag_UL_Type,0)*B203)</f>
        <v>0</v>
      </c>
      <c r="Q203" s="213">
        <f t="shared" si="160"/>
        <v>0</v>
      </c>
      <c r="R203" s="14">
        <f t="shared" ca="1" si="161"/>
        <v>0</v>
      </c>
      <c r="S203" s="14">
        <f t="shared" ca="1" si="162"/>
        <v>0</v>
      </c>
      <c r="T203" s="14">
        <f>IFERROR(IF(WoP_Flag="Y",IF(fq=1,VLOOKUP(ppt*fq-H203,Charges!$AN$41:$AO$59,2,FALSE),IF(fq=2,VLOOKUP(ppt*fq-G203,Charges!$AP$41:$AQ$79,2,FALSE),VLOOKUP(ppt*fq-D203,Charges!$AR$41:$AS$279,2,FALSE)))*pr/fq,0),0)</f>
        <v>0</v>
      </c>
      <c r="U203" s="14">
        <f t="shared" ca="1" si="163"/>
        <v>0</v>
      </c>
      <c r="V203" s="34">
        <f>ROUND(MIN(IF(H203&gt;=7,Charges!$C$12*(1+Charges!$C$14)^((H203-7+1)),VLOOKUP(H203,Charges!$B$7:$C$12,2,0))*pr,Charges!$C$13)*B203,Round)</f>
        <v>0</v>
      </c>
      <c r="W203" s="14">
        <f t="shared" ca="1" si="164"/>
        <v>0</v>
      </c>
      <c r="X203" s="14">
        <f t="shared" ca="1" si="165"/>
        <v>0</v>
      </c>
      <c r="Y203" s="213">
        <f t="shared" ca="1" si="189"/>
        <v>0</v>
      </c>
      <c r="Z203" s="14">
        <f t="shared" ca="1" si="166"/>
        <v>0</v>
      </c>
      <c r="AA203" s="14">
        <f>IF(AND($H203=pt,$F203=11),SUM($K$7:K203)*VLOOKUP(pt,ROC,2,FALSE),0)</f>
        <v>0</v>
      </c>
      <c r="AB203" s="14">
        <f>IF(AND($H203=pt,$F203=11),SUM($V$7:V203)*VLOOKUP(pt,ROC,2,FALSE),0)</f>
        <v>0</v>
      </c>
      <c r="AC203" s="14">
        <f>IF(AND($H203=pt,$F203=11),SUM($Q$7:Q203)*VLOOKUP(pt,ROC,2,FALSE),0)</f>
        <v>0</v>
      </c>
      <c r="AD203" s="14">
        <f t="shared" ca="1" si="167"/>
        <v>0</v>
      </c>
      <c r="AE203" s="14">
        <f ca="1">(MAX(sa-CF202*Flag_UL_Type,105%*SUM($I$7:I203),Z203)+AU203)*B203</f>
        <v>0</v>
      </c>
      <c r="AF203" s="136"/>
      <c r="AG203" s="18">
        <v>197</v>
      </c>
      <c r="AH203" s="30">
        <f t="shared" ca="1" si="168"/>
        <v>0</v>
      </c>
      <c r="AI203" s="58"/>
      <c r="AJ203" s="50">
        <f>IF(AND(Option_Sys_TopUp&gt;="Y",H203&gt;=sytp,H203&lt;=(dtp+sytp-1),F203=0,H203&lt;=ppt+1),atp,0)+IFERROR(VLOOKUP(H203,Input!$B$55:$C$61,2,0),0)*(F203=0)*(Option_TopUP="Y")*(Option_Sys_TopUp="N")*B203*(pt&gt;=H203+5)</f>
        <v>0</v>
      </c>
      <c r="AK203" s="50">
        <f t="shared" si="169"/>
        <v>0</v>
      </c>
      <c r="AL203" s="50">
        <f t="shared" si="190"/>
        <v>0</v>
      </c>
      <c r="AM203" s="50">
        <f t="shared" ca="1" si="191"/>
        <v>0</v>
      </c>
      <c r="AN203" s="50">
        <f>IF(B203=0,0,AT203*(_rpm1+(1+_emr1)*VLOOKUP(E203,Tab_Mort_Charge,IF(Input!$C$12="M",2,3),0))*(0.001*0.0833)*Flag_Mort_Rider_Charge*(AT203&gt;0))</f>
        <v>0</v>
      </c>
      <c r="AO203" s="50">
        <f t="shared" ca="1" si="170"/>
        <v>0</v>
      </c>
      <c r="AP203" s="50">
        <f t="shared" ca="1" si="151"/>
        <v>0</v>
      </c>
      <c r="AQ203" s="50">
        <f t="shared" ca="1" si="171"/>
        <v>0</v>
      </c>
      <c r="AR203" s="50">
        <f t="shared" ca="1" si="172"/>
        <v>0</v>
      </c>
      <c r="AS203" s="50">
        <f t="shared" si="173"/>
        <v>0</v>
      </c>
      <c r="AT203" s="50">
        <f ca="1">(MAX((MAX(AS203,105%*SUM($AJ$7:AJ203))-AM203*Flag_UL_Type),0)*B203)</f>
        <v>0</v>
      </c>
      <c r="AU203" s="50">
        <f ca="1">(MAX(AS203,AR203,105%*SUM($AJ$7:AJ203))*B203)</f>
        <v>0</v>
      </c>
      <c r="AV203" s="125"/>
      <c r="AW203" s="13"/>
      <c r="AX203" s="13"/>
      <c r="AY203" s="13"/>
      <c r="AZ203" s="13"/>
      <c r="BA203" s="13"/>
      <c r="BG203" s="51">
        <f t="shared" si="174"/>
        <v>0</v>
      </c>
      <c r="BH203" s="51">
        <f t="shared" si="175"/>
        <v>0</v>
      </c>
      <c r="BI203" s="51">
        <f t="shared" ca="1" si="176"/>
        <v>0</v>
      </c>
      <c r="BJ203" s="51">
        <f t="shared" ca="1" si="177"/>
        <v>0</v>
      </c>
      <c r="BK203" s="51">
        <f t="shared" si="178"/>
        <v>0</v>
      </c>
      <c r="BL203" s="51">
        <f t="shared" ca="1" si="179"/>
        <v>0</v>
      </c>
      <c r="BM203" s="51">
        <f t="shared" si="180"/>
        <v>0</v>
      </c>
      <c r="BN203" s="51">
        <f t="shared" si="181"/>
        <v>0</v>
      </c>
      <c r="BO203" s="51">
        <f t="shared" ca="1" si="182"/>
        <v>0</v>
      </c>
      <c r="BP203" s="51">
        <f t="shared" ca="1" si="183"/>
        <v>0</v>
      </c>
      <c r="BQ203" s="120"/>
      <c r="BR203" s="32"/>
      <c r="BS203" s="126"/>
      <c r="BT203" s="16"/>
      <c r="BU203" s="58"/>
      <c r="BW203" s="51">
        <f>IF(Input!$C$13="Offline",VLOOKUP(H203,Charges!$AT$4:$AU$33,2,FALSE)*I203,0)</f>
        <v>0</v>
      </c>
      <c r="BX203" s="51">
        <f t="shared" si="184"/>
        <v>0</v>
      </c>
      <c r="BY203" s="51">
        <f t="shared" si="192"/>
        <v>0</v>
      </c>
      <c r="BZ203" s="151"/>
      <c r="CA203" s="151"/>
      <c r="CB203" s="32"/>
      <c r="CC203" s="16">
        <f ca="1">SUM($N$7:$N203)</f>
        <v>0</v>
      </c>
      <c r="CD203" s="16">
        <f t="shared" ca="1" si="185"/>
        <v>0</v>
      </c>
      <c r="CE203" s="16">
        <f t="shared" ca="1" si="186"/>
        <v>0</v>
      </c>
      <c r="CF203" s="7">
        <f t="shared" ca="1" si="187"/>
        <v>0</v>
      </c>
      <c r="CH203" s="7">
        <f t="shared" ca="1" si="188"/>
        <v>0</v>
      </c>
    </row>
    <row r="204" spans="2:86" s="7" customFormat="1" x14ac:dyDescent="0.2">
      <c r="B204" s="14">
        <f t="shared" si="152"/>
        <v>0</v>
      </c>
      <c r="C204" s="12">
        <f t="shared" si="153"/>
        <v>0</v>
      </c>
      <c r="D204" s="17">
        <f t="shared" si="193"/>
        <v>198</v>
      </c>
      <c r="E204" s="17">
        <f t="shared" ca="1" si="154"/>
        <v>76</v>
      </c>
      <c r="F204" s="12">
        <f t="shared" si="149"/>
        <v>5</v>
      </c>
      <c r="G204" s="12">
        <f t="shared" si="148"/>
        <v>33</v>
      </c>
      <c r="H204" s="17">
        <f t="shared" si="150"/>
        <v>17</v>
      </c>
      <c r="I204" s="29">
        <f t="shared" si="155"/>
        <v>0</v>
      </c>
      <c r="J204" s="211">
        <f>IFERROR(VLOOKUP(H204,Charges!$T$6:$U$35,2,0)*C204,0)</f>
        <v>0</v>
      </c>
      <c r="K204" s="29">
        <f t="shared" si="156"/>
        <v>0</v>
      </c>
      <c r="L204" s="29">
        <f t="shared" si="157"/>
        <v>0</v>
      </c>
      <c r="M204" s="147">
        <f t="shared" ca="1" si="158"/>
        <v>0</v>
      </c>
      <c r="N204" s="148">
        <f ca="1">IF(AND(Option_SPW="Y",H204&gt;=Lock_In_Period,Z203&gt;SPW_Amount_pa+IF(option="Single",1/5*pr,2*pr),H204&gt;=SPW_Start_Year,H204&lt;=SPW_Start_Year+SPW_Duration-1,age+H204&gt;=Legal_Age),IF(AND(F204=0,SPW_Payout_Freq=1),SPW_Amount_pa,IF(AND(SPW_Payout_Freq=2,MOD(F204,6)=0),SPW_Amount_pa/SPW_Payout_Freq,IF(AND(SPW_Payout_Freq=4,MOD(F204,3)=0),SPW_Amount_pa/SPW_Payout_Freq,IF(SPW_Payout_Freq=12,SPW_Amount_pa/SPW_Payout_Freq,0)))),0)+IFERROR(VLOOKUP(H204,Input!$B$68:$C$74,2,0),0)*(F204=0)*(Option_PW="Y")*(Option_SPW="N")*(age+H204&gt;=Legal_Age)</f>
        <v>0</v>
      </c>
      <c r="O204" s="148">
        <f t="shared" ca="1" si="159"/>
        <v>0</v>
      </c>
      <c r="P204" s="14">
        <f ca="1">(MAX(MAX(sa-CF203*Flag_UL_Type,105%*SUM($I$7:I204))-(AD203+L204-N204)*Flag_UL_Type,0)*B204)</f>
        <v>0</v>
      </c>
      <c r="Q204" s="213">
        <f t="shared" si="160"/>
        <v>0</v>
      </c>
      <c r="R204" s="14">
        <f t="shared" ca="1" si="161"/>
        <v>0</v>
      </c>
      <c r="S204" s="14">
        <f t="shared" ca="1" si="162"/>
        <v>0</v>
      </c>
      <c r="T204" s="14">
        <f>IFERROR(IF(WoP_Flag="Y",IF(fq=1,VLOOKUP(ppt*fq-H204,Charges!$AN$41:$AO$59,2,FALSE),IF(fq=2,VLOOKUP(ppt*fq-G204,Charges!$AP$41:$AQ$79,2,FALSE),VLOOKUP(ppt*fq-D204,Charges!$AR$41:$AS$279,2,FALSE)))*pr/fq,0),0)</f>
        <v>0</v>
      </c>
      <c r="U204" s="14">
        <f t="shared" ca="1" si="163"/>
        <v>0</v>
      </c>
      <c r="V204" s="34">
        <f>ROUND(MIN(IF(H204&gt;=7,Charges!$C$12*(1+Charges!$C$14)^((H204-7+1)),VLOOKUP(H204,Charges!$B$7:$C$12,2,0))*pr,Charges!$C$13)*B204,Round)</f>
        <v>0</v>
      </c>
      <c r="W204" s="14">
        <f t="shared" ca="1" si="164"/>
        <v>0</v>
      </c>
      <c r="X204" s="14">
        <f t="shared" ca="1" si="165"/>
        <v>0</v>
      </c>
      <c r="Y204" s="213">
        <f t="shared" ca="1" si="189"/>
        <v>0</v>
      </c>
      <c r="Z204" s="14">
        <f t="shared" ca="1" si="166"/>
        <v>0</v>
      </c>
      <c r="AA204" s="14">
        <f>IF(AND($H204=pt,$F204=11),SUM($K$7:K204)*VLOOKUP(pt,ROC,2,FALSE),0)</f>
        <v>0</v>
      </c>
      <c r="AB204" s="14">
        <f>IF(AND($H204=pt,$F204=11),SUM($V$7:V204)*VLOOKUP(pt,ROC,2,FALSE),0)</f>
        <v>0</v>
      </c>
      <c r="AC204" s="14">
        <f>IF(AND($H204=pt,$F204=11),SUM($Q$7:Q204)*VLOOKUP(pt,ROC,2,FALSE),0)</f>
        <v>0</v>
      </c>
      <c r="AD204" s="14">
        <f t="shared" ca="1" si="167"/>
        <v>0</v>
      </c>
      <c r="AE204" s="14">
        <f ca="1">(MAX(sa-CF203*Flag_UL_Type,105%*SUM($I$7:I204),Z204)+AU204)*B204</f>
        <v>0</v>
      </c>
      <c r="AF204" s="136"/>
      <c r="AG204" s="18">
        <v>198</v>
      </c>
      <c r="AH204" s="30">
        <f t="shared" ca="1" si="168"/>
        <v>0</v>
      </c>
      <c r="AI204" s="58"/>
      <c r="AJ204" s="50">
        <f>IF(AND(Option_Sys_TopUp&gt;="Y",H204&gt;=sytp,H204&lt;=(dtp+sytp-1),F204=0,H204&lt;=ppt+1),atp,0)+IFERROR(VLOOKUP(H204,Input!$B$55:$C$61,2,0),0)*(F204=0)*(Option_TopUP="Y")*(Option_Sys_TopUp="N")*B204*(pt&gt;=H204+5)</f>
        <v>0</v>
      </c>
      <c r="AK204" s="50">
        <f t="shared" si="169"/>
        <v>0</v>
      </c>
      <c r="AL204" s="50">
        <f t="shared" si="190"/>
        <v>0</v>
      </c>
      <c r="AM204" s="50">
        <f t="shared" ca="1" si="191"/>
        <v>0</v>
      </c>
      <c r="AN204" s="50">
        <f>IF(B204=0,0,AT204*(_rpm1+(1+_emr1)*VLOOKUP(E204,Tab_Mort_Charge,IF(Input!$C$12="M",2,3),0))*(0.001*0.0833)*Flag_Mort_Rider_Charge*(AT204&gt;0))</f>
        <v>0</v>
      </c>
      <c r="AO204" s="50">
        <f t="shared" ca="1" si="170"/>
        <v>0</v>
      </c>
      <c r="AP204" s="50">
        <f t="shared" ca="1" si="151"/>
        <v>0</v>
      </c>
      <c r="AQ204" s="50">
        <f t="shared" ca="1" si="171"/>
        <v>0</v>
      </c>
      <c r="AR204" s="50">
        <f t="shared" ca="1" si="172"/>
        <v>0</v>
      </c>
      <c r="AS204" s="50">
        <f t="shared" si="173"/>
        <v>0</v>
      </c>
      <c r="AT204" s="50">
        <f ca="1">(MAX((MAX(AS204,105%*SUM($AJ$7:AJ204))-AM204*Flag_UL_Type),0)*B204)</f>
        <v>0</v>
      </c>
      <c r="AU204" s="50">
        <f ca="1">(MAX(AS204,AR204,105%*SUM($AJ$7:AJ204))*B204)</f>
        <v>0</v>
      </c>
      <c r="AV204" s="125"/>
      <c r="AW204" s="13"/>
      <c r="AX204" s="13"/>
      <c r="AY204" s="13"/>
      <c r="AZ204" s="13"/>
      <c r="BA204" s="13"/>
      <c r="BG204" s="51">
        <f t="shared" si="174"/>
        <v>0</v>
      </c>
      <c r="BH204" s="51">
        <f t="shared" si="175"/>
        <v>0</v>
      </c>
      <c r="BI204" s="51">
        <f t="shared" ca="1" si="176"/>
        <v>0</v>
      </c>
      <c r="BJ204" s="51">
        <f t="shared" ca="1" si="177"/>
        <v>0</v>
      </c>
      <c r="BK204" s="51">
        <f t="shared" si="178"/>
        <v>0</v>
      </c>
      <c r="BL204" s="51">
        <f t="shared" ca="1" si="179"/>
        <v>0</v>
      </c>
      <c r="BM204" s="51">
        <f t="shared" si="180"/>
        <v>0</v>
      </c>
      <c r="BN204" s="51">
        <f t="shared" si="181"/>
        <v>0</v>
      </c>
      <c r="BO204" s="51">
        <f t="shared" ca="1" si="182"/>
        <v>0</v>
      </c>
      <c r="BP204" s="51">
        <f t="shared" ca="1" si="183"/>
        <v>0</v>
      </c>
      <c r="BQ204" s="120"/>
      <c r="BR204" s="32"/>
      <c r="BS204" s="126"/>
      <c r="BT204" s="16"/>
      <c r="BU204" s="58"/>
      <c r="BW204" s="51">
        <f>IF(Input!$C$13="Offline",VLOOKUP(H204,Charges!$AT$4:$AU$33,2,FALSE)*I204,0)</f>
        <v>0</v>
      </c>
      <c r="BX204" s="51">
        <f t="shared" si="184"/>
        <v>0</v>
      </c>
      <c r="BY204" s="51">
        <f t="shared" si="192"/>
        <v>0</v>
      </c>
      <c r="BZ204" s="151"/>
      <c r="CA204" s="151"/>
      <c r="CB204" s="32"/>
      <c r="CC204" s="16">
        <f ca="1">SUM($N$7:$N204)</f>
        <v>0</v>
      </c>
      <c r="CD204" s="16">
        <f t="shared" ca="1" si="185"/>
        <v>0</v>
      </c>
      <c r="CE204" s="16">
        <f t="shared" ca="1" si="186"/>
        <v>0</v>
      </c>
      <c r="CF204" s="7">
        <f t="shared" ca="1" si="187"/>
        <v>0</v>
      </c>
      <c r="CH204" s="7">
        <f t="shared" ca="1" si="188"/>
        <v>0</v>
      </c>
    </row>
    <row r="205" spans="2:86" s="7" customFormat="1" x14ac:dyDescent="0.2">
      <c r="B205" s="14">
        <f t="shared" si="152"/>
        <v>0</v>
      </c>
      <c r="C205" s="12">
        <f t="shared" si="153"/>
        <v>0</v>
      </c>
      <c r="D205" s="17">
        <f t="shared" si="193"/>
        <v>199</v>
      </c>
      <c r="E205" s="17">
        <f t="shared" ca="1" si="154"/>
        <v>76</v>
      </c>
      <c r="F205" s="12">
        <f t="shared" si="149"/>
        <v>6</v>
      </c>
      <c r="G205" s="12">
        <f t="shared" si="148"/>
        <v>34</v>
      </c>
      <c r="H205" s="17">
        <f t="shared" si="150"/>
        <v>17</v>
      </c>
      <c r="I205" s="29">
        <f t="shared" si="155"/>
        <v>0</v>
      </c>
      <c r="J205" s="211">
        <f>IFERROR(VLOOKUP(H205,Charges!$T$6:$U$35,2,0)*C205,0)</f>
        <v>0</v>
      </c>
      <c r="K205" s="29">
        <f t="shared" si="156"/>
        <v>0</v>
      </c>
      <c r="L205" s="29">
        <f t="shared" si="157"/>
        <v>0</v>
      </c>
      <c r="M205" s="147">
        <f t="shared" ca="1" si="158"/>
        <v>0</v>
      </c>
      <c r="N205" s="148">
        <f ca="1">IF(AND(Option_SPW="Y",H205&gt;=Lock_In_Period,Z204&gt;SPW_Amount_pa+IF(option="Single",1/5*pr,2*pr),H205&gt;=SPW_Start_Year,H205&lt;=SPW_Start_Year+SPW_Duration-1,age+H205&gt;=Legal_Age),IF(AND(F205=0,SPW_Payout_Freq=1),SPW_Amount_pa,IF(AND(SPW_Payout_Freq=2,MOD(F205,6)=0),SPW_Amount_pa/SPW_Payout_Freq,IF(AND(SPW_Payout_Freq=4,MOD(F205,3)=0),SPW_Amount_pa/SPW_Payout_Freq,IF(SPW_Payout_Freq=12,SPW_Amount_pa/SPW_Payout_Freq,0)))),0)+IFERROR(VLOOKUP(H205,Input!$B$68:$C$74,2,0),0)*(F205=0)*(Option_PW="Y")*(Option_SPW="N")*(age+H205&gt;=Legal_Age)</f>
        <v>0</v>
      </c>
      <c r="O205" s="148">
        <f t="shared" ca="1" si="159"/>
        <v>0</v>
      </c>
      <c r="P205" s="14">
        <f ca="1">(MAX(MAX(sa-CF204*Flag_UL_Type,105%*SUM($I$7:I205))-(AD204+L205-N205)*Flag_UL_Type,0)*B205)</f>
        <v>0</v>
      </c>
      <c r="Q205" s="213">
        <f t="shared" si="160"/>
        <v>0</v>
      </c>
      <c r="R205" s="14">
        <f t="shared" ca="1" si="161"/>
        <v>0</v>
      </c>
      <c r="S205" s="14">
        <f t="shared" ca="1" si="162"/>
        <v>0</v>
      </c>
      <c r="T205" s="14">
        <f>IFERROR(IF(WoP_Flag="Y",IF(fq=1,VLOOKUP(ppt*fq-H205,Charges!$AN$41:$AO$59,2,FALSE),IF(fq=2,VLOOKUP(ppt*fq-G205,Charges!$AP$41:$AQ$79,2,FALSE),VLOOKUP(ppt*fq-D205,Charges!$AR$41:$AS$279,2,FALSE)))*pr/fq,0),0)</f>
        <v>0</v>
      </c>
      <c r="U205" s="14">
        <f t="shared" ca="1" si="163"/>
        <v>0</v>
      </c>
      <c r="V205" s="34">
        <f>ROUND(MIN(IF(H205&gt;=7,Charges!$C$12*(1+Charges!$C$14)^((H205-7+1)),VLOOKUP(H205,Charges!$B$7:$C$12,2,0))*pr,Charges!$C$13)*B205,Round)</f>
        <v>0</v>
      </c>
      <c r="W205" s="14">
        <f t="shared" ca="1" si="164"/>
        <v>0</v>
      </c>
      <c r="X205" s="14">
        <f t="shared" ca="1" si="165"/>
        <v>0</v>
      </c>
      <c r="Y205" s="213">
        <f t="shared" ca="1" si="189"/>
        <v>0</v>
      </c>
      <c r="Z205" s="14">
        <f t="shared" ca="1" si="166"/>
        <v>0</v>
      </c>
      <c r="AA205" s="14">
        <f>IF(AND($H205=pt,$F205=11),SUM($K$7:K205)*VLOOKUP(pt,ROC,2,FALSE),0)</f>
        <v>0</v>
      </c>
      <c r="AB205" s="14">
        <f>IF(AND($H205=pt,$F205=11),SUM($V$7:V205)*VLOOKUP(pt,ROC,2,FALSE),0)</f>
        <v>0</v>
      </c>
      <c r="AC205" s="14">
        <f>IF(AND($H205=pt,$F205=11),SUM($Q$7:Q205)*VLOOKUP(pt,ROC,2,FALSE),0)</f>
        <v>0</v>
      </c>
      <c r="AD205" s="14">
        <f t="shared" ca="1" si="167"/>
        <v>0</v>
      </c>
      <c r="AE205" s="14">
        <f ca="1">(MAX(sa-CF204*Flag_UL_Type,105%*SUM($I$7:I205),Z205)+AU205)*B205</f>
        <v>0</v>
      </c>
      <c r="AF205" s="136"/>
      <c r="AG205" s="18">
        <v>199</v>
      </c>
      <c r="AH205" s="30">
        <f t="shared" ca="1" si="168"/>
        <v>0</v>
      </c>
      <c r="AI205" s="58"/>
      <c r="AJ205" s="50">
        <f>IF(AND(Option_Sys_TopUp&gt;="Y",H205&gt;=sytp,H205&lt;=(dtp+sytp-1),F205=0,H205&lt;=ppt+1),atp,0)+IFERROR(VLOOKUP(H205,Input!$B$55:$C$61,2,0),0)*(F205=0)*(Option_TopUP="Y")*(Option_Sys_TopUp="N")*B205*(pt&gt;=H205+5)</f>
        <v>0</v>
      </c>
      <c r="AK205" s="50">
        <f t="shared" si="169"/>
        <v>0</v>
      </c>
      <c r="AL205" s="50">
        <f t="shared" si="190"/>
        <v>0</v>
      </c>
      <c r="AM205" s="50">
        <f t="shared" ca="1" si="191"/>
        <v>0</v>
      </c>
      <c r="AN205" s="50">
        <f>IF(B205=0,0,AT205*(_rpm1+(1+_emr1)*VLOOKUP(E205,Tab_Mort_Charge,IF(Input!$C$12="M",2,3),0))*(0.001*0.0833)*Flag_Mort_Rider_Charge*(AT205&gt;0))</f>
        <v>0</v>
      </c>
      <c r="AO205" s="50">
        <f t="shared" ca="1" si="170"/>
        <v>0</v>
      </c>
      <c r="AP205" s="50">
        <f t="shared" ca="1" si="151"/>
        <v>0</v>
      </c>
      <c r="AQ205" s="50">
        <f t="shared" ca="1" si="171"/>
        <v>0</v>
      </c>
      <c r="AR205" s="50">
        <f t="shared" ca="1" si="172"/>
        <v>0</v>
      </c>
      <c r="AS205" s="50">
        <f t="shared" si="173"/>
        <v>0</v>
      </c>
      <c r="AT205" s="50">
        <f ca="1">(MAX((MAX(AS205,105%*SUM($AJ$7:AJ205))-AM205*Flag_UL_Type),0)*B205)</f>
        <v>0</v>
      </c>
      <c r="AU205" s="50">
        <f ca="1">(MAX(AS205,AR205,105%*SUM($AJ$7:AJ205))*B205)</f>
        <v>0</v>
      </c>
      <c r="AV205" s="125"/>
      <c r="AW205" s="13"/>
      <c r="AX205" s="13"/>
      <c r="AY205" s="13"/>
      <c r="AZ205" s="13"/>
      <c r="BA205" s="13"/>
      <c r="BG205" s="51">
        <f t="shared" si="174"/>
        <v>0</v>
      </c>
      <c r="BH205" s="51">
        <f t="shared" si="175"/>
        <v>0</v>
      </c>
      <c r="BI205" s="51">
        <f t="shared" ca="1" si="176"/>
        <v>0</v>
      </c>
      <c r="BJ205" s="51">
        <f t="shared" ca="1" si="177"/>
        <v>0</v>
      </c>
      <c r="BK205" s="51">
        <f t="shared" si="178"/>
        <v>0</v>
      </c>
      <c r="BL205" s="51">
        <f t="shared" ca="1" si="179"/>
        <v>0</v>
      </c>
      <c r="BM205" s="51">
        <f t="shared" si="180"/>
        <v>0</v>
      </c>
      <c r="BN205" s="51">
        <f t="shared" si="181"/>
        <v>0</v>
      </c>
      <c r="BO205" s="51">
        <f t="shared" ca="1" si="182"/>
        <v>0</v>
      </c>
      <c r="BP205" s="51">
        <f t="shared" ca="1" si="183"/>
        <v>0</v>
      </c>
      <c r="BQ205" s="120"/>
      <c r="BR205" s="32"/>
      <c r="BS205" s="126"/>
      <c r="BT205" s="16"/>
      <c r="BU205" s="58"/>
      <c r="BW205" s="51">
        <f>IF(Input!$C$13="Offline",VLOOKUP(H205,Charges!$AT$4:$AU$33,2,FALSE)*I205,0)</f>
        <v>0</v>
      </c>
      <c r="BX205" s="51">
        <f t="shared" si="184"/>
        <v>0</v>
      </c>
      <c r="BY205" s="51">
        <f t="shared" si="192"/>
        <v>0</v>
      </c>
      <c r="BZ205" s="151"/>
      <c r="CA205" s="151"/>
      <c r="CB205" s="32"/>
      <c r="CC205" s="16">
        <f ca="1">SUM($N$7:$N205)</f>
        <v>0</v>
      </c>
      <c r="CD205" s="16">
        <f t="shared" ca="1" si="185"/>
        <v>0</v>
      </c>
      <c r="CE205" s="16">
        <f t="shared" ca="1" si="186"/>
        <v>0</v>
      </c>
      <c r="CF205" s="7">
        <f t="shared" ca="1" si="187"/>
        <v>0</v>
      </c>
      <c r="CH205" s="7">
        <f t="shared" ca="1" si="188"/>
        <v>0</v>
      </c>
    </row>
    <row r="206" spans="2:86" s="7" customFormat="1" x14ac:dyDescent="0.2">
      <c r="B206" s="14">
        <f t="shared" si="152"/>
        <v>0</v>
      </c>
      <c r="C206" s="12">
        <f t="shared" si="153"/>
        <v>0</v>
      </c>
      <c r="D206" s="17">
        <f t="shared" si="193"/>
        <v>200</v>
      </c>
      <c r="E206" s="17">
        <f t="shared" ca="1" si="154"/>
        <v>76</v>
      </c>
      <c r="F206" s="12">
        <f t="shared" si="149"/>
        <v>7</v>
      </c>
      <c r="G206" s="12">
        <f t="shared" ref="G206:G269" si="194">G200+1</f>
        <v>34</v>
      </c>
      <c r="H206" s="17">
        <f t="shared" si="150"/>
        <v>17</v>
      </c>
      <c r="I206" s="29">
        <f t="shared" si="155"/>
        <v>0</v>
      </c>
      <c r="J206" s="211">
        <f>IFERROR(VLOOKUP(H206,Charges!$T$6:$U$35,2,0)*C206,0)</f>
        <v>0</v>
      </c>
      <c r="K206" s="29">
        <f t="shared" si="156"/>
        <v>0</v>
      </c>
      <c r="L206" s="29">
        <f t="shared" si="157"/>
        <v>0</v>
      </c>
      <c r="M206" s="147">
        <f t="shared" ca="1" si="158"/>
        <v>0</v>
      </c>
      <c r="N206" s="148">
        <f ca="1">IF(AND(Option_SPW="Y",H206&gt;=Lock_In_Period,Z205&gt;SPW_Amount_pa+IF(option="Single",1/5*pr,2*pr),H206&gt;=SPW_Start_Year,H206&lt;=SPW_Start_Year+SPW_Duration-1,age+H206&gt;=Legal_Age),IF(AND(F206=0,SPW_Payout_Freq=1),SPW_Amount_pa,IF(AND(SPW_Payout_Freq=2,MOD(F206,6)=0),SPW_Amount_pa/SPW_Payout_Freq,IF(AND(SPW_Payout_Freq=4,MOD(F206,3)=0),SPW_Amount_pa/SPW_Payout_Freq,IF(SPW_Payout_Freq=12,SPW_Amount_pa/SPW_Payout_Freq,0)))),0)+IFERROR(VLOOKUP(H206,Input!$B$68:$C$74,2,0),0)*(F206=0)*(Option_PW="Y")*(Option_SPW="N")*(age+H206&gt;=Legal_Age)</f>
        <v>0</v>
      </c>
      <c r="O206" s="148">
        <f t="shared" ca="1" si="159"/>
        <v>0</v>
      </c>
      <c r="P206" s="14">
        <f ca="1">(MAX(MAX(sa-CF205*Flag_UL_Type,105%*SUM($I$7:I206))-(AD205+L206-N206)*Flag_UL_Type,0)*B206)</f>
        <v>0</v>
      </c>
      <c r="Q206" s="213">
        <f t="shared" si="160"/>
        <v>0</v>
      </c>
      <c r="R206" s="14">
        <f t="shared" ca="1" si="161"/>
        <v>0</v>
      </c>
      <c r="S206" s="14">
        <f t="shared" ca="1" si="162"/>
        <v>0</v>
      </c>
      <c r="T206" s="14">
        <f>IFERROR(IF(WoP_Flag="Y",IF(fq=1,VLOOKUP(ppt*fq-H206,Charges!$AN$41:$AO$59,2,FALSE),IF(fq=2,VLOOKUP(ppt*fq-G206,Charges!$AP$41:$AQ$79,2,FALSE),VLOOKUP(ppt*fq-D206,Charges!$AR$41:$AS$279,2,FALSE)))*pr/fq,0),0)</f>
        <v>0</v>
      </c>
      <c r="U206" s="14">
        <f t="shared" ca="1" si="163"/>
        <v>0</v>
      </c>
      <c r="V206" s="34">
        <f>ROUND(MIN(IF(H206&gt;=7,Charges!$C$12*(1+Charges!$C$14)^((H206-7+1)),VLOOKUP(H206,Charges!$B$7:$C$12,2,0))*pr,Charges!$C$13)*B206,Round)</f>
        <v>0</v>
      </c>
      <c r="W206" s="14">
        <f t="shared" ca="1" si="164"/>
        <v>0</v>
      </c>
      <c r="X206" s="14">
        <f t="shared" ca="1" si="165"/>
        <v>0</v>
      </c>
      <c r="Y206" s="213">
        <f t="shared" ca="1" si="189"/>
        <v>0</v>
      </c>
      <c r="Z206" s="14">
        <f t="shared" ca="1" si="166"/>
        <v>0</v>
      </c>
      <c r="AA206" s="14">
        <f>IF(AND($H206=pt,$F206=11),SUM($K$7:K206)*VLOOKUP(pt,ROC,2,FALSE),0)</f>
        <v>0</v>
      </c>
      <c r="AB206" s="14">
        <f>IF(AND($H206=pt,$F206=11),SUM($V$7:V206)*VLOOKUP(pt,ROC,2,FALSE),0)</f>
        <v>0</v>
      </c>
      <c r="AC206" s="14">
        <f>IF(AND($H206=pt,$F206=11),SUM($Q$7:Q206)*VLOOKUP(pt,ROC,2,FALSE),0)</f>
        <v>0</v>
      </c>
      <c r="AD206" s="14">
        <f t="shared" ca="1" si="167"/>
        <v>0</v>
      </c>
      <c r="AE206" s="14">
        <f ca="1">(MAX(sa-CF205*Flag_UL_Type,105%*SUM($I$7:I206),Z206)+AU206)*B206</f>
        <v>0</v>
      </c>
      <c r="AF206" s="136"/>
      <c r="AG206" s="18">
        <v>200</v>
      </c>
      <c r="AH206" s="30">
        <f t="shared" ca="1" si="168"/>
        <v>0</v>
      </c>
      <c r="AI206" s="58"/>
      <c r="AJ206" s="50">
        <f>IF(AND(Option_Sys_TopUp&gt;="Y",H206&gt;=sytp,H206&lt;=(dtp+sytp-1),F206=0,H206&lt;=ppt+1),atp,0)+IFERROR(VLOOKUP(H206,Input!$B$55:$C$61,2,0),0)*(F206=0)*(Option_TopUP="Y")*(Option_Sys_TopUp="N")*B206*(pt&gt;=H206+5)</f>
        <v>0</v>
      </c>
      <c r="AK206" s="50">
        <f t="shared" si="169"/>
        <v>0</v>
      </c>
      <c r="AL206" s="50">
        <f t="shared" si="190"/>
        <v>0</v>
      </c>
      <c r="AM206" s="50">
        <f t="shared" ca="1" si="191"/>
        <v>0</v>
      </c>
      <c r="AN206" s="50">
        <f>IF(B206=0,0,AT206*(_rpm1+(1+_emr1)*VLOOKUP(E206,Tab_Mort_Charge,IF(Input!$C$12="M",2,3),0))*(0.001*0.0833)*Flag_Mort_Rider_Charge*(AT206&gt;0))</f>
        <v>0</v>
      </c>
      <c r="AO206" s="50">
        <f t="shared" ca="1" si="170"/>
        <v>0</v>
      </c>
      <c r="AP206" s="50">
        <f t="shared" ca="1" si="151"/>
        <v>0</v>
      </c>
      <c r="AQ206" s="50">
        <f t="shared" ca="1" si="171"/>
        <v>0</v>
      </c>
      <c r="AR206" s="50">
        <f t="shared" ca="1" si="172"/>
        <v>0</v>
      </c>
      <c r="AS206" s="50">
        <f t="shared" si="173"/>
        <v>0</v>
      </c>
      <c r="AT206" s="50">
        <f ca="1">(MAX((MAX(AS206,105%*SUM($AJ$7:AJ206))-AM206*Flag_UL_Type),0)*B206)</f>
        <v>0</v>
      </c>
      <c r="AU206" s="50">
        <f ca="1">(MAX(AS206,AR206,105%*SUM($AJ$7:AJ206))*B206)</f>
        <v>0</v>
      </c>
      <c r="AV206" s="125"/>
      <c r="AW206" s="13"/>
      <c r="AX206" s="13"/>
      <c r="AY206" s="13"/>
      <c r="AZ206" s="13"/>
      <c r="BA206" s="13"/>
      <c r="BG206" s="51">
        <f t="shared" si="174"/>
        <v>0</v>
      </c>
      <c r="BH206" s="51">
        <f t="shared" si="175"/>
        <v>0</v>
      </c>
      <c r="BI206" s="51">
        <f t="shared" ca="1" si="176"/>
        <v>0</v>
      </c>
      <c r="BJ206" s="51">
        <f t="shared" ca="1" si="177"/>
        <v>0</v>
      </c>
      <c r="BK206" s="51">
        <f t="shared" si="178"/>
        <v>0</v>
      </c>
      <c r="BL206" s="51">
        <f t="shared" ca="1" si="179"/>
        <v>0</v>
      </c>
      <c r="BM206" s="51">
        <f t="shared" si="180"/>
        <v>0</v>
      </c>
      <c r="BN206" s="51">
        <f t="shared" si="181"/>
        <v>0</v>
      </c>
      <c r="BO206" s="51">
        <f t="shared" ca="1" si="182"/>
        <v>0</v>
      </c>
      <c r="BP206" s="51">
        <f t="shared" ca="1" si="183"/>
        <v>0</v>
      </c>
      <c r="BQ206" s="120"/>
      <c r="BR206" s="32"/>
      <c r="BS206" s="126"/>
      <c r="BT206" s="16"/>
      <c r="BU206" s="58"/>
      <c r="BW206" s="51">
        <f>IF(Input!$C$13="Offline",VLOOKUP(H206,Charges!$AT$4:$AU$33,2,FALSE)*I206,0)</f>
        <v>0</v>
      </c>
      <c r="BX206" s="51">
        <f t="shared" si="184"/>
        <v>0</v>
      </c>
      <c r="BY206" s="51">
        <f t="shared" si="192"/>
        <v>0</v>
      </c>
      <c r="BZ206" s="151"/>
      <c r="CA206" s="151"/>
      <c r="CB206" s="32"/>
      <c r="CC206" s="16">
        <f ca="1">SUM($N$7:$N206)</f>
        <v>0</v>
      </c>
      <c r="CD206" s="16">
        <f t="shared" ca="1" si="185"/>
        <v>0</v>
      </c>
      <c r="CE206" s="16">
        <f t="shared" ca="1" si="186"/>
        <v>0</v>
      </c>
      <c r="CF206" s="7">
        <f t="shared" ca="1" si="187"/>
        <v>0</v>
      </c>
      <c r="CH206" s="7">
        <f t="shared" ca="1" si="188"/>
        <v>0</v>
      </c>
    </row>
    <row r="207" spans="2:86" s="7" customFormat="1" x14ac:dyDescent="0.2">
      <c r="B207" s="14">
        <f t="shared" si="152"/>
        <v>0</v>
      </c>
      <c r="C207" s="12">
        <f t="shared" si="153"/>
        <v>0</v>
      </c>
      <c r="D207" s="17">
        <f t="shared" si="193"/>
        <v>201</v>
      </c>
      <c r="E207" s="17">
        <f t="shared" ca="1" si="154"/>
        <v>76</v>
      </c>
      <c r="F207" s="12">
        <f t="shared" si="149"/>
        <v>8</v>
      </c>
      <c r="G207" s="12">
        <f t="shared" si="194"/>
        <v>34</v>
      </c>
      <c r="H207" s="17">
        <f t="shared" si="150"/>
        <v>17</v>
      </c>
      <c r="I207" s="29">
        <f t="shared" si="155"/>
        <v>0</v>
      </c>
      <c r="J207" s="211">
        <f>IFERROR(VLOOKUP(H207,Charges!$T$6:$U$35,2,0)*C207,0)</f>
        <v>0</v>
      </c>
      <c r="K207" s="29">
        <f t="shared" si="156"/>
        <v>0</v>
      </c>
      <c r="L207" s="29">
        <f t="shared" si="157"/>
        <v>0</v>
      </c>
      <c r="M207" s="147">
        <f t="shared" ca="1" si="158"/>
        <v>0</v>
      </c>
      <c r="N207" s="148">
        <f ca="1">IF(AND(Option_SPW="Y",H207&gt;=Lock_In_Period,Z206&gt;SPW_Amount_pa+IF(option="Single",1/5*pr,2*pr),H207&gt;=SPW_Start_Year,H207&lt;=SPW_Start_Year+SPW_Duration-1,age+H207&gt;=Legal_Age),IF(AND(F207=0,SPW_Payout_Freq=1),SPW_Amount_pa,IF(AND(SPW_Payout_Freq=2,MOD(F207,6)=0),SPW_Amount_pa/SPW_Payout_Freq,IF(AND(SPW_Payout_Freq=4,MOD(F207,3)=0),SPW_Amount_pa/SPW_Payout_Freq,IF(SPW_Payout_Freq=12,SPW_Amount_pa/SPW_Payout_Freq,0)))),0)+IFERROR(VLOOKUP(H207,Input!$B$68:$C$74,2,0),0)*(F207=0)*(Option_PW="Y")*(Option_SPW="N")*(age+H207&gt;=Legal_Age)</f>
        <v>0</v>
      </c>
      <c r="O207" s="148">
        <f t="shared" ca="1" si="159"/>
        <v>0</v>
      </c>
      <c r="P207" s="14">
        <f ca="1">(MAX(MAX(sa-CF206*Flag_UL_Type,105%*SUM($I$7:I207))-(AD206+L207-N207)*Flag_UL_Type,0)*B207)</f>
        <v>0</v>
      </c>
      <c r="Q207" s="213">
        <f t="shared" si="160"/>
        <v>0</v>
      </c>
      <c r="R207" s="14">
        <f t="shared" ca="1" si="161"/>
        <v>0</v>
      </c>
      <c r="S207" s="14">
        <f t="shared" ca="1" si="162"/>
        <v>0</v>
      </c>
      <c r="T207" s="14">
        <f>IFERROR(IF(WoP_Flag="Y",IF(fq=1,VLOOKUP(ppt*fq-H207,Charges!$AN$41:$AO$59,2,FALSE),IF(fq=2,VLOOKUP(ppt*fq-G207,Charges!$AP$41:$AQ$79,2,FALSE),VLOOKUP(ppt*fq-D207,Charges!$AR$41:$AS$279,2,FALSE)))*pr/fq,0),0)</f>
        <v>0</v>
      </c>
      <c r="U207" s="14">
        <f t="shared" ca="1" si="163"/>
        <v>0</v>
      </c>
      <c r="V207" s="34">
        <f>ROUND(MIN(IF(H207&gt;=7,Charges!$C$12*(1+Charges!$C$14)^((H207-7+1)),VLOOKUP(H207,Charges!$B$7:$C$12,2,0))*pr,Charges!$C$13)*B207,Round)</f>
        <v>0</v>
      </c>
      <c r="W207" s="14">
        <f t="shared" ca="1" si="164"/>
        <v>0</v>
      </c>
      <c r="X207" s="14">
        <f t="shared" ca="1" si="165"/>
        <v>0</v>
      </c>
      <c r="Y207" s="213">
        <f t="shared" ca="1" si="189"/>
        <v>0</v>
      </c>
      <c r="Z207" s="14">
        <f t="shared" ca="1" si="166"/>
        <v>0</v>
      </c>
      <c r="AA207" s="14">
        <f>IF(AND($H207=pt,$F207=11),SUM($K$7:K207)*VLOOKUP(pt,ROC,2,FALSE),0)</f>
        <v>0</v>
      </c>
      <c r="AB207" s="14">
        <f>IF(AND($H207=pt,$F207=11),SUM($V$7:V207)*VLOOKUP(pt,ROC,2,FALSE),0)</f>
        <v>0</v>
      </c>
      <c r="AC207" s="14">
        <f>IF(AND($H207=pt,$F207=11),SUM($Q$7:Q207)*VLOOKUP(pt,ROC,2,FALSE),0)</f>
        <v>0</v>
      </c>
      <c r="AD207" s="14">
        <f t="shared" ca="1" si="167"/>
        <v>0</v>
      </c>
      <c r="AE207" s="14">
        <f ca="1">(MAX(sa-CF206*Flag_UL_Type,105%*SUM($I$7:I207),Z207)+AU207)*B207</f>
        <v>0</v>
      </c>
      <c r="AF207" s="136"/>
      <c r="AG207" s="18">
        <v>201</v>
      </c>
      <c r="AH207" s="30">
        <f t="shared" ca="1" si="168"/>
        <v>0</v>
      </c>
      <c r="AI207" s="58"/>
      <c r="AJ207" s="50">
        <f>IF(AND(Option_Sys_TopUp&gt;="Y",H207&gt;=sytp,H207&lt;=(dtp+sytp-1),F207=0,H207&lt;=ppt+1),atp,0)+IFERROR(VLOOKUP(H207,Input!$B$55:$C$61,2,0),0)*(F207=0)*(Option_TopUP="Y")*(Option_Sys_TopUp="N")*B207*(pt&gt;=H207+5)</f>
        <v>0</v>
      </c>
      <c r="AK207" s="50">
        <f t="shared" si="169"/>
        <v>0</v>
      </c>
      <c r="AL207" s="50">
        <f t="shared" si="190"/>
        <v>0</v>
      </c>
      <c r="AM207" s="50">
        <f t="shared" ca="1" si="191"/>
        <v>0</v>
      </c>
      <c r="AN207" s="50">
        <f>IF(B207=0,0,AT207*(_rpm1+(1+_emr1)*VLOOKUP(E207,Tab_Mort_Charge,IF(Input!$C$12="M",2,3),0))*(0.001*0.0833)*Flag_Mort_Rider_Charge*(AT207&gt;0))</f>
        <v>0</v>
      </c>
      <c r="AO207" s="50">
        <f t="shared" ca="1" si="170"/>
        <v>0</v>
      </c>
      <c r="AP207" s="50">
        <f t="shared" ca="1" si="151"/>
        <v>0</v>
      </c>
      <c r="AQ207" s="50">
        <f t="shared" ca="1" si="171"/>
        <v>0</v>
      </c>
      <c r="AR207" s="50">
        <f t="shared" ca="1" si="172"/>
        <v>0</v>
      </c>
      <c r="AS207" s="50">
        <f t="shared" si="173"/>
        <v>0</v>
      </c>
      <c r="AT207" s="50">
        <f ca="1">(MAX((MAX(AS207,105%*SUM($AJ$7:AJ207))-AM207*Flag_UL_Type),0)*B207)</f>
        <v>0</v>
      </c>
      <c r="AU207" s="50">
        <f ca="1">(MAX(AS207,AR207,105%*SUM($AJ$7:AJ207))*B207)</f>
        <v>0</v>
      </c>
      <c r="AV207" s="125"/>
      <c r="AW207" s="13"/>
      <c r="AX207" s="13"/>
      <c r="AY207" s="13"/>
      <c r="AZ207" s="13"/>
      <c r="BA207" s="13"/>
      <c r="BG207" s="51">
        <f t="shared" si="174"/>
        <v>0</v>
      </c>
      <c r="BH207" s="51">
        <f t="shared" si="175"/>
        <v>0</v>
      </c>
      <c r="BI207" s="51">
        <f t="shared" ca="1" si="176"/>
        <v>0</v>
      </c>
      <c r="BJ207" s="51">
        <f t="shared" ca="1" si="177"/>
        <v>0</v>
      </c>
      <c r="BK207" s="51">
        <f t="shared" si="178"/>
        <v>0</v>
      </c>
      <c r="BL207" s="51">
        <f t="shared" ca="1" si="179"/>
        <v>0</v>
      </c>
      <c r="BM207" s="51">
        <f t="shared" si="180"/>
        <v>0</v>
      </c>
      <c r="BN207" s="51">
        <f t="shared" si="181"/>
        <v>0</v>
      </c>
      <c r="BO207" s="51">
        <f t="shared" ca="1" si="182"/>
        <v>0</v>
      </c>
      <c r="BP207" s="51">
        <f t="shared" ca="1" si="183"/>
        <v>0</v>
      </c>
      <c r="BQ207" s="120"/>
      <c r="BR207" s="32"/>
      <c r="BS207" s="126"/>
      <c r="BT207" s="16"/>
      <c r="BU207" s="58"/>
      <c r="BW207" s="51">
        <f>IF(Input!$C$13="Offline",VLOOKUP(H207,Charges!$AT$4:$AU$33,2,FALSE)*I207,0)</f>
        <v>0</v>
      </c>
      <c r="BX207" s="51">
        <f t="shared" si="184"/>
        <v>0</v>
      </c>
      <c r="BY207" s="51">
        <f t="shared" si="192"/>
        <v>0</v>
      </c>
      <c r="BZ207" s="151"/>
      <c r="CA207" s="151"/>
      <c r="CB207" s="32"/>
      <c r="CC207" s="16">
        <f ca="1">SUM($N$7:$N207)</f>
        <v>0</v>
      </c>
      <c r="CD207" s="16">
        <f t="shared" ca="1" si="185"/>
        <v>0</v>
      </c>
      <c r="CE207" s="16">
        <f t="shared" ca="1" si="186"/>
        <v>0</v>
      </c>
      <c r="CF207" s="7">
        <f t="shared" ca="1" si="187"/>
        <v>0</v>
      </c>
      <c r="CH207" s="7">
        <f t="shared" ca="1" si="188"/>
        <v>0</v>
      </c>
    </row>
    <row r="208" spans="2:86" s="7" customFormat="1" x14ac:dyDescent="0.2">
      <c r="B208" s="14">
        <f t="shared" si="152"/>
        <v>0</v>
      </c>
      <c r="C208" s="12">
        <f t="shared" si="153"/>
        <v>0</v>
      </c>
      <c r="D208" s="17">
        <f t="shared" si="193"/>
        <v>202</v>
      </c>
      <c r="E208" s="17">
        <f t="shared" ca="1" si="154"/>
        <v>76</v>
      </c>
      <c r="F208" s="12">
        <f t="shared" si="149"/>
        <v>9</v>
      </c>
      <c r="G208" s="12">
        <f t="shared" si="194"/>
        <v>34</v>
      </c>
      <c r="H208" s="17">
        <f t="shared" si="150"/>
        <v>17</v>
      </c>
      <c r="I208" s="29">
        <f t="shared" si="155"/>
        <v>0</v>
      </c>
      <c r="J208" s="211">
        <f>IFERROR(VLOOKUP(H208,Charges!$T$6:$U$35,2,0)*C208,0)</f>
        <v>0</v>
      </c>
      <c r="K208" s="29">
        <f t="shared" si="156"/>
        <v>0</v>
      </c>
      <c r="L208" s="29">
        <f t="shared" si="157"/>
        <v>0</v>
      </c>
      <c r="M208" s="147">
        <f t="shared" ca="1" si="158"/>
        <v>0</v>
      </c>
      <c r="N208" s="148">
        <f ca="1">IF(AND(Option_SPW="Y",H208&gt;=Lock_In_Period,Z207&gt;SPW_Amount_pa+IF(option="Single",1/5*pr,2*pr),H208&gt;=SPW_Start_Year,H208&lt;=SPW_Start_Year+SPW_Duration-1,age+H208&gt;=Legal_Age),IF(AND(F208=0,SPW_Payout_Freq=1),SPW_Amount_pa,IF(AND(SPW_Payout_Freq=2,MOD(F208,6)=0),SPW_Amount_pa/SPW_Payout_Freq,IF(AND(SPW_Payout_Freq=4,MOD(F208,3)=0),SPW_Amount_pa/SPW_Payout_Freq,IF(SPW_Payout_Freq=12,SPW_Amount_pa/SPW_Payout_Freq,0)))),0)+IFERROR(VLOOKUP(H208,Input!$B$68:$C$74,2,0),0)*(F208=0)*(Option_PW="Y")*(Option_SPW="N")*(age+H208&gt;=Legal_Age)</f>
        <v>0</v>
      </c>
      <c r="O208" s="148">
        <f t="shared" ca="1" si="159"/>
        <v>0</v>
      </c>
      <c r="P208" s="14">
        <f ca="1">(MAX(MAX(sa-CF207*Flag_UL_Type,105%*SUM($I$7:I208))-(AD207+L208-N208)*Flag_UL_Type,0)*B208)</f>
        <v>0</v>
      </c>
      <c r="Q208" s="213">
        <f t="shared" si="160"/>
        <v>0</v>
      </c>
      <c r="R208" s="14">
        <f t="shared" ca="1" si="161"/>
        <v>0</v>
      </c>
      <c r="S208" s="14">
        <f t="shared" ca="1" si="162"/>
        <v>0</v>
      </c>
      <c r="T208" s="14">
        <f>IFERROR(IF(WoP_Flag="Y",IF(fq=1,VLOOKUP(ppt*fq-H208,Charges!$AN$41:$AO$59,2,FALSE),IF(fq=2,VLOOKUP(ppt*fq-G208,Charges!$AP$41:$AQ$79,2,FALSE),VLOOKUP(ppt*fq-D208,Charges!$AR$41:$AS$279,2,FALSE)))*pr/fq,0),0)</f>
        <v>0</v>
      </c>
      <c r="U208" s="14">
        <f t="shared" ca="1" si="163"/>
        <v>0</v>
      </c>
      <c r="V208" s="34">
        <f>ROUND(MIN(IF(H208&gt;=7,Charges!$C$12*(1+Charges!$C$14)^((H208-7+1)),VLOOKUP(H208,Charges!$B$7:$C$12,2,0))*pr,Charges!$C$13)*B208,Round)</f>
        <v>0</v>
      </c>
      <c r="W208" s="14">
        <f t="shared" ca="1" si="164"/>
        <v>0</v>
      </c>
      <c r="X208" s="14">
        <f t="shared" ca="1" si="165"/>
        <v>0</v>
      </c>
      <c r="Y208" s="213">
        <f t="shared" ca="1" si="189"/>
        <v>0</v>
      </c>
      <c r="Z208" s="14">
        <f t="shared" ca="1" si="166"/>
        <v>0</v>
      </c>
      <c r="AA208" s="14">
        <f>IF(AND($H208=pt,$F208=11),SUM($K$7:K208)*VLOOKUP(pt,ROC,2,FALSE),0)</f>
        <v>0</v>
      </c>
      <c r="AB208" s="14">
        <f>IF(AND($H208=pt,$F208=11),SUM($V$7:V208)*VLOOKUP(pt,ROC,2,FALSE),0)</f>
        <v>0</v>
      </c>
      <c r="AC208" s="14">
        <f>IF(AND($H208=pt,$F208=11),SUM($Q$7:Q208)*VLOOKUP(pt,ROC,2,FALSE),0)</f>
        <v>0</v>
      </c>
      <c r="AD208" s="14">
        <f t="shared" ca="1" si="167"/>
        <v>0</v>
      </c>
      <c r="AE208" s="14">
        <f ca="1">(MAX(sa-CF207*Flag_UL_Type,105%*SUM($I$7:I208),Z208)+AU208)*B208</f>
        <v>0</v>
      </c>
      <c r="AF208" s="136"/>
      <c r="AG208" s="18">
        <v>202</v>
      </c>
      <c r="AH208" s="30">
        <f t="shared" ca="1" si="168"/>
        <v>0</v>
      </c>
      <c r="AI208" s="58"/>
      <c r="AJ208" s="50">
        <f>IF(AND(Option_Sys_TopUp&gt;="Y",H208&gt;=sytp,H208&lt;=(dtp+sytp-1),F208=0,H208&lt;=ppt+1),atp,0)+IFERROR(VLOOKUP(H208,Input!$B$55:$C$61,2,0),0)*(F208=0)*(Option_TopUP="Y")*(Option_Sys_TopUp="N")*B208*(pt&gt;=H208+5)</f>
        <v>0</v>
      </c>
      <c r="AK208" s="50">
        <f t="shared" si="169"/>
        <v>0</v>
      </c>
      <c r="AL208" s="50">
        <f t="shared" si="190"/>
        <v>0</v>
      </c>
      <c r="AM208" s="50">
        <f t="shared" ca="1" si="191"/>
        <v>0</v>
      </c>
      <c r="AN208" s="50">
        <f>IF(B208=0,0,AT208*(_rpm1+(1+_emr1)*VLOOKUP(E208,Tab_Mort_Charge,IF(Input!$C$12="M",2,3),0))*(0.001*0.0833)*Flag_Mort_Rider_Charge*(AT208&gt;0))</f>
        <v>0</v>
      </c>
      <c r="AO208" s="50">
        <f t="shared" ca="1" si="170"/>
        <v>0</v>
      </c>
      <c r="AP208" s="50">
        <f t="shared" ca="1" si="151"/>
        <v>0</v>
      </c>
      <c r="AQ208" s="50">
        <f t="shared" ca="1" si="171"/>
        <v>0</v>
      </c>
      <c r="AR208" s="50">
        <f t="shared" ca="1" si="172"/>
        <v>0</v>
      </c>
      <c r="AS208" s="50">
        <f t="shared" si="173"/>
        <v>0</v>
      </c>
      <c r="AT208" s="50">
        <f ca="1">(MAX((MAX(AS208,105%*SUM($AJ$7:AJ208))-AM208*Flag_UL_Type),0)*B208)</f>
        <v>0</v>
      </c>
      <c r="AU208" s="50">
        <f ca="1">(MAX(AS208,AR208,105%*SUM($AJ$7:AJ208))*B208)</f>
        <v>0</v>
      </c>
      <c r="AV208" s="125"/>
      <c r="AW208" s="13"/>
      <c r="AX208" s="13"/>
      <c r="AY208" s="13"/>
      <c r="AZ208" s="13"/>
      <c r="BA208" s="13"/>
      <c r="BG208" s="51">
        <f t="shared" si="174"/>
        <v>0</v>
      </c>
      <c r="BH208" s="51">
        <f t="shared" si="175"/>
        <v>0</v>
      </c>
      <c r="BI208" s="51">
        <f t="shared" ca="1" si="176"/>
        <v>0</v>
      </c>
      <c r="BJ208" s="51">
        <f t="shared" ca="1" si="177"/>
        <v>0</v>
      </c>
      <c r="BK208" s="51">
        <f t="shared" si="178"/>
        <v>0</v>
      </c>
      <c r="BL208" s="51">
        <f t="shared" ca="1" si="179"/>
        <v>0</v>
      </c>
      <c r="BM208" s="51">
        <f t="shared" si="180"/>
        <v>0</v>
      </c>
      <c r="BN208" s="51">
        <f t="shared" si="181"/>
        <v>0</v>
      </c>
      <c r="BO208" s="51">
        <f t="shared" ca="1" si="182"/>
        <v>0</v>
      </c>
      <c r="BP208" s="51">
        <f t="shared" ca="1" si="183"/>
        <v>0</v>
      </c>
      <c r="BQ208" s="120"/>
      <c r="BR208" s="32"/>
      <c r="BS208" s="126"/>
      <c r="BT208" s="16"/>
      <c r="BU208" s="58"/>
      <c r="BW208" s="51">
        <f>IF(Input!$C$13="Offline",VLOOKUP(H208,Charges!$AT$4:$AU$33,2,FALSE)*I208,0)</f>
        <v>0</v>
      </c>
      <c r="BX208" s="51">
        <f t="shared" si="184"/>
        <v>0</v>
      </c>
      <c r="BY208" s="51">
        <f t="shared" si="192"/>
        <v>0</v>
      </c>
      <c r="BZ208" s="151"/>
      <c r="CA208" s="151"/>
      <c r="CB208" s="32"/>
      <c r="CC208" s="16">
        <f ca="1">SUM($N$7:$N208)</f>
        <v>0</v>
      </c>
      <c r="CD208" s="16">
        <f t="shared" ca="1" si="185"/>
        <v>0</v>
      </c>
      <c r="CE208" s="16">
        <f t="shared" ca="1" si="186"/>
        <v>0</v>
      </c>
      <c r="CF208" s="7">
        <f t="shared" ca="1" si="187"/>
        <v>0</v>
      </c>
      <c r="CH208" s="7">
        <f t="shared" ca="1" si="188"/>
        <v>0</v>
      </c>
    </row>
    <row r="209" spans="2:86" s="7" customFormat="1" x14ac:dyDescent="0.2">
      <c r="B209" s="14">
        <f t="shared" si="152"/>
        <v>0</v>
      </c>
      <c r="C209" s="12">
        <f t="shared" si="153"/>
        <v>0</v>
      </c>
      <c r="D209" s="17">
        <f t="shared" si="193"/>
        <v>203</v>
      </c>
      <c r="E209" s="17">
        <f t="shared" ca="1" si="154"/>
        <v>76</v>
      </c>
      <c r="F209" s="12">
        <f t="shared" si="149"/>
        <v>10</v>
      </c>
      <c r="G209" s="12">
        <f t="shared" si="194"/>
        <v>34</v>
      </c>
      <c r="H209" s="17">
        <f t="shared" si="150"/>
        <v>17</v>
      </c>
      <c r="I209" s="29">
        <f t="shared" si="155"/>
        <v>0</v>
      </c>
      <c r="J209" s="211">
        <f>IFERROR(VLOOKUP(H209,Charges!$T$6:$U$35,2,0)*C209,0)</f>
        <v>0</v>
      </c>
      <c r="K209" s="29">
        <f t="shared" si="156"/>
        <v>0</v>
      </c>
      <c r="L209" s="29">
        <f t="shared" si="157"/>
        <v>0</v>
      </c>
      <c r="M209" s="147">
        <f t="shared" ca="1" si="158"/>
        <v>0</v>
      </c>
      <c r="N209" s="148">
        <f ca="1">IF(AND(Option_SPW="Y",H209&gt;=Lock_In_Period,Z208&gt;SPW_Amount_pa+IF(option="Single",1/5*pr,2*pr),H209&gt;=SPW_Start_Year,H209&lt;=SPW_Start_Year+SPW_Duration-1,age+H209&gt;=Legal_Age),IF(AND(F209=0,SPW_Payout_Freq=1),SPW_Amount_pa,IF(AND(SPW_Payout_Freq=2,MOD(F209,6)=0),SPW_Amount_pa/SPW_Payout_Freq,IF(AND(SPW_Payout_Freq=4,MOD(F209,3)=0),SPW_Amount_pa/SPW_Payout_Freq,IF(SPW_Payout_Freq=12,SPW_Amount_pa/SPW_Payout_Freq,0)))),0)+IFERROR(VLOOKUP(H209,Input!$B$68:$C$74,2,0),0)*(F209=0)*(Option_PW="Y")*(Option_SPW="N")*(age+H209&gt;=Legal_Age)</f>
        <v>0</v>
      </c>
      <c r="O209" s="148">
        <f t="shared" ca="1" si="159"/>
        <v>0</v>
      </c>
      <c r="P209" s="14">
        <f ca="1">(MAX(MAX(sa-CF208*Flag_UL_Type,105%*SUM($I$7:I209))-(AD208+L209-N209)*Flag_UL_Type,0)*B209)</f>
        <v>0</v>
      </c>
      <c r="Q209" s="213">
        <f t="shared" si="160"/>
        <v>0</v>
      </c>
      <c r="R209" s="14">
        <f t="shared" ca="1" si="161"/>
        <v>0</v>
      </c>
      <c r="S209" s="14">
        <f t="shared" ca="1" si="162"/>
        <v>0</v>
      </c>
      <c r="T209" s="14">
        <f>IFERROR(IF(WoP_Flag="Y",IF(fq=1,VLOOKUP(ppt*fq-H209,Charges!$AN$41:$AO$59,2,FALSE),IF(fq=2,VLOOKUP(ppt*fq-G209,Charges!$AP$41:$AQ$79,2,FALSE),VLOOKUP(ppt*fq-D209,Charges!$AR$41:$AS$279,2,FALSE)))*pr/fq,0),0)</f>
        <v>0</v>
      </c>
      <c r="U209" s="14">
        <f t="shared" ca="1" si="163"/>
        <v>0</v>
      </c>
      <c r="V209" s="34">
        <f>ROUND(MIN(IF(H209&gt;=7,Charges!$C$12*(1+Charges!$C$14)^((H209-7+1)),VLOOKUP(H209,Charges!$B$7:$C$12,2,0))*pr,Charges!$C$13)*B209,Round)</f>
        <v>0</v>
      </c>
      <c r="W209" s="14">
        <f t="shared" ca="1" si="164"/>
        <v>0</v>
      </c>
      <c r="X209" s="14">
        <f t="shared" ca="1" si="165"/>
        <v>0</v>
      </c>
      <c r="Y209" s="213">
        <f t="shared" ca="1" si="189"/>
        <v>0</v>
      </c>
      <c r="Z209" s="14">
        <f t="shared" ca="1" si="166"/>
        <v>0</v>
      </c>
      <c r="AA209" s="14">
        <f>IF(AND($H209=pt,$F209=11),SUM($K$7:K209)*VLOOKUP(pt,ROC,2,FALSE),0)</f>
        <v>0</v>
      </c>
      <c r="AB209" s="14">
        <f>IF(AND($H209=pt,$F209=11),SUM($V$7:V209)*VLOOKUP(pt,ROC,2,FALSE),0)</f>
        <v>0</v>
      </c>
      <c r="AC209" s="14">
        <f>IF(AND($H209=pt,$F209=11),SUM($Q$7:Q209)*VLOOKUP(pt,ROC,2,FALSE),0)</f>
        <v>0</v>
      </c>
      <c r="AD209" s="14">
        <f t="shared" ca="1" si="167"/>
        <v>0</v>
      </c>
      <c r="AE209" s="14">
        <f ca="1">(MAX(sa-CF208*Flag_UL_Type,105%*SUM($I$7:I209),Z209)+AU209)*B209</f>
        <v>0</v>
      </c>
      <c r="AF209" s="136"/>
      <c r="AG209" s="18">
        <v>203</v>
      </c>
      <c r="AH209" s="30">
        <f t="shared" ca="1" si="168"/>
        <v>0</v>
      </c>
      <c r="AI209" s="58"/>
      <c r="AJ209" s="50">
        <f>IF(AND(Option_Sys_TopUp&gt;="Y",H209&gt;=sytp,H209&lt;=(dtp+sytp-1),F209=0,H209&lt;=ppt+1),atp,0)+IFERROR(VLOOKUP(H209,Input!$B$55:$C$61,2,0),0)*(F209=0)*(Option_TopUP="Y")*(Option_Sys_TopUp="N")*B209*(pt&gt;=H209+5)</f>
        <v>0</v>
      </c>
      <c r="AK209" s="50">
        <f t="shared" si="169"/>
        <v>0</v>
      </c>
      <c r="AL209" s="50">
        <f t="shared" si="190"/>
        <v>0</v>
      </c>
      <c r="AM209" s="50">
        <f t="shared" ca="1" si="191"/>
        <v>0</v>
      </c>
      <c r="AN209" s="50">
        <f>IF(B209=0,0,AT209*(_rpm1+(1+_emr1)*VLOOKUP(E209,Tab_Mort_Charge,IF(Input!$C$12="M",2,3),0))*(0.001*0.0833)*Flag_Mort_Rider_Charge*(AT209&gt;0))</f>
        <v>0</v>
      </c>
      <c r="AO209" s="50">
        <f t="shared" ca="1" si="170"/>
        <v>0</v>
      </c>
      <c r="AP209" s="50">
        <f t="shared" ca="1" si="151"/>
        <v>0</v>
      </c>
      <c r="AQ209" s="50">
        <f t="shared" ca="1" si="171"/>
        <v>0</v>
      </c>
      <c r="AR209" s="50">
        <f t="shared" ca="1" si="172"/>
        <v>0</v>
      </c>
      <c r="AS209" s="50">
        <f t="shared" si="173"/>
        <v>0</v>
      </c>
      <c r="AT209" s="50">
        <f ca="1">(MAX((MAX(AS209,105%*SUM($AJ$7:AJ209))-AM209*Flag_UL_Type),0)*B209)</f>
        <v>0</v>
      </c>
      <c r="AU209" s="50">
        <f ca="1">(MAX(AS209,AR209,105%*SUM($AJ$7:AJ209))*B209)</f>
        <v>0</v>
      </c>
      <c r="AV209" s="125"/>
      <c r="AW209" s="13"/>
      <c r="AX209" s="13"/>
      <c r="AY209" s="13"/>
      <c r="AZ209" s="13"/>
      <c r="BA209" s="13"/>
      <c r="BG209" s="51">
        <f t="shared" si="174"/>
        <v>0</v>
      </c>
      <c r="BH209" s="51">
        <f t="shared" si="175"/>
        <v>0</v>
      </c>
      <c r="BI209" s="51">
        <f t="shared" ca="1" si="176"/>
        <v>0</v>
      </c>
      <c r="BJ209" s="51">
        <f t="shared" ca="1" si="177"/>
        <v>0</v>
      </c>
      <c r="BK209" s="51">
        <f t="shared" si="178"/>
        <v>0</v>
      </c>
      <c r="BL209" s="51">
        <f t="shared" ca="1" si="179"/>
        <v>0</v>
      </c>
      <c r="BM209" s="51">
        <f t="shared" si="180"/>
        <v>0</v>
      </c>
      <c r="BN209" s="51">
        <f t="shared" si="181"/>
        <v>0</v>
      </c>
      <c r="BO209" s="51">
        <f t="shared" ca="1" si="182"/>
        <v>0</v>
      </c>
      <c r="BP209" s="51">
        <f t="shared" ca="1" si="183"/>
        <v>0</v>
      </c>
      <c r="BQ209" s="120"/>
      <c r="BR209" s="32"/>
      <c r="BS209" s="126"/>
      <c r="BT209" s="16"/>
      <c r="BU209" s="58"/>
      <c r="BW209" s="51">
        <f>IF(Input!$C$13="Offline",VLOOKUP(H209,Charges!$AT$4:$AU$33,2,FALSE)*I209,0)</f>
        <v>0</v>
      </c>
      <c r="BX209" s="51">
        <f t="shared" si="184"/>
        <v>0</v>
      </c>
      <c r="BY209" s="51">
        <f t="shared" si="192"/>
        <v>0</v>
      </c>
      <c r="BZ209" s="151"/>
      <c r="CA209" s="151"/>
      <c r="CB209" s="32"/>
      <c r="CC209" s="16">
        <f ca="1">SUM($N$7:$N209)</f>
        <v>0</v>
      </c>
      <c r="CD209" s="16">
        <f t="shared" ca="1" si="185"/>
        <v>0</v>
      </c>
      <c r="CE209" s="16">
        <f t="shared" ca="1" si="186"/>
        <v>0</v>
      </c>
      <c r="CF209" s="7">
        <f t="shared" ca="1" si="187"/>
        <v>0</v>
      </c>
      <c r="CH209" s="7">
        <f t="shared" ca="1" si="188"/>
        <v>0</v>
      </c>
    </row>
    <row r="210" spans="2:86" s="7" customFormat="1" x14ac:dyDescent="0.2">
      <c r="B210" s="14">
        <f t="shared" si="152"/>
        <v>0</v>
      </c>
      <c r="C210" s="12">
        <f t="shared" si="153"/>
        <v>0</v>
      </c>
      <c r="D210" s="17">
        <f t="shared" si="193"/>
        <v>204</v>
      </c>
      <c r="E210" s="17">
        <f t="shared" ca="1" si="154"/>
        <v>76</v>
      </c>
      <c r="F210" s="12">
        <f t="shared" si="149"/>
        <v>11</v>
      </c>
      <c r="G210" s="12">
        <f t="shared" si="194"/>
        <v>34</v>
      </c>
      <c r="H210" s="17">
        <f t="shared" si="150"/>
        <v>17</v>
      </c>
      <c r="I210" s="29">
        <f t="shared" si="155"/>
        <v>0</v>
      </c>
      <c r="J210" s="211">
        <f>IFERROR(VLOOKUP(H210,Charges!$T$6:$U$35,2,0)*C210,0)</f>
        <v>0</v>
      </c>
      <c r="K210" s="29">
        <f t="shared" si="156"/>
        <v>0</v>
      </c>
      <c r="L210" s="29">
        <f t="shared" si="157"/>
        <v>0</v>
      </c>
      <c r="M210" s="147">
        <f t="shared" ca="1" si="158"/>
        <v>0</v>
      </c>
      <c r="N210" s="148">
        <f ca="1">IF(AND(Option_SPW="Y",H210&gt;=Lock_In_Period,Z209&gt;SPW_Amount_pa+IF(option="Single",1/5*pr,2*pr),H210&gt;=SPW_Start_Year,H210&lt;=SPW_Start_Year+SPW_Duration-1,age+H210&gt;=Legal_Age),IF(AND(F210=0,SPW_Payout_Freq=1),SPW_Amount_pa,IF(AND(SPW_Payout_Freq=2,MOD(F210,6)=0),SPW_Amount_pa/SPW_Payout_Freq,IF(AND(SPW_Payout_Freq=4,MOD(F210,3)=0),SPW_Amount_pa/SPW_Payout_Freq,IF(SPW_Payout_Freq=12,SPW_Amount_pa/SPW_Payout_Freq,0)))),0)+IFERROR(VLOOKUP(H210,Input!$B$68:$C$74,2,0),0)*(F210=0)*(Option_PW="Y")*(Option_SPW="N")*(age+H210&gt;=Legal_Age)</f>
        <v>0</v>
      </c>
      <c r="O210" s="148">
        <f t="shared" ca="1" si="159"/>
        <v>0</v>
      </c>
      <c r="P210" s="14">
        <f ca="1">(MAX(MAX(sa-CF209*Flag_UL_Type,105%*SUM($I$7:I210))-(AD209+L210-N210)*Flag_UL_Type,0)*B210)</f>
        <v>0</v>
      </c>
      <c r="Q210" s="213">
        <f t="shared" si="160"/>
        <v>0</v>
      </c>
      <c r="R210" s="14">
        <f t="shared" ca="1" si="161"/>
        <v>0</v>
      </c>
      <c r="S210" s="14">
        <f t="shared" ca="1" si="162"/>
        <v>0</v>
      </c>
      <c r="T210" s="14">
        <f>IFERROR(IF(WoP_Flag="Y",IF(fq=1,VLOOKUP(ppt*fq-H210,Charges!$AN$41:$AO$59,2,FALSE),IF(fq=2,VLOOKUP(ppt*fq-G210,Charges!$AP$41:$AQ$79,2,FALSE),VLOOKUP(ppt*fq-D210,Charges!$AR$41:$AS$279,2,FALSE)))*pr/fq,0),0)</f>
        <v>0</v>
      </c>
      <c r="U210" s="14">
        <f t="shared" ca="1" si="163"/>
        <v>0</v>
      </c>
      <c r="V210" s="34">
        <f>ROUND(MIN(IF(H210&gt;=7,Charges!$C$12*(1+Charges!$C$14)^((H210-7+1)),VLOOKUP(H210,Charges!$B$7:$C$12,2,0))*pr,Charges!$C$13)*B210,Round)</f>
        <v>0</v>
      </c>
      <c r="W210" s="14">
        <f t="shared" ca="1" si="164"/>
        <v>0</v>
      </c>
      <c r="X210" s="14">
        <f t="shared" ca="1" si="165"/>
        <v>0</v>
      </c>
      <c r="Y210" s="213">
        <f t="shared" ca="1" si="189"/>
        <v>0</v>
      </c>
      <c r="Z210" s="14">
        <f t="shared" ca="1" si="166"/>
        <v>0</v>
      </c>
      <c r="AA210" s="14">
        <f>IF(AND($H210=pt,$F210=11),SUM($K$7:K210)*VLOOKUP(pt,ROC,2,FALSE),0)</f>
        <v>0</v>
      </c>
      <c r="AB210" s="14">
        <f>IF(AND($H210=pt,$F210=11),SUM($V$7:V210)*VLOOKUP(pt,ROC,2,FALSE),0)</f>
        <v>0</v>
      </c>
      <c r="AC210" s="14">
        <f>IF(AND($H210=pt,$F210=11),SUM($Q$7:Q210)*VLOOKUP(pt,ROC,2,FALSE),0)</f>
        <v>0</v>
      </c>
      <c r="AD210" s="14">
        <f t="shared" ca="1" si="167"/>
        <v>0</v>
      </c>
      <c r="AE210" s="14">
        <f ca="1">(MAX(sa-CF209*Flag_UL_Type,105%*SUM($I$7:I210),Z210)+AU210)*B210</f>
        <v>0</v>
      </c>
      <c r="AF210" s="136"/>
      <c r="AG210" s="18">
        <v>204</v>
      </c>
      <c r="AH210" s="30">
        <f t="shared" ca="1" si="168"/>
        <v>0</v>
      </c>
      <c r="AI210" s="58"/>
      <c r="AJ210" s="50">
        <f>IF(AND(Option_Sys_TopUp&gt;="Y",H210&gt;=sytp,H210&lt;=(dtp+sytp-1),F210=0,H210&lt;=ppt+1),atp,0)+IFERROR(VLOOKUP(H210,Input!$B$55:$C$61,2,0),0)*(F210=0)*(Option_TopUP="Y")*(Option_Sys_TopUp="N")*B210*(pt&gt;=H210+5)</f>
        <v>0</v>
      </c>
      <c r="AK210" s="50">
        <f t="shared" si="169"/>
        <v>0</v>
      </c>
      <c r="AL210" s="50">
        <f t="shared" si="190"/>
        <v>0</v>
      </c>
      <c r="AM210" s="50">
        <f t="shared" ca="1" si="191"/>
        <v>0</v>
      </c>
      <c r="AN210" s="50">
        <f>IF(B210=0,0,AT210*(_rpm1+(1+_emr1)*VLOOKUP(E210,Tab_Mort_Charge,IF(Input!$C$12="M",2,3),0))*(0.001*0.0833)*Flag_Mort_Rider_Charge*(AT210&gt;0))</f>
        <v>0</v>
      </c>
      <c r="AO210" s="50">
        <f t="shared" ca="1" si="170"/>
        <v>0</v>
      </c>
      <c r="AP210" s="50">
        <f t="shared" ca="1" si="151"/>
        <v>0</v>
      </c>
      <c r="AQ210" s="50">
        <f t="shared" ca="1" si="171"/>
        <v>0</v>
      </c>
      <c r="AR210" s="50">
        <f t="shared" ca="1" si="172"/>
        <v>0</v>
      </c>
      <c r="AS210" s="50">
        <f t="shared" si="173"/>
        <v>0</v>
      </c>
      <c r="AT210" s="50">
        <f ca="1">(MAX((MAX(AS210,105%*SUM($AJ$7:AJ210))-AM210*Flag_UL_Type),0)*B210)</f>
        <v>0</v>
      </c>
      <c r="AU210" s="50">
        <f ca="1">(MAX(AS210,AR210,105%*SUM($AJ$7:AJ210))*B210)</f>
        <v>0</v>
      </c>
      <c r="AV210" s="125"/>
      <c r="AW210" s="13"/>
      <c r="AX210" s="13"/>
      <c r="AY210" s="13"/>
      <c r="AZ210" s="13"/>
      <c r="BA210" s="13"/>
      <c r="BG210" s="51">
        <f t="shared" si="174"/>
        <v>0</v>
      </c>
      <c r="BH210" s="51">
        <f t="shared" si="175"/>
        <v>0</v>
      </c>
      <c r="BI210" s="51">
        <f t="shared" ca="1" si="176"/>
        <v>0</v>
      </c>
      <c r="BJ210" s="51">
        <f t="shared" ca="1" si="177"/>
        <v>0</v>
      </c>
      <c r="BK210" s="51">
        <f t="shared" si="178"/>
        <v>0</v>
      </c>
      <c r="BL210" s="51">
        <f t="shared" ca="1" si="179"/>
        <v>0</v>
      </c>
      <c r="BM210" s="51">
        <f t="shared" si="180"/>
        <v>0</v>
      </c>
      <c r="BN210" s="51">
        <f t="shared" si="181"/>
        <v>0</v>
      </c>
      <c r="BO210" s="51">
        <f t="shared" ca="1" si="182"/>
        <v>0</v>
      </c>
      <c r="BP210" s="51">
        <f t="shared" ca="1" si="183"/>
        <v>0</v>
      </c>
      <c r="BQ210" s="120"/>
      <c r="BR210" s="32"/>
      <c r="BS210" s="126"/>
      <c r="BT210" s="16"/>
      <c r="BU210" s="58"/>
      <c r="BW210" s="51">
        <f>IF(Input!$C$13="Offline",VLOOKUP(H210,Charges!$AT$4:$AU$33,2,FALSE)*I210,0)</f>
        <v>0</v>
      </c>
      <c r="BX210" s="51">
        <f t="shared" si="184"/>
        <v>0</v>
      </c>
      <c r="BY210" s="51">
        <f t="shared" si="192"/>
        <v>0</v>
      </c>
      <c r="BZ210" s="151"/>
      <c r="CA210" s="151"/>
      <c r="CB210" s="32"/>
      <c r="CC210" s="16">
        <f ca="1">SUM($N$7:$N210)</f>
        <v>0</v>
      </c>
      <c r="CD210" s="16">
        <f t="shared" ca="1" si="185"/>
        <v>0</v>
      </c>
      <c r="CE210" s="16">
        <f t="shared" ca="1" si="186"/>
        <v>0</v>
      </c>
      <c r="CF210" s="7">
        <f t="shared" ca="1" si="187"/>
        <v>0</v>
      </c>
      <c r="CH210" s="7">
        <f t="shared" ca="1" si="188"/>
        <v>0</v>
      </c>
    </row>
    <row r="211" spans="2:86" s="7" customFormat="1" x14ac:dyDescent="0.2">
      <c r="B211" s="14">
        <f t="shared" si="152"/>
        <v>0</v>
      </c>
      <c r="C211" s="12">
        <f t="shared" si="153"/>
        <v>0</v>
      </c>
      <c r="D211" s="17">
        <f t="shared" si="193"/>
        <v>205</v>
      </c>
      <c r="E211" s="17">
        <f t="shared" ca="1" si="154"/>
        <v>77</v>
      </c>
      <c r="F211" s="12">
        <f t="shared" si="149"/>
        <v>0</v>
      </c>
      <c r="G211" s="12">
        <f t="shared" si="194"/>
        <v>35</v>
      </c>
      <c r="H211" s="17">
        <f t="shared" si="150"/>
        <v>18</v>
      </c>
      <c r="I211" s="29">
        <f t="shared" si="155"/>
        <v>0</v>
      </c>
      <c r="J211" s="211">
        <f>IFERROR(VLOOKUP(H211,Charges!$T$6:$U$35,2,0)*C211,0)</f>
        <v>0</v>
      </c>
      <c r="K211" s="29">
        <f t="shared" si="156"/>
        <v>0</v>
      </c>
      <c r="L211" s="29">
        <f t="shared" si="157"/>
        <v>0</v>
      </c>
      <c r="M211" s="147">
        <f t="shared" ca="1" si="158"/>
        <v>0</v>
      </c>
      <c r="N211" s="148">
        <f ca="1">IF(AND(Option_SPW="Y",H211&gt;=Lock_In_Period,Z210&gt;SPW_Amount_pa+IF(option="Single",1/5*pr,2*pr),H211&gt;=SPW_Start_Year,H211&lt;=SPW_Start_Year+SPW_Duration-1,age+H211&gt;=Legal_Age),IF(AND(F211=0,SPW_Payout_Freq=1),SPW_Amount_pa,IF(AND(SPW_Payout_Freq=2,MOD(F211,6)=0),SPW_Amount_pa/SPW_Payout_Freq,IF(AND(SPW_Payout_Freq=4,MOD(F211,3)=0),SPW_Amount_pa/SPW_Payout_Freq,IF(SPW_Payout_Freq=12,SPW_Amount_pa/SPW_Payout_Freq,0)))),0)+IFERROR(VLOOKUP(H211,Input!$B$68:$C$74,2,0),0)*(F211=0)*(Option_PW="Y")*(Option_SPW="N")*(age+H211&gt;=Legal_Age)</f>
        <v>0</v>
      </c>
      <c r="O211" s="148">
        <f t="shared" ca="1" si="159"/>
        <v>0</v>
      </c>
      <c r="P211" s="14">
        <f ca="1">(MAX(MAX(sa-CF210*Flag_UL_Type,105%*SUM($I$7:I211))-(AD210+L211-N211)*Flag_UL_Type,0)*B211)</f>
        <v>0</v>
      </c>
      <c r="Q211" s="213">
        <f t="shared" si="160"/>
        <v>0</v>
      </c>
      <c r="R211" s="14">
        <f t="shared" ca="1" si="161"/>
        <v>0</v>
      </c>
      <c r="S211" s="14">
        <f t="shared" ca="1" si="162"/>
        <v>0</v>
      </c>
      <c r="T211" s="14">
        <f>IFERROR(IF(WoP_Flag="Y",IF(fq=1,VLOOKUP(ppt*fq-H211,Charges!$AN$41:$AO$59,2,FALSE),IF(fq=2,VLOOKUP(ppt*fq-G211,Charges!$AP$41:$AQ$79,2,FALSE),VLOOKUP(ppt*fq-D211,Charges!$AR$41:$AS$279,2,FALSE)))*pr/fq,0),0)</f>
        <v>0</v>
      </c>
      <c r="U211" s="14">
        <f t="shared" ca="1" si="163"/>
        <v>0</v>
      </c>
      <c r="V211" s="34">
        <f>ROUND(MIN(IF(H211&gt;=7,Charges!$C$12*(1+Charges!$C$14)^((H211-7+1)),VLOOKUP(H211,Charges!$B$7:$C$12,2,0))*pr,Charges!$C$13)*B211,Round)</f>
        <v>0</v>
      </c>
      <c r="W211" s="14">
        <f t="shared" ca="1" si="164"/>
        <v>0</v>
      </c>
      <c r="X211" s="14">
        <f t="shared" ca="1" si="165"/>
        <v>0</v>
      </c>
      <c r="Y211" s="213">
        <f t="shared" ca="1" si="189"/>
        <v>0</v>
      </c>
      <c r="Z211" s="14">
        <f t="shared" ca="1" si="166"/>
        <v>0</v>
      </c>
      <c r="AA211" s="14">
        <f>IF(AND($H211=pt,$F211=11),SUM($K$7:K211)*VLOOKUP(pt,ROC,2,FALSE),0)</f>
        <v>0</v>
      </c>
      <c r="AB211" s="14">
        <f>IF(AND($H211=pt,$F211=11),SUM($V$7:V211)*VLOOKUP(pt,ROC,2,FALSE),0)</f>
        <v>0</v>
      </c>
      <c r="AC211" s="14">
        <f>IF(AND($H211=pt,$F211=11),SUM($Q$7:Q211)*VLOOKUP(pt,ROC,2,FALSE),0)</f>
        <v>0</v>
      </c>
      <c r="AD211" s="14">
        <f t="shared" ca="1" si="167"/>
        <v>0</v>
      </c>
      <c r="AE211" s="14">
        <f ca="1">(MAX(sa-CF210*Flag_UL_Type,105%*SUM($I$7:I211),Z211)+AU211)*B211</f>
        <v>0</v>
      </c>
      <c r="AF211" s="136"/>
      <c r="AG211" s="18">
        <v>205</v>
      </c>
      <c r="AH211" s="30">
        <f t="shared" ca="1" si="168"/>
        <v>0</v>
      </c>
      <c r="AI211" s="58"/>
      <c r="AJ211" s="50">
        <f>IF(AND(Option_Sys_TopUp&gt;="Y",H211&gt;=sytp,H211&lt;=(dtp+sytp-1),F211=0,H211&lt;=ppt+1),atp,0)+IFERROR(VLOOKUP(H211,Input!$B$55:$C$61,2,0),0)*(F211=0)*(Option_TopUP="Y")*(Option_Sys_TopUp="N")*B211*(pt&gt;=H211+5)</f>
        <v>0</v>
      </c>
      <c r="AK211" s="50">
        <f t="shared" si="169"/>
        <v>0</v>
      </c>
      <c r="AL211" s="50">
        <f t="shared" si="190"/>
        <v>0</v>
      </c>
      <c r="AM211" s="50">
        <f t="shared" ca="1" si="191"/>
        <v>0</v>
      </c>
      <c r="AN211" s="50">
        <f>IF(B211=0,0,AT211*(_rpm1+(1+_emr1)*VLOOKUP(E211,Tab_Mort_Charge,IF(Input!$C$12="M",2,3),0))*(0.001*0.0833)*Flag_Mort_Rider_Charge*(AT211&gt;0))</f>
        <v>0</v>
      </c>
      <c r="AO211" s="50">
        <f t="shared" ca="1" si="170"/>
        <v>0</v>
      </c>
      <c r="AP211" s="50">
        <f t="shared" ca="1" si="151"/>
        <v>0</v>
      </c>
      <c r="AQ211" s="50">
        <f t="shared" ca="1" si="171"/>
        <v>0</v>
      </c>
      <c r="AR211" s="50">
        <f t="shared" ca="1" si="172"/>
        <v>0</v>
      </c>
      <c r="AS211" s="50">
        <f t="shared" si="173"/>
        <v>0</v>
      </c>
      <c r="AT211" s="50">
        <f ca="1">(MAX((MAX(AS211,105%*SUM($AJ$7:AJ211))-AM211*Flag_UL_Type),0)*B211)</f>
        <v>0</v>
      </c>
      <c r="AU211" s="50">
        <f ca="1">(MAX(AS211,AR211,105%*SUM($AJ$7:AJ211))*B211)</f>
        <v>0</v>
      </c>
      <c r="AV211" s="125"/>
      <c r="AW211" s="13"/>
      <c r="AX211" s="13"/>
      <c r="AY211" s="13"/>
      <c r="AZ211" s="13"/>
      <c r="BA211" s="13"/>
      <c r="BG211" s="51">
        <f t="shared" si="174"/>
        <v>0</v>
      </c>
      <c r="BH211" s="51">
        <f t="shared" si="175"/>
        <v>0</v>
      </c>
      <c r="BI211" s="51">
        <f t="shared" ca="1" si="176"/>
        <v>0</v>
      </c>
      <c r="BJ211" s="51">
        <f t="shared" ca="1" si="177"/>
        <v>0</v>
      </c>
      <c r="BK211" s="51">
        <f t="shared" si="178"/>
        <v>0</v>
      </c>
      <c r="BL211" s="51">
        <f t="shared" ca="1" si="179"/>
        <v>0</v>
      </c>
      <c r="BM211" s="51">
        <f t="shared" si="180"/>
        <v>0</v>
      </c>
      <c r="BN211" s="51">
        <f t="shared" si="181"/>
        <v>0</v>
      </c>
      <c r="BO211" s="51">
        <f t="shared" ca="1" si="182"/>
        <v>0</v>
      </c>
      <c r="BP211" s="51">
        <f t="shared" ca="1" si="183"/>
        <v>0</v>
      </c>
      <c r="BQ211" s="120"/>
      <c r="BR211" s="32"/>
      <c r="BS211" s="126"/>
      <c r="BT211" s="16"/>
      <c r="BU211" s="58"/>
      <c r="BW211" s="51">
        <f>IF(Input!$C$13="Offline",VLOOKUP(H211,Charges!$AT$4:$AU$33,2,FALSE)*I211,0)</f>
        <v>0</v>
      </c>
      <c r="BX211" s="51">
        <f t="shared" si="184"/>
        <v>0</v>
      </c>
      <c r="BY211" s="51">
        <f t="shared" si="192"/>
        <v>0</v>
      </c>
      <c r="BZ211" s="151"/>
      <c r="CA211" s="151"/>
      <c r="CB211" s="32"/>
      <c r="CC211" s="16">
        <f ca="1">SUM($N$7:$N211)</f>
        <v>0</v>
      </c>
      <c r="CD211" s="16">
        <f t="shared" ca="1" si="185"/>
        <v>0</v>
      </c>
      <c r="CE211" s="16">
        <f t="shared" ca="1" si="186"/>
        <v>0</v>
      </c>
      <c r="CF211" s="7">
        <f t="shared" ca="1" si="187"/>
        <v>0</v>
      </c>
      <c r="CH211" s="7">
        <f t="shared" ca="1" si="188"/>
        <v>0</v>
      </c>
    </row>
    <row r="212" spans="2:86" s="7" customFormat="1" x14ac:dyDescent="0.2">
      <c r="B212" s="14">
        <f t="shared" si="152"/>
        <v>0</v>
      </c>
      <c r="C212" s="12">
        <f t="shared" si="153"/>
        <v>0</v>
      </c>
      <c r="D212" s="17">
        <f t="shared" si="193"/>
        <v>206</v>
      </c>
      <c r="E212" s="17">
        <f t="shared" ca="1" si="154"/>
        <v>77</v>
      </c>
      <c r="F212" s="12">
        <f t="shared" ref="F212:F275" si="195">F200</f>
        <v>1</v>
      </c>
      <c r="G212" s="12">
        <f t="shared" si="194"/>
        <v>35</v>
      </c>
      <c r="H212" s="17">
        <f t="shared" ref="H212:H275" si="196">+H200+1</f>
        <v>18</v>
      </c>
      <c r="I212" s="29">
        <f t="shared" si="155"/>
        <v>0</v>
      </c>
      <c r="J212" s="211">
        <f>IFERROR(VLOOKUP(H212,Charges!$T$6:$U$35,2,0)*C212,0)</f>
        <v>0</v>
      </c>
      <c r="K212" s="29">
        <f t="shared" si="156"/>
        <v>0</v>
      </c>
      <c r="L212" s="29">
        <f t="shared" si="157"/>
        <v>0</v>
      </c>
      <c r="M212" s="147">
        <f t="shared" ca="1" si="158"/>
        <v>0</v>
      </c>
      <c r="N212" s="148">
        <f ca="1">IF(AND(Option_SPW="Y",H212&gt;=Lock_In_Period,Z211&gt;SPW_Amount_pa+IF(option="Single",1/5*pr,2*pr),H212&gt;=SPW_Start_Year,H212&lt;=SPW_Start_Year+SPW_Duration-1,age+H212&gt;=Legal_Age),IF(AND(F212=0,SPW_Payout_Freq=1),SPW_Amount_pa,IF(AND(SPW_Payout_Freq=2,MOD(F212,6)=0),SPW_Amount_pa/SPW_Payout_Freq,IF(AND(SPW_Payout_Freq=4,MOD(F212,3)=0),SPW_Amount_pa/SPW_Payout_Freq,IF(SPW_Payout_Freq=12,SPW_Amount_pa/SPW_Payout_Freq,0)))),0)+IFERROR(VLOOKUP(H212,Input!$B$68:$C$74,2,0),0)*(F212=0)*(Option_PW="Y")*(Option_SPW="N")*(age+H212&gt;=Legal_Age)</f>
        <v>0</v>
      </c>
      <c r="O212" s="148">
        <f t="shared" ca="1" si="159"/>
        <v>0</v>
      </c>
      <c r="P212" s="14">
        <f ca="1">(MAX(MAX(sa-CF211*Flag_UL_Type,105%*SUM($I$7:I212))-(AD211+L212-N212)*Flag_UL_Type,0)*B212)</f>
        <v>0</v>
      </c>
      <c r="Q212" s="213">
        <f t="shared" si="160"/>
        <v>0</v>
      </c>
      <c r="R212" s="14">
        <f t="shared" ca="1" si="161"/>
        <v>0</v>
      </c>
      <c r="S212" s="14">
        <f t="shared" ca="1" si="162"/>
        <v>0</v>
      </c>
      <c r="T212" s="14">
        <f>IFERROR(IF(WoP_Flag="Y",IF(fq=1,VLOOKUP(ppt*fq-H212,Charges!$AN$41:$AO$59,2,FALSE),IF(fq=2,VLOOKUP(ppt*fq-G212,Charges!$AP$41:$AQ$79,2,FALSE),VLOOKUP(ppt*fq-D212,Charges!$AR$41:$AS$279,2,FALSE)))*pr/fq,0),0)</f>
        <v>0</v>
      </c>
      <c r="U212" s="14">
        <f t="shared" ca="1" si="163"/>
        <v>0</v>
      </c>
      <c r="V212" s="34">
        <f>ROUND(MIN(IF(H212&gt;=7,Charges!$C$12*(1+Charges!$C$14)^((H212-7+1)),VLOOKUP(H212,Charges!$B$7:$C$12,2,0))*pr,Charges!$C$13)*B212,Round)</f>
        <v>0</v>
      </c>
      <c r="W212" s="14">
        <f t="shared" ca="1" si="164"/>
        <v>0</v>
      </c>
      <c r="X212" s="14">
        <f t="shared" ca="1" si="165"/>
        <v>0</v>
      </c>
      <c r="Y212" s="213">
        <f t="shared" ca="1" si="189"/>
        <v>0</v>
      </c>
      <c r="Z212" s="14">
        <f t="shared" ca="1" si="166"/>
        <v>0</v>
      </c>
      <c r="AA212" s="14">
        <f>IF(AND($H212=pt,$F212=11),SUM($K$7:K212)*VLOOKUP(pt,ROC,2,FALSE),0)</f>
        <v>0</v>
      </c>
      <c r="AB212" s="14">
        <f>IF(AND($H212=pt,$F212=11),SUM($V$7:V212)*VLOOKUP(pt,ROC,2,FALSE),0)</f>
        <v>0</v>
      </c>
      <c r="AC212" s="14">
        <f>IF(AND($H212=pt,$F212=11),SUM($Q$7:Q212)*VLOOKUP(pt,ROC,2,FALSE),0)</f>
        <v>0</v>
      </c>
      <c r="AD212" s="14">
        <f t="shared" ca="1" si="167"/>
        <v>0</v>
      </c>
      <c r="AE212" s="14">
        <f ca="1">(MAX(sa-CF211*Flag_UL_Type,105%*SUM($I$7:I212),Z212)+AU212)*B212</f>
        <v>0</v>
      </c>
      <c r="AF212" s="136"/>
      <c r="AG212" s="18">
        <v>206</v>
      </c>
      <c r="AH212" s="30">
        <f t="shared" ca="1" si="168"/>
        <v>0</v>
      </c>
      <c r="AI212" s="58"/>
      <c r="AJ212" s="50">
        <f>IF(AND(Option_Sys_TopUp&gt;="Y",H212&gt;=sytp,H212&lt;=(dtp+sytp-1),F212=0,H212&lt;=ppt+1),atp,0)+IFERROR(VLOOKUP(H212,Input!$B$55:$C$61,2,0),0)*(F212=0)*(Option_TopUP="Y")*(Option_Sys_TopUp="N")*B212*(pt&gt;=H212+5)</f>
        <v>0</v>
      </c>
      <c r="AK212" s="50">
        <f t="shared" si="169"/>
        <v>0</v>
      </c>
      <c r="AL212" s="50">
        <f t="shared" si="190"/>
        <v>0</v>
      </c>
      <c r="AM212" s="50">
        <f t="shared" ca="1" si="191"/>
        <v>0</v>
      </c>
      <c r="AN212" s="50">
        <f>IF(B212=0,0,AT212*(_rpm1+(1+_emr1)*VLOOKUP(E212,Tab_Mort_Charge,IF(Input!$C$12="M",2,3),0))*(0.001*0.0833)*Flag_Mort_Rider_Charge*(AT212&gt;0))</f>
        <v>0</v>
      </c>
      <c r="AO212" s="50">
        <f t="shared" ca="1" si="170"/>
        <v>0</v>
      </c>
      <c r="AP212" s="50">
        <f t="shared" ca="1" si="151"/>
        <v>0</v>
      </c>
      <c r="AQ212" s="50">
        <f t="shared" ca="1" si="171"/>
        <v>0</v>
      </c>
      <c r="AR212" s="50">
        <f t="shared" ca="1" si="172"/>
        <v>0</v>
      </c>
      <c r="AS212" s="50">
        <f t="shared" si="173"/>
        <v>0</v>
      </c>
      <c r="AT212" s="50">
        <f ca="1">(MAX((MAX(AS212,105%*SUM($AJ$7:AJ212))-AM212*Flag_UL_Type),0)*B212)</f>
        <v>0</v>
      </c>
      <c r="AU212" s="50">
        <f ca="1">(MAX(AS212,AR212,105%*SUM($AJ$7:AJ212))*B212)</f>
        <v>0</v>
      </c>
      <c r="AV212" s="125"/>
      <c r="AW212" s="13"/>
      <c r="AX212" s="13"/>
      <c r="AY212" s="13"/>
      <c r="AZ212" s="13"/>
      <c r="BA212" s="13"/>
      <c r="BG212" s="51">
        <f t="shared" si="174"/>
        <v>0</v>
      </c>
      <c r="BH212" s="51">
        <f t="shared" si="175"/>
        <v>0</v>
      </c>
      <c r="BI212" s="51">
        <f t="shared" ca="1" si="176"/>
        <v>0</v>
      </c>
      <c r="BJ212" s="51">
        <f t="shared" ca="1" si="177"/>
        <v>0</v>
      </c>
      <c r="BK212" s="51">
        <f t="shared" si="178"/>
        <v>0</v>
      </c>
      <c r="BL212" s="51">
        <f t="shared" ca="1" si="179"/>
        <v>0</v>
      </c>
      <c r="BM212" s="51">
        <f t="shared" si="180"/>
        <v>0</v>
      </c>
      <c r="BN212" s="51">
        <f t="shared" si="181"/>
        <v>0</v>
      </c>
      <c r="BO212" s="51">
        <f t="shared" ca="1" si="182"/>
        <v>0</v>
      </c>
      <c r="BP212" s="51">
        <f t="shared" ca="1" si="183"/>
        <v>0</v>
      </c>
      <c r="BQ212" s="120"/>
      <c r="BR212" s="32"/>
      <c r="BS212" s="126"/>
      <c r="BT212" s="16"/>
      <c r="BU212" s="58"/>
      <c r="BW212" s="51">
        <f>IF(Input!$C$13="Offline",VLOOKUP(H212,Charges!$AT$4:$AU$33,2,FALSE)*I212,0)</f>
        <v>0</v>
      </c>
      <c r="BX212" s="51">
        <f t="shared" si="184"/>
        <v>0</v>
      </c>
      <c r="BY212" s="51">
        <f t="shared" si="192"/>
        <v>0</v>
      </c>
      <c r="BZ212" s="151"/>
      <c r="CA212" s="151"/>
      <c r="CB212" s="32"/>
      <c r="CC212" s="16">
        <f ca="1">SUM($N$7:$N212)</f>
        <v>0</v>
      </c>
      <c r="CD212" s="16">
        <f t="shared" ca="1" si="185"/>
        <v>0</v>
      </c>
      <c r="CE212" s="16">
        <f t="shared" ca="1" si="186"/>
        <v>0</v>
      </c>
      <c r="CF212" s="7">
        <f t="shared" ca="1" si="187"/>
        <v>0</v>
      </c>
      <c r="CH212" s="7">
        <f t="shared" ca="1" si="188"/>
        <v>0</v>
      </c>
    </row>
    <row r="213" spans="2:86" s="7" customFormat="1" x14ac:dyDescent="0.2">
      <c r="B213" s="14">
        <f t="shared" si="152"/>
        <v>0</v>
      </c>
      <c r="C213" s="12">
        <f t="shared" si="153"/>
        <v>0</v>
      </c>
      <c r="D213" s="17">
        <f t="shared" si="193"/>
        <v>207</v>
      </c>
      <c r="E213" s="17">
        <f t="shared" ca="1" si="154"/>
        <v>77</v>
      </c>
      <c r="F213" s="12">
        <f t="shared" si="195"/>
        <v>2</v>
      </c>
      <c r="G213" s="12">
        <f t="shared" si="194"/>
        <v>35</v>
      </c>
      <c r="H213" s="17">
        <f t="shared" si="196"/>
        <v>18</v>
      </c>
      <c r="I213" s="29">
        <f t="shared" si="155"/>
        <v>0</v>
      </c>
      <c r="J213" s="211">
        <f>IFERROR(VLOOKUP(H213,Charges!$T$6:$U$35,2,0)*C213,0)</f>
        <v>0</v>
      </c>
      <c r="K213" s="29">
        <f t="shared" si="156"/>
        <v>0</v>
      </c>
      <c r="L213" s="29">
        <f t="shared" si="157"/>
        <v>0</v>
      </c>
      <c r="M213" s="147">
        <f t="shared" ca="1" si="158"/>
        <v>0</v>
      </c>
      <c r="N213" s="148">
        <f ca="1">IF(AND(Option_SPW="Y",H213&gt;=Lock_In_Period,Z212&gt;SPW_Amount_pa+IF(option="Single",1/5*pr,2*pr),H213&gt;=SPW_Start_Year,H213&lt;=SPW_Start_Year+SPW_Duration-1,age+H213&gt;=Legal_Age),IF(AND(F213=0,SPW_Payout_Freq=1),SPW_Amount_pa,IF(AND(SPW_Payout_Freq=2,MOD(F213,6)=0),SPW_Amount_pa/SPW_Payout_Freq,IF(AND(SPW_Payout_Freq=4,MOD(F213,3)=0),SPW_Amount_pa/SPW_Payout_Freq,IF(SPW_Payout_Freq=12,SPW_Amount_pa/SPW_Payout_Freq,0)))),0)+IFERROR(VLOOKUP(H213,Input!$B$68:$C$74,2,0),0)*(F213=0)*(Option_PW="Y")*(Option_SPW="N")*(age+H213&gt;=Legal_Age)</f>
        <v>0</v>
      </c>
      <c r="O213" s="148">
        <f t="shared" ca="1" si="159"/>
        <v>0</v>
      </c>
      <c r="P213" s="14">
        <f ca="1">(MAX(MAX(sa-CF212*Flag_UL_Type,105%*SUM($I$7:I213))-(AD212+L213-N213)*Flag_UL_Type,0)*B213)</f>
        <v>0</v>
      </c>
      <c r="Q213" s="213">
        <f t="shared" si="160"/>
        <v>0</v>
      </c>
      <c r="R213" s="14">
        <f t="shared" ca="1" si="161"/>
        <v>0</v>
      </c>
      <c r="S213" s="14">
        <f t="shared" ca="1" si="162"/>
        <v>0</v>
      </c>
      <c r="T213" s="14">
        <f>IFERROR(IF(WoP_Flag="Y",IF(fq=1,VLOOKUP(ppt*fq-H213,Charges!$AN$41:$AO$59,2,FALSE),IF(fq=2,VLOOKUP(ppt*fq-G213,Charges!$AP$41:$AQ$79,2,FALSE),VLOOKUP(ppt*fq-D213,Charges!$AR$41:$AS$279,2,FALSE)))*pr/fq,0),0)</f>
        <v>0</v>
      </c>
      <c r="U213" s="14">
        <f t="shared" ca="1" si="163"/>
        <v>0</v>
      </c>
      <c r="V213" s="34">
        <f>ROUND(MIN(IF(H213&gt;=7,Charges!$C$12*(1+Charges!$C$14)^((H213-7+1)),VLOOKUP(H213,Charges!$B$7:$C$12,2,0))*pr,Charges!$C$13)*B213,Round)</f>
        <v>0</v>
      </c>
      <c r="W213" s="14">
        <f t="shared" ca="1" si="164"/>
        <v>0</v>
      </c>
      <c r="X213" s="14">
        <f t="shared" ca="1" si="165"/>
        <v>0</v>
      </c>
      <c r="Y213" s="213">
        <f t="shared" ca="1" si="189"/>
        <v>0</v>
      </c>
      <c r="Z213" s="14">
        <f t="shared" ca="1" si="166"/>
        <v>0</v>
      </c>
      <c r="AA213" s="14">
        <f>IF(AND($H213=pt,$F213=11),SUM($K$7:K213)*VLOOKUP(pt,ROC,2,FALSE),0)</f>
        <v>0</v>
      </c>
      <c r="AB213" s="14">
        <f>IF(AND($H213=pt,$F213=11),SUM($V$7:V213)*VLOOKUP(pt,ROC,2,FALSE),0)</f>
        <v>0</v>
      </c>
      <c r="AC213" s="14">
        <f>IF(AND($H213=pt,$F213=11),SUM($Q$7:Q213)*VLOOKUP(pt,ROC,2,FALSE),0)</f>
        <v>0</v>
      </c>
      <c r="AD213" s="14">
        <f t="shared" ca="1" si="167"/>
        <v>0</v>
      </c>
      <c r="AE213" s="14">
        <f ca="1">(MAX(sa-CF212*Flag_UL_Type,105%*SUM($I$7:I213),Z213)+AU213)*B213</f>
        <v>0</v>
      </c>
      <c r="AF213" s="136"/>
      <c r="AG213" s="18">
        <v>207</v>
      </c>
      <c r="AH213" s="30">
        <f t="shared" ca="1" si="168"/>
        <v>0</v>
      </c>
      <c r="AI213" s="58"/>
      <c r="AJ213" s="50">
        <f>IF(AND(Option_Sys_TopUp&gt;="Y",H213&gt;=sytp,H213&lt;=(dtp+sytp-1),F213=0,H213&lt;=ppt+1),atp,0)+IFERROR(VLOOKUP(H213,Input!$B$55:$C$61,2,0),0)*(F213=0)*(Option_TopUP="Y")*(Option_Sys_TopUp="N")*B213*(pt&gt;=H213+5)</f>
        <v>0</v>
      </c>
      <c r="AK213" s="50">
        <f t="shared" si="169"/>
        <v>0</v>
      </c>
      <c r="AL213" s="50">
        <f t="shared" si="190"/>
        <v>0</v>
      </c>
      <c r="AM213" s="50">
        <f t="shared" ca="1" si="191"/>
        <v>0</v>
      </c>
      <c r="AN213" s="50">
        <f>IF(B213=0,0,AT213*(_rpm1+(1+_emr1)*VLOOKUP(E213,Tab_Mort_Charge,IF(Input!$C$12="M",2,3),0))*(0.001*0.0833)*Flag_Mort_Rider_Charge*(AT213&gt;0))</f>
        <v>0</v>
      </c>
      <c r="AO213" s="50">
        <f t="shared" ca="1" si="170"/>
        <v>0</v>
      </c>
      <c r="AP213" s="50">
        <f t="shared" ca="1" si="151"/>
        <v>0</v>
      </c>
      <c r="AQ213" s="50">
        <f t="shared" ca="1" si="171"/>
        <v>0</v>
      </c>
      <c r="AR213" s="50">
        <f t="shared" ca="1" si="172"/>
        <v>0</v>
      </c>
      <c r="AS213" s="50">
        <f t="shared" si="173"/>
        <v>0</v>
      </c>
      <c r="AT213" s="50">
        <f ca="1">(MAX((MAX(AS213,105%*SUM($AJ$7:AJ213))-AM213*Flag_UL_Type),0)*B213)</f>
        <v>0</v>
      </c>
      <c r="AU213" s="50">
        <f ca="1">(MAX(AS213,AR213,105%*SUM($AJ$7:AJ213))*B213)</f>
        <v>0</v>
      </c>
      <c r="AV213" s="125"/>
      <c r="AW213" s="13"/>
      <c r="AX213" s="13"/>
      <c r="AY213" s="13"/>
      <c r="AZ213" s="13"/>
      <c r="BA213" s="13"/>
      <c r="BG213" s="51">
        <f t="shared" si="174"/>
        <v>0</v>
      </c>
      <c r="BH213" s="51">
        <f t="shared" si="175"/>
        <v>0</v>
      </c>
      <c r="BI213" s="51">
        <f t="shared" ca="1" si="176"/>
        <v>0</v>
      </c>
      <c r="BJ213" s="51">
        <f t="shared" ca="1" si="177"/>
        <v>0</v>
      </c>
      <c r="BK213" s="51">
        <f t="shared" si="178"/>
        <v>0</v>
      </c>
      <c r="BL213" s="51">
        <f t="shared" ca="1" si="179"/>
        <v>0</v>
      </c>
      <c r="BM213" s="51">
        <f t="shared" si="180"/>
        <v>0</v>
      </c>
      <c r="BN213" s="51">
        <f t="shared" si="181"/>
        <v>0</v>
      </c>
      <c r="BO213" s="51">
        <f t="shared" ca="1" si="182"/>
        <v>0</v>
      </c>
      <c r="BP213" s="51">
        <f t="shared" ca="1" si="183"/>
        <v>0</v>
      </c>
      <c r="BQ213" s="120"/>
      <c r="BR213" s="32"/>
      <c r="BS213" s="126"/>
      <c r="BT213" s="16"/>
      <c r="BU213" s="58"/>
      <c r="BW213" s="51">
        <f>IF(Input!$C$13="Offline",VLOOKUP(H213,Charges!$AT$4:$AU$33,2,FALSE)*I213,0)</f>
        <v>0</v>
      </c>
      <c r="BX213" s="51">
        <f t="shared" si="184"/>
        <v>0</v>
      </c>
      <c r="BY213" s="51">
        <f t="shared" si="192"/>
        <v>0</v>
      </c>
      <c r="BZ213" s="151"/>
      <c r="CA213" s="151"/>
      <c r="CB213" s="32"/>
      <c r="CC213" s="16">
        <f ca="1">SUM($N$7:$N213)</f>
        <v>0</v>
      </c>
      <c r="CD213" s="16">
        <f t="shared" ca="1" si="185"/>
        <v>0</v>
      </c>
      <c r="CE213" s="16">
        <f t="shared" ca="1" si="186"/>
        <v>0</v>
      </c>
      <c r="CF213" s="7">
        <f t="shared" ca="1" si="187"/>
        <v>0</v>
      </c>
      <c r="CH213" s="7">
        <f t="shared" ca="1" si="188"/>
        <v>0</v>
      </c>
    </row>
    <row r="214" spans="2:86" s="7" customFormat="1" x14ac:dyDescent="0.2">
      <c r="B214" s="14">
        <f t="shared" si="152"/>
        <v>0</v>
      </c>
      <c r="C214" s="12">
        <f t="shared" si="153"/>
        <v>0</v>
      </c>
      <c r="D214" s="17">
        <f t="shared" si="193"/>
        <v>208</v>
      </c>
      <c r="E214" s="17">
        <f t="shared" ca="1" si="154"/>
        <v>77</v>
      </c>
      <c r="F214" s="12">
        <f t="shared" si="195"/>
        <v>3</v>
      </c>
      <c r="G214" s="12">
        <f t="shared" si="194"/>
        <v>35</v>
      </c>
      <c r="H214" s="17">
        <f t="shared" si="196"/>
        <v>18</v>
      </c>
      <c r="I214" s="29">
        <f t="shared" si="155"/>
        <v>0</v>
      </c>
      <c r="J214" s="211">
        <f>IFERROR(VLOOKUP(H214,Charges!$T$6:$U$35,2,0)*C214,0)</f>
        <v>0</v>
      </c>
      <c r="K214" s="29">
        <f t="shared" si="156"/>
        <v>0</v>
      </c>
      <c r="L214" s="29">
        <f t="shared" si="157"/>
        <v>0</v>
      </c>
      <c r="M214" s="147">
        <f t="shared" ca="1" si="158"/>
        <v>0</v>
      </c>
      <c r="N214" s="148">
        <f ca="1">IF(AND(Option_SPW="Y",H214&gt;=Lock_In_Period,Z213&gt;SPW_Amount_pa+IF(option="Single",1/5*pr,2*pr),H214&gt;=SPW_Start_Year,H214&lt;=SPW_Start_Year+SPW_Duration-1,age+H214&gt;=Legal_Age),IF(AND(F214=0,SPW_Payout_Freq=1),SPW_Amount_pa,IF(AND(SPW_Payout_Freq=2,MOD(F214,6)=0),SPW_Amount_pa/SPW_Payout_Freq,IF(AND(SPW_Payout_Freq=4,MOD(F214,3)=0),SPW_Amount_pa/SPW_Payout_Freq,IF(SPW_Payout_Freq=12,SPW_Amount_pa/SPW_Payout_Freq,0)))),0)+IFERROR(VLOOKUP(H214,Input!$B$68:$C$74,2,0),0)*(F214=0)*(Option_PW="Y")*(Option_SPW="N")*(age+H214&gt;=Legal_Age)</f>
        <v>0</v>
      </c>
      <c r="O214" s="148">
        <f t="shared" ca="1" si="159"/>
        <v>0</v>
      </c>
      <c r="P214" s="14">
        <f ca="1">(MAX(MAX(sa-CF213*Flag_UL_Type,105%*SUM($I$7:I214))-(AD213+L214-N214)*Flag_UL_Type,0)*B214)</f>
        <v>0</v>
      </c>
      <c r="Q214" s="213">
        <f t="shared" si="160"/>
        <v>0</v>
      </c>
      <c r="R214" s="14">
        <f t="shared" ca="1" si="161"/>
        <v>0</v>
      </c>
      <c r="S214" s="14">
        <f t="shared" ca="1" si="162"/>
        <v>0</v>
      </c>
      <c r="T214" s="14">
        <f>IFERROR(IF(WoP_Flag="Y",IF(fq=1,VLOOKUP(ppt*fq-H214,Charges!$AN$41:$AO$59,2,FALSE),IF(fq=2,VLOOKUP(ppt*fq-G214,Charges!$AP$41:$AQ$79,2,FALSE),VLOOKUP(ppt*fq-D214,Charges!$AR$41:$AS$279,2,FALSE)))*pr/fq,0),0)</f>
        <v>0</v>
      </c>
      <c r="U214" s="14">
        <f t="shared" ca="1" si="163"/>
        <v>0</v>
      </c>
      <c r="V214" s="34">
        <f>ROUND(MIN(IF(H214&gt;=7,Charges!$C$12*(1+Charges!$C$14)^((H214-7+1)),VLOOKUP(H214,Charges!$B$7:$C$12,2,0))*pr,Charges!$C$13)*B214,Round)</f>
        <v>0</v>
      </c>
      <c r="W214" s="14">
        <f t="shared" ca="1" si="164"/>
        <v>0</v>
      </c>
      <c r="X214" s="14">
        <f t="shared" ca="1" si="165"/>
        <v>0</v>
      </c>
      <c r="Y214" s="213">
        <f t="shared" ca="1" si="189"/>
        <v>0</v>
      </c>
      <c r="Z214" s="14">
        <f t="shared" ca="1" si="166"/>
        <v>0</v>
      </c>
      <c r="AA214" s="14">
        <f>IF(AND($H214=pt,$F214=11),SUM($K$7:K214)*VLOOKUP(pt,ROC,2,FALSE),0)</f>
        <v>0</v>
      </c>
      <c r="AB214" s="14">
        <f>IF(AND($H214=pt,$F214=11),SUM($V$7:V214)*VLOOKUP(pt,ROC,2,FALSE),0)</f>
        <v>0</v>
      </c>
      <c r="AC214" s="14">
        <f>IF(AND($H214=pt,$F214=11),SUM($Q$7:Q214)*VLOOKUP(pt,ROC,2,FALSE),0)</f>
        <v>0</v>
      </c>
      <c r="AD214" s="14">
        <f t="shared" ca="1" si="167"/>
        <v>0</v>
      </c>
      <c r="AE214" s="14">
        <f ca="1">(MAX(sa-CF213*Flag_UL_Type,105%*SUM($I$7:I214),Z214)+AU214)*B214</f>
        <v>0</v>
      </c>
      <c r="AF214" s="136"/>
      <c r="AG214" s="18">
        <v>208</v>
      </c>
      <c r="AH214" s="30">
        <f t="shared" ca="1" si="168"/>
        <v>0</v>
      </c>
      <c r="AI214" s="58"/>
      <c r="AJ214" s="50">
        <f>IF(AND(Option_Sys_TopUp&gt;="Y",H214&gt;=sytp,H214&lt;=(dtp+sytp-1),F214=0,H214&lt;=ppt+1),atp,0)+IFERROR(VLOOKUP(H214,Input!$B$55:$C$61,2,0),0)*(F214=0)*(Option_TopUP="Y")*(Option_Sys_TopUp="N")*B214*(pt&gt;=H214+5)</f>
        <v>0</v>
      </c>
      <c r="AK214" s="50">
        <f t="shared" si="169"/>
        <v>0</v>
      </c>
      <c r="AL214" s="50">
        <f t="shared" si="190"/>
        <v>0</v>
      </c>
      <c r="AM214" s="50">
        <f t="shared" ca="1" si="191"/>
        <v>0</v>
      </c>
      <c r="AN214" s="50">
        <f>IF(B214=0,0,AT214*(_rpm1+(1+_emr1)*VLOOKUP(E214,Tab_Mort_Charge,IF(Input!$C$12="M",2,3),0))*(0.001*0.0833)*Flag_Mort_Rider_Charge*(AT214&gt;0))</f>
        <v>0</v>
      </c>
      <c r="AO214" s="50">
        <f t="shared" ca="1" si="170"/>
        <v>0</v>
      </c>
      <c r="AP214" s="50">
        <f t="shared" ca="1" si="151"/>
        <v>0</v>
      </c>
      <c r="AQ214" s="50">
        <f t="shared" ca="1" si="171"/>
        <v>0</v>
      </c>
      <c r="AR214" s="50">
        <f t="shared" ca="1" si="172"/>
        <v>0</v>
      </c>
      <c r="AS214" s="50">
        <f t="shared" si="173"/>
        <v>0</v>
      </c>
      <c r="AT214" s="50">
        <f ca="1">(MAX((MAX(AS214,105%*SUM($AJ$7:AJ214))-AM214*Flag_UL_Type),0)*B214)</f>
        <v>0</v>
      </c>
      <c r="AU214" s="50">
        <f ca="1">(MAX(AS214,AR214,105%*SUM($AJ$7:AJ214))*B214)</f>
        <v>0</v>
      </c>
      <c r="AV214" s="125"/>
      <c r="AW214" s="13"/>
      <c r="AX214" s="13"/>
      <c r="AY214" s="13"/>
      <c r="AZ214" s="13"/>
      <c r="BA214" s="13"/>
      <c r="BG214" s="51">
        <f t="shared" si="174"/>
        <v>0</v>
      </c>
      <c r="BH214" s="51">
        <f t="shared" si="175"/>
        <v>0</v>
      </c>
      <c r="BI214" s="51">
        <f t="shared" ca="1" si="176"/>
        <v>0</v>
      </c>
      <c r="BJ214" s="51">
        <f t="shared" ca="1" si="177"/>
        <v>0</v>
      </c>
      <c r="BK214" s="51">
        <f t="shared" si="178"/>
        <v>0</v>
      </c>
      <c r="BL214" s="51">
        <f t="shared" ca="1" si="179"/>
        <v>0</v>
      </c>
      <c r="BM214" s="51">
        <f t="shared" si="180"/>
        <v>0</v>
      </c>
      <c r="BN214" s="51">
        <f t="shared" si="181"/>
        <v>0</v>
      </c>
      <c r="BO214" s="51">
        <f t="shared" ca="1" si="182"/>
        <v>0</v>
      </c>
      <c r="BP214" s="51">
        <f t="shared" ca="1" si="183"/>
        <v>0</v>
      </c>
      <c r="BQ214" s="120"/>
      <c r="BR214" s="32"/>
      <c r="BS214" s="126"/>
      <c r="BT214" s="16"/>
      <c r="BU214" s="58"/>
      <c r="BW214" s="51">
        <f>IF(Input!$C$13="Offline",VLOOKUP(H214,Charges!$AT$4:$AU$33,2,FALSE)*I214,0)</f>
        <v>0</v>
      </c>
      <c r="BX214" s="51">
        <f t="shared" si="184"/>
        <v>0</v>
      </c>
      <c r="BY214" s="51">
        <f t="shared" si="192"/>
        <v>0</v>
      </c>
      <c r="BZ214" s="151"/>
      <c r="CA214" s="151"/>
      <c r="CB214" s="32"/>
      <c r="CC214" s="16">
        <f ca="1">SUM($N$7:$N214)</f>
        <v>0</v>
      </c>
      <c r="CD214" s="16">
        <f t="shared" ca="1" si="185"/>
        <v>0</v>
      </c>
      <c r="CE214" s="16">
        <f t="shared" ca="1" si="186"/>
        <v>0</v>
      </c>
      <c r="CF214" s="7">
        <f t="shared" ca="1" si="187"/>
        <v>0</v>
      </c>
      <c r="CH214" s="7">
        <f t="shared" ca="1" si="188"/>
        <v>0</v>
      </c>
    </row>
    <row r="215" spans="2:86" s="7" customFormat="1" x14ac:dyDescent="0.2">
      <c r="B215" s="14">
        <f t="shared" si="152"/>
        <v>0</v>
      </c>
      <c r="C215" s="12">
        <f t="shared" si="153"/>
        <v>0</v>
      </c>
      <c r="D215" s="17">
        <f t="shared" si="193"/>
        <v>209</v>
      </c>
      <c r="E215" s="17">
        <f t="shared" ca="1" si="154"/>
        <v>77</v>
      </c>
      <c r="F215" s="12">
        <f t="shared" si="195"/>
        <v>4</v>
      </c>
      <c r="G215" s="12">
        <f t="shared" si="194"/>
        <v>35</v>
      </c>
      <c r="H215" s="17">
        <f t="shared" si="196"/>
        <v>18</v>
      </c>
      <c r="I215" s="29">
        <f t="shared" si="155"/>
        <v>0</v>
      </c>
      <c r="J215" s="211">
        <f>IFERROR(VLOOKUP(H215,Charges!$T$6:$U$35,2,0)*C215,0)</f>
        <v>0</v>
      </c>
      <c r="K215" s="29">
        <f t="shared" si="156"/>
        <v>0</v>
      </c>
      <c r="L215" s="29">
        <f t="shared" si="157"/>
        <v>0</v>
      </c>
      <c r="M215" s="147">
        <f t="shared" ca="1" si="158"/>
        <v>0</v>
      </c>
      <c r="N215" s="148">
        <f ca="1">IF(AND(Option_SPW="Y",H215&gt;=Lock_In_Period,Z214&gt;SPW_Amount_pa+IF(option="Single",1/5*pr,2*pr),H215&gt;=SPW_Start_Year,H215&lt;=SPW_Start_Year+SPW_Duration-1,age+H215&gt;=Legal_Age),IF(AND(F215=0,SPW_Payout_Freq=1),SPW_Amount_pa,IF(AND(SPW_Payout_Freq=2,MOD(F215,6)=0),SPW_Amount_pa/SPW_Payout_Freq,IF(AND(SPW_Payout_Freq=4,MOD(F215,3)=0),SPW_Amount_pa/SPW_Payout_Freq,IF(SPW_Payout_Freq=12,SPW_Amount_pa/SPW_Payout_Freq,0)))),0)+IFERROR(VLOOKUP(H215,Input!$B$68:$C$74,2,0),0)*(F215=0)*(Option_PW="Y")*(Option_SPW="N")*(age+H215&gt;=Legal_Age)</f>
        <v>0</v>
      </c>
      <c r="O215" s="148">
        <f t="shared" ca="1" si="159"/>
        <v>0</v>
      </c>
      <c r="P215" s="14">
        <f ca="1">(MAX(MAX(sa-CF214*Flag_UL_Type,105%*SUM($I$7:I215))-(AD214+L215-N215)*Flag_UL_Type,0)*B215)</f>
        <v>0</v>
      </c>
      <c r="Q215" s="213">
        <f t="shared" si="160"/>
        <v>0</v>
      </c>
      <c r="R215" s="14">
        <f t="shared" ca="1" si="161"/>
        <v>0</v>
      </c>
      <c r="S215" s="14">
        <f t="shared" ca="1" si="162"/>
        <v>0</v>
      </c>
      <c r="T215" s="14">
        <f>IFERROR(IF(WoP_Flag="Y",IF(fq=1,VLOOKUP(ppt*fq-H215,Charges!$AN$41:$AO$59,2,FALSE),IF(fq=2,VLOOKUP(ppt*fq-G215,Charges!$AP$41:$AQ$79,2,FALSE),VLOOKUP(ppt*fq-D215,Charges!$AR$41:$AS$279,2,FALSE)))*pr/fq,0),0)</f>
        <v>0</v>
      </c>
      <c r="U215" s="14">
        <f t="shared" ca="1" si="163"/>
        <v>0</v>
      </c>
      <c r="V215" s="34">
        <f>ROUND(MIN(IF(H215&gt;=7,Charges!$C$12*(1+Charges!$C$14)^((H215-7+1)),VLOOKUP(H215,Charges!$B$7:$C$12,2,0))*pr,Charges!$C$13)*B215,Round)</f>
        <v>0</v>
      </c>
      <c r="W215" s="14">
        <f t="shared" ca="1" si="164"/>
        <v>0</v>
      </c>
      <c r="X215" s="14">
        <f t="shared" ca="1" si="165"/>
        <v>0</v>
      </c>
      <c r="Y215" s="213">
        <f t="shared" ca="1" si="189"/>
        <v>0</v>
      </c>
      <c r="Z215" s="14">
        <f t="shared" ca="1" si="166"/>
        <v>0</v>
      </c>
      <c r="AA215" s="14">
        <f>IF(AND($H215=pt,$F215=11),SUM($K$7:K215)*VLOOKUP(pt,ROC,2,FALSE),0)</f>
        <v>0</v>
      </c>
      <c r="AB215" s="14">
        <f>IF(AND($H215=pt,$F215=11),SUM($V$7:V215)*VLOOKUP(pt,ROC,2,FALSE),0)</f>
        <v>0</v>
      </c>
      <c r="AC215" s="14">
        <f>IF(AND($H215=pt,$F215=11),SUM($Q$7:Q215)*VLOOKUP(pt,ROC,2,FALSE),0)</f>
        <v>0</v>
      </c>
      <c r="AD215" s="14">
        <f t="shared" ca="1" si="167"/>
        <v>0</v>
      </c>
      <c r="AE215" s="14">
        <f ca="1">(MAX(sa-CF214*Flag_UL_Type,105%*SUM($I$7:I215),Z215)+AU215)*B215</f>
        <v>0</v>
      </c>
      <c r="AF215" s="136"/>
      <c r="AG215" s="18">
        <v>209</v>
      </c>
      <c r="AH215" s="30">
        <f t="shared" ca="1" si="168"/>
        <v>0</v>
      </c>
      <c r="AI215" s="58"/>
      <c r="AJ215" s="50">
        <f>IF(AND(Option_Sys_TopUp&gt;="Y",H215&gt;=sytp,H215&lt;=(dtp+sytp-1),F215=0,H215&lt;=ppt+1),atp,0)+IFERROR(VLOOKUP(H215,Input!$B$55:$C$61,2,0),0)*(F215=0)*(Option_TopUP="Y")*(Option_Sys_TopUp="N")*B215*(pt&gt;=H215+5)</f>
        <v>0</v>
      </c>
      <c r="AK215" s="50">
        <f t="shared" si="169"/>
        <v>0</v>
      </c>
      <c r="AL215" s="50">
        <f t="shared" si="190"/>
        <v>0</v>
      </c>
      <c r="AM215" s="50">
        <f t="shared" ca="1" si="191"/>
        <v>0</v>
      </c>
      <c r="AN215" s="50">
        <f>IF(B215=0,0,AT215*(_rpm1+(1+_emr1)*VLOOKUP(E215,Tab_Mort_Charge,IF(Input!$C$12="M",2,3),0))*(0.001*0.0833)*Flag_Mort_Rider_Charge*(AT215&gt;0))</f>
        <v>0</v>
      </c>
      <c r="AO215" s="50">
        <f t="shared" ca="1" si="170"/>
        <v>0</v>
      </c>
      <c r="AP215" s="50">
        <f t="shared" ca="1" si="151"/>
        <v>0</v>
      </c>
      <c r="AQ215" s="50">
        <f t="shared" ca="1" si="171"/>
        <v>0</v>
      </c>
      <c r="AR215" s="50">
        <f t="shared" ca="1" si="172"/>
        <v>0</v>
      </c>
      <c r="AS215" s="50">
        <f t="shared" si="173"/>
        <v>0</v>
      </c>
      <c r="AT215" s="50">
        <f ca="1">(MAX((MAX(AS215,105%*SUM($AJ$7:AJ215))-AM215*Flag_UL_Type),0)*B215)</f>
        <v>0</v>
      </c>
      <c r="AU215" s="50">
        <f ca="1">(MAX(AS215,AR215,105%*SUM($AJ$7:AJ215))*B215)</f>
        <v>0</v>
      </c>
      <c r="AV215" s="125"/>
      <c r="AW215" s="13"/>
      <c r="AX215" s="13"/>
      <c r="AY215" s="13"/>
      <c r="AZ215" s="13"/>
      <c r="BA215" s="13"/>
      <c r="BG215" s="51">
        <f t="shared" si="174"/>
        <v>0</v>
      </c>
      <c r="BH215" s="51">
        <f t="shared" si="175"/>
        <v>0</v>
      </c>
      <c r="BI215" s="51">
        <f t="shared" ca="1" si="176"/>
        <v>0</v>
      </c>
      <c r="BJ215" s="51">
        <f t="shared" ca="1" si="177"/>
        <v>0</v>
      </c>
      <c r="BK215" s="51">
        <f t="shared" si="178"/>
        <v>0</v>
      </c>
      <c r="BL215" s="51">
        <f t="shared" ca="1" si="179"/>
        <v>0</v>
      </c>
      <c r="BM215" s="51">
        <f t="shared" si="180"/>
        <v>0</v>
      </c>
      <c r="BN215" s="51">
        <f t="shared" si="181"/>
        <v>0</v>
      </c>
      <c r="BO215" s="51">
        <f t="shared" ca="1" si="182"/>
        <v>0</v>
      </c>
      <c r="BP215" s="51">
        <f t="shared" ca="1" si="183"/>
        <v>0</v>
      </c>
      <c r="BQ215" s="120"/>
      <c r="BR215" s="32"/>
      <c r="BS215" s="126"/>
      <c r="BT215" s="16"/>
      <c r="BU215" s="58"/>
      <c r="BW215" s="51">
        <f>IF(Input!$C$13="Offline",VLOOKUP(H215,Charges!$AT$4:$AU$33,2,FALSE)*I215,0)</f>
        <v>0</v>
      </c>
      <c r="BX215" s="51">
        <f t="shared" si="184"/>
        <v>0</v>
      </c>
      <c r="BY215" s="51">
        <f t="shared" si="192"/>
        <v>0</v>
      </c>
      <c r="BZ215" s="151"/>
      <c r="CA215" s="151"/>
      <c r="CB215" s="32"/>
      <c r="CC215" s="16">
        <f ca="1">SUM($N$7:$N215)</f>
        <v>0</v>
      </c>
      <c r="CD215" s="16">
        <f t="shared" ca="1" si="185"/>
        <v>0</v>
      </c>
      <c r="CE215" s="16">
        <f t="shared" ca="1" si="186"/>
        <v>0</v>
      </c>
      <c r="CF215" s="7">
        <f t="shared" ca="1" si="187"/>
        <v>0</v>
      </c>
      <c r="CH215" s="7">
        <f t="shared" ca="1" si="188"/>
        <v>0</v>
      </c>
    </row>
    <row r="216" spans="2:86" s="7" customFormat="1" x14ac:dyDescent="0.2">
      <c r="B216" s="14">
        <f t="shared" si="152"/>
        <v>0</v>
      </c>
      <c r="C216" s="12">
        <f t="shared" si="153"/>
        <v>0</v>
      </c>
      <c r="D216" s="17">
        <f t="shared" si="193"/>
        <v>210</v>
      </c>
      <c r="E216" s="17">
        <f t="shared" ca="1" si="154"/>
        <v>77</v>
      </c>
      <c r="F216" s="12">
        <f t="shared" si="195"/>
        <v>5</v>
      </c>
      <c r="G216" s="12">
        <f t="shared" si="194"/>
        <v>35</v>
      </c>
      <c r="H216" s="17">
        <f t="shared" si="196"/>
        <v>18</v>
      </c>
      <c r="I216" s="29">
        <f t="shared" si="155"/>
        <v>0</v>
      </c>
      <c r="J216" s="211">
        <f>IFERROR(VLOOKUP(H216,Charges!$T$6:$U$35,2,0)*C216,0)</f>
        <v>0</v>
      </c>
      <c r="K216" s="29">
        <f t="shared" si="156"/>
        <v>0</v>
      </c>
      <c r="L216" s="29">
        <f t="shared" si="157"/>
        <v>0</v>
      </c>
      <c r="M216" s="147">
        <f t="shared" ca="1" si="158"/>
        <v>0</v>
      </c>
      <c r="N216" s="148">
        <f ca="1">IF(AND(Option_SPW="Y",H216&gt;=Lock_In_Period,Z215&gt;SPW_Amount_pa+IF(option="Single",1/5*pr,2*pr),H216&gt;=SPW_Start_Year,H216&lt;=SPW_Start_Year+SPW_Duration-1,age+H216&gt;=Legal_Age),IF(AND(F216=0,SPW_Payout_Freq=1),SPW_Amount_pa,IF(AND(SPW_Payout_Freq=2,MOD(F216,6)=0),SPW_Amount_pa/SPW_Payout_Freq,IF(AND(SPW_Payout_Freq=4,MOD(F216,3)=0),SPW_Amount_pa/SPW_Payout_Freq,IF(SPW_Payout_Freq=12,SPW_Amount_pa/SPW_Payout_Freq,0)))),0)+IFERROR(VLOOKUP(H216,Input!$B$68:$C$74,2,0),0)*(F216=0)*(Option_PW="Y")*(Option_SPW="N")*(age+H216&gt;=Legal_Age)</f>
        <v>0</v>
      </c>
      <c r="O216" s="148">
        <f t="shared" ca="1" si="159"/>
        <v>0</v>
      </c>
      <c r="P216" s="14">
        <f ca="1">(MAX(MAX(sa-CF215*Flag_UL_Type,105%*SUM($I$7:I216))-(AD215+L216-N216)*Flag_UL_Type,0)*B216)</f>
        <v>0</v>
      </c>
      <c r="Q216" s="213">
        <f t="shared" si="160"/>
        <v>0</v>
      </c>
      <c r="R216" s="14">
        <f t="shared" ca="1" si="161"/>
        <v>0</v>
      </c>
      <c r="S216" s="14">
        <f t="shared" ca="1" si="162"/>
        <v>0</v>
      </c>
      <c r="T216" s="14">
        <f>IFERROR(IF(WoP_Flag="Y",IF(fq=1,VLOOKUP(ppt*fq-H216,Charges!$AN$41:$AO$59,2,FALSE),IF(fq=2,VLOOKUP(ppt*fq-G216,Charges!$AP$41:$AQ$79,2,FALSE),VLOOKUP(ppt*fq-D216,Charges!$AR$41:$AS$279,2,FALSE)))*pr/fq,0),0)</f>
        <v>0</v>
      </c>
      <c r="U216" s="14">
        <f t="shared" ca="1" si="163"/>
        <v>0</v>
      </c>
      <c r="V216" s="34">
        <f>ROUND(MIN(IF(H216&gt;=7,Charges!$C$12*(1+Charges!$C$14)^((H216-7+1)),VLOOKUP(H216,Charges!$B$7:$C$12,2,0))*pr,Charges!$C$13)*B216,Round)</f>
        <v>0</v>
      </c>
      <c r="W216" s="14">
        <f t="shared" ca="1" si="164"/>
        <v>0</v>
      </c>
      <c r="X216" s="14">
        <f t="shared" ca="1" si="165"/>
        <v>0</v>
      </c>
      <c r="Y216" s="213">
        <f t="shared" ca="1" si="189"/>
        <v>0</v>
      </c>
      <c r="Z216" s="14">
        <f t="shared" ca="1" si="166"/>
        <v>0</v>
      </c>
      <c r="AA216" s="14">
        <f>IF(AND($H216=pt,$F216=11),SUM($K$7:K216)*VLOOKUP(pt,ROC,2,FALSE),0)</f>
        <v>0</v>
      </c>
      <c r="AB216" s="14">
        <f>IF(AND($H216=pt,$F216=11),SUM($V$7:V216)*VLOOKUP(pt,ROC,2,FALSE),0)</f>
        <v>0</v>
      </c>
      <c r="AC216" s="14">
        <f>IF(AND($H216=pt,$F216=11),SUM($Q$7:Q216)*VLOOKUP(pt,ROC,2,FALSE),0)</f>
        <v>0</v>
      </c>
      <c r="AD216" s="14">
        <f t="shared" ca="1" si="167"/>
        <v>0</v>
      </c>
      <c r="AE216" s="14">
        <f ca="1">(MAX(sa-CF215*Flag_UL_Type,105%*SUM($I$7:I216),Z216)+AU216)*B216</f>
        <v>0</v>
      </c>
      <c r="AF216" s="136"/>
      <c r="AG216" s="18">
        <v>210</v>
      </c>
      <c r="AH216" s="30">
        <f t="shared" ca="1" si="168"/>
        <v>0</v>
      </c>
      <c r="AI216" s="58"/>
      <c r="AJ216" s="50">
        <f>IF(AND(Option_Sys_TopUp&gt;="Y",H216&gt;=sytp,H216&lt;=(dtp+sytp-1),F216=0,H216&lt;=ppt+1),atp,0)+IFERROR(VLOOKUP(H216,Input!$B$55:$C$61,2,0),0)*(F216=0)*(Option_TopUP="Y")*(Option_Sys_TopUp="N")*B216*(pt&gt;=H216+5)</f>
        <v>0</v>
      </c>
      <c r="AK216" s="50">
        <f t="shared" si="169"/>
        <v>0</v>
      </c>
      <c r="AL216" s="50">
        <f t="shared" si="190"/>
        <v>0</v>
      </c>
      <c r="AM216" s="50">
        <f t="shared" ca="1" si="191"/>
        <v>0</v>
      </c>
      <c r="AN216" s="50">
        <f>IF(B216=0,0,AT216*(_rpm1+(1+_emr1)*VLOOKUP(E216,Tab_Mort_Charge,IF(Input!$C$12="M",2,3),0))*(0.001*0.0833)*Flag_Mort_Rider_Charge*(AT216&gt;0))</f>
        <v>0</v>
      </c>
      <c r="AO216" s="50">
        <f t="shared" ca="1" si="170"/>
        <v>0</v>
      </c>
      <c r="AP216" s="50">
        <f t="shared" ca="1" si="151"/>
        <v>0</v>
      </c>
      <c r="AQ216" s="50">
        <f t="shared" ca="1" si="171"/>
        <v>0</v>
      </c>
      <c r="AR216" s="50">
        <f t="shared" ca="1" si="172"/>
        <v>0</v>
      </c>
      <c r="AS216" s="50">
        <f t="shared" si="173"/>
        <v>0</v>
      </c>
      <c r="AT216" s="50">
        <f ca="1">(MAX((MAX(AS216,105%*SUM($AJ$7:AJ216))-AM216*Flag_UL_Type),0)*B216)</f>
        <v>0</v>
      </c>
      <c r="AU216" s="50">
        <f ca="1">(MAX(AS216,AR216,105%*SUM($AJ$7:AJ216))*B216)</f>
        <v>0</v>
      </c>
      <c r="AV216" s="125"/>
      <c r="AW216" s="13"/>
      <c r="AX216" s="13"/>
      <c r="AY216" s="13"/>
      <c r="AZ216" s="13"/>
      <c r="BA216" s="13"/>
      <c r="BG216" s="51">
        <f t="shared" si="174"/>
        <v>0</v>
      </c>
      <c r="BH216" s="51">
        <f t="shared" si="175"/>
        <v>0</v>
      </c>
      <c r="BI216" s="51">
        <f t="shared" ca="1" si="176"/>
        <v>0</v>
      </c>
      <c r="BJ216" s="51">
        <f t="shared" ca="1" si="177"/>
        <v>0</v>
      </c>
      <c r="BK216" s="51">
        <f t="shared" si="178"/>
        <v>0</v>
      </c>
      <c r="BL216" s="51">
        <f t="shared" ca="1" si="179"/>
        <v>0</v>
      </c>
      <c r="BM216" s="51">
        <f t="shared" si="180"/>
        <v>0</v>
      </c>
      <c r="BN216" s="51">
        <f t="shared" si="181"/>
        <v>0</v>
      </c>
      <c r="BO216" s="51">
        <f t="shared" ca="1" si="182"/>
        <v>0</v>
      </c>
      <c r="BP216" s="51">
        <f t="shared" ca="1" si="183"/>
        <v>0</v>
      </c>
      <c r="BQ216" s="120"/>
      <c r="BR216" s="32"/>
      <c r="BS216" s="126"/>
      <c r="BT216" s="16"/>
      <c r="BU216" s="58"/>
      <c r="BW216" s="51">
        <f>IF(Input!$C$13="Offline",VLOOKUP(H216,Charges!$AT$4:$AU$33,2,FALSE)*I216,0)</f>
        <v>0</v>
      </c>
      <c r="BX216" s="51">
        <f t="shared" si="184"/>
        <v>0</v>
      </c>
      <c r="BY216" s="51">
        <f t="shared" si="192"/>
        <v>0</v>
      </c>
      <c r="BZ216" s="151"/>
      <c r="CA216" s="151"/>
      <c r="CB216" s="32"/>
      <c r="CC216" s="16">
        <f ca="1">SUM($N$7:$N216)</f>
        <v>0</v>
      </c>
      <c r="CD216" s="16">
        <f t="shared" ca="1" si="185"/>
        <v>0</v>
      </c>
      <c r="CE216" s="16">
        <f t="shared" ca="1" si="186"/>
        <v>0</v>
      </c>
      <c r="CF216" s="7">
        <f t="shared" ca="1" si="187"/>
        <v>0</v>
      </c>
      <c r="CH216" s="7">
        <f t="shared" ca="1" si="188"/>
        <v>0</v>
      </c>
    </row>
    <row r="217" spans="2:86" s="7" customFormat="1" x14ac:dyDescent="0.2">
      <c r="B217" s="14">
        <f t="shared" si="152"/>
        <v>0</v>
      </c>
      <c r="C217" s="12">
        <f t="shared" si="153"/>
        <v>0</v>
      </c>
      <c r="D217" s="17">
        <f t="shared" si="193"/>
        <v>211</v>
      </c>
      <c r="E217" s="17">
        <f t="shared" ca="1" si="154"/>
        <v>77</v>
      </c>
      <c r="F217" s="12">
        <f t="shared" si="195"/>
        <v>6</v>
      </c>
      <c r="G217" s="12">
        <f t="shared" si="194"/>
        <v>36</v>
      </c>
      <c r="H217" s="17">
        <f t="shared" si="196"/>
        <v>18</v>
      </c>
      <c r="I217" s="29">
        <f t="shared" si="155"/>
        <v>0</v>
      </c>
      <c r="J217" s="211">
        <f>IFERROR(VLOOKUP(H217,Charges!$T$6:$U$35,2,0)*C217,0)</f>
        <v>0</v>
      </c>
      <c r="K217" s="29">
        <f t="shared" si="156"/>
        <v>0</v>
      </c>
      <c r="L217" s="29">
        <f t="shared" si="157"/>
        <v>0</v>
      </c>
      <c r="M217" s="147">
        <f t="shared" ca="1" si="158"/>
        <v>0</v>
      </c>
      <c r="N217" s="148">
        <f ca="1">IF(AND(Option_SPW="Y",H217&gt;=Lock_In_Period,Z216&gt;SPW_Amount_pa+IF(option="Single",1/5*pr,2*pr),H217&gt;=SPW_Start_Year,H217&lt;=SPW_Start_Year+SPW_Duration-1,age+H217&gt;=Legal_Age),IF(AND(F217=0,SPW_Payout_Freq=1),SPW_Amount_pa,IF(AND(SPW_Payout_Freq=2,MOD(F217,6)=0),SPW_Amount_pa/SPW_Payout_Freq,IF(AND(SPW_Payout_Freq=4,MOD(F217,3)=0),SPW_Amount_pa/SPW_Payout_Freq,IF(SPW_Payout_Freq=12,SPW_Amount_pa/SPW_Payout_Freq,0)))),0)+IFERROR(VLOOKUP(H217,Input!$B$68:$C$74,2,0),0)*(F217=0)*(Option_PW="Y")*(Option_SPW="N")*(age+H217&gt;=Legal_Age)</f>
        <v>0</v>
      </c>
      <c r="O217" s="148">
        <f t="shared" ca="1" si="159"/>
        <v>0</v>
      </c>
      <c r="P217" s="14">
        <f ca="1">(MAX(MAX(sa-CF216*Flag_UL_Type,105%*SUM($I$7:I217))-(AD216+L217-N217)*Flag_UL_Type,0)*B217)</f>
        <v>0</v>
      </c>
      <c r="Q217" s="213">
        <f t="shared" si="160"/>
        <v>0</v>
      </c>
      <c r="R217" s="14">
        <f t="shared" ca="1" si="161"/>
        <v>0</v>
      </c>
      <c r="S217" s="14">
        <f t="shared" ca="1" si="162"/>
        <v>0</v>
      </c>
      <c r="T217" s="14">
        <f>IFERROR(IF(WoP_Flag="Y",IF(fq=1,VLOOKUP(ppt*fq-H217,Charges!$AN$41:$AO$59,2,FALSE),IF(fq=2,VLOOKUP(ppt*fq-G217,Charges!$AP$41:$AQ$79,2,FALSE),VLOOKUP(ppt*fq-D217,Charges!$AR$41:$AS$279,2,FALSE)))*pr/fq,0),0)</f>
        <v>0</v>
      </c>
      <c r="U217" s="14">
        <f t="shared" ca="1" si="163"/>
        <v>0</v>
      </c>
      <c r="V217" s="34">
        <f>ROUND(MIN(IF(H217&gt;=7,Charges!$C$12*(1+Charges!$C$14)^((H217-7+1)),VLOOKUP(H217,Charges!$B$7:$C$12,2,0))*pr,Charges!$C$13)*B217,Round)</f>
        <v>0</v>
      </c>
      <c r="W217" s="14">
        <f t="shared" ca="1" si="164"/>
        <v>0</v>
      </c>
      <c r="X217" s="14">
        <f t="shared" ca="1" si="165"/>
        <v>0</v>
      </c>
      <c r="Y217" s="213">
        <f t="shared" ca="1" si="189"/>
        <v>0</v>
      </c>
      <c r="Z217" s="14">
        <f t="shared" ca="1" si="166"/>
        <v>0</v>
      </c>
      <c r="AA217" s="14">
        <f>IF(AND($H217=pt,$F217=11),SUM($K$7:K217)*VLOOKUP(pt,ROC,2,FALSE),0)</f>
        <v>0</v>
      </c>
      <c r="AB217" s="14">
        <f>IF(AND($H217=pt,$F217=11),SUM($V$7:V217)*VLOOKUP(pt,ROC,2,FALSE),0)</f>
        <v>0</v>
      </c>
      <c r="AC217" s="14">
        <f>IF(AND($H217=pt,$F217=11),SUM($Q$7:Q217)*VLOOKUP(pt,ROC,2,FALSE),0)</f>
        <v>0</v>
      </c>
      <c r="AD217" s="14">
        <f t="shared" ca="1" si="167"/>
        <v>0</v>
      </c>
      <c r="AE217" s="14">
        <f ca="1">(MAX(sa-CF216*Flag_UL_Type,105%*SUM($I$7:I217),Z217)+AU217)*B217</f>
        <v>0</v>
      </c>
      <c r="AF217" s="136"/>
      <c r="AG217" s="18">
        <v>211</v>
      </c>
      <c r="AH217" s="30">
        <f t="shared" ca="1" si="168"/>
        <v>0</v>
      </c>
      <c r="AI217" s="58"/>
      <c r="AJ217" s="50">
        <f>IF(AND(Option_Sys_TopUp&gt;="Y",H217&gt;=sytp,H217&lt;=(dtp+sytp-1),F217=0,H217&lt;=ppt+1),atp,0)+IFERROR(VLOOKUP(H217,Input!$B$55:$C$61,2,0),0)*(F217=0)*(Option_TopUP="Y")*(Option_Sys_TopUp="N")*B217*(pt&gt;=H217+5)</f>
        <v>0</v>
      </c>
      <c r="AK217" s="50">
        <f t="shared" si="169"/>
        <v>0</v>
      </c>
      <c r="AL217" s="50">
        <f t="shared" si="190"/>
        <v>0</v>
      </c>
      <c r="AM217" s="50">
        <f t="shared" ca="1" si="191"/>
        <v>0</v>
      </c>
      <c r="AN217" s="50">
        <f>IF(B217=0,0,AT217*(_rpm1+(1+_emr1)*VLOOKUP(E217,Tab_Mort_Charge,IF(Input!$C$12="M",2,3),0))*(0.001*0.0833)*Flag_Mort_Rider_Charge*(AT217&gt;0))</f>
        <v>0</v>
      </c>
      <c r="AO217" s="50">
        <f t="shared" ca="1" si="170"/>
        <v>0</v>
      </c>
      <c r="AP217" s="50">
        <f t="shared" ca="1" si="151"/>
        <v>0</v>
      </c>
      <c r="AQ217" s="50">
        <f t="shared" ca="1" si="171"/>
        <v>0</v>
      </c>
      <c r="AR217" s="50">
        <f t="shared" ca="1" si="172"/>
        <v>0</v>
      </c>
      <c r="AS217" s="50">
        <f t="shared" si="173"/>
        <v>0</v>
      </c>
      <c r="AT217" s="50">
        <f ca="1">(MAX((MAX(AS217,105%*SUM($AJ$7:AJ217))-AM217*Flag_UL_Type),0)*B217)</f>
        <v>0</v>
      </c>
      <c r="AU217" s="50">
        <f ca="1">(MAX(AS217,AR217,105%*SUM($AJ$7:AJ217))*B217)</f>
        <v>0</v>
      </c>
      <c r="AV217" s="125"/>
      <c r="AW217" s="13"/>
      <c r="AX217" s="13"/>
      <c r="AY217" s="13"/>
      <c r="AZ217" s="13"/>
      <c r="BA217" s="13"/>
      <c r="BG217" s="51">
        <f t="shared" si="174"/>
        <v>0</v>
      </c>
      <c r="BH217" s="51">
        <f t="shared" si="175"/>
        <v>0</v>
      </c>
      <c r="BI217" s="51">
        <f t="shared" ca="1" si="176"/>
        <v>0</v>
      </c>
      <c r="BJ217" s="51">
        <f t="shared" ca="1" si="177"/>
        <v>0</v>
      </c>
      <c r="BK217" s="51">
        <f t="shared" si="178"/>
        <v>0</v>
      </c>
      <c r="BL217" s="51">
        <f t="shared" ca="1" si="179"/>
        <v>0</v>
      </c>
      <c r="BM217" s="51">
        <f t="shared" si="180"/>
        <v>0</v>
      </c>
      <c r="BN217" s="51">
        <f t="shared" si="181"/>
        <v>0</v>
      </c>
      <c r="BO217" s="51">
        <f t="shared" ca="1" si="182"/>
        <v>0</v>
      </c>
      <c r="BP217" s="51">
        <f t="shared" ca="1" si="183"/>
        <v>0</v>
      </c>
      <c r="BQ217" s="120"/>
      <c r="BR217" s="32"/>
      <c r="BS217" s="126"/>
      <c r="BT217" s="16"/>
      <c r="BU217" s="58"/>
      <c r="BW217" s="51">
        <f>IF(Input!$C$13="Offline",VLOOKUP(H217,Charges!$AT$4:$AU$33,2,FALSE)*I217,0)</f>
        <v>0</v>
      </c>
      <c r="BX217" s="51">
        <f t="shared" si="184"/>
        <v>0</v>
      </c>
      <c r="BY217" s="51">
        <f t="shared" si="192"/>
        <v>0</v>
      </c>
      <c r="BZ217" s="151"/>
      <c r="CA217" s="151"/>
      <c r="CB217" s="32"/>
      <c r="CC217" s="16">
        <f ca="1">SUM($N$7:$N217)</f>
        <v>0</v>
      </c>
      <c r="CD217" s="16">
        <f t="shared" ca="1" si="185"/>
        <v>0</v>
      </c>
      <c r="CE217" s="16">
        <f t="shared" ca="1" si="186"/>
        <v>0</v>
      </c>
      <c r="CF217" s="7">
        <f t="shared" ca="1" si="187"/>
        <v>0</v>
      </c>
      <c r="CH217" s="7">
        <f t="shared" ca="1" si="188"/>
        <v>0</v>
      </c>
    </row>
    <row r="218" spans="2:86" s="7" customFormat="1" x14ac:dyDescent="0.2">
      <c r="B218" s="14">
        <f t="shared" si="152"/>
        <v>0</v>
      </c>
      <c r="C218" s="12">
        <f t="shared" si="153"/>
        <v>0</v>
      </c>
      <c r="D218" s="17">
        <f t="shared" si="193"/>
        <v>212</v>
      </c>
      <c r="E218" s="17">
        <f t="shared" ca="1" si="154"/>
        <v>77</v>
      </c>
      <c r="F218" s="12">
        <f t="shared" si="195"/>
        <v>7</v>
      </c>
      <c r="G218" s="12">
        <f t="shared" si="194"/>
        <v>36</v>
      </c>
      <c r="H218" s="17">
        <f t="shared" si="196"/>
        <v>18</v>
      </c>
      <c r="I218" s="29">
        <f t="shared" si="155"/>
        <v>0</v>
      </c>
      <c r="J218" s="211">
        <f>IFERROR(VLOOKUP(H218,Charges!$T$6:$U$35,2,0)*C218,0)</f>
        <v>0</v>
      </c>
      <c r="K218" s="29">
        <f t="shared" si="156"/>
        <v>0</v>
      </c>
      <c r="L218" s="29">
        <f t="shared" si="157"/>
        <v>0</v>
      </c>
      <c r="M218" s="147">
        <f t="shared" ca="1" si="158"/>
        <v>0</v>
      </c>
      <c r="N218" s="148">
        <f ca="1">IF(AND(Option_SPW="Y",H218&gt;=Lock_In_Period,Z217&gt;SPW_Amount_pa+IF(option="Single",1/5*pr,2*pr),H218&gt;=SPW_Start_Year,H218&lt;=SPW_Start_Year+SPW_Duration-1,age+H218&gt;=Legal_Age),IF(AND(F218=0,SPW_Payout_Freq=1),SPW_Amount_pa,IF(AND(SPW_Payout_Freq=2,MOD(F218,6)=0),SPW_Amount_pa/SPW_Payout_Freq,IF(AND(SPW_Payout_Freq=4,MOD(F218,3)=0),SPW_Amount_pa/SPW_Payout_Freq,IF(SPW_Payout_Freq=12,SPW_Amount_pa/SPW_Payout_Freq,0)))),0)+IFERROR(VLOOKUP(H218,Input!$B$68:$C$74,2,0),0)*(F218=0)*(Option_PW="Y")*(Option_SPW="N")*(age+H218&gt;=Legal_Age)</f>
        <v>0</v>
      </c>
      <c r="O218" s="148">
        <f t="shared" ca="1" si="159"/>
        <v>0</v>
      </c>
      <c r="P218" s="14">
        <f ca="1">(MAX(MAX(sa-CF217*Flag_UL_Type,105%*SUM($I$7:I218))-(AD217+L218-N218)*Flag_UL_Type,0)*B218)</f>
        <v>0</v>
      </c>
      <c r="Q218" s="213">
        <f t="shared" si="160"/>
        <v>0</v>
      </c>
      <c r="R218" s="14">
        <f t="shared" ca="1" si="161"/>
        <v>0</v>
      </c>
      <c r="S218" s="14">
        <f t="shared" ca="1" si="162"/>
        <v>0</v>
      </c>
      <c r="T218" s="14">
        <f>IFERROR(IF(WoP_Flag="Y",IF(fq=1,VLOOKUP(ppt*fq-H218,Charges!$AN$41:$AO$59,2,FALSE),IF(fq=2,VLOOKUP(ppt*fq-G218,Charges!$AP$41:$AQ$79,2,FALSE),VLOOKUP(ppt*fq-D218,Charges!$AR$41:$AS$279,2,FALSE)))*pr/fq,0),0)</f>
        <v>0</v>
      </c>
      <c r="U218" s="14">
        <f t="shared" ca="1" si="163"/>
        <v>0</v>
      </c>
      <c r="V218" s="34">
        <f>ROUND(MIN(IF(H218&gt;=7,Charges!$C$12*(1+Charges!$C$14)^((H218-7+1)),VLOOKUP(H218,Charges!$B$7:$C$12,2,0))*pr,Charges!$C$13)*B218,Round)</f>
        <v>0</v>
      </c>
      <c r="W218" s="14">
        <f t="shared" ca="1" si="164"/>
        <v>0</v>
      </c>
      <c r="X218" s="14">
        <f t="shared" ca="1" si="165"/>
        <v>0</v>
      </c>
      <c r="Y218" s="213">
        <f t="shared" ca="1" si="189"/>
        <v>0</v>
      </c>
      <c r="Z218" s="14">
        <f t="shared" ca="1" si="166"/>
        <v>0</v>
      </c>
      <c r="AA218" s="14">
        <f>IF(AND($H218=pt,$F218=11),SUM($K$7:K218)*VLOOKUP(pt,ROC,2,FALSE),0)</f>
        <v>0</v>
      </c>
      <c r="AB218" s="14">
        <f>IF(AND($H218=pt,$F218=11),SUM($V$7:V218)*VLOOKUP(pt,ROC,2,FALSE),0)</f>
        <v>0</v>
      </c>
      <c r="AC218" s="14">
        <f>IF(AND($H218=pt,$F218=11),SUM($Q$7:Q218)*VLOOKUP(pt,ROC,2,FALSE),0)</f>
        <v>0</v>
      </c>
      <c r="AD218" s="14">
        <f t="shared" ca="1" si="167"/>
        <v>0</v>
      </c>
      <c r="AE218" s="14">
        <f ca="1">(MAX(sa-CF217*Flag_UL_Type,105%*SUM($I$7:I218),Z218)+AU218)*B218</f>
        <v>0</v>
      </c>
      <c r="AF218" s="136"/>
      <c r="AG218" s="18">
        <v>212</v>
      </c>
      <c r="AH218" s="30">
        <f t="shared" ca="1" si="168"/>
        <v>0</v>
      </c>
      <c r="AI218" s="58"/>
      <c r="AJ218" s="50">
        <f>IF(AND(Option_Sys_TopUp&gt;="Y",H218&gt;=sytp,H218&lt;=(dtp+sytp-1),F218=0,H218&lt;=ppt+1),atp,0)+IFERROR(VLOOKUP(H218,Input!$B$55:$C$61,2,0),0)*(F218=0)*(Option_TopUP="Y")*(Option_Sys_TopUp="N")*B218*(pt&gt;=H218+5)</f>
        <v>0</v>
      </c>
      <c r="AK218" s="50">
        <f t="shared" si="169"/>
        <v>0</v>
      </c>
      <c r="AL218" s="50">
        <f t="shared" si="190"/>
        <v>0</v>
      </c>
      <c r="AM218" s="50">
        <f t="shared" ca="1" si="191"/>
        <v>0</v>
      </c>
      <c r="AN218" s="50">
        <f>IF(B218=0,0,AT218*(_rpm1+(1+_emr1)*VLOOKUP(E218,Tab_Mort_Charge,IF(Input!$C$12="M",2,3),0))*(0.001*0.0833)*Flag_Mort_Rider_Charge*(AT218&gt;0))</f>
        <v>0</v>
      </c>
      <c r="AO218" s="50">
        <f t="shared" ca="1" si="170"/>
        <v>0</v>
      </c>
      <c r="AP218" s="50">
        <f t="shared" ca="1" si="151"/>
        <v>0</v>
      </c>
      <c r="AQ218" s="50">
        <f t="shared" ca="1" si="171"/>
        <v>0</v>
      </c>
      <c r="AR218" s="50">
        <f t="shared" ca="1" si="172"/>
        <v>0</v>
      </c>
      <c r="AS218" s="50">
        <f t="shared" si="173"/>
        <v>0</v>
      </c>
      <c r="AT218" s="50">
        <f ca="1">(MAX((MAX(AS218,105%*SUM($AJ$7:AJ218))-AM218*Flag_UL_Type),0)*B218)</f>
        <v>0</v>
      </c>
      <c r="AU218" s="50">
        <f ca="1">(MAX(AS218,AR218,105%*SUM($AJ$7:AJ218))*B218)</f>
        <v>0</v>
      </c>
      <c r="AV218" s="125"/>
      <c r="AW218" s="13"/>
      <c r="AX218" s="13"/>
      <c r="AY218" s="13"/>
      <c r="AZ218" s="13"/>
      <c r="BA218" s="13"/>
      <c r="BG218" s="51">
        <f t="shared" si="174"/>
        <v>0</v>
      </c>
      <c r="BH218" s="51">
        <f t="shared" si="175"/>
        <v>0</v>
      </c>
      <c r="BI218" s="51">
        <f t="shared" ca="1" si="176"/>
        <v>0</v>
      </c>
      <c r="BJ218" s="51">
        <f t="shared" ca="1" si="177"/>
        <v>0</v>
      </c>
      <c r="BK218" s="51">
        <f t="shared" si="178"/>
        <v>0</v>
      </c>
      <c r="BL218" s="51">
        <f t="shared" ca="1" si="179"/>
        <v>0</v>
      </c>
      <c r="BM218" s="51">
        <f t="shared" si="180"/>
        <v>0</v>
      </c>
      <c r="BN218" s="51">
        <f t="shared" si="181"/>
        <v>0</v>
      </c>
      <c r="BO218" s="51">
        <f t="shared" ca="1" si="182"/>
        <v>0</v>
      </c>
      <c r="BP218" s="51">
        <f t="shared" ca="1" si="183"/>
        <v>0</v>
      </c>
      <c r="BQ218" s="120"/>
      <c r="BR218" s="32"/>
      <c r="BS218" s="126"/>
      <c r="BT218" s="16"/>
      <c r="BU218" s="58"/>
      <c r="BW218" s="51">
        <f>IF(Input!$C$13="Offline",VLOOKUP(H218,Charges!$AT$4:$AU$33,2,FALSE)*I218,0)</f>
        <v>0</v>
      </c>
      <c r="BX218" s="51">
        <f t="shared" si="184"/>
        <v>0</v>
      </c>
      <c r="BY218" s="51">
        <f t="shared" si="192"/>
        <v>0</v>
      </c>
      <c r="BZ218" s="151"/>
      <c r="CA218" s="151"/>
      <c r="CB218" s="32"/>
      <c r="CC218" s="16">
        <f ca="1">SUM($N$7:$N218)</f>
        <v>0</v>
      </c>
      <c r="CD218" s="16">
        <f t="shared" ca="1" si="185"/>
        <v>0</v>
      </c>
      <c r="CE218" s="16">
        <f t="shared" ca="1" si="186"/>
        <v>0</v>
      </c>
      <c r="CF218" s="7">
        <f t="shared" ca="1" si="187"/>
        <v>0</v>
      </c>
      <c r="CH218" s="7">
        <f t="shared" ca="1" si="188"/>
        <v>0</v>
      </c>
    </row>
    <row r="219" spans="2:86" s="7" customFormat="1" x14ac:dyDescent="0.2">
      <c r="B219" s="14">
        <f t="shared" si="152"/>
        <v>0</v>
      </c>
      <c r="C219" s="12">
        <f t="shared" si="153"/>
        <v>0</v>
      </c>
      <c r="D219" s="17">
        <f t="shared" si="193"/>
        <v>213</v>
      </c>
      <c r="E219" s="17">
        <f t="shared" ca="1" si="154"/>
        <v>77</v>
      </c>
      <c r="F219" s="12">
        <f t="shared" si="195"/>
        <v>8</v>
      </c>
      <c r="G219" s="12">
        <f t="shared" si="194"/>
        <v>36</v>
      </c>
      <c r="H219" s="17">
        <f t="shared" si="196"/>
        <v>18</v>
      </c>
      <c r="I219" s="29">
        <f t="shared" si="155"/>
        <v>0</v>
      </c>
      <c r="J219" s="211">
        <f>IFERROR(VLOOKUP(H219,Charges!$T$6:$U$35,2,0)*C219,0)</f>
        <v>0</v>
      </c>
      <c r="K219" s="29">
        <f t="shared" si="156"/>
        <v>0</v>
      </c>
      <c r="L219" s="29">
        <f t="shared" si="157"/>
        <v>0</v>
      </c>
      <c r="M219" s="147">
        <f t="shared" ca="1" si="158"/>
        <v>0</v>
      </c>
      <c r="N219" s="148">
        <f ca="1">IF(AND(Option_SPW="Y",H219&gt;=Lock_In_Period,Z218&gt;SPW_Amount_pa+IF(option="Single",1/5*pr,2*pr),H219&gt;=SPW_Start_Year,H219&lt;=SPW_Start_Year+SPW_Duration-1,age+H219&gt;=Legal_Age),IF(AND(F219=0,SPW_Payout_Freq=1),SPW_Amount_pa,IF(AND(SPW_Payout_Freq=2,MOD(F219,6)=0),SPW_Amount_pa/SPW_Payout_Freq,IF(AND(SPW_Payout_Freq=4,MOD(F219,3)=0),SPW_Amount_pa/SPW_Payout_Freq,IF(SPW_Payout_Freq=12,SPW_Amount_pa/SPW_Payout_Freq,0)))),0)+IFERROR(VLOOKUP(H219,Input!$B$68:$C$74,2,0),0)*(F219=0)*(Option_PW="Y")*(Option_SPW="N")*(age+H219&gt;=Legal_Age)</f>
        <v>0</v>
      </c>
      <c r="O219" s="148">
        <f t="shared" ca="1" si="159"/>
        <v>0</v>
      </c>
      <c r="P219" s="14">
        <f ca="1">(MAX(MAX(sa-CF218*Flag_UL_Type,105%*SUM($I$7:I219))-(AD218+L219-N219)*Flag_UL_Type,0)*B219)</f>
        <v>0</v>
      </c>
      <c r="Q219" s="213">
        <f t="shared" si="160"/>
        <v>0</v>
      </c>
      <c r="R219" s="14">
        <f t="shared" ca="1" si="161"/>
        <v>0</v>
      </c>
      <c r="S219" s="14">
        <f t="shared" ca="1" si="162"/>
        <v>0</v>
      </c>
      <c r="T219" s="14">
        <f>IFERROR(IF(WoP_Flag="Y",IF(fq=1,VLOOKUP(ppt*fq-H219,Charges!$AN$41:$AO$59,2,FALSE),IF(fq=2,VLOOKUP(ppt*fq-G219,Charges!$AP$41:$AQ$79,2,FALSE),VLOOKUP(ppt*fq-D219,Charges!$AR$41:$AS$279,2,FALSE)))*pr/fq,0),0)</f>
        <v>0</v>
      </c>
      <c r="U219" s="14">
        <f t="shared" ca="1" si="163"/>
        <v>0</v>
      </c>
      <c r="V219" s="34">
        <f>ROUND(MIN(IF(H219&gt;=7,Charges!$C$12*(1+Charges!$C$14)^((H219-7+1)),VLOOKUP(H219,Charges!$B$7:$C$12,2,0))*pr,Charges!$C$13)*B219,Round)</f>
        <v>0</v>
      </c>
      <c r="W219" s="14">
        <f t="shared" ca="1" si="164"/>
        <v>0</v>
      </c>
      <c r="X219" s="14">
        <f t="shared" ca="1" si="165"/>
        <v>0</v>
      </c>
      <c r="Y219" s="213">
        <f t="shared" ca="1" si="189"/>
        <v>0</v>
      </c>
      <c r="Z219" s="14">
        <f t="shared" ca="1" si="166"/>
        <v>0</v>
      </c>
      <c r="AA219" s="14">
        <f>IF(AND($H219=pt,$F219=11),SUM($K$7:K219)*VLOOKUP(pt,ROC,2,FALSE),0)</f>
        <v>0</v>
      </c>
      <c r="AB219" s="14">
        <f>IF(AND($H219=pt,$F219=11),SUM($V$7:V219)*VLOOKUP(pt,ROC,2,FALSE),0)</f>
        <v>0</v>
      </c>
      <c r="AC219" s="14">
        <f>IF(AND($H219=pt,$F219=11),SUM($Q$7:Q219)*VLOOKUP(pt,ROC,2,FALSE),0)</f>
        <v>0</v>
      </c>
      <c r="AD219" s="14">
        <f t="shared" ca="1" si="167"/>
        <v>0</v>
      </c>
      <c r="AE219" s="14">
        <f ca="1">(MAX(sa-CF218*Flag_UL_Type,105%*SUM($I$7:I219),Z219)+AU219)*B219</f>
        <v>0</v>
      </c>
      <c r="AF219" s="136"/>
      <c r="AG219" s="18">
        <v>213</v>
      </c>
      <c r="AH219" s="30">
        <f t="shared" ca="1" si="168"/>
        <v>0</v>
      </c>
      <c r="AI219" s="58"/>
      <c r="AJ219" s="50">
        <f>IF(AND(Option_Sys_TopUp&gt;="Y",H219&gt;=sytp,H219&lt;=(dtp+sytp-1),F219=0,H219&lt;=ppt+1),atp,0)+IFERROR(VLOOKUP(H219,Input!$B$55:$C$61,2,0),0)*(F219=0)*(Option_TopUP="Y")*(Option_Sys_TopUp="N")*B219*(pt&gt;=H219+5)</f>
        <v>0</v>
      </c>
      <c r="AK219" s="50">
        <f t="shared" si="169"/>
        <v>0</v>
      </c>
      <c r="AL219" s="50">
        <f t="shared" si="190"/>
        <v>0</v>
      </c>
      <c r="AM219" s="50">
        <f t="shared" ca="1" si="191"/>
        <v>0</v>
      </c>
      <c r="AN219" s="50">
        <f>IF(B219=0,0,AT219*(_rpm1+(1+_emr1)*VLOOKUP(E219,Tab_Mort_Charge,IF(Input!$C$12="M",2,3),0))*(0.001*0.0833)*Flag_Mort_Rider_Charge*(AT219&gt;0))</f>
        <v>0</v>
      </c>
      <c r="AO219" s="50">
        <f t="shared" ca="1" si="170"/>
        <v>0</v>
      </c>
      <c r="AP219" s="50">
        <f t="shared" ref="AP219:AP282" ca="1" si="197">AO219*(1+$F$3)*B219</f>
        <v>0</v>
      </c>
      <c r="AQ219" s="50">
        <f t="shared" ca="1" si="171"/>
        <v>0</v>
      </c>
      <c r="AR219" s="50">
        <f t="shared" ca="1" si="172"/>
        <v>0</v>
      </c>
      <c r="AS219" s="50">
        <f t="shared" si="173"/>
        <v>0</v>
      </c>
      <c r="AT219" s="50">
        <f ca="1">(MAX((MAX(AS219,105%*SUM($AJ$7:AJ219))-AM219*Flag_UL_Type),0)*B219)</f>
        <v>0</v>
      </c>
      <c r="AU219" s="50">
        <f ca="1">(MAX(AS219,AR219,105%*SUM($AJ$7:AJ219))*B219)</f>
        <v>0</v>
      </c>
      <c r="AV219" s="125"/>
      <c r="AW219" s="13"/>
      <c r="AX219" s="13"/>
      <c r="AY219" s="13"/>
      <c r="AZ219" s="13"/>
      <c r="BA219" s="13"/>
      <c r="BG219" s="51">
        <f t="shared" si="174"/>
        <v>0</v>
      </c>
      <c r="BH219" s="51">
        <f t="shared" si="175"/>
        <v>0</v>
      </c>
      <c r="BI219" s="51">
        <f t="shared" ca="1" si="176"/>
        <v>0</v>
      </c>
      <c r="BJ219" s="51">
        <f t="shared" ca="1" si="177"/>
        <v>0</v>
      </c>
      <c r="BK219" s="51">
        <f t="shared" si="178"/>
        <v>0</v>
      </c>
      <c r="BL219" s="51">
        <f t="shared" ca="1" si="179"/>
        <v>0</v>
      </c>
      <c r="BM219" s="51">
        <f t="shared" si="180"/>
        <v>0</v>
      </c>
      <c r="BN219" s="51">
        <f t="shared" si="181"/>
        <v>0</v>
      </c>
      <c r="BO219" s="51">
        <f t="shared" ca="1" si="182"/>
        <v>0</v>
      </c>
      <c r="BP219" s="51">
        <f t="shared" ca="1" si="183"/>
        <v>0</v>
      </c>
      <c r="BQ219" s="120"/>
      <c r="BR219" s="32"/>
      <c r="BS219" s="126"/>
      <c r="BT219" s="16"/>
      <c r="BU219" s="58"/>
      <c r="BW219" s="51">
        <f>IF(Input!$C$13="Offline",VLOOKUP(H219,Charges!$AT$4:$AU$33,2,FALSE)*I219,0)</f>
        <v>0</v>
      </c>
      <c r="BX219" s="51">
        <f t="shared" si="184"/>
        <v>0</v>
      </c>
      <c r="BY219" s="51">
        <f t="shared" si="192"/>
        <v>0</v>
      </c>
      <c r="BZ219" s="151"/>
      <c r="CA219" s="151"/>
      <c r="CB219" s="32"/>
      <c r="CC219" s="16">
        <f ca="1">SUM($N$7:$N219)</f>
        <v>0</v>
      </c>
      <c r="CD219" s="16">
        <f t="shared" ca="1" si="185"/>
        <v>0</v>
      </c>
      <c r="CE219" s="16">
        <f t="shared" ca="1" si="186"/>
        <v>0</v>
      </c>
      <c r="CF219" s="7">
        <f t="shared" ca="1" si="187"/>
        <v>0</v>
      </c>
      <c r="CH219" s="7">
        <f t="shared" ca="1" si="188"/>
        <v>0</v>
      </c>
    </row>
    <row r="220" spans="2:86" s="7" customFormat="1" x14ac:dyDescent="0.2">
      <c r="B220" s="14">
        <f t="shared" si="152"/>
        <v>0</v>
      </c>
      <c r="C220" s="12">
        <f t="shared" si="153"/>
        <v>0</v>
      </c>
      <c r="D220" s="17">
        <f t="shared" si="193"/>
        <v>214</v>
      </c>
      <c r="E220" s="17">
        <f t="shared" ca="1" si="154"/>
        <v>77</v>
      </c>
      <c r="F220" s="12">
        <f t="shared" si="195"/>
        <v>9</v>
      </c>
      <c r="G220" s="12">
        <f t="shared" si="194"/>
        <v>36</v>
      </c>
      <c r="H220" s="17">
        <f t="shared" si="196"/>
        <v>18</v>
      </c>
      <c r="I220" s="29">
        <f t="shared" si="155"/>
        <v>0</v>
      </c>
      <c r="J220" s="211">
        <f>IFERROR(VLOOKUP(H220,Charges!$T$6:$U$35,2,0)*C220,0)</f>
        <v>0</v>
      </c>
      <c r="K220" s="29">
        <f t="shared" si="156"/>
        <v>0</v>
      </c>
      <c r="L220" s="29">
        <f t="shared" si="157"/>
        <v>0</v>
      </c>
      <c r="M220" s="147">
        <f t="shared" ca="1" si="158"/>
        <v>0</v>
      </c>
      <c r="N220" s="148">
        <f ca="1">IF(AND(Option_SPW="Y",H220&gt;=Lock_In_Period,Z219&gt;SPW_Amount_pa+IF(option="Single",1/5*pr,2*pr),H220&gt;=SPW_Start_Year,H220&lt;=SPW_Start_Year+SPW_Duration-1,age+H220&gt;=Legal_Age),IF(AND(F220=0,SPW_Payout_Freq=1),SPW_Amount_pa,IF(AND(SPW_Payout_Freq=2,MOD(F220,6)=0),SPW_Amount_pa/SPW_Payout_Freq,IF(AND(SPW_Payout_Freq=4,MOD(F220,3)=0),SPW_Amount_pa/SPW_Payout_Freq,IF(SPW_Payout_Freq=12,SPW_Amount_pa/SPW_Payout_Freq,0)))),0)+IFERROR(VLOOKUP(H220,Input!$B$68:$C$74,2,0),0)*(F220=0)*(Option_PW="Y")*(Option_SPW="N")*(age+H220&gt;=Legal_Age)</f>
        <v>0</v>
      </c>
      <c r="O220" s="148">
        <f t="shared" ca="1" si="159"/>
        <v>0</v>
      </c>
      <c r="P220" s="14">
        <f ca="1">(MAX(MAX(sa-CF219*Flag_UL_Type,105%*SUM($I$7:I220))-(AD219+L220-N220)*Flag_UL_Type,0)*B220)</f>
        <v>0</v>
      </c>
      <c r="Q220" s="213">
        <f t="shared" si="160"/>
        <v>0</v>
      </c>
      <c r="R220" s="14">
        <f t="shared" ca="1" si="161"/>
        <v>0</v>
      </c>
      <c r="S220" s="14">
        <f t="shared" ca="1" si="162"/>
        <v>0</v>
      </c>
      <c r="T220" s="14">
        <f>IFERROR(IF(WoP_Flag="Y",IF(fq=1,VLOOKUP(ppt*fq-H220,Charges!$AN$41:$AO$59,2,FALSE),IF(fq=2,VLOOKUP(ppt*fq-G220,Charges!$AP$41:$AQ$79,2,FALSE),VLOOKUP(ppt*fq-D220,Charges!$AR$41:$AS$279,2,FALSE)))*pr/fq,0),0)</f>
        <v>0</v>
      </c>
      <c r="U220" s="14">
        <f t="shared" ca="1" si="163"/>
        <v>0</v>
      </c>
      <c r="V220" s="34">
        <f>ROUND(MIN(IF(H220&gt;=7,Charges!$C$12*(1+Charges!$C$14)^((H220-7+1)),VLOOKUP(H220,Charges!$B$7:$C$12,2,0))*pr,Charges!$C$13)*B220,Round)</f>
        <v>0</v>
      </c>
      <c r="W220" s="14">
        <f t="shared" ca="1" si="164"/>
        <v>0</v>
      </c>
      <c r="X220" s="14">
        <f t="shared" ca="1" si="165"/>
        <v>0</v>
      </c>
      <c r="Y220" s="213">
        <f t="shared" ca="1" si="189"/>
        <v>0</v>
      </c>
      <c r="Z220" s="14">
        <f t="shared" ca="1" si="166"/>
        <v>0</v>
      </c>
      <c r="AA220" s="14">
        <f>IF(AND($H220=pt,$F220=11),SUM($K$7:K220)*VLOOKUP(pt,ROC,2,FALSE),0)</f>
        <v>0</v>
      </c>
      <c r="AB220" s="14">
        <f>IF(AND($H220=pt,$F220=11),SUM($V$7:V220)*VLOOKUP(pt,ROC,2,FALSE),0)</f>
        <v>0</v>
      </c>
      <c r="AC220" s="14">
        <f>IF(AND($H220=pt,$F220=11),SUM($Q$7:Q220)*VLOOKUP(pt,ROC,2,FALSE),0)</f>
        <v>0</v>
      </c>
      <c r="AD220" s="14">
        <f t="shared" ca="1" si="167"/>
        <v>0</v>
      </c>
      <c r="AE220" s="14">
        <f ca="1">(MAX(sa-CF219*Flag_UL_Type,105%*SUM($I$7:I220),Z220)+AU220)*B220</f>
        <v>0</v>
      </c>
      <c r="AF220" s="136"/>
      <c r="AG220" s="18">
        <v>214</v>
      </c>
      <c r="AH220" s="30">
        <f t="shared" ca="1" si="168"/>
        <v>0</v>
      </c>
      <c r="AI220" s="58"/>
      <c r="AJ220" s="50">
        <f>IF(AND(Option_Sys_TopUp&gt;="Y",H220&gt;=sytp,H220&lt;=(dtp+sytp-1),F220=0,H220&lt;=ppt+1),atp,0)+IFERROR(VLOOKUP(H220,Input!$B$55:$C$61,2,0),0)*(F220=0)*(Option_TopUP="Y")*(Option_Sys_TopUp="N")*B220*(pt&gt;=H220+5)</f>
        <v>0</v>
      </c>
      <c r="AK220" s="50">
        <f t="shared" si="169"/>
        <v>0</v>
      </c>
      <c r="AL220" s="50">
        <f t="shared" si="190"/>
        <v>0</v>
      </c>
      <c r="AM220" s="50">
        <f t="shared" ca="1" si="191"/>
        <v>0</v>
      </c>
      <c r="AN220" s="50">
        <f>IF(B220=0,0,AT220*(_rpm1+(1+_emr1)*VLOOKUP(E220,Tab_Mort_Charge,IF(Input!$C$12="M",2,3),0))*(0.001*0.0833)*Flag_Mort_Rider_Charge*(AT220&gt;0))</f>
        <v>0</v>
      </c>
      <c r="AO220" s="50">
        <f t="shared" ca="1" si="170"/>
        <v>0</v>
      </c>
      <c r="AP220" s="50">
        <f t="shared" ca="1" si="197"/>
        <v>0</v>
      </c>
      <c r="AQ220" s="50">
        <f t="shared" ca="1" si="171"/>
        <v>0</v>
      </c>
      <c r="AR220" s="50">
        <f t="shared" ca="1" si="172"/>
        <v>0</v>
      </c>
      <c r="AS220" s="50">
        <f t="shared" si="173"/>
        <v>0</v>
      </c>
      <c r="AT220" s="50">
        <f ca="1">(MAX((MAX(AS220,105%*SUM($AJ$7:AJ220))-AM220*Flag_UL_Type),0)*B220)</f>
        <v>0</v>
      </c>
      <c r="AU220" s="50">
        <f ca="1">(MAX(AS220,AR220,105%*SUM($AJ$7:AJ220))*B220)</f>
        <v>0</v>
      </c>
      <c r="AV220" s="125"/>
      <c r="AW220" s="13"/>
      <c r="AX220" s="13"/>
      <c r="AY220" s="13"/>
      <c r="AZ220" s="13"/>
      <c r="BA220" s="13"/>
      <c r="BG220" s="51">
        <f t="shared" si="174"/>
        <v>0</v>
      </c>
      <c r="BH220" s="51">
        <f t="shared" si="175"/>
        <v>0</v>
      </c>
      <c r="BI220" s="51">
        <f t="shared" ca="1" si="176"/>
        <v>0</v>
      </c>
      <c r="BJ220" s="51">
        <f t="shared" ca="1" si="177"/>
        <v>0</v>
      </c>
      <c r="BK220" s="51">
        <f t="shared" si="178"/>
        <v>0</v>
      </c>
      <c r="BL220" s="51">
        <f t="shared" ca="1" si="179"/>
        <v>0</v>
      </c>
      <c r="BM220" s="51">
        <f t="shared" si="180"/>
        <v>0</v>
      </c>
      <c r="BN220" s="51">
        <f t="shared" si="181"/>
        <v>0</v>
      </c>
      <c r="BO220" s="51">
        <f t="shared" ca="1" si="182"/>
        <v>0</v>
      </c>
      <c r="BP220" s="51">
        <f t="shared" ca="1" si="183"/>
        <v>0</v>
      </c>
      <c r="BQ220" s="120"/>
      <c r="BR220" s="32"/>
      <c r="BS220" s="126"/>
      <c r="BT220" s="16"/>
      <c r="BU220" s="58"/>
      <c r="BW220" s="51">
        <f>IF(Input!$C$13="Offline",VLOOKUP(H220,Charges!$AT$4:$AU$33,2,FALSE)*I220,0)</f>
        <v>0</v>
      </c>
      <c r="BX220" s="51">
        <f t="shared" si="184"/>
        <v>0</v>
      </c>
      <c r="BY220" s="51">
        <f t="shared" si="192"/>
        <v>0</v>
      </c>
      <c r="BZ220" s="151"/>
      <c r="CA220" s="151"/>
      <c r="CB220" s="32"/>
      <c r="CC220" s="16">
        <f ca="1">SUM($N$7:$N220)</f>
        <v>0</v>
      </c>
      <c r="CD220" s="16">
        <f t="shared" ca="1" si="185"/>
        <v>0</v>
      </c>
      <c r="CE220" s="16">
        <f t="shared" ca="1" si="186"/>
        <v>0</v>
      </c>
      <c r="CF220" s="7">
        <f t="shared" ca="1" si="187"/>
        <v>0</v>
      </c>
      <c r="CH220" s="7">
        <f t="shared" ca="1" si="188"/>
        <v>0</v>
      </c>
    </row>
    <row r="221" spans="2:86" s="7" customFormat="1" x14ac:dyDescent="0.2">
      <c r="B221" s="14">
        <f t="shared" si="152"/>
        <v>0</v>
      </c>
      <c r="C221" s="12">
        <f t="shared" si="153"/>
        <v>0</v>
      </c>
      <c r="D221" s="17">
        <f t="shared" si="193"/>
        <v>215</v>
      </c>
      <c r="E221" s="17">
        <f t="shared" ca="1" si="154"/>
        <v>77</v>
      </c>
      <c r="F221" s="12">
        <f t="shared" si="195"/>
        <v>10</v>
      </c>
      <c r="G221" s="12">
        <f t="shared" si="194"/>
        <v>36</v>
      </c>
      <c r="H221" s="17">
        <f t="shared" si="196"/>
        <v>18</v>
      </c>
      <c r="I221" s="29">
        <f t="shared" si="155"/>
        <v>0</v>
      </c>
      <c r="J221" s="211">
        <f>IFERROR(VLOOKUP(H221,Charges!$T$6:$U$35,2,0)*C221,0)</f>
        <v>0</v>
      </c>
      <c r="K221" s="29">
        <f t="shared" si="156"/>
        <v>0</v>
      </c>
      <c r="L221" s="29">
        <f t="shared" si="157"/>
        <v>0</v>
      </c>
      <c r="M221" s="147">
        <f t="shared" ca="1" si="158"/>
        <v>0</v>
      </c>
      <c r="N221" s="148">
        <f ca="1">IF(AND(Option_SPW="Y",H221&gt;=Lock_In_Period,Z220&gt;SPW_Amount_pa+IF(option="Single",1/5*pr,2*pr),H221&gt;=SPW_Start_Year,H221&lt;=SPW_Start_Year+SPW_Duration-1,age+H221&gt;=Legal_Age),IF(AND(F221=0,SPW_Payout_Freq=1),SPW_Amount_pa,IF(AND(SPW_Payout_Freq=2,MOD(F221,6)=0),SPW_Amount_pa/SPW_Payout_Freq,IF(AND(SPW_Payout_Freq=4,MOD(F221,3)=0),SPW_Amount_pa/SPW_Payout_Freq,IF(SPW_Payout_Freq=12,SPW_Amount_pa/SPW_Payout_Freq,0)))),0)+IFERROR(VLOOKUP(H221,Input!$B$68:$C$74,2,0),0)*(F221=0)*(Option_PW="Y")*(Option_SPW="N")*(age+H221&gt;=Legal_Age)</f>
        <v>0</v>
      </c>
      <c r="O221" s="148">
        <f t="shared" ca="1" si="159"/>
        <v>0</v>
      </c>
      <c r="P221" s="14">
        <f ca="1">(MAX(MAX(sa-CF220*Flag_UL_Type,105%*SUM($I$7:I221))-(AD220+L221-N221)*Flag_UL_Type,0)*B221)</f>
        <v>0</v>
      </c>
      <c r="Q221" s="213">
        <f t="shared" si="160"/>
        <v>0</v>
      </c>
      <c r="R221" s="14">
        <f t="shared" ca="1" si="161"/>
        <v>0</v>
      </c>
      <c r="S221" s="14">
        <f t="shared" ca="1" si="162"/>
        <v>0</v>
      </c>
      <c r="T221" s="14">
        <f>IFERROR(IF(WoP_Flag="Y",IF(fq=1,VLOOKUP(ppt*fq-H221,Charges!$AN$41:$AO$59,2,FALSE),IF(fq=2,VLOOKUP(ppt*fq-G221,Charges!$AP$41:$AQ$79,2,FALSE),VLOOKUP(ppt*fq-D221,Charges!$AR$41:$AS$279,2,FALSE)))*pr/fq,0),0)</f>
        <v>0</v>
      </c>
      <c r="U221" s="14">
        <f t="shared" ca="1" si="163"/>
        <v>0</v>
      </c>
      <c r="V221" s="34">
        <f>ROUND(MIN(IF(H221&gt;=7,Charges!$C$12*(1+Charges!$C$14)^((H221-7+1)),VLOOKUP(H221,Charges!$B$7:$C$12,2,0))*pr,Charges!$C$13)*B221,Round)</f>
        <v>0</v>
      </c>
      <c r="W221" s="14">
        <f t="shared" ca="1" si="164"/>
        <v>0</v>
      </c>
      <c r="X221" s="14">
        <f t="shared" ca="1" si="165"/>
        <v>0</v>
      </c>
      <c r="Y221" s="213">
        <f t="shared" ca="1" si="189"/>
        <v>0</v>
      </c>
      <c r="Z221" s="14">
        <f t="shared" ca="1" si="166"/>
        <v>0</v>
      </c>
      <c r="AA221" s="14">
        <f>IF(AND($H221=pt,$F221=11),SUM($K$7:K221)*VLOOKUP(pt,ROC,2,FALSE),0)</f>
        <v>0</v>
      </c>
      <c r="AB221" s="14">
        <f>IF(AND($H221=pt,$F221=11),SUM($V$7:V221)*VLOOKUP(pt,ROC,2,FALSE),0)</f>
        <v>0</v>
      </c>
      <c r="AC221" s="14">
        <f>IF(AND($H221=pt,$F221=11),SUM($Q$7:Q221)*VLOOKUP(pt,ROC,2,FALSE),0)</f>
        <v>0</v>
      </c>
      <c r="AD221" s="14">
        <f t="shared" ca="1" si="167"/>
        <v>0</v>
      </c>
      <c r="AE221" s="14">
        <f ca="1">(MAX(sa-CF220*Flag_UL_Type,105%*SUM($I$7:I221),Z221)+AU221)*B221</f>
        <v>0</v>
      </c>
      <c r="AF221" s="136"/>
      <c r="AG221" s="18">
        <v>215</v>
      </c>
      <c r="AH221" s="30">
        <f t="shared" ca="1" si="168"/>
        <v>0</v>
      </c>
      <c r="AI221" s="58"/>
      <c r="AJ221" s="50">
        <f>IF(AND(Option_Sys_TopUp&gt;="Y",H221&gt;=sytp,H221&lt;=(dtp+sytp-1),F221=0,H221&lt;=ppt+1),atp,0)+IFERROR(VLOOKUP(H221,Input!$B$55:$C$61,2,0),0)*(F221=0)*(Option_TopUP="Y")*(Option_Sys_TopUp="N")*B221*(pt&gt;=H221+5)</f>
        <v>0</v>
      </c>
      <c r="AK221" s="50">
        <f t="shared" si="169"/>
        <v>0</v>
      </c>
      <c r="AL221" s="50">
        <f t="shared" si="190"/>
        <v>0</v>
      </c>
      <c r="AM221" s="50">
        <f t="shared" ca="1" si="191"/>
        <v>0</v>
      </c>
      <c r="AN221" s="50">
        <f>IF(B221=0,0,AT221*(_rpm1+(1+_emr1)*VLOOKUP(E221,Tab_Mort_Charge,IF(Input!$C$12="M",2,3),0))*(0.001*0.0833)*Flag_Mort_Rider_Charge*(AT221&gt;0))</f>
        <v>0</v>
      </c>
      <c r="AO221" s="50">
        <f t="shared" ca="1" si="170"/>
        <v>0</v>
      </c>
      <c r="AP221" s="50">
        <f t="shared" ca="1" si="197"/>
        <v>0</v>
      </c>
      <c r="AQ221" s="50">
        <f t="shared" ca="1" si="171"/>
        <v>0</v>
      </c>
      <c r="AR221" s="50">
        <f t="shared" ca="1" si="172"/>
        <v>0</v>
      </c>
      <c r="AS221" s="50">
        <f t="shared" si="173"/>
        <v>0</v>
      </c>
      <c r="AT221" s="50">
        <f ca="1">(MAX((MAX(AS221,105%*SUM($AJ$7:AJ221))-AM221*Flag_UL_Type),0)*B221)</f>
        <v>0</v>
      </c>
      <c r="AU221" s="50">
        <f ca="1">(MAX(AS221,AR221,105%*SUM($AJ$7:AJ221))*B221)</f>
        <v>0</v>
      </c>
      <c r="AV221" s="125"/>
      <c r="AW221" s="13"/>
      <c r="AX221" s="13"/>
      <c r="AY221" s="13"/>
      <c r="AZ221" s="13"/>
      <c r="BA221" s="13"/>
      <c r="BG221" s="51">
        <f t="shared" si="174"/>
        <v>0</v>
      </c>
      <c r="BH221" s="51">
        <f t="shared" si="175"/>
        <v>0</v>
      </c>
      <c r="BI221" s="51">
        <f t="shared" ca="1" si="176"/>
        <v>0</v>
      </c>
      <c r="BJ221" s="51">
        <f t="shared" ca="1" si="177"/>
        <v>0</v>
      </c>
      <c r="BK221" s="51">
        <f t="shared" si="178"/>
        <v>0</v>
      </c>
      <c r="BL221" s="51">
        <f t="shared" ca="1" si="179"/>
        <v>0</v>
      </c>
      <c r="BM221" s="51">
        <f t="shared" si="180"/>
        <v>0</v>
      </c>
      <c r="BN221" s="51">
        <f t="shared" si="181"/>
        <v>0</v>
      </c>
      <c r="BO221" s="51">
        <f t="shared" ca="1" si="182"/>
        <v>0</v>
      </c>
      <c r="BP221" s="51">
        <f t="shared" ca="1" si="183"/>
        <v>0</v>
      </c>
      <c r="BQ221" s="120"/>
      <c r="BR221" s="32"/>
      <c r="BS221" s="126"/>
      <c r="BT221" s="16"/>
      <c r="BU221" s="58"/>
      <c r="BW221" s="51">
        <f>IF(Input!$C$13="Offline",VLOOKUP(H221,Charges!$AT$4:$AU$33,2,FALSE)*I221,0)</f>
        <v>0</v>
      </c>
      <c r="BX221" s="51">
        <f t="shared" si="184"/>
        <v>0</v>
      </c>
      <c r="BY221" s="51">
        <f t="shared" si="192"/>
        <v>0</v>
      </c>
      <c r="BZ221" s="151"/>
      <c r="CA221" s="151"/>
      <c r="CB221" s="32"/>
      <c r="CC221" s="16">
        <f ca="1">SUM($N$7:$N221)</f>
        <v>0</v>
      </c>
      <c r="CD221" s="16">
        <f t="shared" ca="1" si="185"/>
        <v>0</v>
      </c>
      <c r="CE221" s="16">
        <f t="shared" ca="1" si="186"/>
        <v>0</v>
      </c>
      <c r="CF221" s="7">
        <f t="shared" ca="1" si="187"/>
        <v>0</v>
      </c>
      <c r="CH221" s="7">
        <f t="shared" ca="1" si="188"/>
        <v>0</v>
      </c>
    </row>
    <row r="222" spans="2:86" s="7" customFormat="1" x14ac:dyDescent="0.2">
      <c r="B222" s="14">
        <f t="shared" si="152"/>
        <v>0</v>
      </c>
      <c r="C222" s="12">
        <f t="shared" si="153"/>
        <v>0</v>
      </c>
      <c r="D222" s="17">
        <f t="shared" si="193"/>
        <v>216</v>
      </c>
      <c r="E222" s="17">
        <f t="shared" ca="1" si="154"/>
        <v>77</v>
      </c>
      <c r="F222" s="12">
        <f t="shared" si="195"/>
        <v>11</v>
      </c>
      <c r="G222" s="12">
        <f t="shared" si="194"/>
        <v>36</v>
      </c>
      <c r="H222" s="17">
        <f t="shared" si="196"/>
        <v>18</v>
      </c>
      <c r="I222" s="29">
        <f t="shared" si="155"/>
        <v>0</v>
      </c>
      <c r="J222" s="211">
        <f>IFERROR(VLOOKUP(H222,Charges!$T$6:$U$35,2,0)*C222,0)</f>
        <v>0</v>
      </c>
      <c r="K222" s="29">
        <f t="shared" si="156"/>
        <v>0</v>
      </c>
      <c r="L222" s="29">
        <f t="shared" si="157"/>
        <v>0</v>
      </c>
      <c r="M222" s="147">
        <f t="shared" ca="1" si="158"/>
        <v>0</v>
      </c>
      <c r="N222" s="148">
        <f ca="1">IF(AND(Option_SPW="Y",H222&gt;=Lock_In_Period,Z221&gt;SPW_Amount_pa+IF(option="Single",1/5*pr,2*pr),H222&gt;=SPW_Start_Year,H222&lt;=SPW_Start_Year+SPW_Duration-1,age+H222&gt;=Legal_Age),IF(AND(F222=0,SPW_Payout_Freq=1),SPW_Amount_pa,IF(AND(SPW_Payout_Freq=2,MOD(F222,6)=0),SPW_Amount_pa/SPW_Payout_Freq,IF(AND(SPW_Payout_Freq=4,MOD(F222,3)=0),SPW_Amount_pa/SPW_Payout_Freq,IF(SPW_Payout_Freq=12,SPW_Amount_pa/SPW_Payout_Freq,0)))),0)+IFERROR(VLOOKUP(H222,Input!$B$68:$C$74,2,0),0)*(F222=0)*(Option_PW="Y")*(Option_SPW="N")*(age+H222&gt;=Legal_Age)</f>
        <v>0</v>
      </c>
      <c r="O222" s="148">
        <f t="shared" ca="1" si="159"/>
        <v>0</v>
      </c>
      <c r="P222" s="14">
        <f ca="1">(MAX(MAX(sa-CF221*Flag_UL_Type,105%*SUM($I$7:I222))-(AD221+L222-N222)*Flag_UL_Type,0)*B222)</f>
        <v>0</v>
      </c>
      <c r="Q222" s="213">
        <f t="shared" si="160"/>
        <v>0</v>
      </c>
      <c r="R222" s="14">
        <f t="shared" ca="1" si="161"/>
        <v>0</v>
      </c>
      <c r="S222" s="14">
        <f t="shared" ca="1" si="162"/>
        <v>0</v>
      </c>
      <c r="T222" s="14">
        <f>IFERROR(IF(WoP_Flag="Y",IF(fq=1,VLOOKUP(ppt*fq-H222,Charges!$AN$41:$AO$59,2,FALSE),IF(fq=2,VLOOKUP(ppt*fq-G222,Charges!$AP$41:$AQ$79,2,FALSE),VLOOKUP(ppt*fq-D222,Charges!$AR$41:$AS$279,2,FALSE)))*pr/fq,0),0)</f>
        <v>0</v>
      </c>
      <c r="U222" s="14">
        <f t="shared" ca="1" si="163"/>
        <v>0</v>
      </c>
      <c r="V222" s="34">
        <f>ROUND(MIN(IF(H222&gt;=7,Charges!$C$12*(1+Charges!$C$14)^((H222-7+1)),VLOOKUP(H222,Charges!$B$7:$C$12,2,0))*pr,Charges!$C$13)*B222,Round)</f>
        <v>0</v>
      </c>
      <c r="W222" s="14">
        <f t="shared" ca="1" si="164"/>
        <v>0</v>
      </c>
      <c r="X222" s="14">
        <f t="shared" ca="1" si="165"/>
        <v>0</v>
      </c>
      <c r="Y222" s="213">
        <f t="shared" ca="1" si="189"/>
        <v>0</v>
      </c>
      <c r="Z222" s="14">
        <f t="shared" ca="1" si="166"/>
        <v>0</v>
      </c>
      <c r="AA222" s="14">
        <f>IF(AND($H222=pt,$F222=11),SUM($K$7:K222)*VLOOKUP(pt,ROC,2,FALSE),0)</f>
        <v>0</v>
      </c>
      <c r="AB222" s="14">
        <f>IF(AND($H222=pt,$F222=11),SUM($V$7:V222)*VLOOKUP(pt,ROC,2,FALSE),0)</f>
        <v>0</v>
      </c>
      <c r="AC222" s="14">
        <f>IF(AND($H222=pt,$F222=11),SUM($Q$7:Q222)*VLOOKUP(pt,ROC,2,FALSE),0)</f>
        <v>0</v>
      </c>
      <c r="AD222" s="14">
        <f t="shared" ca="1" si="167"/>
        <v>0</v>
      </c>
      <c r="AE222" s="14">
        <f ca="1">(MAX(sa-CF221*Flag_UL_Type,105%*SUM($I$7:I222),Z222)+AU222)*B222</f>
        <v>0</v>
      </c>
      <c r="AF222" s="136"/>
      <c r="AG222" s="18">
        <v>216</v>
      </c>
      <c r="AH222" s="30">
        <f t="shared" ca="1" si="168"/>
        <v>0</v>
      </c>
      <c r="AI222" s="58"/>
      <c r="AJ222" s="50">
        <f>IF(AND(Option_Sys_TopUp&gt;="Y",H222&gt;=sytp,H222&lt;=(dtp+sytp-1),F222=0,H222&lt;=ppt+1),atp,0)+IFERROR(VLOOKUP(H222,Input!$B$55:$C$61,2,0),0)*(F222=0)*(Option_TopUP="Y")*(Option_Sys_TopUp="N")*B222*(pt&gt;=H222+5)</f>
        <v>0</v>
      </c>
      <c r="AK222" s="50">
        <f t="shared" si="169"/>
        <v>0</v>
      </c>
      <c r="AL222" s="50">
        <f t="shared" si="190"/>
        <v>0</v>
      </c>
      <c r="AM222" s="50">
        <f t="shared" ca="1" si="191"/>
        <v>0</v>
      </c>
      <c r="AN222" s="50">
        <f>IF(B222=0,0,AT222*(_rpm1+(1+_emr1)*VLOOKUP(E222,Tab_Mort_Charge,IF(Input!$C$12="M",2,3),0))*(0.001*0.0833)*Flag_Mort_Rider_Charge*(AT222&gt;0))</f>
        <v>0</v>
      </c>
      <c r="AO222" s="50">
        <f t="shared" ca="1" si="170"/>
        <v>0</v>
      </c>
      <c r="AP222" s="50">
        <f t="shared" ca="1" si="197"/>
        <v>0</v>
      </c>
      <c r="AQ222" s="50">
        <f t="shared" ca="1" si="171"/>
        <v>0</v>
      </c>
      <c r="AR222" s="50">
        <f t="shared" ca="1" si="172"/>
        <v>0</v>
      </c>
      <c r="AS222" s="50">
        <f t="shared" si="173"/>
        <v>0</v>
      </c>
      <c r="AT222" s="50">
        <f ca="1">(MAX((MAX(AS222,105%*SUM($AJ$7:AJ222))-AM222*Flag_UL_Type),0)*B222)</f>
        <v>0</v>
      </c>
      <c r="AU222" s="50">
        <f ca="1">(MAX(AS222,AR222,105%*SUM($AJ$7:AJ222))*B222)</f>
        <v>0</v>
      </c>
      <c r="AV222" s="125"/>
      <c r="AW222" s="13"/>
      <c r="AX222" s="13"/>
      <c r="AY222" s="13"/>
      <c r="AZ222" s="13"/>
      <c r="BA222" s="13"/>
      <c r="BG222" s="51">
        <f t="shared" si="174"/>
        <v>0</v>
      </c>
      <c r="BH222" s="51">
        <f t="shared" si="175"/>
        <v>0</v>
      </c>
      <c r="BI222" s="51">
        <f t="shared" ca="1" si="176"/>
        <v>0</v>
      </c>
      <c r="BJ222" s="51">
        <f t="shared" ca="1" si="177"/>
        <v>0</v>
      </c>
      <c r="BK222" s="51">
        <f t="shared" si="178"/>
        <v>0</v>
      </c>
      <c r="BL222" s="51">
        <f t="shared" ca="1" si="179"/>
        <v>0</v>
      </c>
      <c r="BM222" s="51">
        <f t="shared" si="180"/>
        <v>0</v>
      </c>
      <c r="BN222" s="51">
        <f t="shared" si="181"/>
        <v>0</v>
      </c>
      <c r="BO222" s="51">
        <f t="shared" ca="1" si="182"/>
        <v>0</v>
      </c>
      <c r="BP222" s="51">
        <f t="shared" ca="1" si="183"/>
        <v>0</v>
      </c>
      <c r="BQ222" s="120"/>
      <c r="BR222" s="32"/>
      <c r="BS222" s="126"/>
      <c r="BT222" s="16"/>
      <c r="BU222" s="58"/>
      <c r="BW222" s="51">
        <f>IF(Input!$C$13="Offline",VLOOKUP(H222,Charges!$AT$4:$AU$33,2,FALSE)*I222,0)</f>
        <v>0</v>
      </c>
      <c r="BX222" s="51">
        <f t="shared" si="184"/>
        <v>0</v>
      </c>
      <c r="BY222" s="51">
        <f t="shared" si="192"/>
        <v>0</v>
      </c>
      <c r="BZ222" s="151"/>
      <c r="CA222" s="151"/>
      <c r="CB222" s="32"/>
      <c r="CC222" s="16">
        <f ca="1">SUM($N$7:$N222)</f>
        <v>0</v>
      </c>
      <c r="CD222" s="16">
        <f t="shared" ca="1" si="185"/>
        <v>0</v>
      </c>
      <c r="CE222" s="16">
        <f t="shared" ca="1" si="186"/>
        <v>0</v>
      </c>
      <c r="CF222" s="7">
        <f t="shared" ca="1" si="187"/>
        <v>0</v>
      </c>
      <c r="CH222" s="7">
        <f t="shared" ca="1" si="188"/>
        <v>0</v>
      </c>
    </row>
    <row r="223" spans="2:86" s="7" customFormat="1" x14ac:dyDescent="0.2">
      <c r="B223" s="14">
        <f t="shared" si="152"/>
        <v>0</v>
      </c>
      <c r="C223" s="12">
        <f t="shared" si="153"/>
        <v>0</v>
      </c>
      <c r="D223" s="17">
        <f t="shared" si="193"/>
        <v>217</v>
      </c>
      <c r="E223" s="17">
        <f t="shared" ca="1" si="154"/>
        <v>78</v>
      </c>
      <c r="F223" s="12">
        <f t="shared" si="195"/>
        <v>0</v>
      </c>
      <c r="G223" s="12">
        <f t="shared" si="194"/>
        <v>37</v>
      </c>
      <c r="H223" s="17">
        <f t="shared" si="196"/>
        <v>19</v>
      </c>
      <c r="I223" s="29">
        <f t="shared" si="155"/>
        <v>0</v>
      </c>
      <c r="J223" s="211">
        <f>IFERROR(VLOOKUP(H223,Charges!$T$6:$U$35,2,0)*C223,0)</f>
        <v>0</v>
      </c>
      <c r="K223" s="29">
        <f t="shared" si="156"/>
        <v>0</v>
      </c>
      <c r="L223" s="29">
        <f t="shared" si="157"/>
        <v>0</v>
      </c>
      <c r="M223" s="147">
        <f t="shared" ca="1" si="158"/>
        <v>0</v>
      </c>
      <c r="N223" s="148">
        <f ca="1">IF(AND(Option_SPW="Y",H223&gt;=Lock_In_Period,Z222&gt;SPW_Amount_pa+IF(option="Single",1/5*pr,2*pr),H223&gt;=SPW_Start_Year,H223&lt;=SPW_Start_Year+SPW_Duration-1,age+H223&gt;=Legal_Age),IF(AND(F223=0,SPW_Payout_Freq=1),SPW_Amount_pa,IF(AND(SPW_Payout_Freq=2,MOD(F223,6)=0),SPW_Amount_pa/SPW_Payout_Freq,IF(AND(SPW_Payout_Freq=4,MOD(F223,3)=0),SPW_Amount_pa/SPW_Payout_Freq,IF(SPW_Payout_Freq=12,SPW_Amount_pa/SPW_Payout_Freq,0)))),0)+IFERROR(VLOOKUP(H223,Input!$B$68:$C$74,2,0),0)*(F223=0)*(Option_PW="Y")*(Option_SPW="N")*(age+H223&gt;=Legal_Age)</f>
        <v>0</v>
      </c>
      <c r="O223" s="148">
        <f t="shared" ca="1" si="159"/>
        <v>0</v>
      </c>
      <c r="P223" s="14">
        <f ca="1">(MAX(MAX(sa-CF222*Flag_UL_Type,105%*SUM($I$7:I223))-(AD222+L223-N223)*Flag_UL_Type,0)*B223)</f>
        <v>0</v>
      </c>
      <c r="Q223" s="213">
        <f t="shared" si="160"/>
        <v>0</v>
      </c>
      <c r="R223" s="14">
        <f t="shared" ca="1" si="161"/>
        <v>0</v>
      </c>
      <c r="S223" s="14">
        <f t="shared" ca="1" si="162"/>
        <v>0</v>
      </c>
      <c r="T223" s="14">
        <f>IFERROR(IF(WoP_Flag="Y",IF(fq=1,VLOOKUP(ppt*fq-H223,Charges!$AN$41:$AO$59,2,FALSE),IF(fq=2,VLOOKUP(ppt*fq-G223,Charges!$AP$41:$AQ$79,2,FALSE),VLOOKUP(ppt*fq-D223,Charges!$AR$41:$AS$279,2,FALSE)))*pr/fq,0),0)</f>
        <v>0</v>
      </c>
      <c r="U223" s="14">
        <f t="shared" ca="1" si="163"/>
        <v>0</v>
      </c>
      <c r="V223" s="34">
        <f>ROUND(MIN(IF(H223&gt;=7,Charges!$C$12*(1+Charges!$C$14)^((H223-7+1)),VLOOKUP(H223,Charges!$B$7:$C$12,2,0))*pr,Charges!$C$13)*B223,Round)</f>
        <v>0</v>
      </c>
      <c r="W223" s="14">
        <f t="shared" ca="1" si="164"/>
        <v>0</v>
      </c>
      <c r="X223" s="14">
        <f t="shared" ca="1" si="165"/>
        <v>0</v>
      </c>
      <c r="Y223" s="213">
        <f t="shared" ca="1" si="189"/>
        <v>0</v>
      </c>
      <c r="Z223" s="14">
        <f t="shared" ca="1" si="166"/>
        <v>0</v>
      </c>
      <c r="AA223" s="14">
        <f>IF(AND($H223=pt,$F223=11),SUM($K$7:K223)*VLOOKUP(pt,ROC,2,FALSE),0)</f>
        <v>0</v>
      </c>
      <c r="AB223" s="14">
        <f>IF(AND($H223=pt,$F223=11),SUM($V$7:V223)*VLOOKUP(pt,ROC,2,FALSE),0)</f>
        <v>0</v>
      </c>
      <c r="AC223" s="14">
        <f>IF(AND($H223=pt,$F223=11),SUM($Q$7:Q223)*VLOOKUP(pt,ROC,2,FALSE),0)</f>
        <v>0</v>
      </c>
      <c r="AD223" s="14">
        <f t="shared" ca="1" si="167"/>
        <v>0</v>
      </c>
      <c r="AE223" s="14">
        <f ca="1">(MAX(sa-CF222*Flag_UL_Type,105%*SUM($I$7:I223),Z223)+AU223)*B223</f>
        <v>0</v>
      </c>
      <c r="AF223" s="136"/>
      <c r="AG223" s="18">
        <v>217</v>
      </c>
      <c r="AH223" s="30">
        <f t="shared" ca="1" si="168"/>
        <v>0</v>
      </c>
      <c r="AI223" s="58"/>
      <c r="AJ223" s="50">
        <f>IF(AND(Option_Sys_TopUp&gt;="Y",H223&gt;=sytp,H223&lt;=(dtp+sytp-1),F223=0,H223&lt;=ppt+1),atp,0)+IFERROR(VLOOKUP(H223,Input!$B$55:$C$61,2,0),0)*(F223=0)*(Option_TopUP="Y")*(Option_Sys_TopUp="N")*B223*(pt&gt;=H223+5)</f>
        <v>0</v>
      </c>
      <c r="AK223" s="50">
        <f t="shared" si="169"/>
        <v>0</v>
      </c>
      <c r="AL223" s="50">
        <f t="shared" si="190"/>
        <v>0</v>
      </c>
      <c r="AM223" s="50">
        <f t="shared" ca="1" si="191"/>
        <v>0</v>
      </c>
      <c r="AN223" s="50">
        <f>IF(B223=0,0,AT223*(_rpm1+(1+_emr1)*VLOOKUP(E223,Tab_Mort_Charge,IF(Input!$C$12="M",2,3),0))*(0.001*0.0833)*Flag_Mort_Rider_Charge*(AT223&gt;0))</f>
        <v>0</v>
      </c>
      <c r="AO223" s="50">
        <f t="shared" ca="1" si="170"/>
        <v>0</v>
      </c>
      <c r="AP223" s="50">
        <f t="shared" ca="1" si="197"/>
        <v>0</v>
      </c>
      <c r="AQ223" s="50">
        <f t="shared" ca="1" si="171"/>
        <v>0</v>
      </c>
      <c r="AR223" s="50">
        <f t="shared" ca="1" si="172"/>
        <v>0</v>
      </c>
      <c r="AS223" s="50">
        <f t="shared" si="173"/>
        <v>0</v>
      </c>
      <c r="AT223" s="50">
        <f ca="1">(MAX((MAX(AS223,105%*SUM($AJ$7:AJ223))-AM223*Flag_UL_Type),0)*B223)</f>
        <v>0</v>
      </c>
      <c r="AU223" s="50">
        <f ca="1">(MAX(AS223,AR223,105%*SUM($AJ$7:AJ223))*B223)</f>
        <v>0</v>
      </c>
      <c r="AV223" s="125"/>
      <c r="AW223" s="13"/>
      <c r="AX223" s="13"/>
      <c r="AY223" s="13"/>
      <c r="AZ223" s="13"/>
      <c r="BA223" s="13"/>
      <c r="BG223" s="51">
        <f t="shared" si="174"/>
        <v>0</v>
      </c>
      <c r="BH223" s="51">
        <f t="shared" si="175"/>
        <v>0</v>
      </c>
      <c r="BI223" s="51">
        <f t="shared" ca="1" si="176"/>
        <v>0</v>
      </c>
      <c r="BJ223" s="51">
        <f t="shared" ca="1" si="177"/>
        <v>0</v>
      </c>
      <c r="BK223" s="51">
        <f t="shared" si="178"/>
        <v>0</v>
      </c>
      <c r="BL223" s="51">
        <f t="shared" ca="1" si="179"/>
        <v>0</v>
      </c>
      <c r="BM223" s="51">
        <f t="shared" si="180"/>
        <v>0</v>
      </c>
      <c r="BN223" s="51">
        <f t="shared" si="181"/>
        <v>0</v>
      </c>
      <c r="BO223" s="51">
        <f t="shared" ca="1" si="182"/>
        <v>0</v>
      </c>
      <c r="BP223" s="51">
        <f t="shared" ca="1" si="183"/>
        <v>0</v>
      </c>
      <c r="BQ223" s="120"/>
      <c r="BR223" s="32"/>
      <c r="BS223" s="126"/>
      <c r="BT223" s="16"/>
      <c r="BU223" s="58"/>
      <c r="BW223" s="51">
        <f>IF(Input!$C$13="Offline",VLOOKUP(H223,Charges!$AT$4:$AU$33,2,FALSE)*I223,0)</f>
        <v>0</v>
      </c>
      <c r="BX223" s="51">
        <f t="shared" si="184"/>
        <v>0</v>
      </c>
      <c r="BY223" s="51">
        <f t="shared" si="192"/>
        <v>0</v>
      </c>
      <c r="BZ223" s="151"/>
      <c r="CA223" s="151"/>
      <c r="CB223" s="32"/>
      <c r="CC223" s="16">
        <f ca="1">SUM($N$7:$N223)</f>
        <v>0</v>
      </c>
      <c r="CD223" s="16">
        <f t="shared" ca="1" si="185"/>
        <v>0</v>
      </c>
      <c r="CE223" s="16">
        <f t="shared" ca="1" si="186"/>
        <v>0</v>
      </c>
      <c r="CF223" s="7">
        <f t="shared" ca="1" si="187"/>
        <v>0</v>
      </c>
      <c r="CH223" s="7">
        <f t="shared" ca="1" si="188"/>
        <v>0</v>
      </c>
    </row>
    <row r="224" spans="2:86" s="7" customFormat="1" x14ac:dyDescent="0.2">
      <c r="B224" s="14">
        <f t="shared" si="152"/>
        <v>0</v>
      </c>
      <c r="C224" s="12">
        <f t="shared" si="153"/>
        <v>0</v>
      </c>
      <c r="D224" s="17">
        <f t="shared" si="193"/>
        <v>218</v>
      </c>
      <c r="E224" s="17">
        <f t="shared" ca="1" si="154"/>
        <v>78</v>
      </c>
      <c r="F224" s="12">
        <f t="shared" si="195"/>
        <v>1</v>
      </c>
      <c r="G224" s="12">
        <f t="shared" si="194"/>
        <v>37</v>
      </c>
      <c r="H224" s="17">
        <f t="shared" si="196"/>
        <v>19</v>
      </c>
      <c r="I224" s="29">
        <f t="shared" si="155"/>
        <v>0</v>
      </c>
      <c r="J224" s="211">
        <f>IFERROR(VLOOKUP(H224,Charges!$T$6:$U$35,2,0)*C224,0)</f>
        <v>0</v>
      </c>
      <c r="K224" s="29">
        <f t="shared" si="156"/>
        <v>0</v>
      </c>
      <c r="L224" s="29">
        <f t="shared" si="157"/>
        <v>0</v>
      </c>
      <c r="M224" s="147">
        <f t="shared" ca="1" si="158"/>
        <v>0</v>
      </c>
      <c r="N224" s="148">
        <f ca="1">IF(AND(Option_SPW="Y",H224&gt;=Lock_In_Period,Z223&gt;SPW_Amount_pa+IF(option="Single",1/5*pr,2*pr),H224&gt;=SPW_Start_Year,H224&lt;=SPW_Start_Year+SPW_Duration-1,age+H224&gt;=Legal_Age),IF(AND(F224=0,SPW_Payout_Freq=1),SPW_Amount_pa,IF(AND(SPW_Payout_Freq=2,MOD(F224,6)=0),SPW_Amount_pa/SPW_Payout_Freq,IF(AND(SPW_Payout_Freq=4,MOD(F224,3)=0),SPW_Amount_pa/SPW_Payout_Freq,IF(SPW_Payout_Freq=12,SPW_Amount_pa/SPW_Payout_Freq,0)))),0)+IFERROR(VLOOKUP(H224,Input!$B$68:$C$74,2,0),0)*(F224=0)*(Option_PW="Y")*(Option_SPW="N")*(age+H224&gt;=Legal_Age)</f>
        <v>0</v>
      </c>
      <c r="O224" s="148">
        <f t="shared" ca="1" si="159"/>
        <v>0</v>
      </c>
      <c r="P224" s="14">
        <f ca="1">(MAX(MAX(sa-CF223*Flag_UL_Type,105%*SUM($I$7:I224))-(AD223+L224-N224)*Flag_UL_Type,0)*B224)</f>
        <v>0</v>
      </c>
      <c r="Q224" s="213">
        <f t="shared" si="160"/>
        <v>0</v>
      </c>
      <c r="R224" s="14">
        <f t="shared" ca="1" si="161"/>
        <v>0</v>
      </c>
      <c r="S224" s="14">
        <f t="shared" ca="1" si="162"/>
        <v>0</v>
      </c>
      <c r="T224" s="14">
        <f>IFERROR(IF(WoP_Flag="Y",IF(fq=1,VLOOKUP(ppt*fq-H224,Charges!$AN$41:$AO$59,2,FALSE),IF(fq=2,VLOOKUP(ppt*fq-G224,Charges!$AP$41:$AQ$79,2,FALSE),VLOOKUP(ppt*fq-D224,Charges!$AR$41:$AS$279,2,FALSE)))*pr/fq,0),0)</f>
        <v>0</v>
      </c>
      <c r="U224" s="14">
        <f t="shared" ca="1" si="163"/>
        <v>0</v>
      </c>
      <c r="V224" s="34">
        <f>ROUND(MIN(IF(H224&gt;=7,Charges!$C$12*(1+Charges!$C$14)^((H224-7+1)),VLOOKUP(H224,Charges!$B$7:$C$12,2,0))*pr,Charges!$C$13)*B224,Round)</f>
        <v>0</v>
      </c>
      <c r="W224" s="14">
        <f t="shared" ca="1" si="164"/>
        <v>0</v>
      </c>
      <c r="X224" s="14">
        <f t="shared" ca="1" si="165"/>
        <v>0</v>
      </c>
      <c r="Y224" s="213">
        <f t="shared" ca="1" si="189"/>
        <v>0</v>
      </c>
      <c r="Z224" s="14">
        <f t="shared" ca="1" si="166"/>
        <v>0</v>
      </c>
      <c r="AA224" s="14">
        <f>IF(AND($H224=pt,$F224=11),SUM($K$7:K224)*VLOOKUP(pt,ROC,2,FALSE),0)</f>
        <v>0</v>
      </c>
      <c r="AB224" s="14">
        <f>IF(AND($H224=pt,$F224=11),SUM($V$7:V224)*VLOOKUP(pt,ROC,2,FALSE),0)</f>
        <v>0</v>
      </c>
      <c r="AC224" s="14">
        <f>IF(AND($H224=pt,$F224=11),SUM($Q$7:Q224)*VLOOKUP(pt,ROC,2,FALSE),0)</f>
        <v>0</v>
      </c>
      <c r="AD224" s="14">
        <f t="shared" ca="1" si="167"/>
        <v>0</v>
      </c>
      <c r="AE224" s="14">
        <f ca="1">(MAX(sa-CF223*Flag_UL_Type,105%*SUM($I$7:I224),Z224)+AU224)*B224</f>
        <v>0</v>
      </c>
      <c r="AF224" s="136"/>
      <c r="AG224" s="18">
        <v>218</v>
      </c>
      <c r="AH224" s="30">
        <f t="shared" ca="1" si="168"/>
        <v>0</v>
      </c>
      <c r="AI224" s="58"/>
      <c r="AJ224" s="50">
        <f>IF(AND(Option_Sys_TopUp&gt;="Y",H224&gt;=sytp,H224&lt;=(dtp+sytp-1),F224=0,H224&lt;=ppt+1),atp,0)+IFERROR(VLOOKUP(H224,Input!$B$55:$C$61,2,0),0)*(F224=0)*(Option_TopUP="Y")*(Option_Sys_TopUp="N")*B224*(pt&gt;=H224+5)</f>
        <v>0</v>
      </c>
      <c r="AK224" s="50">
        <f t="shared" si="169"/>
        <v>0</v>
      </c>
      <c r="AL224" s="50">
        <f t="shared" si="190"/>
        <v>0</v>
      </c>
      <c r="AM224" s="50">
        <f t="shared" ca="1" si="191"/>
        <v>0</v>
      </c>
      <c r="AN224" s="50">
        <f>IF(B224=0,0,AT224*(_rpm1+(1+_emr1)*VLOOKUP(E224,Tab_Mort_Charge,IF(Input!$C$12="M",2,3),0))*(0.001*0.0833)*Flag_Mort_Rider_Charge*(AT224&gt;0))</f>
        <v>0</v>
      </c>
      <c r="AO224" s="50">
        <f t="shared" ca="1" si="170"/>
        <v>0</v>
      </c>
      <c r="AP224" s="50">
        <f t="shared" ca="1" si="197"/>
        <v>0</v>
      </c>
      <c r="AQ224" s="50">
        <f t="shared" ca="1" si="171"/>
        <v>0</v>
      </c>
      <c r="AR224" s="50">
        <f t="shared" ca="1" si="172"/>
        <v>0</v>
      </c>
      <c r="AS224" s="50">
        <f t="shared" si="173"/>
        <v>0</v>
      </c>
      <c r="AT224" s="50">
        <f ca="1">(MAX((MAX(AS224,105%*SUM($AJ$7:AJ224))-AM224*Flag_UL_Type),0)*B224)</f>
        <v>0</v>
      </c>
      <c r="AU224" s="50">
        <f ca="1">(MAX(AS224,AR224,105%*SUM($AJ$7:AJ224))*B224)</f>
        <v>0</v>
      </c>
      <c r="AV224" s="125"/>
      <c r="AW224" s="13"/>
      <c r="AX224" s="13"/>
      <c r="AY224" s="13"/>
      <c r="AZ224" s="13"/>
      <c r="BA224" s="13"/>
      <c r="BG224" s="51">
        <f t="shared" si="174"/>
        <v>0</v>
      </c>
      <c r="BH224" s="51">
        <f t="shared" si="175"/>
        <v>0</v>
      </c>
      <c r="BI224" s="51">
        <f t="shared" ca="1" si="176"/>
        <v>0</v>
      </c>
      <c r="BJ224" s="51">
        <f t="shared" ca="1" si="177"/>
        <v>0</v>
      </c>
      <c r="BK224" s="51">
        <f t="shared" si="178"/>
        <v>0</v>
      </c>
      <c r="BL224" s="51">
        <f t="shared" ca="1" si="179"/>
        <v>0</v>
      </c>
      <c r="BM224" s="51">
        <f t="shared" si="180"/>
        <v>0</v>
      </c>
      <c r="BN224" s="51">
        <f t="shared" si="181"/>
        <v>0</v>
      </c>
      <c r="BO224" s="51">
        <f t="shared" ca="1" si="182"/>
        <v>0</v>
      </c>
      <c r="BP224" s="51">
        <f t="shared" ca="1" si="183"/>
        <v>0</v>
      </c>
      <c r="BQ224" s="120"/>
      <c r="BR224" s="32"/>
      <c r="BS224" s="126"/>
      <c r="BT224" s="16"/>
      <c r="BU224" s="58"/>
      <c r="BW224" s="51">
        <f>IF(Input!$C$13="Offline",VLOOKUP(H224,Charges!$AT$4:$AU$33,2,FALSE)*I224,0)</f>
        <v>0</v>
      </c>
      <c r="BX224" s="51">
        <f t="shared" si="184"/>
        <v>0</v>
      </c>
      <c r="BY224" s="51">
        <f t="shared" si="192"/>
        <v>0</v>
      </c>
      <c r="BZ224" s="151"/>
      <c r="CA224" s="151"/>
      <c r="CB224" s="32"/>
      <c r="CC224" s="16">
        <f ca="1">SUM($N$7:$N224)</f>
        <v>0</v>
      </c>
      <c r="CD224" s="16">
        <f t="shared" ca="1" si="185"/>
        <v>0</v>
      </c>
      <c r="CE224" s="16">
        <f t="shared" ca="1" si="186"/>
        <v>0</v>
      </c>
      <c r="CF224" s="7">
        <f t="shared" ca="1" si="187"/>
        <v>0</v>
      </c>
      <c r="CH224" s="7">
        <f t="shared" ca="1" si="188"/>
        <v>0</v>
      </c>
    </row>
    <row r="225" spans="2:86" s="7" customFormat="1" x14ac:dyDescent="0.2">
      <c r="B225" s="14">
        <f t="shared" si="152"/>
        <v>0</v>
      </c>
      <c r="C225" s="12">
        <f t="shared" si="153"/>
        <v>0</v>
      </c>
      <c r="D225" s="17">
        <f t="shared" si="193"/>
        <v>219</v>
      </c>
      <c r="E225" s="17">
        <f t="shared" ca="1" si="154"/>
        <v>78</v>
      </c>
      <c r="F225" s="12">
        <f t="shared" si="195"/>
        <v>2</v>
      </c>
      <c r="G225" s="12">
        <f t="shared" si="194"/>
        <v>37</v>
      </c>
      <c r="H225" s="17">
        <f t="shared" si="196"/>
        <v>19</v>
      </c>
      <c r="I225" s="29">
        <f t="shared" si="155"/>
        <v>0</v>
      </c>
      <c r="J225" s="211">
        <f>IFERROR(VLOOKUP(H225,Charges!$T$6:$U$35,2,0)*C225,0)</f>
        <v>0</v>
      </c>
      <c r="K225" s="29">
        <f t="shared" si="156"/>
        <v>0</v>
      </c>
      <c r="L225" s="29">
        <f t="shared" si="157"/>
        <v>0</v>
      </c>
      <c r="M225" s="147">
        <f t="shared" ca="1" si="158"/>
        <v>0</v>
      </c>
      <c r="N225" s="148">
        <f ca="1">IF(AND(Option_SPW="Y",H225&gt;=Lock_In_Period,Z224&gt;SPW_Amount_pa+IF(option="Single",1/5*pr,2*pr),H225&gt;=SPW_Start_Year,H225&lt;=SPW_Start_Year+SPW_Duration-1,age+H225&gt;=Legal_Age),IF(AND(F225=0,SPW_Payout_Freq=1),SPW_Amount_pa,IF(AND(SPW_Payout_Freq=2,MOD(F225,6)=0),SPW_Amount_pa/SPW_Payout_Freq,IF(AND(SPW_Payout_Freq=4,MOD(F225,3)=0),SPW_Amount_pa/SPW_Payout_Freq,IF(SPW_Payout_Freq=12,SPW_Amount_pa/SPW_Payout_Freq,0)))),0)+IFERROR(VLOOKUP(H225,Input!$B$68:$C$74,2,0),0)*(F225=0)*(Option_PW="Y")*(Option_SPW="N")*(age+H225&gt;=Legal_Age)</f>
        <v>0</v>
      </c>
      <c r="O225" s="148">
        <f t="shared" ca="1" si="159"/>
        <v>0</v>
      </c>
      <c r="P225" s="14">
        <f ca="1">(MAX(MAX(sa-CF224*Flag_UL_Type,105%*SUM($I$7:I225))-(AD224+L225-N225)*Flag_UL_Type,0)*B225)</f>
        <v>0</v>
      </c>
      <c r="Q225" s="213">
        <f t="shared" si="160"/>
        <v>0</v>
      </c>
      <c r="R225" s="14">
        <f t="shared" ca="1" si="161"/>
        <v>0</v>
      </c>
      <c r="S225" s="14">
        <f t="shared" ca="1" si="162"/>
        <v>0</v>
      </c>
      <c r="T225" s="14">
        <f>IFERROR(IF(WoP_Flag="Y",IF(fq=1,VLOOKUP(ppt*fq-H225,Charges!$AN$41:$AO$59,2,FALSE),IF(fq=2,VLOOKUP(ppt*fq-G225,Charges!$AP$41:$AQ$79,2,FALSE),VLOOKUP(ppt*fq-D225,Charges!$AR$41:$AS$279,2,FALSE)))*pr/fq,0),0)</f>
        <v>0</v>
      </c>
      <c r="U225" s="14">
        <f t="shared" ca="1" si="163"/>
        <v>0</v>
      </c>
      <c r="V225" s="34">
        <f>ROUND(MIN(IF(H225&gt;=7,Charges!$C$12*(1+Charges!$C$14)^((H225-7+1)),VLOOKUP(H225,Charges!$B$7:$C$12,2,0))*pr,Charges!$C$13)*B225,Round)</f>
        <v>0</v>
      </c>
      <c r="W225" s="14">
        <f t="shared" ca="1" si="164"/>
        <v>0</v>
      </c>
      <c r="X225" s="14">
        <f t="shared" ca="1" si="165"/>
        <v>0</v>
      </c>
      <c r="Y225" s="213">
        <f t="shared" ca="1" si="189"/>
        <v>0</v>
      </c>
      <c r="Z225" s="14">
        <f t="shared" ca="1" si="166"/>
        <v>0</v>
      </c>
      <c r="AA225" s="14">
        <f>IF(AND($H225=pt,$F225=11),SUM($K$7:K225)*VLOOKUP(pt,ROC,2,FALSE),0)</f>
        <v>0</v>
      </c>
      <c r="AB225" s="14">
        <f>IF(AND($H225=pt,$F225=11),SUM($V$7:V225)*VLOOKUP(pt,ROC,2,FALSE),0)</f>
        <v>0</v>
      </c>
      <c r="AC225" s="14">
        <f>IF(AND($H225=pt,$F225=11),SUM($Q$7:Q225)*VLOOKUP(pt,ROC,2,FALSE),0)</f>
        <v>0</v>
      </c>
      <c r="AD225" s="14">
        <f t="shared" ca="1" si="167"/>
        <v>0</v>
      </c>
      <c r="AE225" s="14">
        <f ca="1">(MAX(sa-CF224*Flag_UL_Type,105%*SUM($I$7:I225),Z225)+AU225)*B225</f>
        <v>0</v>
      </c>
      <c r="AF225" s="136"/>
      <c r="AG225" s="18">
        <v>219</v>
      </c>
      <c r="AH225" s="30">
        <f t="shared" ca="1" si="168"/>
        <v>0</v>
      </c>
      <c r="AI225" s="58"/>
      <c r="AJ225" s="50">
        <f>IF(AND(Option_Sys_TopUp&gt;="Y",H225&gt;=sytp,H225&lt;=(dtp+sytp-1),F225=0,H225&lt;=ppt+1),atp,0)+IFERROR(VLOOKUP(H225,Input!$B$55:$C$61,2,0),0)*(F225=0)*(Option_TopUP="Y")*(Option_Sys_TopUp="N")*B225*(pt&gt;=H225+5)</f>
        <v>0</v>
      </c>
      <c r="AK225" s="50">
        <f t="shared" si="169"/>
        <v>0</v>
      </c>
      <c r="AL225" s="50">
        <f t="shared" si="190"/>
        <v>0</v>
      </c>
      <c r="AM225" s="50">
        <f t="shared" ca="1" si="191"/>
        <v>0</v>
      </c>
      <c r="AN225" s="50">
        <f>IF(B225=0,0,AT225*(_rpm1+(1+_emr1)*VLOOKUP(E225,Tab_Mort_Charge,IF(Input!$C$12="M",2,3),0))*(0.001*0.0833)*Flag_Mort_Rider_Charge*(AT225&gt;0))</f>
        <v>0</v>
      </c>
      <c r="AO225" s="50">
        <f t="shared" ca="1" si="170"/>
        <v>0</v>
      </c>
      <c r="AP225" s="50">
        <f t="shared" ca="1" si="197"/>
        <v>0</v>
      </c>
      <c r="AQ225" s="50">
        <f t="shared" ca="1" si="171"/>
        <v>0</v>
      </c>
      <c r="AR225" s="50">
        <f t="shared" ca="1" si="172"/>
        <v>0</v>
      </c>
      <c r="AS225" s="50">
        <f t="shared" si="173"/>
        <v>0</v>
      </c>
      <c r="AT225" s="50">
        <f ca="1">(MAX((MAX(AS225,105%*SUM($AJ$7:AJ225))-AM225*Flag_UL_Type),0)*B225)</f>
        <v>0</v>
      </c>
      <c r="AU225" s="50">
        <f ca="1">(MAX(AS225,AR225,105%*SUM($AJ$7:AJ225))*B225)</f>
        <v>0</v>
      </c>
      <c r="AV225" s="125"/>
      <c r="AW225" s="13"/>
      <c r="AX225" s="13"/>
      <c r="AY225" s="13"/>
      <c r="AZ225" s="13"/>
      <c r="BA225" s="13"/>
      <c r="BG225" s="51">
        <f t="shared" si="174"/>
        <v>0</v>
      </c>
      <c r="BH225" s="51">
        <f t="shared" si="175"/>
        <v>0</v>
      </c>
      <c r="BI225" s="51">
        <f t="shared" ca="1" si="176"/>
        <v>0</v>
      </c>
      <c r="BJ225" s="51">
        <f t="shared" ca="1" si="177"/>
        <v>0</v>
      </c>
      <c r="BK225" s="51">
        <f t="shared" si="178"/>
        <v>0</v>
      </c>
      <c r="BL225" s="51">
        <f t="shared" ca="1" si="179"/>
        <v>0</v>
      </c>
      <c r="BM225" s="51">
        <f t="shared" si="180"/>
        <v>0</v>
      </c>
      <c r="BN225" s="51">
        <f t="shared" si="181"/>
        <v>0</v>
      </c>
      <c r="BO225" s="51">
        <f t="shared" ca="1" si="182"/>
        <v>0</v>
      </c>
      <c r="BP225" s="51">
        <f t="shared" ca="1" si="183"/>
        <v>0</v>
      </c>
      <c r="BQ225" s="120"/>
      <c r="BR225" s="32"/>
      <c r="BS225" s="126"/>
      <c r="BT225" s="16"/>
      <c r="BU225" s="58"/>
      <c r="BW225" s="51">
        <f>IF(Input!$C$13="Offline",VLOOKUP(H225,Charges!$AT$4:$AU$33,2,FALSE)*I225,0)</f>
        <v>0</v>
      </c>
      <c r="BX225" s="51">
        <f t="shared" si="184"/>
        <v>0</v>
      </c>
      <c r="BY225" s="51">
        <f t="shared" si="192"/>
        <v>0</v>
      </c>
      <c r="BZ225" s="151"/>
      <c r="CA225" s="151"/>
      <c r="CB225" s="32"/>
      <c r="CC225" s="16">
        <f ca="1">SUM($N$7:$N225)</f>
        <v>0</v>
      </c>
      <c r="CD225" s="16">
        <f t="shared" ca="1" si="185"/>
        <v>0</v>
      </c>
      <c r="CE225" s="16">
        <f t="shared" ca="1" si="186"/>
        <v>0</v>
      </c>
      <c r="CF225" s="7">
        <f t="shared" ca="1" si="187"/>
        <v>0</v>
      </c>
      <c r="CH225" s="7">
        <f t="shared" ca="1" si="188"/>
        <v>0</v>
      </c>
    </row>
    <row r="226" spans="2:86" s="7" customFormat="1" x14ac:dyDescent="0.2">
      <c r="B226" s="14">
        <f t="shared" si="152"/>
        <v>0</v>
      </c>
      <c r="C226" s="12">
        <f t="shared" si="153"/>
        <v>0</v>
      </c>
      <c r="D226" s="17">
        <f t="shared" si="193"/>
        <v>220</v>
      </c>
      <c r="E226" s="17">
        <f t="shared" ca="1" si="154"/>
        <v>78</v>
      </c>
      <c r="F226" s="12">
        <f t="shared" si="195"/>
        <v>3</v>
      </c>
      <c r="G226" s="12">
        <f t="shared" si="194"/>
        <v>37</v>
      </c>
      <c r="H226" s="17">
        <f t="shared" si="196"/>
        <v>19</v>
      </c>
      <c r="I226" s="29">
        <f t="shared" si="155"/>
        <v>0</v>
      </c>
      <c r="J226" s="211">
        <f>IFERROR(VLOOKUP(H226,Charges!$T$6:$U$35,2,0)*C226,0)</f>
        <v>0</v>
      </c>
      <c r="K226" s="29">
        <f t="shared" si="156"/>
        <v>0</v>
      </c>
      <c r="L226" s="29">
        <f t="shared" si="157"/>
        <v>0</v>
      </c>
      <c r="M226" s="147">
        <f t="shared" ca="1" si="158"/>
        <v>0</v>
      </c>
      <c r="N226" s="148">
        <f ca="1">IF(AND(Option_SPW="Y",H226&gt;=Lock_In_Period,Z225&gt;SPW_Amount_pa+IF(option="Single",1/5*pr,2*pr),H226&gt;=SPW_Start_Year,H226&lt;=SPW_Start_Year+SPW_Duration-1,age+H226&gt;=Legal_Age),IF(AND(F226=0,SPW_Payout_Freq=1),SPW_Amount_pa,IF(AND(SPW_Payout_Freq=2,MOD(F226,6)=0),SPW_Amount_pa/SPW_Payout_Freq,IF(AND(SPW_Payout_Freq=4,MOD(F226,3)=0),SPW_Amount_pa/SPW_Payout_Freq,IF(SPW_Payout_Freq=12,SPW_Amount_pa/SPW_Payout_Freq,0)))),0)+IFERROR(VLOOKUP(H226,Input!$B$68:$C$74,2,0),0)*(F226=0)*(Option_PW="Y")*(Option_SPW="N")*(age+H226&gt;=Legal_Age)</f>
        <v>0</v>
      </c>
      <c r="O226" s="148">
        <f t="shared" ca="1" si="159"/>
        <v>0</v>
      </c>
      <c r="P226" s="14">
        <f ca="1">(MAX(MAX(sa-CF225*Flag_UL_Type,105%*SUM($I$7:I226))-(AD225+L226-N226)*Flag_UL_Type,0)*B226)</f>
        <v>0</v>
      </c>
      <c r="Q226" s="213">
        <f t="shared" si="160"/>
        <v>0</v>
      </c>
      <c r="R226" s="14">
        <f t="shared" ca="1" si="161"/>
        <v>0</v>
      </c>
      <c r="S226" s="14">
        <f t="shared" ca="1" si="162"/>
        <v>0</v>
      </c>
      <c r="T226" s="14">
        <f>IFERROR(IF(WoP_Flag="Y",IF(fq=1,VLOOKUP(ppt*fq-H226,Charges!$AN$41:$AO$59,2,FALSE),IF(fq=2,VLOOKUP(ppt*fq-G226,Charges!$AP$41:$AQ$79,2,FALSE),VLOOKUP(ppt*fq-D226,Charges!$AR$41:$AS$279,2,FALSE)))*pr/fq,0),0)</f>
        <v>0</v>
      </c>
      <c r="U226" s="14">
        <f t="shared" ca="1" si="163"/>
        <v>0</v>
      </c>
      <c r="V226" s="34">
        <f>ROUND(MIN(IF(H226&gt;=7,Charges!$C$12*(1+Charges!$C$14)^((H226-7+1)),VLOOKUP(H226,Charges!$B$7:$C$12,2,0))*pr,Charges!$C$13)*B226,Round)</f>
        <v>0</v>
      </c>
      <c r="W226" s="14">
        <f t="shared" ca="1" si="164"/>
        <v>0</v>
      </c>
      <c r="X226" s="14">
        <f t="shared" ca="1" si="165"/>
        <v>0</v>
      </c>
      <c r="Y226" s="213">
        <f t="shared" ca="1" si="189"/>
        <v>0</v>
      </c>
      <c r="Z226" s="14">
        <f t="shared" ca="1" si="166"/>
        <v>0</v>
      </c>
      <c r="AA226" s="14">
        <f>IF(AND($H226=pt,$F226=11),SUM($K$7:K226)*VLOOKUP(pt,ROC,2,FALSE),0)</f>
        <v>0</v>
      </c>
      <c r="AB226" s="14">
        <f>IF(AND($H226=pt,$F226=11),SUM($V$7:V226)*VLOOKUP(pt,ROC,2,FALSE),0)</f>
        <v>0</v>
      </c>
      <c r="AC226" s="14">
        <f>IF(AND($H226=pt,$F226=11),SUM($Q$7:Q226)*VLOOKUP(pt,ROC,2,FALSE),0)</f>
        <v>0</v>
      </c>
      <c r="AD226" s="14">
        <f t="shared" ca="1" si="167"/>
        <v>0</v>
      </c>
      <c r="AE226" s="14">
        <f ca="1">(MAX(sa-CF225*Flag_UL_Type,105%*SUM($I$7:I226),Z226)+AU226)*B226</f>
        <v>0</v>
      </c>
      <c r="AF226" s="136"/>
      <c r="AG226" s="18">
        <v>220</v>
      </c>
      <c r="AH226" s="30">
        <f t="shared" ca="1" si="168"/>
        <v>0</v>
      </c>
      <c r="AI226" s="58"/>
      <c r="AJ226" s="50">
        <f>IF(AND(Option_Sys_TopUp&gt;="Y",H226&gt;=sytp,H226&lt;=(dtp+sytp-1),F226=0,H226&lt;=ppt+1),atp,0)+IFERROR(VLOOKUP(H226,Input!$B$55:$C$61,2,0),0)*(F226=0)*(Option_TopUP="Y")*(Option_Sys_TopUp="N")*B226*(pt&gt;=H226+5)</f>
        <v>0</v>
      </c>
      <c r="AK226" s="50">
        <f t="shared" si="169"/>
        <v>0</v>
      </c>
      <c r="AL226" s="50">
        <f t="shared" si="190"/>
        <v>0</v>
      </c>
      <c r="AM226" s="50">
        <f t="shared" ca="1" si="191"/>
        <v>0</v>
      </c>
      <c r="AN226" s="50">
        <f>IF(B226=0,0,AT226*(_rpm1+(1+_emr1)*VLOOKUP(E226,Tab_Mort_Charge,IF(Input!$C$12="M",2,3),0))*(0.001*0.0833)*Flag_Mort_Rider_Charge*(AT226&gt;0))</f>
        <v>0</v>
      </c>
      <c r="AO226" s="50">
        <f t="shared" ca="1" si="170"/>
        <v>0</v>
      </c>
      <c r="AP226" s="50">
        <f t="shared" ca="1" si="197"/>
        <v>0</v>
      </c>
      <c r="AQ226" s="50">
        <f t="shared" ca="1" si="171"/>
        <v>0</v>
      </c>
      <c r="AR226" s="50">
        <f t="shared" ca="1" si="172"/>
        <v>0</v>
      </c>
      <c r="AS226" s="50">
        <f t="shared" si="173"/>
        <v>0</v>
      </c>
      <c r="AT226" s="50">
        <f ca="1">(MAX((MAX(AS226,105%*SUM($AJ$7:AJ226))-AM226*Flag_UL_Type),0)*B226)</f>
        <v>0</v>
      </c>
      <c r="AU226" s="50">
        <f ca="1">(MAX(AS226,AR226,105%*SUM($AJ$7:AJ226))*B226)</f>
        <v>0</v>
      </c>
      <c r="AV226" s="125"/>
      <c r="AW226" s="13"/>
      <c r="AX226" s="13"/>
      <c r="AY226" s="13"/>
      <c r="AZ226" s="13"/>
      <c r="BA226" s="13"/>
      <c r="BG226" s="51">
        <f t="shared" si="174"/>
        <v>0</v>
      </c>
      <c r="BH226" s="51">
        <f t="shared" si="175"/>
        <v>0</v>
      </c>
      <c r="BI226" s="51">
        <f t="shared" ca="1" si="176"/>
        <v>0</v>
      </c>
      <c r="BJ226" s="51">
        <f t="shared" ca="1" si="177"/>
        <v>0</v>
      </c>
      <c r="BK226" s="51">
        <f t="shared" si="178"/>
        <v>0</v>
      </c>
      <c r="BL226" s="51">
        <f t="shared" ca="1" si="179"/>
        <v>0</v>
      </c>
      <c r="BM226" s="51">
        <f t="shared" si="180"/>
        <v>0</v>
      </c>
      <c r="BN226" s="51">
        <f t="shared" si="181"/>
        <v>0</v>
      </c>
      <c r="BO226" s="51">
        <f t="shared" ca="1" si="182"/>
        <v>0</v>
      </c>
      <c r="BP226" s="51">
        <f t="shared" ca="1" si="183"/>
        <v>0</v>
      </c>
      <c r="BQ226" s="120"/>
      <c r="BR226" s="32"/>
      <c r="BS226" s="126"/>
      <c r="BT226" s="16"/>
      <c r="BU226" s="58"/>
      <c r="BW226" s="51">
        <f>IF(Input!$C$13="Offline",VLOOKUP(H226,Charges!$AT$4:$AU$33,2,FALSE)*I226,0)</f>
        <v>0</v>
      </c>
      <c r="BX226" s="51">
        <f t="shared" si="184"/>
        <v>0</v>
      </c>
      <c r="BY226" s="51">
        <f t="shared" si="192"/>
        <v>0</v>
      </c>
      <c r="BZ226" s="151"/>
      <c r="CA226" s="151"/>
      <c r="CB226" s="32"/>
      <c r="CC226" s="16">
        <f ca="1">SUM($N$7:$N226)</f>
        <v>0</v>
      </c>
      <c r="CD226" s="16">
        <f t="shared" ca="1" si="185"/>
        <v>0</v>
      </c>
      <c r="CE226" s="16">
        <f t="shared" ca="1" si="186"/>
        <v>0</v>
      </c>
      <c r="CF226" s="7">
        <f t="shared" ca="1" si="187"/>
        <v>0</v>
      </c>
      <c r="CH226" s="7">
        <f t="shared" ca="1" si="188"/>
        <v>0</v>
      </c>
    </row>
    <row r="227" spans="2:86" s="7" customFormat="1" x14ac:dyDescent="0.2">
      <c r="B227" s="14">
        <f t="shared" si="152"/>
        <v>0</v>
      </c>
      <c r="C227" s="12">
        <f t="shared" si="153"/>
        <v>0</v>
      </c>
      <c r="D227" s="17">
        <f t="shared" si="193"/>
        <v>221</v>
      </c>
      <c r="E227" s="17">
        <f t="shared" ca="1" si="154"/>
        <v>78</v>
      </c>
      <c r="F227" s="12">
        <f t="shared" si="195"/>
        <v>4</v>
      </c>
      <c r="G227" s="12">
        <f t="shared" si="194"/>
        <v>37</v>
      </c>
      <c r="H227" s="17">
        <f t="shared" si="196"/>
        <v>19</v>
      </c>
      <c r="I227" s="29">
        <f t="shared" si="155"/>
        <v>0</v>
      </c>
      <c r="J227" s="211">
        <f>IFERROR(VLOOKUP(H227,Charges!$T$6:$U$35,2,0)*C227,0)</f>
        <v>0</v>
      </c>
      <c r="K227" s="29">
        <f t="shared" si="156"/>
        <v>0</v>
      </c>
      <c r="L227" s="29">
        <f t="shared" si="157"/>
        <v>0</v>
      </c>
      <c r="M227" s="147">
        <f t="shared" ca="1" si="158"/>
        <v>0</v>
      </c>
      <c r="N227" s="148">
        <f ca="1">IF(AND(Option_SPW="Y",H227&gt;=Lock_In_Period,Z226&gt;SPW_Amount_pa+IF(option="Single",1/5*pr,2*pr),H227&gt;=SPW_Start_Year,H227&lt;=SPW_Start_Year+SPW_Duration-1,age+H227&gt;=Legal_Age),IF(AND(F227=0,SPW_Payout_Freq=1),SPW_Amount_pa,IF(AND(SPW_Payout_Freq=2,MOD(F227,6)=0),SPW_Amount_pa/SPW_Payout_Freq,IF(AND(SPW_Payout_Freq=4,MOD(F227,3)=0),SPW_Amount_pa/SPW_Payout_Freq,IF(SPW_Payout_Freq=12,SPW_Amount_pa/SPW_Payout_Freq,0)))),0)+IFERROR(VLOOKUP(H227,Input!$B$68:$C$74,2,0),0)*(F227=0)*(Option_PW="Y")*(Option_SPW="N")*(age+H227&gt;=Legal_Age)</f>
        <v>0</v>
      </c>
      <c r="O227" s="148">
        <f t="shared" ca="1" si="159"/>
        <v>0</v>
      </c>
      <c r="P227" s="14">
        <f ca="1">(MAX(MAX(sa-CF226*Flag_UL_Type,105%*SUM($I$7:I227))-(AD226+L227-N227)*Flag_UL_Type,0)*B227)</f>
        <v>0</v>
      </c>
      <c r="Q227" s="213">
        <f t="shared" si="160"/>
        <v>0</v>
      </c>
      <c r="R227" s="14">
        <f t="shared" ca="1" si="161"/>
        <v>0</v>
      </c>
      <c r="S227" s="14">
        <f t="shared" ca="1" si="162"/>
        <v>0</v>
      </c>
      <c r="T227" s="14">
        <f>IFERROR(IF(WoP_Flag="Y",IF(fq=1,VLOOKUP(ppt*fq-H227,Charges!$AN$41:$AO$59,2,FALSE),IF(fq=2,VLOOKUP(ppt*fq-G227,Charges!$AP$41:$AQ$79,2,FALSE),VLOOKUP(ppt*fq-D227,Charges!$AR$41:$AS$279,2,FALSE)))*pr/fq,0),0)</f>
        <v>0</v>
      </c>
      <c r="U227" s="14">
        <f t="shared" ca="1" si="163"/>
        <v>0</v>
      </c>
      <c r="V227" s="34">
        <f>ROUND(MIN(IF(H227&gt;=7,Charges!$C$12*(1+Charges!$C$14)^((H227-7+1)),VLOOKUP(H227,Charges!$B$7:$C$12,2,0))*pr,Charges!$C$13)*B227,Round)</f>
        <v>0</v>
      </c>
      <c r="W227" s="14">
        <f t="shared" ca="1" si="164"/>
        <v>0</v>
      </c>
      <c r="X227" s="14">
        <f t="shared" ca="1" si="165"/>
        <v>0</v>
      </c>
      <c r="Y227" s="213">
        <f t="shared" ca="1" si="189"/>
        <v>0</v>
      </c>
      <c r="Z227" s="14">
        <f t="shared" ca="1" si="166"/>
        <v>0</v>
      </c>
      <c r="AA227" s="14">
        <f>IF(AND($H227=pt,$F227=11),SUM($K$7:K227)*VLOOKUP(pt,ROC,2,FALSE),0)</f>
        <v>0</v>
      </c>
      <c r="AB227" s="14">
        <f>IF(AND($H227=pt,$F227=11),SUM($V$7:V227)*VLOOKUP(pt,ROC,2,FALSE),0)</f>
        <v>0</v>
      </c>
      <c r="AC227" s="14">
        <f>IF(AND($H227=pt,$F227=11),SUM($Q$7:Q227)*VLOOKUP(pt,ROC,2,FALSE),0)</f>
        <v>0</v>
      </c>
      <c r="AD227" s="14">
        <f t="shared" ca="1" si="167"/>
        <v>0</v>
      </c>
      <c r="AE227" s="14">
        <f ca="1">(MAX(sa-CF226*Flag_UL_Type,105%*SUM($I$7:I227),Z227)+AU227)*B227</f>
        <v>0</v>
      </c>
      <c r="AF227" s="136"/>
      <c r="AG227" s="18">
        <v>221</v>
      </c>
      <c r="AH227" s="30">
        <f t="shared" ca="1" si="168"/>
        <v>0</v>
      </c>
      <c r="AI227" s="58"/>
      <c r="AJ227" s="50">
        <f>IF(AND(Option_Sys_TopUp&gt;="Y",H227&gt;=sytp,H227&lt;=(dtp+sytp-1),F227=0,H227&lt;=ppt+1),atp,0)+IFERROR(VLOOKUP(H227,Input!$B$55:$C$61,2,0),0)*(F227=0)*(Option_TopUP="Y")*(Option_Sys_TopUp="N")*B227*(pt&gt;=H227+5)</f>
        <v>0</v>
      </c>
      <c r="AK227" s="50">
        <f t="shared" si="169"/>
        <v>0</v>
      </c>
      <c r="AL227" s="50">
        <f t="shared" si="190"/>
        <v>0</v>
      </c>
      <c r="AM227" s="50">
        <f t="shared" ca="1" si="191"/>
        <v>0</v>
      </c>
      <c r="AN227" s="50">
        <f>IF(B227=0,0,AT227*(_rpm1+(1+_emr1)*VLOOKUP(E227,Tab_Mort_Charge,IF(Input!$C$12="M",2,3),0))*(0.001*0.0833)*Flag_Mort_Rider_Charge*(AT227&gt;0))</f>
        <v>0</v>
      </c>
      <c r="AO227" s="50">
        <f t="shared" ca="1" si="170"/>
        <v>0</v>
      </c>
      <c r="AP227" s="50">
        <f t="shared" ca="1" si="197"/>
        <v>0</v>
      </c>
      <c r="AQ227" s="50">
        <f t="shared" ca="1" si="171"/>
        <v>0</v>
      </c>
      <c r="AR227" s="50">
        <f t="shared" ca="1" si="172"/>
        <v>0</v>
      </c>
      <c r="AS227" s="50">
        <f t="shared" si="173"/>
        <v>0</v>
      </c>
      <c r="AT227" s="50">
        <f ca="1">(MAX((MAX(AS227,105%*SUM($AJ$7:AJ227))-AM227*Flag_UL_Type),0)*B227)</f>
        <v>0</v>
      </c>
      <c r="AU227" s="50">
        <f ca="1">(MAX(AS227,AR227,105%*SUM($AJ$7:AJ227))*B227)</f>
        <v>0</v>
      </c>
      <c r="AV227" s="125"/>
      <c r="AW227" s="13"/>
      <c r="AX227" s="13"/>
      <c r="AY227" s="13"/>
      <c r="AZ227" s="13"/>
      <c r="BA227" s="13"/>
      <c r="BG227" s="51">
        <f t="shared" si="174"/>
        <v>0</v>
      </c>
      <c r="BH227" s="51">
        <f t="shared" si="175"/>
        <v>0</v>
      </c>
      <c r="BI227" s="51">
        <f t="shared" ca="1" si="176"/>
        <v>0</v>
      </c>
      <c r="BJ227" s="51">
        <f t="shared" ca="1" si="177"/>
        <v>0</v>
      </c>
      <c r="BK227" s="51">
        <f t="shared" si="178"/>
        <v>0</v>
      </c>
      <c r="BL227" s="51">
        <f t="shared" ca="1" si="179"/>
        <v>0</v>
      </c>
      <c r="BM227" s="51">
        <f t="shared" si="180"/>
        <v>0</v>
      </c>
      <c r="BN227" s="51">
        <f t="shared" si="181"/>
        <v>0</v>
      </c>
      <c r="BO227" s="51">
        <f t="shared" ca="1" si="182"/>
        <v>0</v>
      </c>
      <c r="BP227" s="51">
        <f t="shared" ca="1" si="183"/>
        <v>0</v>
      </c>
      <c r="BQ227" s="120"/>
      <c r="BR227" s="32"/>
      <c r="BS227" s="126"/>
      <c r="BT227" s="16"/>
      <c r="BU227" s="58"/>
      <c r="BW227" s="51">
        <f>IF(Input!$C$13="Offline",VLOOKUP(H227,Charges!$AT$4:$AU$33,2,FALSE)*I227,0)</f>
        <v>0</v>
      </c>
      <c r="BX227" s="51">
        <f t="shared" si="184"/>
        <v>0</v>
      </c>
      <c r="BY227" s="51">
        <f t="shared" si="192"/>
        <v>0</v>
      </c>
      <c r="BZ227" s="151"/>
      <c r="CA227" s="151"/>
      <c r="CB227" s="32"/>
      <c r="CC227" s="16">
        <f ca="1">SUM($N$7:$N227)</f>
        <v>0</v>
      </c>
      <c r="CD227" s="16">
        <f t="shared" ca="1" si="185"/>
        <v>0</v>
      </c>
      <c r="CE227" s="16">
        <f t="shared" ca="1" si="186"/>
        <v>0</v>
      </c>
      <c r="CF227" s="7">
        <f t="shared" ca="1" si="187"/>
        <v>0</v>
      </c>
      <c r="CH227" s="7">
        <f t="shared" ca="1" si="188"/>
        <v>0</v>
      </c>
    </row>
    <row r="228" spans="2:86" s="7" customFormat="1" x14ac:dyDescent="0.2">
      <c r="B228" s="14">
        <f t="shared" si="152"/>
        <v>0</v>
      </c>
      <c r="C228" s="12">
        <f t="shared" si="153"/>
        <v>0</v>
      </c>
      <c r="D228" s="17">
        <f t="shared" si="193"/>
        <v>222</v>
      </c>
      <c r="E228" s="17">
        <f t="shared" ca="1" si="154"/>
        <v>78</v>
      </c>
      <c r="F228" s="12">
        <f t="shared" si="195"/>
        <v>5</v>
      </c>
      <c r="G228" s="12">
        <f t="shared" si="194"/>
        <v>37</v>
      </c>
      <c r="H228" s="17">
        <f t="shared" si="196"/>
        <v>19</v>
      </c>
      <c r="I228" s="29">
        <f t="shared" si="155"/>
        <v>0</v>
      </c>
      <c r="J228" s="211">
        <f>IFERROR(VLOOKUP(H228,Charges!$T$6:$U$35,2,0)*C228,0)</f>
        <v>0</v>
      </c>
      <c r="K228" s="29">
        <f t="shared" si="156"/>
        <v>0</v>
      </c>
      <c r="L228" s="29">
        <f t="shared" si="157"/>
        <v>0</v>
      </c>
      <c r="M228" s="147">
        <f t="shared" ca="1" si="158"/>
        <v>0</v>
      </c>
      <c r="N228" s="148">
        <f ca="1">IF(AND(Option_SPW="Y",H228&gt;=Lock_In_Period,Z227&gt;SPW_Amount_pa+IF(option="Single",1/5*pr,2*pr),H228&gt;=SPW_Start_Year,H228&lt;=SPW_Start_Year+SPW_Duration-1,age+H228&gt;=Legal_Age),IF(AND(F228=0,SPW_Payout_Freq=1),SPW_Amount_pa,IF(AND(SPW_Payout_Freq=2,MOD(F228,6)=0),SPW_Amount_pa/SPW_Payout_Freq,IF(AND(SPW_Payout_Freq=4,MOD(F228,3)=0),SPW_Amount_pa/SPW_Payout_Freq,IF(SPW_Payout_Freq=12,SPW_Amount_pa/SPW_Payout_Freq,0)))),0)+IFERROR(VLOOKUP(H228,Input!$B$68:$C$74,2,0),0)*(F228=0)*(Option_PW="Y")*(Option_SPW="N")*(age+H228&gt;=Legal_Age)</f>
        <v>0</v>
      </c>
      <c r="O228" s="148">
        <f t="shared" ca="1" si="159"/>
        <v>0</v>
      </c>
      <c r="P228" s="14">
        <f ca="1">(MAX(MAX(sa-CF227*Flag_UL_Type,105%*SUM($I$7:I228))-(AD227+L228-N228)*Flag_UL_Type,0)*B228)</f>
        <v>0</v>
      </c>
      <c r="Q228" s="213">
        <f t="shared" si="160"/>
        <v>0</v>
      </c>
      <c r="R228" s="14">
        <f t="shared" ca="1" si="161"/>
        <v>0</v>
      </c>
      <c r="S228" s="14">
        <f t="shared" ca="1" si="162"/>
        <v>0</v>
      </c>
      <c r="T228" s="14">
        <f>IFERROR(IF(WoP_Flag="Y",IF(fq=1,VLOOKUP(ppt*fq-H228,Charges!$AN$41:$AO$59,2,FALSE),IF(fq=2,VLOOKUP(ppt*fq-G228,Charges!$AP$41:$AQ$79,2,FALSE),VLOOKUP(ppt*fq-D228,Charges!$AR$41:$AS$279,2,FALSE)))*pr/fq,0),0)</f>
        <v>0</v>
      </c>
      <c r="U228" s="14">
        <f t="shared" ca="1" si="163"/>
        <v>0</v>
      </c>
      <c r="V228" s="34">
        <f>ROUND(MIN(IF(H228&gt;=7,Charges!$C$12*(1+Charges!$C$14)^((H228-7+1)),VLOOKUP(H228,Charges!$B$7:$C$12,2,0))*pr,Charges!$C$13)*B228,Round)</f>
        <v>0</v>
      </c>
      <c r="W228" s="14">
        <f t="shared" ca="1" si="164"/>
        <v>0</v>
      </c>
      <c r="X228" s="14">
        <f t="shared" ca="1" si="165"/>
        <v>0</v>
      </c>
      <c r="Y228" s="213">
        <f t="shared" ca="1" si="189"/>
        <v>0</v>
      </c>
      <c r="Z228" s="14">
        <f t="shared" ca="1" si="166"/>
        <v>0</v>
      </c>
      <c r="AA228" s="14">
        <f>IF(AND($H228=pt,$F228=11),SUM($K$7:K228)*VLOOKUP(pt,ROC,2,FALSE),0)</f>
        <v>0</v>
      </c>
      <c r="AB228" s="14">
        <f>IF(AND($H228=pt,$F228=11),SUM($V$7:V228)*VLOOKUP(pt,ROC,2,FALSE),0)</f>
        <v>0</v>
      </c>
      <c r="AC228" s="14">
        <f>IF(AND($H228=pt,$F228=11),SUM($Q$7:Q228)*VLOOKUP(pt,ROC,2,FALSE),0)</f>
        <v>0</v>
      </c>
      <c r="AD228" s="14">
        <f t="shared" ca="1" si="167"/>
        <v>0</v>
      </c>
      <c r="AE228" s="14">
        <f ca="1">(MAX(sa-CF227*Flag_UL_Type,105%*SUM($I$7:I228),Z228)+AU228)*B228</f>
        <v>0</v>
      </c>
      <c r="AF228" s="136"/>
      <c r="AG228" s="18">
        <v>222</v>
      </c>
      <c r="AH228" s="30">
        <f t="shared" ca="1" si="168"/>
        <v>0</v>
      </c>
      <c r="AI228" s="58"/>
      <c r="AJ228" s="50">
        <f>IF(AND(Option_Sys_TopUp&gt;="Y",H228&gt;=sytp,H228&lt;=(dtp+sytp-1),F228=0,H228&lt;=ppt+1),atp,0)+IFERROR(VLOOKUP(H228,Input!$B$55:$C$61,2,0),0)*(F228=0)*(Option_TopUP="Y")*(Option_Sys_TopUp="N")*B228*(pt&gt;=H228+5)</f>
        <v>0</v>
      </c>
      <c r="AK228" s="50">
        <f t="shared" si="169"/>
        <v>0</v>
      </c>
      <c r="AL228" s="50">
        <f t="shared" si="190"/>
        <v>0</v>
      </c>
      <c r="AM228" s="50">
        <f t="shared" ca="1" si="191"/>
        <v>0</v>
      </c>
      <c r="AN228" s="50">
        <f>IF(B228=0,0,AT228*(_rpm1+(1+_emr1)*VLOOKUP(E228,Tab_Mort_Charge,IF(Input!$C$12="M",2,3),0))*(0.001*0.0833)*Flag_Mort_Rider_Charge*(AT228&gt;0))</f>
        <v>0</v>
      </c>
      <c r="AO228" s="50">
        <f t="shared" ca="1" si="170"/>
        <v>0</v>
      </c>
      <c r="AP228" s="50">
        <f t="shared" ca="1" si="197"/>
        <v>0</v>
      </c>
      <c r="AQ228" s="50">
        <f t="shared" ca="1" si="171"/>
        <v>0</v>
      </c>
      <c r="AR228" s="50">
        <f t="shared" ca="1" si="172"/>
        <v>0</v>
      </c>
      <c r="AS228" s="50">
        <f t="shared" si="173"/>
        <v>0</v>
      </c>
      <c r="AT228" s="50">
        <f ca="1">(MAX((MAX(AS228,105%*SUM($AJ$7:AJ228))-AM228*Flag_UL_Type),0)*B228)</f>
        <v>0</v>
      </c>
      <c r="AU228" s="50">
        <f ca="1">(MAX(AS228,AR228,105%*SUM($AJ$7:AJ228))*B228)</f>
        <v>0</v>
      </c>
      <c r="AV228" s="125"/>
      <c r="AW228" s="13"/>
      <c r="AX228" s="13"/>
      <c r="AY228" s="13"/>
      <c r="AZ228" s="13"/>
      <c r="BA228" s="13"/>
      <c r="BG228" s="51">
        <f t="shared" si="174"/>
        <v>0</v>
      </c>
      <c r="BH228" s="51">
        <f t="shared" si="175"/>
        <v>0</v>
      </c>
      <c r="BI228" s="51">
        <f t="shared" ca="1" si="176"/>
        <v>0</v>
      </c>
      <c r="BJ228" s="51">
        <f t="shared" ca="1" si="177"/>
        <v>0</v>
      </c>
      <c r="BK228" s="51">
        <f t="shared" si="178"/>
        <v>0</v>
      </c>
      <c r="BL228" s="51">
        <f t="shared" ca="1" si="179"/>
        <v>0</v>
      </c>
      <c r="BM228" s="51">
        <f t="shared" si="180"/>
        <v>0</v>
      </c>
      <c r="BN228" s="51">
        <f t="shared" si="181"/>
        <v>0</v>
      </c>
      <c r="BO228" s="51">
        <f t="shared" ca="1" si="182"/>
        <v>0</v>
      </c>
      <c r="BP228" s="51">
        <f t="shared" ca="1" si="183"/>
        <v>0</v>
      </c>
      <c r="BQ228" s="120"/>
      <c r="BR228" s="32"/>
      <c r="BS228" s="126"/>
      <c r="BT228" s="16"/>
      <c r="BU228" s="58"/>
      <c r="BW228" s="51">
        <f>IF(Input!$C$13="Offline",VLOOKUP(H228,Charges!$AT$4:$AU$33,2,FALSE)*I228,0)</f>
        <v>0</v>
      </c>
      <c r="BX228" s="51">
        <f t="shared" si="184"/>
        <v>0</v>
      </c>
      <c r="BY228" s="51">
        <f t="shared" si="192"/>
        <v>0</v>
      </c>
      <c r="BZ228" s="151"/>
      <c r="CA228" s="151"/>
      <c r="CB228" s="32"/>
      <c r="CC228" s="16">
        <f ca="1">SUM($N$7:$N228)</f>
        <v>0</v>
      </c>
      <c r="CD228" s="16">
        <f t="shared" ca="1" si="185"/>
        <v>0</v>
      </c>
      <c r="CE228" s="16">
        <f t="shared" ca="1" si="186"/>
        <v>0</v>
      </c>
      <c r="CF228" s="7">
        <f t="shared" ca="1" si="187"/>
        <v>0</v>
      </c>
      <c r="CH228" s="7">
        <f t="shared" ca="1" si="188"/>
        <v>0</v>
      </c>
    </row>
    <row r="229" spans="2:86" s="7" customFormat="1" x14ac:dyDescent="0.2">
      <c r="B229" s="14">
        <f t="shared" si="152"/>
        <v>0</v>
      </c>
      <c r="C229" s="12">
        <f t="shared" si="153"/>
        <v>0</v>
      </c>
      <c r="D229" s="17">
        <f t="shared" si="193"/>
        <v>223</v>
      </c>
      <c r="E229" s="17">
        <f t="shared" ca="1" si="154"/>
        <v>78</v>
      </c>
      <c r="F229" s="12">
        <f t="shared" si="195"/>
        <v>6</v>
      </c>
      <c r="G229" s="12">
        <f t="shared" si="194"/>
        <v>38</v>
      </c>
      <c r="H229" s="17">
        <f t="shared" si="196"/>
        <v>19</v>
      </c>
      <c r="I229" s="29">
        <f t="shared" si="155"/>
        <v>0</v>
      </c>
      <c r="J229" s="211">
        <f>IFERROR(VLOOKUP(H229,Charges!$T$6:$U$35,2,0)*C229,0)</f>
        <v>0</v>
      </c>
      <c r="K229" s="29">
        <f t="shared" si="156"/>
        <v>0</v>
      </c>
      <c r="L229" s="29">
        <f t="shared" si="157"/>
        <v>0</v>
      </c>
      <c r="M229" s="147">
        <f t="shared" ca="1" si="158"/>
        <v>0</v>
      </c>
      <c r="N229" s="148">
        <f ca="1">IF(AND(Option_SPW="Y",H229&gt;=Lock_In_Period,Z228&gt;SPW_Amount_pa+IF(option="Single",1/5*pr,2*pr),H229&gt;=SPW_Start_Year,H229&lt;=SPW_Start_Year+SPW_Duration-1,age+H229&gt;=Legal_Age),IF(AND(F229=0,SPW_Payout_Freq=1),SPW_Amount_pa,IF(AND(SPW_Payout_Freq=2,MOD(F229,6)=0),SPW_Amount_pa/SPW_Payout_Freq,IF(AND(SPW_Payout_Freq=4,MOD(F229,3)=0),SPW_Amount_pa/SPW_Payout_Freq,IF(SPW_Payout_Freq=12,SPW_Amount_pa/SPW_Payout_Freq,0)))),0)+IFERROR(VLOOKUP(H229,Input!$B$68:$C$74,2,0),0)*(F229=0)*(Option_PW="Y")*(Option_SPW="N")*(age+H229&gt;=Legal_Age)</f>
        <v>0</v>
      </c>
      <c r="O229" s="148">
        <f t="shared" ca="1" si="159"/>
        <v>0</v>
      </c>
      <c r="P229" s="14">
        <f ca="1">(MAX(MAX(sa-CF228*Flag_UL_Type,105%*SUM($I$7:I229))-(AD228+L229-N229)*Flag_UL_Type,0)*B229)</f>
        <v>0</v>
      </c>
      <c r="Q229" s="213">
        <f t="shared" si="160"/>
        <v>0</v>
      </c>
      <c r="R229" s="14">
        <f t="shared" ca="1" si="161"/>
        <v>0</v>
      </c>
      <c r="S229" s="14">
        <f t="shared" ca="1" si="162"/>
        <v>0</v>
      </c>
      <c r="T229" s="14">
        <f>IFERROR(IF(WoP_Flag="Y",IF(fq=1,VLOOKUP(ppt*fq-H229,Charges!$AN$41:$AO$59,2,FALSE),IF(fq=2,VLOOKUP(ppt*fq-G229,Charges!$AP$41:$AQ$79,2,FALSE),VLOOKUP(ppt*fq-D229,Charges!$AR$41:$AS$279,2,FALSE)))*pr/fq,0),0)</f>
        <v>0</v>
      </c>
      <c r="U229" s="14">
        <f t="shared" ca="1" si="163"/>
        <v>0</v>
      </c>
      <c r="V229" s="34">
        <f>ROUND(MIN(IF(H229&gt;=7,Charges!$C$12*(1+Charges!$C$14)^((H229-7+1)),VLOOKUP(H229,Charges!$B$7:$C$12,2,0))*pr,Charges!$C$13)*B229,Round)</f>
        <v>0</v>
      </c>
      <c r="W229" s="14">
        <f t="shared" ca="1" si="164"/>
        <v>0</v>
      </c>
      <c r="X229" s="14">
        <f t="shared" ca="1" si="165"/>
        <v>0</v>
      </c>
      <c r="Y229" s="213">
        <f t="shared" ca="1" si="189"/>
        <v>0</v>
      </c>
      <c r="Z229" s="14">
        <f t="shared" ca="1" si="166"/>
        <v>0</v>
      </c>
      <c r="AA229" s="14">
        <f>IF(AND($H229=pt,$F229=11),SUM($K$7:K229)*VLOOKUP(pt,ROC,2,FALSE),0)</f>
        <v>0</v>
      </c>
      <c r="AB229" s="14">
        <f>IF(AND($H229=pt,$F229=11),SUM($V$7:V229)*VLOOKUP(pt,ROC,2,FALSE),0)</f>
        <v>0</v>
      </c>
      <c r="AC229" s="14">
        <f>IF(AND($H229=pt,$F229=11),SUM($Q$7:Q229)*VLOOKUP(pt,ROC,2,FALSE),0)</f>
        <v>0</v>
      </c>
      <c r="AD229" s="14">
        <f t="shared" ca="1" si="167"/>
        <v>0</v>
      </c>
      <c r="AE229" s="14">
        <f ca="1">(MAX(sa-CF228*Flag_UL_Type,105%*SUM($I$7:I229),Z229)+AU229)*B229</f>
        <v>0</v>
      </c>
      <c r="AF229" s="136"/>
      <c r="AG229" s="18">
        <v>223</v>
      </c>
      <c r="AH229" s="30">
        <f t="shared" ca="1" si="168"/>
        <v>0</v>
      </c>
      <c r="AI229" s="58"/>
      <c r="AJ229" s="50">
        <f>IF(AND(Option_Sys_TopUp&gt;="Y",H229&gt;=sytp,H229&lt;=(dtp+sytp-1),F229=0,H229&lt;=ppt+1),atp,0)+IFERROR(VLOOKUP(H229,Input!$B$55:$C$61,2,0),0)*(F229=0)*(Option_TopUP="Y")*(Option_Sys_TopUp="N")*B229*(pt&gt;=H229+5)</f>
        <v>0</v>
      </c>
      <c r="AK229" s="50">
        <f t="shared" si="169"/>
        <v>0</v>
      </c>
      <c r="AL229" s="50">
        <f t="shared" si="190"/>
        <v>0</v>
      </c>
      <c r="AM229" s="50">
        <f t="shared" ca="1" si="191"/>
        <v>0</v>
      </c>
      <c r="AN229" s="50">
        <f>IF(B229=0,0,AT229*(_rpm1+(1+_emr1)*VLOOKUP(E229,Tab_Mort_Charge,IF(Input!$C$12="M",2,3),0))*(0.001*0.0833)*Flag_Mort_Rider_Charge*(AT229&gt;0))</f>
        <v>0</v>
      </c>
      <c r="AO229" s="50">
        <f t="shared" ca="1" si="170"/>
        <v>0</v>
      </c>
      <c r="AP229" s="50">
        <f t="shared" ca="1" si="197"/>
        <v>0</v>
      </c>
      <c r="AQ229" s="50">
        <f t="shared" ca="1" si="171"/>
        <v>0</v>
      </c>
      <c r="AR229" s="50">
        <f t="shared" ca="1" si="172"/>
        <v>0</v>
      </c>
      <c r="AS229" s="50">
        <f t="shared" si="173"/>
        <v>0</v>
      </c>
      <c r="AT229" s="50">
        <f ca="1">(MAX((MAX(AS229,105%*SUM($AJ$7:AJ229))-AM229*Flag_UL_Type),0)*B229)</f>
        <v>0</v>
      </c>
      <c r="AU229" s="50">
        <f ca="1">(MAX(AS229,AR229,105%*SUM($AJ$7:AJ229))*B229)</f>
        <v>0</v>
      </c>
      <c r="AV229" s="125"/>
      <c r="AW229" s="13"/>
      <c r="AX229" s="13"/>
      <c r="AY229" s="13"/>
      <c r="AZ229" s="13"/>
      <c r="BA229" s="13"/>
      <c r="BG229" s="51">
        <f t="shared" si="174"/>
        <v>0</v>
      </c>
      <c r="BH229" s="51">
        <f t="shared" si="175"/>
        <v>0</v>
      </c>
      <c r="BI229" s="51">
        <f t="shared" ca="1" si="176"/>
        <v>0</v>
      </c>
      <c r="BJ229" s="51">
        <f t="shared" ca="1" si="177"/>
        <v>0</v>
      </c>
      <c r="BK229" s="51">
        <f t="shared" si="178"/>
        <v>0</v>
      </c>
      <c r="BL229" s="51">
        <f t="shared" ca="1" si="179"/>
        <v>0</v>
      </c>
      <c r="BM229" s="51">
        <f t="shared" si="180"/>
        <v>0</v>
      </c>
      <c r="BN229" s="51">
        <f t="shared" si="181"/>
        <v>0</v>
      </c>
      <c r="BO229" s="51">
        <f t="shared" ca="1" si="182"/>
        <v>0</v>
      </c>
      <c r="BP229" s="51">
        <f t="shared" ca="1" si="183"/>
        <v>0</v>
      </c>
      <c r="BQ229" s="120"/>
      <c r="BR229" s="32"/>
      <c r="BS229" s="126"/>
      <c r="BT229" s="16"/>
      <c r="BU229" s="58"/>
      <c r="BW229" s="51">
        <f>IF(Input!$C$13="Offline",VLOOKUP(H229,Charges!$AT$4:$AU$33,2,FALSE)*I229,0)</f>
        <v>0</v>
      </c>
      <c r="BX229" s="51">
        <f t="shared" si="184"/>
        <v>0</v>
      </c>
      <c r="BY229" s="51">
        <f t="shared" si="192"/>
        <v>0</v>
      </c>
      <c r="BZ229" s="151"/>
      <c r="CA229" s="151"/>
      <c r="CB229" s="32"/>
      <c r="CC229" s="16">
        <f ca="1">SUM($N$7:$N229)</f>
        <v>0</v>
      </c>
      <c r="CD229" s="16">
        <f t="shared" ca="1" si="185"/>
        <v>0</v>
      </c>
      <c r="CE229" s="16">
        <f t="shared" ca="1" si="186"/>
        <v>0</v>
      </c>
      <c r="CF229" s="7">
        <f t="shared" ca="1" si="187"/>
        <v>0</v>
      </c>
      <c r="CH229" s="7">
        <f t="shared" ca="1" si="188"/>
        <v>0</v>
      </c>
    </row>
    <row r="230" spans="2:86" s="7" customFormat="1" x14ac:dyDescent="0.2">
      <c r="B230" s="14">
        <f t="shared" si="152"/>
        <v>0</v>
      </c>
      <c r="C230" s="12">
        <f t="shared" si="153"/>
        <v>0</v>
      </c>
      <c r="D230" s="17">
        <f t="shared" si="193"/>
        <v>224</v>
      </c>
      <c r="E230" s="17">
        <f t="shared" ca="1" si="154"/>
        <v>78</v>
      </c>
      <c r="F230" s="12">
        <f t="shared" si="195"/>
        <v>7</v>
      </c>
      <c r="G230" s="12">
        <f t="shared" si="194"/>
        <v>38</v>
      </c>
      <c r="H230" s="17">
        <f t="shared" si="196"/>
        <v>19</v>
      </c>
      <c r="I230" s="29">
        <f t="shared" si="155"/>
        <v>0</v>
      </c>
      <c r="J230" s="211">
        <f>IFERROR(VLOOKUP(H230,Charges!$T$6:$U$35,2,0)*C230,0)</f>
        <v>0</v>
      </c>
      <c r="K230" s="29">
        <f t="shared" si="156"/>
        <v>0</v>
      </c>
      <c r="L230" s="29">
        <f t="shared" si="157"/>
        <v>0</v>
      </c>
      <c r="M230" s="147">
        <f t="shared" ca="1" si="158"/>
        <v>0</v>
      </c>
      <c r="N230" s="148">
        <f ca="1">IF(AND(Option_SPW="Y",H230&gt;=Lock_In_Period,Z229&gt;SPW_Amount_pa+IF(option="Single",1/5*pr,2*pr),H230&gt;=SPW_Start_Year,H230&lt;=SPW_Start_Year+SPW_Duration-1,age+H230&gt;=Legal_Age),IF(AND(F230=0,SPW_Payout_Freq=1),SPW_Amount_pa,IF(AND(SPW_Payout_Freq=2,MOD(F230,6)=0),SPW_Amount_pa/SPW_Payout_Freq,IF(AND(SPW_Payout_Freq=4,MOD(F230,3)=0),SPW_Amount_pa/SPW_Payout_Freq,IF(SPW_Payout_Freq=12,SPW_Amount_pa/SPW_Payout_Freq,0)))),0)+IFERROR(VLOOKUP(H230,Input!$B$68:$C$74,2,0),0)*(F230=0)*(Option_PW="Y")*(Option_SPW="N")*(age+H230&gt;=Legal_Age)</f>
        <v>0</v>
      </c>
      <c r="O230" s="148">
        <f t="shared" ca="1" si="159"/>
        <v>0</v>
      </c>
      <c r="P230" s="14">
        <f ca="1">(MAX(MAX(sa-CF229*Flag_UL_Type,105%*SUM($I$7:I230))-(AD229+L230-N230)*Flag_UL_Type,0)*B230)</f>
        <v>0</v>
      </c>
      <c r="Q230" s="213">
        <f t="shared" si="160"/>
        <v>0</v>
      </c>
      <c r="R230" s="14">
        <f t="shared" ca="1" si="161"/>
        <v>0</v>
      </c>
      <c r="S230" s="14">
        <f t="shared" ca="1" si="162"/>
        <v>0</v>
      </c>
      <c r="T230" s="14">
        <f>IFERROR(IF(WoP_Flag="Y",IF(fq=1,VLOOKUP(ppt*fq-H230,Charges!$AN$41:$AO$59,2,FALSE),IF(fq=2,VLOOKUP(ppt*fq-G230,Charges!$AP$41:$AQ$79,2,FALSE),VLOOKUP(ppt*fq-D230,Charges!$AR$41:$AS$279,2,FALSE)))*pr/fq,0),0)</f>
        <v>0</v>
      </c>
      <c r="U230" s="14">
        <f t="shared" ca="1" si="163"/>
        <v>0</v>
      </c>
      <c r="V230" s="34">
        <f>ROUND(MIN(IF(H230&gt;=7,Charges!$C$12*(1+Charges!$C$14)^((H230-7+1)),VLOOKUP(H230,Charges!$B$7:$C$12,2,0))*pr,Charges!$C$13)*B230,Round)</f>
        <v>0</v>
      </c>
      <c r="W230" s="14">
        <f t="shared" ca="1" si="164"/>
        <v>0</v>
      </c>
      <c r="X230" s="14">
        <f t="shared" ca="1" si="165"/>
        <v>0</v>
      </c>
      <c r="Y230" s="213">
        <f t="shared" ca="1" si="189"/>
        <v>0</v>
      </c>
      <c r="Z230" s="14">
        <f t="shared" ca="1" si="166"/>
        <v>0</v>
      </c>
      <c r="AA230" s="14">
        <f>IF(AND($H230=pt,$F230=11),SUM($K$7:K230)*VLOOKUP(pt,ROC,2,FALSE),0)</f>
        <v>0</v>
      </c>
      <c r="AB230" s="14">
        <f>IF(AND($H230=pt,$F230=11),SUM($V$7:V230)*VLOOKUP(pt,ROC,2,FALSE),0)</f>
        <v>0</v>
      </c>
      <c r="AC230" s="14">
        <f>IF(AND($H230=pt,$F230=11),SUM($Q$7:Q230)*VLOOKUP(pt,ROC,2,FALSE),0)</f>
        <v>0</v>
      </c>
      <c r="AD230" s="14">
        <f t="shared" ca="1" si="167"/>
        <v>0</v>
      </c>
      <c r="AE230" s="14">
        <f ca="1">(MAX(sa-CF229*Flag_UL_Type,105%*SUM($I$7:I230),Z230)+AU230)*B230</f>
        <v>0</v>
      </c>
      <c r="AF230" s="136"/>
      <c r="AG230" s="18">
        <v>224</v>
      </c>
      <c r="AH230" s="30">
        <f t="shared" ca="1" si="168"/>
        <v>0</v>
      </c>
      <c r="AI230" s="58"/>
      <c r="AJ230" s="50">
        <f>IF(AND(Option_Sys_TopUp&gt;="Y",H230&gt;=sytp,H230&lt;=(dtp+sytp-1),F230=0,H230&lt;=ppt+1),atp,0)+IFERROR(VLOOKUP(H230,Input!$B$55:$C$61,2,0),0)*(F230=0)*(Option_TopUP="Y")*(Option_Sys_TopUp="N")*B230*(pt&gt;=H230+5)</f>
        <v>0</v>
      </c>
      <c r="AK230" s="50">
        <f t="shared" si="169"/>
        <v>0</v>
      </c>
      <c r="AL230" s="50">
        <f t="shared" si="190"/>
        <v>0</v>
      </c>
      <c r="AM230" s="50">
        <f t="shared" ca="1" si="191"/>
        <v>0</v>
      </c>
      <c r="AN230" s="50">
        <f>IF(B230=0,0,AT230*(_rpm1+(1+_emr1)*VLOOKUP(E230,Tab_Mort_Charge,IF(Input!$C$12="M",2,3),0))*(0.001*0.0833)*Flag_Mort_Rider_Charge*(AT230&gt;0))</f>
        <v>0</v>
      </c>
      <c r="AO230" s="50">
        <f t="shared" ca="1" si="170"/>
        <v>0</v>
      </c>
      <c r="AP230" s="50">
        <f t="shared" ca="1" si="197"/>
        <v>0</v>
      </c>
      <c r="AQ230" s="50">
        <f t="shared" ca="1" si="171"/>
        <v>0</v>
      </c>
      <c r="AR230" s="50">
        <f t="shared" ca="1" si="172"/>
        <v>0</v>
      </c>
      <c r="AS230" s="50">
        <f t="shared" si="173"/>
        <v>0</v>
      </c>
      <c r="AT230" s="50">
        <f ca="1">(MAX((MAX(AS230,105%*SUM($AJ$7:AJ230))-AM230*Flag_UL_Type),0)*B230)</f>
        <v>0</v>
      </c>
      <c r="AU230" s="50">
        <f ca="1">(MAX(AS230,AR230,105%*SUM($AJ$7:AJ230))*B230)</f>
        <v>0</v>
      </c>
      <c r="AV230" s="125"/>
      <c r="AW230" s="13"/>
      <c r="AX230" s="13"/>
      <c r="AY230" s="13"/>
      <c r="AZ230" s="13"/>
      <c r="BA230" s="13"/>
      <c r="BG230" s="51">
        <f t="shared" si="174"/>
        <v>0</v>
      </c>
      <c r="BH230" s="51">
        <f t="shared" si="175"/>
        <v>0</v>
      </c>
      <c r="BI230" s="51">
        <f t="shared" ca="1" si="176"/>
        <v>0</v>
      </c>
      <c r="BJ230" s="51">
        <f t="shared" ca="1" si="177"/>
        <v>0</v>
      </c>
      <c r="BK230" s="51">
        <f t="shared" si="178"/>
        <v>0</v>
      </c>
      <c r="BL230" s="51">
        <f t="shared" ca="1" si="179"/>
        <v>0</v>
      </c>
      <c r="BM230" s="51">
        <f t="shared" si="180"/>
        <v>0</v>
      </c>
      <c r="BN230" s="51">
        <f t="shared" si="181"/>
        <v>0</v>
      </c>
      <c r="BO230" s="51">
        <f t="shared" ca="1" si="182"/>
        <v>0</v>
      </c>
      <c r="BP230" s="51">
        <f t="shared" ca="1" si="183"/>
        <v>0</v>
      </c>
      <c r="BQ230" s="120"/>
      <c r="BR230" s="32"/>
      <c r="BS230" s="126"/>
      <c r="BT230" s="16"/>
      <c r="BU230" s="58"/>
      <c r="BW230" s="51">
        <f>IF(Input!$C$13="Offline",VLOOKUP(H230,Charges!$AT$4:$AU$33,2,FALSE)*I230,0)</f>
        <v>0</v>
      </c>
      <c r="BX230" s="51">
        <f t="shared" si="184"/>
        <v>0</v>
      </c>
      <c r="BY230" s="51">
        <f t="shared" si="192"/>
        <v>0</v>
      </c>
      <c r="BZ230" s="151"/>
      <c r="CA230" s="151"/>
      <c r="CB230" s="32"/>
      <c r="CC230" s="16">
        <f ca="1">SUM($N$7:$N230)</f>
        <v>0</v>
      </c>
      <c r="CD230" s="16">
        <f t="shared" ca="1" si="185"/>
        <v>0</v>
      </c>
      <c r="CE230" s="16">
        <f t="shared" ca="1" si="186"/>
        <v>0</v>
      </c>
      <c r="CF230" s="7">
        <f t="shared" ca="1" si="187"/>
        <v>0</v>
      </c>
      <c r="CH230" s="7">
        <f t="shared" ca="1" si="188"/>
        <v>0</v>
      </c>
    </row>
    <row r="231" spans="2:86" s="7" customFormat="1" x14ac:dyDescent="0.2">
      <c r="B231" s="14">
        <f t="shared" si="152"/>
        <v>0</v>
      </c>
      <c r="C231" s="12">
        <f t="shared" si="153"/>
        <v>0</v>
      </c>
      <c r="D231" s="17">
        <f t="shared" si="193"/>
        <v>225</v>
      </c>
      <c r="E231" s="17">
        <f t="shared" ca="1" si="154"/>
        <v>78</v>
      </c>
      <c r="F231" s="12">
        <f t="shared" si="195"/>
        <v>8</v>
      </c>
      <c r="G231" s="12">
        <f t="shared" si="194"/>
        <v>38</v>
      </c>
      <c r="H231" s="17">
        <f t="shared" si="196"/>
        <v>19</v>
      </c>
      <c r="I231" s="29">
        <f t="shared" si="155"/>
        <v>0</v>
      </c>
      <c r="J231" s="211">
        <f>IFERROR(VLOOKUP(H231,Charges!$T$6:$U$35,2,0)*C231,0)</f>
        <v>0</v>
      </c>
      <c r="K231" s="29">
        <f t="shared" si="156"/>
        <v>0</v>
      </c>
      <c r="L231" s="29">
        <f t="shared" si="157"/>
        <v>0</v>
      </c>
      <c r="M231" s="147">
        <f t="shared" ca="1" si="158"/>
        <v>0</v>
      </c>
      <c r="N231" s="148">
        <f ca="1">IF(AND(Option_SPW="Y",H231&gt;=Lock_In_Period,Z230&gt;SPW_Amount_pa+IF(option="Single",1/5*pr,2*pr),H231&gt;=SPW_Start_Year,H231&lt;=SPW_Start_Year+SPW_Duration-1,age+H231&gt;=Legal_Age),IF(AND(F231=0,SPW_Payout_Freq=1),SPW_Amount_pa,IF(AND(SPW_Payout_Freq=2,MOD(F231,6)=0),SPW_Amount_pa/SPW_Payout_Freq,IF(AND(SPW_Payout_Freq=4,MOD(F231,3)=0),SPW_Amount_pa/SPW_Payout_Freq,IF(SPW_Payout_Freq=12,SPW_Amount_pa/SPW_Payout_Freq,0)))),0)+IFERROR(VLOOKUP(H231,Input!$B$68:$C$74,2,0),0)*(F231=0)*(Option_PW="Y")*(Option_SPW="N")*(age+H231&gt;=Legal_Age)</f>
        <v>0</v>
      </c>
      <c r="O231" s="148">
        <f t="shared" ca="1" si="159"/>
        <v>0</v>
      </c>
      <c r="P231" s="14">
        <f ca="1">(MAX(MAX(sa-CF230*Flag_UL_Type,105%*SUM($I$7:I231))-(AD230+L231-N231)*Flag_UL_Type,0)*B231)</f>
        <v>0</v>
      </c>
      <c r="Q231" s="213">
        <f t="shared" si="160"/>
        <v>0</v>
      </c>
      <c r="R231" s="14">
        <f t="shared" ca="1" si="161"/>
        <v>0</v>
      </c>
      <c r="S231" s="14">
        <f t="shared" ca="1" si="162"/>
        <v>0</v>
      </c>
      <c r="T231" s="14">
        <f>IFERROR(IF(WoP_Flag="Y",IF(fq=1,VLOOKUP(ppt*fq-H231,Charges!$AN$41:$AO$59,2,FALSE),IF(fq=2,VLOOKUP(ppt*fq-G231,Charges!$AP$41:$AQ$79,2,FALSE),VLOOKUP(ppt*fq-D231,Charges!$AR$41:$AS$279,2,FALSE)))*pr/fq,0),0)</f>
        <v>0</v>
      </c>
      <c r="U231" s="14">
        <f t="shared" ca="1" si="163"/>
        <v>0</v>
      </c>
      <c r="V231" s="34">
        <f>ROUND(MIN(IF(H231&gt;=7,Charges!$C$12*(1+Charges!$C$14)^((H231-7+1)),VLOOKUP(H231,Charges!$B$7:$C$12,2,0))*pr,Charges!$C$13)*B231,Round)</f>
        <v>0</v>
      </c>
      <c r="W231" s="14">
        <f t="shared" ca="1" si="164"/>
        <v>0</v>
      </c>
      <c r="X231" s="14">
        <f t="shared" ca="1" si="165"/>
        <v>0</v>
      </c>
      <c r="Y231" s="213">
        <f t="shared" ca="1" si="189"/>
        <v>0</v>
      </c>
      <c r="Z231" s="14">
        <f t="shared" ca="1" si="166"/>
        <v>0</v>
      </c>
      <c r="AA231" s="14">
        <f>IF(AND($H231=pt,$F231=11),SUM($K$7:K231)*VLOOKUP(pt,ROC,2,FALSE),0)</f>
        <v>0</v>
      </c>
      <c r="AB231" s="14">
        <f>IF(AND($H231=pt,$F231=11),SUM($V$7:V231)*VLOOKUP(pt,ROC,2,FALSE),0)</f>
        <v>0</v>
      </c>
      <c r="AC231" s="14">
        <f>IF(AND($H231=pt,$F231=11),SUM($Q$7:Q231)*VLOOKUP(pt,ROC,2,FALSE),0)</f>
        <v>0</v>
      </c>
      <c r="AD231" s="14">
        <f t="shared" ca="1" si="167"/>
        <v>0</v>
      </c>
      <c r="AE231" s="14">
        <f ca="1">(MAX(sa-CF230*Flag_UL_Type,105%*SUM($I$7:I231),Z231)+AU231)*B231</f>
        <v>0</v>
      </c>
      <c r="AF231" s="136"/>
      <c r="AG231" s="18">
        <v>225</v>
      </c>
      <c r="AH231" s="30">
        <f t="shared" ca="1" si="168"/>
        <v>0</v>
      </c>
      <c r="AI231" s="58"/>
      <c r="AJ231" s="50">
        <f>IF(AND(Option_Sys_TopUp&gt;="Y",H231&gt;=sytp,H231&lt;=(dtp+sytp-1),F231=0,H231&lt;=ppt+1),atp,0)+IFERROR(VLOOKUP(H231,Input!$B$55:$C$61,2,0),0)*(F231=0)*(Option_TopUP="Y")*(Option_Sys_TopUp="N")*B231*(pt&gt;=H231+5)</f>
        <v>0</v>
      </c>
      <c r="AK231" s="50">
        <f t="shared" si="169"/>
        <v>0</v>
      </c>
      <c r="AL231" s="50">
        <f t="shared" si="190"/>
        <v>0</v>
      </c>
      <c r="AM231" s="50">
        <f t="shared" ca="1" si="191"/>
        <v>0</v>
      </c>
      <c r="AN231" s="50">
        <f>IF(B231=0,0,AT231*(_rpm1+(1+_emr1)*VLOOKUP(E231,Tab_Mort_Charge,IF(Input!$C$12="M",2,3),0))*(0.001*0.0833)*Flag_Mort_Rider_Charge*(AT231&gt;0))</f>
        <v>0</v>
      </c>
      <c r="AO231" s="50">
        <f t="shared" ca="1" si="170"/>
        <v>0</v>
      </c>
      <c r="AP231" s="50">
        <f t="shared" ca="1" si="197"/>
        <v>0</v>
      </c>
      <c r="AQ231" s="50">
        <f t="shared" ca="1" si="171"/>
        <v>0</v>
      </c>
      <c r="AR231" s="50">
        <f t="shared" ca="1" si="172"/>
        <v>0</v>
      </c>
      <c r="AS231" s="50">
        <f t="shared" si="173"/>
        <v>0</v>
      </c>
      <c r="AT231" s="50">
        <f ca="1">(MAX((MAX(AS231,105%*SUM($AJ$7:AJ231))-AM231*Flag_UL_Type),0)*B231)</f>
        <v>0</v>
      </c>
      <c r="AU231" s="50">
        <f ca="1">(MAX(AS231,AR231,105%*SUM($AJ$7:AJ231))*B231)</f>
        <v>0</v>
      </c>
      <c r="AV231" s="125"/>
      <c r="AW231" s="13"/>
      <c r="AX231" s="13"/>
      <c r="AY231" s="13"/>
      <c r="AZ231" s="13"/>
      <c r="BA231" s="13"/>
      <c r="BG231" s="51">
        <f t="shared" si="174"/>
        <v>0</v>
      </c>
      <c r="BH231" s="51">
        <f t="shared" si="175"/>
        <v>0</v>
      </c>
      <c r="BI231" s="51">
        <f t="shared" ca="1" si="176"/>
        <v>0</v>
      </c>
      <c r="BJ231" s="51">
        <f t="shared" ca="1" si="177"/>
        <v>0</v>
      </c>
      <c r="BK231" s="51">
        <f t="shared" si="178"/>
        <v>0</v>
      </c>
      <c r="BL231" s="51">
        <f t="shared" ca="1" si="179"/>
        <v>0</v>
      </c>
      <c r="BM231" s="51">
        <f t="shared" si="180"/>
        <v>0</v>
      </c>
      <c r="BN231" s="51">
        <f t="shared" si="181"/>
        <v>0</v>
      </c>
      <c r="BO231" s="51">
        <f t="shared" ca="1" si="182"/>
        <v>0</v>
      </c>
      <c r="BP231" s="51">
        <f t="shared" ca="1" si="183"/>
        <v>0</v>
      </c>
      <c r="BQ231" s="120"/>
      <c r="BR231" s="32"/>
      <c r="BS231" s="126"/>
      <c r="BT231" s="16"/>
      <c r="BU231" s="58"/>
      <c r="BW231" s="51">
        <f>IF(Input!$C$13="Offline",VLOOKUP(H231,Charges!$AT$4:$AU$33,2,FALSE)*I231,0)</f>
        <v>0</v>
      </c>
      <c r="BX231" s="51">
        <f t="shared" si="184"/>
        <v>0</v>
      </c>
      <c r="BY231" s="51">
        <f t="shared" si="192"/>
        <v>0</v>
      </c>
      <c r="BZ231" s="151"/>
      <c r="CA231" s="151"/>
      <c r="CB231" s="32"/>
      <c r="CC231" s="16">
        <f ca="1">SUM($N$7:$N231)</f>
        <v>0</v>
      </c>
      <c r="CD231" s="16">
        <f t="shared" ca="1" si="185"/>
        <v>0</v>
      </c>
      <c r="CE231" s="16">
        <f t="shared" ca="1" si="186"/>
        <v>0</v>
      </c>
      <c r="CF231" s="7">
        <f t="shared" ca="1" si="187"/>
        <v>0</v>
      </c>
      <c r="CH231" s="7">
        <f t="shared" ca="1" si="188"/>
        <v>0</v>
      </c>
    </row>
    <row r="232" spans="2:86" s="7" customFormat="1" x14ac:dyDescent="0.2">
      <c r="B232" s="14">
        <f t="shared" si="152"/>
        <v>0</v>
      </c>
      <c r="C232" s="12">
        <f t="shared" si="153"/>
        <v>0</v>
      </c>
      <c r="D232" s="17">
        <f t="shared" si="193"/>
        <v>226</v>
      </c>
      <c r="E232" s="17">
        <f t="shared" ca="1" si="154"/>
        <v>78</v>
      </c>
      <c r="F232" s="12">
        <f t="shared" si="195"/>
        <v>9</v>
      </c>
      <c r="G232" s="12">
        <f t="shared" si="194"/>
        <v>38</v>
      </c>
      <c r="H232" s="17">
        <f t="shared" si="196"/>
        <v>19</v>
      </c>
      <c r="I232" s="29">
        <f t="shared" si="155"/>
        <v>0</v>
      </c>
      <c r="J232" s="211">
        <f>IFERROR(VLOOKUP(H232,Charges!$T$6:$U$35,2,0)*C232,0)</f>
        <v>0</v>
      </c>
      <c r="K232" s="29">
        <f t="shared" si="156"/>
        <v>0</v>
      </c>
      <c r="L232" s="29">
        <f t="shared" si="157"/>
        <v>0</v>
      </c>
      <c r="M232" s="147">
        <f t="shared" ca="1" si="158"/>
        <v>0</v>
      </c>
      <c r="N232" s="148">
        <f ca="1">IF(AND(Option_SPW="Y",H232&gt;=Lock_In_Period,Z231&gt;SPW_Amount_pa+IF(option="Single",1/5*pr,2*pr),H232&gt;=SPW_Start_Year,H232&lt;=SPW_Start_Year+SPW_Duration-1,age+H232&gt;=Legal_Age),IF(AND(F232=0,SPW_Payout_Freq=1),SPW_Amount_pa,IF(AND(SPW_Payout_Freq=2,MOD(F232,6)=0),SPW_Amount_pa/SPW_Payout_Freq,IF(AND(SPW_Payout_Freq=4,MOD(F232,3)=0),SPW_Amount_pa/SPW_Payout_Freq,IF(SPW_Payout_Freq=12,SPW_Amount_pa/SPW_Payout_Freq,0)))),0)+IFERROR(VLOOKUP(H232,Input!$B$68:$C$74,2,0),0)*(F232=0)*(Option_PW="Y")*(Option_SPW="N")*(age+H232&gt;=Legal_Age)</f>
        <v>0</v>
      </c>
      <c r="O232" s="148">
        <f t="shared" ca="1" si="159"/>
        <v>0</v>
      </c>
      <c r="P232" s="14">
        <f ca="1">(MAX(MAX(sa-CF231*Flag_UL_Type,105%*SUM($I$7:I232))-(AD231+L232-N232)*Flag_UL_Type,0)*B232)</f>
        <v>0</v>
      </c>
      <c r="Q232" s="213">
        <f t="shared" si="160"/>
        <v>0</v>
      </c>
      <c r="R232" s="14">
        <f t="shared" ca="1" si="161"/>
        <v>0</v>
      </c>
      <c r="S232" s="14">
        <f t="shared" ca="1" si="162"/>
        <v>0</v>
      </c>
      <c r="T232" s="14">
        <f>IFERROR(IF(WoP_Flag="Y",IF(fq=1,VLOOKUP(ppt*fq-H232,Charges!$AN$41:$AO$59,2,FALSE),IF(fq=2,VLOOKUP(ppt*fq-G232,Charges!$AP$41:$AQ$79,2,FALSE),VLOOKUP(ppt*fq-D232,Charges!$AR$41:$AS$279,2,FALSE)))*pr/fq,0),0)</f>
        <v>0</v>
      </c>
      <c r="U232" s="14">
        <f t="shared" ca="1" si="163"/>
        <v>0</v>
      </c>
      <c r="V232" s="34">
        <f>ROUND(MIN(IF(H232&gt;=7,Charges!$C$12*(1+Charges!$C$14)^((H232-7+1)),VLOOKUP(H232,Charges!$B$7:$C$12,2,0))*pr,Charges!$C$13)*B232,Round)</f>
        <v>0</v>
      </c>
      <c r="W232" s="14">
        <f t="shared" ca="1" si="164"/>
        <v>0</v>
      </c>
      <c r="X232" s="14">
        <f t="shared" ca="1" si="165"/>
        <v>0</v>
      </c>
      <c r="Y232" s="213">
        <f t="shared" ca="1" si="189"/>
        <v>0</v>
      </c>
      <c r="Z232" s="14">
        <f t="shared" ca="1" si="166"/>
        <v>0</v>
      </c>
      <c r="AA232" s="14">
        <f>IF(AND($H232=pt,$F232=11),SUM($K$7:K232)*VLOOKUP(pt,ROC,2,FALSE),0)</f>
        <v>0</v>
      </c>
      <c r="AB232" s="14">
        <f>IF(AND($H232=pt,$F232=11),SUM($V$7:V232)*VLOOKUP(pt,ROC,2,FALSE),0)</f>
        <v>0</v>
      </c>
      <c r="AC232" s="14">
        <f>IF(AND($H232=pt,$F232=11),SUM($Q$7:Q232)*VLOOKUP(pt,ROC,2,FALSE),0)</f>
        <v>0</v>
      </c>
      <c r="AD232" s="14">
        <f t="shared" ca="1" si="167"/>
        <v>0</v>
      </c>
      <c r="AE232" s="14">
        <f ca="1">(MAX(sa-CF231*Flag_UL_Type,105%*SUM($I$7:I232),Z232)+AU232)*B232</f>
        <v>0</v>
      </c>
      <c r="AF232" s="136"/>
      <c r="AG232" s="18">
        <v>226</v>
      </c>
      <c r="AH232" s="30">
        <f t="shared" ca="1" si="168"/>
        <v>0</v>
      </c>
      <c r="AI232" s="58"/>
      <c r="AJ232" s="50">
        <f>IF(AND(Option_Sys_TopUp&gt;="Y",H232&gt;=sytp,H232&lt;=(dtp+sytp-1),F232=0,H232&lt;=ppt+1),atp,0)+IFERROR(VLOOKUP(H232,Input!$B$55:$C$61,2,0),0)*(F232=0)*(Option_TopUP="Y")*(Option_Sys_TopUp="N")*B232*(pt&gt;=H232+5)</f>
        <v>0</v>
      </c>
      <c r="AK232" s="50">
        <f t="shared" si="169"/>
        <v>0</v>
      </c>
      <c r="AL232" s="50">
        <f t="shared" si="190"/>
        <v>0</v>
      </c>
      <c r="AM232" s="50">
        <f t="shared" ca="1" si="191"/>
        <v>0</v>
      </c>
      <c r="AN232" s="50">
        <f>IF(B232=0,0,AT232*(_rpm1+(1+_emr1)*VLOOKUP(E232,Tab_Mort_Charge,IF(Input!$C$12="M",2,3),0))*(0.001*0.0833)*Flag_Mort_Rider_Charge*(AT232&gt;0))</f>
        <v>0</v>
      </c>
      <c r="AO232" s="50">
        <f t="shared" ca="1" si="170"/>
        <v>0</v>
      </c>
      <c r="AP232" s="50">
        <f t="shared" ca="1" si="197"/>
        <v>0</v>
      </c>
      <c r="AQ232" s="50">
        <f t="shared" ca="1" si="171"/>
        <v>0</v>
      </c>
      <c r="AR232" s="50">
        <f t="shared" ca="1" si="172"/>
        <v>0</v>
      </c>
      <c r="AS232" s="50">
        <f t="shared" si="173"/>
        <v>0</v>
      </c>
      <c r="AT232" s="50">
        <f ca="1">(MAX((MAX(AS232,105%*SUM($AJ$7:AJ232))-AM232*Flag_UL_Type),0)*B232)</f>
        <v>0</v>
      </c>
      <c r="AU232" s="50">
        <f ca="1">(MAX(AS232,AR232,105%*SUM($AJ$7:AJ232))*B232)</f>
        <v>0</v>
      </c>
      <c r="AV232" s="125"/>
      <c r="AW232" s="13"/>
      <c r="AX232" s="13"/>
      <c r="AY232" s="13"/>
      <c r="AZ232" s="13"/>
      <c r="BA232" s="13"/>
      <c r="BG232" s="51">
        <f t="shared" si="174"/>
        <v>0</v>
      </c>
      <c r="BH232" s="51">
        <f t="shared" si="175"/>
        <v>0</v>
      </c>
      <c r="BI232" s="51">
        <f t="shared" ca="1" si="176"/>
        <v>0</v>
      </c>
      <c r="BJ232" s="51">
        <f t="shared" ca="1" si="177"/>
        <v>0</v>
      </c>
      <c r="BK232" s="51">
        <f t="shared" si="178"/>
        <v>0</v>
      </c>
      <c r="BL232" s="51">
        <f t="shared" ca="1" si="179"/>
        <v>0</v>
      </c>
      <c r="BM232" s="51">
        <f t="shared" si="180"/>
        <v>0</v>
      </c>
      <c r="BN232" s="51">
        <f t="shared" si="181"/>
        <v>0</v>
      </c>
      <c r="BO232" s="51">
        <f t="shared" ca="1" si="182"/>
        <v>0</v>
      </c>
      <c r="BP232" s="51">
        <f t="shared" ca="1" si="183"/>
        <v>0</v>
      </c>
      <c r="BQ232" s="120"/>
      <c r="BR232" s="32"/>
      <c r="BS232" s="126"/>
      <c r="BT232" s="16"/>
      <c r="BU232" s="58"/>
      <c r="BW232" s="51">
        <f>IF(Input!$C$13="Offline",VLOOKUP(H232,Charges!$AT$4:$AU$33,2,FALSE)*I232,0)</f>
        <v>0</v>
      </c>
      <c r="BX232" s="51">
        <f t="shared" si="184"/>
        <v>0</v>
      </c>
      <c r="BY232" s="51">
        <f t="shared" si="192"/>
        <v>0</v>
      </c>
      <c r="BZ232" s="151"/>
      <c r="CA232" s="151"/>
      <c r="CB232" s="32"/>
      <c r="CC232" s="16">
        <f ca="1">SUM($N$7:$N232)</f>
        <v>0</v>
      </c>
      <c r="CD232" s="16">
        <f t="shared" ca="1" si="185"/>
        <v>0</v>
      </c>
      <c r="CE232" s="16">
        <f t="shared" ca="1" si="186"/>
        <v>0</v>
      </c>
      <c r="CF232" s="7">
        <f t="shared" ca="1" si="187"/>
        <v>0</v>
      </c>
      <c r="CH232" s="7">
        <f t="shared" ca="1" si="188"/>
        <v>0</v>
      </c>
    </row>
    <row r="233" spans="2:86" s="7" customFormat="1" x14ac:dyDescent="0.2">
      <c r="B233" s="14">
        <f t="shared" si="152"/>
        <v>0</v>
      </c>
      <c r="C233" s="12">
        <f t="shared" si="153"/>
        <v>0</v>
      </c>
      <c r="D233" s="17">
        <f t="shared" si="193"/>
        <v>227</v>
      </c>
      <c r="E233" s="17">
        <f t="shared" ca="1" si="154"/>
        <v>78</v>
      </c>
      <c r="F233" s="12">
        <f t="shared" si="195"/>
        <v>10</v>
      </c>
      <c r="G233" s="12">
        <f t="shared" si="194"/>
        <v>38</v>
      </c>
      <c r="H233" s="17">
        <f t="shared" si="196"/>
        <v>19</v>
      </c>
      <c r="I233" s="29">
        <f t="shared" si="155"/>
        <v>0</v>
      </c>
      <c r="J233" s="211">
        <f>IFERROR(VLOOKUP(H233,Charges!$T$6:$U$35,2,0)*C233,0)</f>
        <v>0</v>
      </c>
      <c r="K233" s="29">
        <f t="shared" si="156"/>
        <v>0</v>
      </c>
      <c r="L233" s="29">
        <f t="shared" si="157"/>
        <v>0</v>
      </c>
      <c r="M233" s="147">
        <f t="shared" ca="1" si="158"/>
        <v>0</v>
      </c>
      <c r="N233" s="148">
        <f ca="1">IF(AND(Option_SPW="Y",H233&gt;=Lock_In_Period,Z232&gt;SPW_Amount_pa+IF(option="Single",1/5*pr,2*pr),H233&gt;=SPW_Start_Year,H233&lt;=SPW_Start_Year+SPW_Duration-1,age+H233&gt;=Legal_Age),IF(AND(F233=0,SPW_Payout_Freq=1),SPW_Amount_pa,IF(AND(SPW_Payout_Freq=2,MOD(F233,6)=0),SPW_Amount_pa/SPW_Payout_Freq,IF(AND(SPW_Payout_Freq=4,MOD(F233,3)=0),SPW_Amount_pa/SPW_Payout_Freq,IF(SPW_Payout_Freq=12,SPW_Amount_pa/SPW_Payout_Freq,0)))),0)+IFERROR(VLOOKUP(H233,Input!$B$68:$C$74,2,0),0)*(F233=0)*(Option_PW="Y")*(Option_SPW="N")*(age+H233&gt;=Legal_Age)</f>
        <v>0</v>
      </c>
      <c r="O233" s="148">
        <f t="shared" ca="1" si="159"/>
        <v>0</v>
      </c>
      <c r="P233" s="14">
        <f ca="1">(MAX(MAX(sa-CF232*Flag_UL_Type,105%*SUM($I$7:I233))-(AD232+L233-N233)*Flag_UL_Type,0)*B233)</f>
        <v>0</v>
      </c>
      <c r="Q233" s="213">
        <f t="shared" si="160"/>
        <v>0</v>
      </c>
      <c r="R233" s="14">
        <f t="shared" ca="1" si="161"/>
        <v>0</v>
      </c>
      <c r="S233" s="14">
        <f t="shared" ca="1" si="162"/>
        <v>0</v>
      </c>
      <c r="T233" s="14">
        <f>IFERROR(IF(WoP_Flag="Y",IF(fq=1,VLOOKUP(ppt*fq-H233,Charges!$AN$41:$AO$59,2,FALSE),IF(fq=2,VLOOKUP(ppt*fq-G233,Charges!$AP$41:$AQ$79,2,FALSE),VLOOKUP(ppt*fq-D233,Charges!$AR$41:$AS$279,2,FALSE)))*pr/fq,0),0)</f>
        <v>0</v>
      </c>
      <c r="U233" s="14">
        <f t="shared" ca="1" si="163"/>
        <v>0</v>
      </c>
      <c r="V233" s="34">
        <f>ROUND(MIN(IF(H233&gt;=7,Charges!$C$12*(1+Charges!$C$14)^((H233-7+1)),VLOOKUP(H233,Charges!$B$7:$C$12,2,0))*pr,Charges!$C$13)*B233,Round)</f>
        <v>0</v>
      </c>
      <c r="W233" s="14">
        <f t="shared" ca="1" si="164"/>
        <v>0</v>
      </c>
      <c r="X233" s="14">
        <f t="shared" ca="1" si="165"/>
        <v>0</v>
      </c>
      <c r="Y233" s="213">
        <f t="shared" ca="1" si="189"/>
        <v>0</v>
      </c>
      <c r="Z233" s="14">
        <f t="shared" ca="1" si="166"/>
        <v>0</v>
      </c>
      <c r="AA233" s="14">
        <f>IF(AND($H233=pt,$F233=11),SUM($K$7:K233)*VLOOKUP(pt,ROC,2,FALSE),0)</f>
        <v>0</v>
      </c>
      <c r="AB233" s="14">
        <f>IF(AND($H233=pt,$F233=11),SUM($V$7:V233)*VLOOKUP(pt,ROC,2,FALSE),0)</f>
        <v>0</v>
      </c>
      <c r="AC233" s="14">
        <f>IF(AND($H233=pt,$F233=11),SUM($Q$7:Q233)*VLOOKUP(pt,ROC,2,FALSE),0)</f>
        <v>0</v>
      </c>
      <c r="AD233" s="14">
        <f t="shared" ca="1" si="167"/>
        <v>0</v>
      </c>
      <c r="AE233" s="14">
        <f ca="1">(MAX(sa-CF232*Flag_UL_Type,105%*SUM($I$7:I233),Z233)+AU233)*B233</f>
        <v>0</v>
      </c>
      <c r="AF233" s="136"/>
      <c r="AG233" s="18">
        <v>227</v>
      </c>
      <c r="AH233" s="30">
        <f t="shared" ca="1" si="168"/>
        <v>0</v>
      </c>
      <c r="AI233" s="58"/>
      <c r="AJ233" s="50">
        <f>IF(AND(Option_Sys_TopUp&gt;="Y",H233&gt;=sytp,H233&lt;=(dtp+sytp-1),F233=0,H233&lt;=ppt+1),atp,0)+IFERROR(VLOOKUP(H233,Input!$B$55:$C$61,2,0),0)*(F233=0)*(Option_TopUP="Y")*(Option_Sys_TopUp="N")*B233*(pt&gt;=H233+5)</f>
        <v>0</v>
      </c>
      <c r="AK233" s="50">
        <f t="shared" si="169"/>
        <v>0</v>
      </c>
      <c r="AL233" s="50">
        <f t="shared" si="190"/>
        <v>0</v>
      </c>
      <c r="AM233" s="50">
        <f t="shared" ca="1" si="191"/>
        <v>0</v>
      </c>
      <c r="AN233" s="50">
        <f>IF(B233=0,0,AT233*(_rpm1+(1+_emr1)*VLOOKUP(E233,Tab_Mort_Charge,IF(Input!$C$12="M",2,3),0))*(0.001*0.0833)*Flag_Mort_Rider_Charge*(AT233&gt;0))</f>
        <v>0</v>
      </c>
      <c r="AO233" s="50">
        <f t="shared" ca="1" si="170"/>
        <v>0</v>
      </c>
      <c r="AP233" s="50">
        <f t="shared" ca="1" si="197"/>
        <v>0</v>
      </c>
      <c r="AQ233" s="50">
        <f t="shared" ca="1" si="171"/>
        <v>0</v>
      </c>
      <c r="AR233" s="50">
        <f t="shared" ca="1" si="172"/>
        <v>0</v>
      </c>
      <c r="AS233" s="50">
        <f t="shared" si="173"/>
        <v>0</v>
      </c>
      <c r="AT233" s="50">
        <f ca="1">(MAX((MAX(AS233,105%*SUM($AJ$7:AJ233))-AM233*Flag_UL_Type),0)*B233)</f>
        <v>0</v>
      </c>
      <c r="AU233" s="50">
        <f ca="1">(MAX(AS233,AR233,105%*SUM($AJ$7:AJ233))*B233)</f>
        <v>0</v>
      </c>
      <c r="AV233" s="125"/>
      <c r="AW233" s="13"/>
      <c r="AX233" s="13"/>
      <c r="AY233" s="13"/>
      <c r="AZ233" s="13"/>
      <c r="BA233" s="13"/>
      <c r="BG233" s="51">
        <f t="shared" si="174"/>
        <v>0</v>
      </c>
      <c r="BH233" s="51">
        <f t="shared" si="175"/>
        <v>0</v>
      </c>
      <c r="BI233" s="51">
        <f t="shared" ca="1" si="176"/>
        <v>0</v>
      </c>
      <c r="BJ233" s="51">
        <f t="shared" ca="1" si="177"/>
        <v>0</v>
      </c>
      <c r="BK233" s="51">
        <f t="shared" si="178"/>
        <v>0</v>
      </c>
      <c r="BL233" s="51">
        <f t="shared" ca="1" si="179"/>
        <v>0</v>
      </c>
      <c r="BM233" s="51">
        <f t="shared" si="180"/>
        <v>0</v>
      </c>
      <c r="BN233" s="51">
        <f t="shared" si="181"/>
        <v>0</v>
      </c>
      <c r="BO233" s="51">
        <f t="shared" ca="1" si="182"/>
        <v>0</v>
      </c>
      <c r="BP233" s="51">
        <f t="shared" ca="1" si="183"/>
        <v>0</v>
      </c>
      <c r="BQ233" s="120"/>
      <c r="BR233" s="32"/>
      <c r="BS233" s="126"/>
      <c r="BT233" s="16"/>
      <c r="BU233" s="58"/>
      <c r="BW233" s="51">
        <f>IF(Input!$C$13="Offline",VLOOKUP(H233,Charges!$AT$4:$AU$33,2,FALSE)*I233,0)</f>
        <v>0</v>
      </c>
      <c r="BX233" s="51">
        <f t="shared" si="184"/>
        <v>0</v>
      </c>
      <c r="BY233" s="51">
        <f t="shared" si="192"/>
        <v>0</v>
      </c>
      <c r="BZ233" s="151"/>
      <c r="CA233" s="151"/>
      <c r="CB233" s="32"/>
      <c r="CC233" s="16">
        <f ca="1">SUM($N$7:$N233)</f>
        <v>0</v>
      </c>
      <c r="CD233" s="16">
        <f t="shared" ca="1" si="185"/>
        <v>0</v>
      </c>
      <c r="CE233" s="16">
        <f t="shared" ca="1" si="186"/>
        <v>0</v>
      </c>
      <c r="CF233" s="7">
        <f t="shared" ca="1" si="187"/>
        <v>0</v>
      </c>
      <c r="CH233" s="7">
        <f t="shared" ca="1" si="188"/>
        <v>0</v>
      </c>
    </row>
    <row r="234" spans="2:86" s="7" customFormat="1" x14ac:dyDescent="0.2">
      <c r="B234" s="14">
        <f t="shared" si="152"/>
        <v>0</v>
      </c>
      <c r="C234" s="12">
        <f t="shared" si="153"/>
        <v>0</v>
      </c>
      <c r="D234" s="17">
        <f t="shared" si="193"/>
        <v>228</v>
      </c>
      <c r="E234" s="17">
        <f t="shared" ca="1" si="154"/>
        <v>78</v>
      </c>
      <c r="F234" s="12">
        <f t="shared" si="195"/>
        <v>11</v>
      </c>
      <c r="G234" s="12">
        <f t="shared" si="194"/>
        <v>38</v>
      </c>
      <c r="H234" s="17">
        <f t="shared" si="196"/>
        <v>19</v>
      </c>
      <c r="I234" s="29">
        <f t="shared" si="155"/>
        <v>0</v>
      </c>
      <c r="J234" s="211">
        <f>IFERROR(VLOOKUP(H234,Charges!$T$6:$U$35,2,0)*C234,0)</f>
        <v>0</v>
      </c>
      <c r="K234" s="29">
        <f t="shared" si="156"/>
        <v>0</v>
      </c>
      <c r="L234" s="29">
        <f t="shared" si="157"/>
        <v>0</v>
      </c>
      <c r="M234" s="147">
        <f t="shared" ca="1" si="158"/>
        <v>0</v>
      </c>
      <c r="N234" s="148">
        <f ca="1">IF(AND(Option_SPW="Y",H234&gt;=Lock_In_Period,Z233&gt;SPW_Amount_pa+IF(option="Single",1/5*pr,2*pr),H234&gt;=SPW_Start_Year,H234&lt;=SPW_Start_Year+SPW_Duration-1,age+H234&gt;=Legal_Age),IF(AND(F234=0,SPW_Payout_Freq=1),SPW_Amount_pa,IF(AND(SPW_Payout_Freq=2,MOD(F234,6)=0),SPW_Amount_pa/SPW_Payout_Freq,IF(AND(SPW_Payout_Freq=4,MOD(F234,3)=0),SPW_Amount_pa/SPW_Payout_Freq,IF(SPW_Payout_Freq=12,SPW_Amount_pa/SPW_Payout_Freq,0)))),0)+IFERROR(VLOOKUP(H234,Input!$B$68:$C$74,2,0),0)*(F234=0)*(Option_PW="Y")*(Option_SPW="N")*(age+H234&gt;=Legal_Age)</f>
        <v>0</v>
      </c>
      <c r="O234" s="148">
        <f t="shared" ca="1" si="159"/>
        <v>0</v>
      </c>
      <c r="P234" s="14">
        <f ca="1">(MAX(MAX(sa-CF233*Flag_UL_Type,105%*SUM($I$7:I234))-(AD233+L234-N234)*Flag_UL_Type,0)*B234)</f>
        <v>0</v>
      </c>
      <c r="Q234" s="213">
        <f t="shared" si="160"/>
        <v>0</v>
      </c>
      <c r="R234" s="14">
        <f t="shared" ca="1" si="161"/>
        <v>0</v>
      </c>
      <c r="S234" s="14">
        <f t="shared" ca="1" si="162"/>
        <v>0</v>
      </c>
      <c r="T234" s="14">
        <f>IFERROR(IF(WoP_Flag="Y",IF(fq=1,VLOOKUP(ppt*fq-H234,Charges!$AN$41:$AO$59,2,FALSE),IF(fq=2,VLOOKUP(ppt*fq-G234,Charges!$AP$41:$AQ$79,2,FALSE),VLOOKUP(ppt*fq-D234,Charges!$AR$41:$AS$279,2,FALSE)))*pr/fq,0),0)</f>
        <v>0</v>
      </c>
      <c r="U234" s="14">
        <f t="shared" ca="1" si="163"/>
        <v>0</v>
      </c>
      <c r="V234" s="34">
        <f>ROUND(MIN(IF(H234&gt;=7,Charges!$C$12*(1+Charges!$C$14)^((H234-7+1)),VLOOKUP(H234,Charges!$B$7:$C$12,2,0))*pr,Charges!$C$13)*B234,Round)</f>
        <v>0</v>
      </c>
      <c r="W234" s="14">
        <f t="shared" ca="1" si="164"/>
        <v>0</v>
      </c>
      <c r="X234" s="14">
        <f t="shared" ca="1" si="165"/>
        <v>0</v>
      </c>
      <c r="Y234" s="213">
        <f t="shared" ca="1" si="189"/>
        <v>0</v>
      </c>
      <c r="Z234" s="14">
        <f t="shared" ca="1" si="166"/>
        <v>0</v>
      </c>
      <c r="AA234" s="14">
        <f>IF(AND($H234=pt,$F234=11),SUM($K$7:K234)*VLOOKUP(pt,ROC,2,FALSE),0)</f>
        <v>0</v>
      </c>
      <c r="AB234" s="14">
        <f>IF(AND($H234=pt,$F234=11),SUM($V$7:V234)*VLOOKUP(pt,ROC,2,FALSE),0)</f>
        <v>0</v>
      </c>
      <c r="AC234" s="14">
        <f>IF(AND($H234=pt,$F234=11),SUM($Q$7:Q234)*VLOOKUP(pt,ROC,2,FALSE),0)</f>
        <v>0</v>
      </c>
      <c r="AD234" s="14">
        <f t="shared" ca="1" si="167"/>
        <v>0</v>
      </c>
      <c r="AE234" s="14">
        <f ca="1">(MAX(sa-CF233*Flag_UL_Type,105%*SUM($I$7:I234),Z234)+AU234)*B234</f>
        <v>0</v>
      </c>
      <c r="AF234" s="136"/>
      <c r="AG234" s="18">
        <v>228</v>
      </c>
      <c r="AH234" s="30">
        <f t="shared" ca="1" si="168"/>
        <v>0</v>
      </c>
      <c r="AI234" s="58"/>
      <c r="AJ234" s="50">
        <f>IF(AND(Option_Sys_TopUp&gt;="Y",H234&gt;=sytp,H234&lt;=(dtp+sytp-1),F234=0,H234&lt;=ppt+1),atp,0)+IFERROR(VLOOKUP(H234,Input!$B$55:$C$61,2,0),0)*(F234=0)*(Option_TopUP="Y")*(Option_Sys_TopUp="N")*B234*(pt&gt;=H234+5)</f>
        <v>0</v>
      </c>
      <c r="AK234" s="50">
        <f t="shared" si="169"/>
        <v>0</v>
      </c>
      <c r="AL234" s="50">
        <f t="shared" si="190"/>
        <v>0</v>
      </c>
      <c r="AM234" s="50">
        <f t="shared" ca="1" si="191"/>
        <v>0</v>
      </c>
      <c r="AN234" s="50">
        <f>IF(B234=0,0,AT234*(_rpm1+(1+_emr1)*VLOOKUP(E234,Tab_Mort_Charge,IF(Input!$C$12="M",2,3),0))*(0.001*0.0833)*Flag_Mort_Rider_Charge*(AT234&gt;0))</f>
        <v>0</v>
      </c>
      <c r="AO234" s="50">
        <f t="shared" ca="1" si="170"/>
        <v>0</v>
      </c>
      <c r="AP234" s="50">
        <f t="shared" ca="1" si="197"/>
        <v>0</v>
      </c>
      <c r="AQ234" s="50">
        <f t="shared" ca="1" si="171"/>
        <v>0</v>
      </c>
      <c r="AR234" s="50">
        <f t="shared" ca="1" si="172"/>
        <v>0</v>
      </c>
      <c r="AS234" s="50">
        <f t="shared" si="173"/>
        <v>0</v>
      </c>
      <c r="AT234" s="50">
        <f ca="1">(MAX((MAX(AS234,105%*SUM($AJ$7:AJ234))-AM234*Flag_UL_Type),0)*B234)</f>
        <v>0</v>
      </c>
      <c r="AU234" s="50">
        <f ca="1">(MAX(AS234,AR234,105%*SUM($AJ$7:AJ234))*B234)</f>
        <v>0</v>
      </c>
      <c r="AV234" s="125"/>
      <c r="AW234" s="13"/>
      <c r="AX234" s="13"/>
      <c r="AY234" s="13"/>
      <c r="AZ234" s="13"/>
      <c r="BA234" s="13"/>
      <c r="BG234" s="51">
        <f t="shared" si="174"/>
        <v>0</v>
      </c>
      <c r="BH234" s="51">
        <f t="shared" si="175"/>
        <v>0</v>
      </c>
      <c r="BI234" s="51">
        <f t="shared" ca="1" si="176"/>
        <v>0</v>
      </c>
      <c r="BJ234" s="51">
        <f t="shared" ca="1" si="177"/>
        <v>0</v>
      </c>
      <c r="BK234" s="51">
        <f t="shared" si="178"/>
        <v>0</v>
      </c>
      <c r="BL234" s="51">
        <f t="shared" ca="1" si="179"/>
        <v>0</v>
      </c>
      <c r="BM234" s="51">
        <f t="shared" si="180"/>
        <v>0</v>
      </c>
      <c r="BN234" s="51">
        <f t="shared" si="181"/>
        <v>0</v>
      </c>
      <c r="BO234" s="51">
        <f t="shared" ca="1" si="182"/>
        <v>0</v>
      </c>
      <c r="BP234" s="51">
        <f t="shared" ca="1" si="183"/>
        <v>0</v>
      </c>
      <c r="BQ234" s="120"/>
      <c r="BR234" s="32"/>
      <c r="BS234" s="126"/>
      <c r="BT234" s="16"/>
      <c r="BU234" s="58"/>
      <c r="BW234" s="51">
        <f>IF(Input!$C$13="Offline",VLOOKUP(H234,Charges!$AT$4:$AU$33,2,FALSE)*I234,0)</f>
        <v>0</v>
      </c>
      <c r="BX234" s="51">
        <f t="shared" si="184"/>
        <v>0</v>
      </c>
      <c r="BY234" s="51">
        <f t="shared" si="192"/>
        <v>0</v>
      </c>
      <c r="BZ234" s="151"/>
      <c r="CA234" s="151"/>
      <c r="CB234" s="32"/>
      <c r="CC234" s="16">
        <f ca="1">SUM($N$7:$N234)</f>
        <v>0</v>
      </c>
      <c r="CD234" s="16">
        <f t="shared" ca="1" si="185"/>
        <v>0</v>
      </c>
      <c r="CE234" s="16">
        <f t="shared" ca="1" si="186"/>
        <v>0</v>
      </c>
      <c r="CF234" s="7">
        <f t="shared" ca="1" si="187"/>
        <v>0</v>
      </c>
      <c r="CH234" s="7">
        <f t="shared" ca="1" si="188"/>
        <v>0</v>
      </c>
    </row>
    <row r="235" spans="2:86" s="7" customFormat="1" x14ac:dyDescent="0.2">
      <c r="B235" s="14">
        <f t="shared" si="152"/>
        <v>0</v>
      </c>
      <c r="C235" s="12">
        <f t="shared" si="153"/>
        <v>0</v>
      </c>
      <c r="D235" s="17">
        <f t="shared" si="193"/>
        <v>229</v>
      </c>
      <c r="E235" s="17">
        <f t="shared" ca="1" si="154"/>
        <v>79</v>
      </c>
      <c r="F235" s="12">
        <f t="shared" si="195"/>
        <v>0</v>
      </c>
      <c r="G235" s="12">
        <f t="shared" si="194"/>
        <v>39</v>
      </c>
      <c r="H235" s="17">
        <f t="shared" si="196"/>
        <v>20</v>
      </c>
      <c r="I235" s="29">
        <f t="shared" si="155"/>
        <v>0</v>
      </c>
      <c r="J235" s="211">
        <f>IFERROR(VLOOKUP(H235,Charges!$T$6:$U$35,2,0)*C235,0)</f>
        <v>0</v>
      </c>
      <c r="K235" s="29">
        <f t="shared" si="156"/>
        <v>0</v>
      </c>
      <c r="L235" s="29">
        <f t="shared" si="157"/>
        <v>0</v>
      </c>
      <c r="M235" s="147">
        <f t="shared" ca="1" si="158"/>
        <v>0</v>
      </c>
      <c r="N235" s="148">
        <f ca="1">IF(AND(Option_SPW="Y",H235&gt;=Lock_In_Period,Z234&gt;SPW_Amount_pa+IF(option="Single",1/5*pr,2*pr),H235&gt;=SPW_Start_Year,H235&lt;=SPW_Start_Year+SPW_Duration-1,age+H235&gt;=Legal_Age),IF(AND(F235=0,SPW_Payout_Freq=1),SPW_Amount_pa,IF(AND(SPW_Payout_Freq=2,MOD(F235,6)=0),SPW_Amount_pa/SPW_Payout_Freq,IF(AND(SPW_Payout_Freq=4,MOD(F235,3)=0),SPW_Amount_pa/SPW_Payout_Freq,IF(SPW_Payout_Freq=12,SPW_Amount_pa/SPW_Payout_Freq,0)))),0)+IFERROR(VLOOKUP(H235,Input!$B$68:$C$74,2,0),0)*(F235=0)*(Option_PW="Y")*(Option_SPW="N")*(age+H235&gt;=Legal_Age)</f>
        <v>0</v>
      </c>
      <c r="O235" s="148">
        <f t="shared" ca="1" si="159"/>
        <v>0</v>
      </c>
      <c r="P235" s="14">
        <f ca="1">(MAX(MAX(sa-CF234*Flag_UL_Type,105%*SUM($I$7:I235))-(AD234+L235-N235)*Flag_UL_Type,0)*B235)</f>
        <v>0</v>
      </c>
      <c r="Q235" s="213">
        <f t="shared" si="160"/>
        <v>0</v>
      </c>
      <c r="R235" s="14">
        <f t="shared" ca="1" si="161"/>
        <v>0</v>
      </c>
      <c r="S235" s="14">
        <f t="shared" ca="1" si="162"/>
        <v>0</v>
      </c>
      <c r="T235" s="14">
        <f>IFERROR(IF(WoP_Flag="Y",IF(fq=1,VLOOKUP(ppt*fq-H235,Charges!$AN$41:$AO$59,2,FALSE),IF(fq=2,VLOOKUP(ppt*fq-G235,Charges!$AP$41:$AQ$79,2,FALSE),VLOOKUP(ppt*fq-D235,Charges!$AR$41:$AS$279,2,FALSE)))*pr/fq,0),0)</f>
        <v>0</v>
      </c>
      <c r="U235" s="14">
        <f t="shared" ca="1" si="163"/>
        <v>0</v>
      </c>
      <c r="V235" s="34">
        <f>ROUND(MIN(IF(H235&gt;=7,Charges!$C$12*(1+Charges!$C$14)^((H235-7+1)),VLOOKUP(H235,Charges!$B$7:$C$12,2,0))*pr,Charges!$C$13)*B235,Round)</f>
        <v>0</v>
      </c>
      <c r="W235" s="14">
        <f t="shared" ca="1" si="164"/>
        <v>0</v>
      </c>
      <c r="X235" s="14">
        <f t="shared" ca="1" si="165"/>
        <v>0</v>
      </c>
      <c r="Y235" s="213">
        <f t="shared" ca="1" si="189"/>
        <v>0</v>
      </c>
      <c r="Z235" s="14">
        <f t="shared" ca="1" si="166"/>
        <v>0</v>
      </c>
      <c r="AA235" s="14">
        <f>IF(AND($H235=pt,$F235=11),SUM($K$7:K235)*VLOOKUP(pt,ROC,2,FALSE),0)</f>
        <v>0</v>
      </c>
      <c r="AB235" s="14">
        <f>IF(AND($H235=pt,$F235=11),SUM($V$7:V235)*VLOOKUP(pt,ROC,2,FALSE),0)</f>
        <v>0</v>
      </c>
      <c r="AC235" s="14">
        <f>IF(AND($H235=pt,$F235=11),SUM($Q$7:Q235)*VLOOKUP(pt,ROC,2,FALSE),0)</f>
        <v>0</v>
      </c>
      <c r="AD235" s="14">
        <f t="shared" ca="1" si="167"/>
        <v>0</v>
      </c>
      <c r="AE235" s="14">
        <f ca="1">(MAX(sa-CF234*Flag_UL_Type,105%*SUM($I$7:I235),Z235)+AU235)*B235</f>
        <v>0</v>
      </c>
      <c r="AF235" s="136"/>
      <c r="AG235" s="18">
        <v>229</v>
      </c>
      <c r="AH235" s="30">
        <f t="shared" ca="1" si="168"/>
        <v>0</v>
      </c>
      <c r="AI235" s="58"/>
      <c r="AJ235" s="50">
        <f>IF(AND(Option_Sys_TopUp&gt;="Y",H235&gt;=sytp,H235&lt;=(dtp+sytp-1),F235=0,H235&lt;=ppt+1),atp,0)+IFERROR(VLOOKUP(H235,Input!$B$55:$C$61,2,0),0)*(F235=0)*(Option_TopUP="Y")*(Option_Sys_TopUp="N")*B235*(pt&gt;=H235+5)</f>
        <v>0</v>
      </c>
      <c r="AK235" s="50">
        <f t="shared" si="169"/>
        <v>0</v>
      </c>
      <c r="AL235" s="50">
        <f t="shared" si="190"/>
        <v>0</v>
      </c>
      <c r="AM235" s="50">
        <f t="shared" ca="1" si="191"/>
        <v>0</v>
      </c>
      <c r="AN235" s="50">
        <f>IF(B235=0,0,AT235*(_rpm1+(1+_emr1)*VLOOKUP(E235,Tab_Mort_Charge,IF(Input!$C$12="M",2,3),0))*(0.001*0.0833)*Flag_Mort_Rider_Charge*(AT235&gt;0))</f>
        <v>0</v>
      </c>
      <c r="AO235" s="50">
        <f t="shared" ca="1" si="170"/>
        <v>0</v>
      </c>
      <c r="AP235" s="50">
        <f t="shared" ca="1" si="197"/>
        <v>0</v>
      </c>
      <c r="AQ235" s="50">
        <f t="shared" ca="1" si="171"/>
        <v>0</v>
      </c>
      <c r="AR235" s="50">
        <f t="shared" ca="1" si="172"/>
        <v>0</v>
      </c>
      <c r="AS235" s="50">
        <f t="shared" si="173"/>
        <v>0</v>
      </c>
      <c r="AT235" s="50">
        <f ca="1">(MAX((MAX(AS235,105%*SUM($AJ$7:AJ235))-AM235*Flag_UL_Type),0)*B235)</f>
        <v>0</v>
      </c>
      <c r="AU235" s="50">
        <f ca="1">(MAX(AS235,AR235,105%*SUM($AJ$7:AJ235))*B235)</f>
        <v>0</v>
      </c>
      <c r="AV235" s="125"/>
      <c r="AW235" s="13"/>
      <c r="AX235" s="13"/>
      <c r="AY235" s="13"/>
      <c r="AZ235" s="13"/>
      <c r="BA235" s="13"/>
      <c r="BG235" s="51">
        <f t="shared" si="174"/>
        <v>0</v>
      </c>
      <c r="BH235" s="51">
        <f t="shared" si="175"/>
        <v>0</v>
      </c>
      <c r="BI235" s="51">
        <f t="shared" ca="1" si="176"/>
        <v>0</v>
      </c>
      <c r="BJ235" s="51">
        <f t="shared" ca="1" si="177"/>
        <v>0</v>
      </c>
      <c r="BK235" s="51">
        <f t="shared" si="178"/>
        <v>0</v>
      </c>
      <c r="BL235" s="51">
        <f t="shared" ca="1" si="179"/>
        <v>0</v>
      </c>
      <c r="BM235" s="51">
        <f t="shared" si="180"/>
        <v>0</v>
      </c>
      <c r="BN235" s="51">
        <f t="shared" si="181"/>
        <v>0</v>
      </c>
      <c r="BO235" s="51">
        <f t="shared" ca="1" si="182"/>
        <v>0</v>
      </c>
      <c r="BP235" s="51">
        <f t="shared" ca="1" si="183"/>
        <v>0</v>
      </c>
      <c r="BQ235" s="120"/>
      <c r="BR235" s="32"/>
      <c r="BS235" s="126"/>
      <c r="BT235" s="16"/>
      <c r="BU235" s="58"/>
      <c r="BW235" s="51">
        <f>IF(Input!$C$13="Offline",VLOOKUP(H235,Charges!$AT$4:$AU$33,2,FALSE)*I235,0)</f>
        <v>0</v>
      </c>
      <c r="BX235" s="51">
        <f t="shared" si="184"/>
        <v>0</v>
      </c>
      <c r="BY235" s="51">
        <f t="shared" si="192"/>
        <v>0</v>
      </c>
      <c r="BZ235" s="151"/>
      <c r="CA235" s="151"/>
      <c r="CB235" s="32"/>
      <c r="CC235" s="16">
        <f ca="1">SUM($N$7:$N235)</f>
        <v>0</v>
      </c>
      <c r="CD235" s="16">
        <f t="shared" ca="1" si="185"/>
        <v>0</v>
      </c>
      <c r="CE235" s="16">
        <f t="shared" ca="1" si="186"/>
        <v>0</v>
      </c>
      <c r="CF235" s="7">
        <f t="shared" ca="1" si="187"/>
        <v>0</v>
      </c>
      <c r="CH235" s="7">
        <f t="shared" ca="1" si="188"/>
        <v>0</v>
      </c>
    </row>
    <row r="236" spans="2:86" s="7" customFormat="1" x14ac:dyDescent="0.2">
      <c r="B236" s="14">
        <f t="shared" si="152"/>
        <v>0</v>
      </c>
      <c r="C236" s="12">
        <f t="shared" si="153"/>
        <v>0</v>
      </c>
      <c r="D236" s="17">
        <f t="shared" si="193"/>
        <v>230</v>
      </c>
      <c r="E236" s="17">
        <f t="shared" ca="1" si="154"/>
        <v>79</v>
      </c>
      <c r="F236" s="12">
        <f t="shared" si="195"/>
        <v>1</v>
      </c>
      <c r="G236" s="12">
        <f t="shared" si="194"/>
        <v>39</v>
      </c>
      <c r="H236" s="17">
        <f t="shared" si="196"/>
        <v>20</v>
      </c>
      <c r="I236" s="29">
        <f t="shared" si="155"/>
        <v>0</v>
      </c>
      <c r="J236" s="211">
        <f>IFERROR(VLOOKUP(H236,Charges!$T$6:$U$35,2,0)*C236,0)</f>
        <v>0</v>
      </c>
      <c r="K236" s="29">
        <f t="shared" si="156"/>
        <v>0</v>
      </c>
      <c r="L236" s="29">
        <f t="shared" si="157"/>
        <v>0</v>
      </c>
      <c r="M236" s="147">
        <f t="shared" ca="1" si="158"/>
        <v>0</v>
      </c>
      <c r="N236" s="148">
        <f ca="1">IF(AND(Option_SPW="Y",H236&gt;=Lock_In_Period,Z235&gt;SPW_Amount_pa+IF(option="Single",1/5*pr,2*pr),H236&gt;=SPW_Start_Year,H236&lt;=SPW_Start_Year+SPW_Duration-1,age+H236&gt;=Legal_Age),IF(AND(F236=0,SPW_Payout_Freq=1),SPW_Amount_pa,IF(AND(SPW_Payout_Freq=2,MOD(F236,6)=0),SPW_Amount_pa/SPW_Payout_Freq,IF(AND(SPW_Payout_Freq=4,MOD(F236,3)=0),SPW_Amount_pa/SPW_Payout_Freq,IF(SPW_Payout_Freq=12,SPW_Amount_pa/SPW_Payout_Freq,0)))),0)+IFERROR(VLOOKUP(H236,Input!$B$68:$C$74,2,0),0)*(F236=0)*(Option_PW="Y")*(Option_SPW="N")*(age+H236&gt;=Legal_Age)</f>
        <v>0</v>
      </c>
      <c r="O236" s="148">
        <f t="shared" ca="1" si="159"/>
        <v>0</v>
      </c>
      <c r="P236" s="14">
        <f ca="1">(MAX(MAX(sa-CF235*Flag_UL_Type,105%*SUM($I$7:I236))-(AD235+L236-N236)*Flag_UL_Type,0)*B236)</f>
        <v>0</v>
      </c>
      <c r="Q236" s="213">
        <f t="shared" si="160"/>
        <v>0</v>
      </c>
      <c r="R236" s="14">
        <f t="shared" ca="1" si="161"/>
        <v>0</v>
      </c>
      <c r="S236" s="14">
        <f t="shared" ca="1" si="162"/>
        <v>0</v>
      </c>
      <c r="T236" s="14">
        <f>IFERROR(IF(WoP_Flag="Y",IF(fq=1,VLOOKUP(ppt*fq-H236,Charges!$AN$41:$AO$59,2,FALSE),IF(fq=2,VLOOKUP(ppt*fq-G236,Charges!$AP$41:$AQ$79,2,FALSE),VLOOKUP(ppt*fq-D236,Charges!$AR$41:$AS$279,2,FALSE)))*pr/fq,0),0)</f>
        <v>0</v>
      </c>
      <c r="U236" s="14">
        <f t="shared" ca="1" si="163"/>
        <v>0</v>
      </c>
      <c r="V236" s="34">
        <f>ROUND(MIN(IF(H236&gt;=7,Charges!$C$12*(1+Charges!$C$14)^((H236-7+1)),VLOOKUP(H236,Charges!$B$7:$C$12,2,0))*pr,Charges!$C$13)*B236,Round)</f>
        <v>0</v>
      </c>
      <c r="W236" s="14">
        <f t="shared" ca="1" si="164"/>
        <v>0</v>
      </c>
      <c r="X236" s="14">
        <f t="shared" ca="1" si="165"/>
        <v>0</v>
      </c>
      <c r="Y236" s="213">
        <f t="shared" ca="1" si="189"/>
        <v>0</v>
      </c>
      <c r="Z236" s="14">
        <f t="shared" ca="1" si="166"/>
        <v>0</v>
      </c>
      <c r="AA236" s="14">
        <f>IF(AND($H236=pt,$F236=11),SUM($K$7:K236)*VLOOKUP(pt,ROC,2,FALSE),0)</f>
        <v>0</v>
      </c>
      <c r="AB236" s="14">
        <f>IF(AND($H236=pt,$F236=11),SUM($V$7:V236)*VLOOKUP(pt,ROC,2,FALSE),0)</f>
        <v>0</v>
      </c>
      <c r="AC236" s="14">
        <f>IF(AND($H236=pt,$F236=11),SUM($Q$7:Q236)*VLOOKUP(pt,ROC,2,FALSE),0)</f>
        <v>0</v>
      </c>
      <c r="AD236" s="14">
        <f t="shared" ca="1" si="167"/>
        <v>0</v>
      </c>
      <c r="AE236" s="14">
        <f ca="1">(MAX(sa-CF235*Flag_UL_Type,105%*SUM($I$7:I236),Z236)+AU236)*B236</f>
        <v>0</v>
      </c>
      <c r="AF236" s="136"/>
      <c r="AG236" s="18">
        <v>230</v>
      </c>
      <c r="AH236" s="30">
        <f t="shared" ca="1" si="168"/>
        <v>0</v>
      </c>
      <c r="AI236" s="58"/>
      <c r="AJ236" s="50">
        <f>IF(AND(Option_Sys_TopUp&gt;="Y",H236&gt;=sytp,H236&lt;=(dtp+sytp-1),F236=0,H236&lt;=ppt+1),atp,0)+IFERROR(VLOOKUP(H236,Input!$B$55:$C$61,2,0),0)*(F236=0)*(Option_TopUP="Y")*(Option_Sys_TopUp="N")*B236*(pt&gt;=H236+5)</f>
        <v>0</v>
      </c>
      <c r="AK236" s="50">
        <f t="shared" si="169"/>
        <v>0</v>
      </c>
      <c r="AL236" s="50">
        <f t="shared" si="190"/>
        <v>0</v>
      </c>
      <c r="AM236" s="50">
        <f t="shared" ca="1" si="191"/>
        <v>0</v>
      </c>
      <c r="AN236" s="50">
        <f>IF(B236=0,0,AT236*(_rpm1+(1+_emr1)*VLOOKUP(E236,Tab_Mort_Charge,IF(Input!$C$12="M",2,3),0))*(0.001*0.0833)*Flag_Mort_Rider_Charge*(AT236&gt;0))</f>
        <v>0</v>
      </c>
      <c r="AO236" s="50">
        <f t="shared" ca="1" si="170"/>
        <v>0</v>
      </c>
      <c r="AP236" s="50">
        <f t="shared" ca="1" si="197"/>
        <v>0</v>
      </c>
      <c r="AQ236" s="50">
        <f t="shared" ca="1" si="171"/>
        <v>0</v>
      </c>
      <c r="AR236" s="50">
        <f t="shared" ca="1" si="172"/>
        <v>0</v>
      </c>
      <c r="AS236" s="50">
        <f t="shared" si="173"/>
        <v>0</v>
      </c>
      <c r="AT236" s="50">
        <f ca="1">(MAX((MAX(AS236,105%*SUM($AJ$7:AJ236))-AM236*Flag_UL_Type),0)*B236)</f>
        <v>0</v>
      </c>
      <c r="AU236" s="50">
        <f ca="1">(MAX(AS236,AR236,105%*SUM($AJ$7:AJ236))*B236)</f>
        <v>0</v>
      </c>
      <c r="AV236" s="125"/>
      <c r="AW236" s="13"/>
      <c r="AX236" s="13"/>
      <c r="AY236" s="13"/>
      <c r="AZ236" s="13"/>
      <c r="BA236" s="13"/>
      <c r="BG236" s="51">
        <f t="shared" si="174"/>
        <v>0</v>
      </c>
      <c r="BH236" s="51">
        <f t="shared" si="175"/>
        <v>0</v>
      </c>
      <c r="BI236" s="51">
        <f t="shared" ca="1" si="176"/>
        <v>0</v>
      </c>
      <c r="BJ236" s="51">
        <f t="shared" ca="1" si="177"/>
        <v>0</v>
      </c>
      <c r="BK236" s="51">
        <f t="shared" si="178"/>
        <v>0</v>
      </c>
      <c r="BL236" s="51">
        <f t="shared" ca="1" si="179"/>
        <v>0</v>
      </c>
      <c r="BM236" s="51">
        <f t="shared" si="180"/>
        <v>0</v>
      </c>
      <c r="BN236" s="51">
        <f t="shared" si="181"/>
        <v>0</v>
      </c>
      <c r="BO236" s="51">
        <f t="shared" ca="1" si="182"/>
        <v>0</v>
      </c>
      <c r="BP236" s="51">
        <f t="shared" ca="1" si="183"/>
        <v>0</v>
      </c>
      <c r="BQ236" s="120"/>
      <c r="BR236" s="32"/>
      <c r="BS236" s="126"/>
      <c r="BT236" s="16"/>
      <c r="BU236" s="58"/>
      <c r="BW236" s="51">
        <f>IF(Input!$C$13="Offline",VLOOKUP(H236,Charges!$AT$4:$AU$33,2,FALSE)*I236,0)</f>
        <v>0</v>
      </c>
      <c r="BX236" s="51">
        <f t="shared" si="184"/>
        <v>0</v>
      </c>
      <c r="BY236" s="51">
        <f t="shared" si="192"/>
        <v>0</v>
      </c>
      <c r="BZ236" s="151"/>
      <c r="CA236" s="151"/>
      <c r="CB236" s="32"/>
      <c r="CC236" s="16">
        <f ca="1">SUM($N$7:$N236)</f>
        <v>0</v>
      </c>
      <c r="CD236" s="16">
        <f t="shared" ca="1" si="185"/>
        <v>0</v>
      </c>
      <c r="CE236" s="16">
        <f t="shared" ca="1" si="186"/>
        <v>0</v>
      </c>
      <c r="CF236" s="7">
        <f t="shared" ca="1" si="187"/>
        <v>0</v>
      </c>
      <c r="CH236" s="7">
        <f t="shared" ca="1" si="188"/>
        <v>0</v>
      </c>
    </row>
    <row r="237" spans="2:86" s="7" customFormat="1" x14ac:dyDescent="0.2">
      <c r="B237" s="14">
        <f t="shared" si="152"/>
        <v>0</v>
      </c>
      <c r="C237" s="12">
        <f t="shared" si="153"/>
        <v>0</v>
      </c>
      <c r="D237" s="17">
        <f t="shared" si="193"/>
        <v>231</v>
      </c>
      <c r="E237" s="17">
        <f t="shared" ca="1" si="154"/>
        <v>79</v>
      </c>
      <c r="F237" s="12">
        <f t="shared" si="195"/>
        <v>2</v>
      </c>
      <c r="G237" s="12">
        <f t="shared" si="194"/>
        <v>39</v>
      </c>
      <c r="H237" s="17">
        <f t="shared" si="196"/>
        <v>20</v>
      </c>
      <c r="I237" s="29">
        <f t="shared" si="155"/>
        <v>0</v>
      </c>
      <c r="J237" s="211">
        <f>IFERROR(VLOOKUP(H237,Charges!$T$6:$U$35,2,0)*C237,0)</f>
        <v>0</v>
      </c>
      <c r="K237" s="29">
        <f t="shared" si="156"/>
        <v>0</v>
      </c>
      <c r="L237" s="29">
        <f t="shared" si="157"/>
        <v>0</v>
      </c>
      <c r="M237" s="147">
        <f t="shared" ca="1" si="158"/>
        <v>0</v>
      </c>
      <c r="N237" s="148">
        <f ca="1">IF(AND(Option_SPW="Y",H237&gt;=Lock_In_Period,Z236&gt;SPW_Amount_pa+IF(option="Single",1/5*pr,2*pr),H237&gt;=SPW_Start_Year,H237&lt;=SPW_Start_Year+SPW_Duration-1,age+H237&gt;=Legal_Age),IF(AND(F237=0,SPW_Payout_Freq=1),SPW_Amount_pa,IF(AND(SPW_Payout_Freq=2,MOD(F237,6)=0),SPW_Amount_pa/SPW_Payout_Freq,IF(AND(SPW_Payout_Freq=4,MOD(F237,3)=0),SPW_Amount_pa/SPW_Payout_Freq,IF(SPW_Payout_Freq=12,SPW_Amount_pa/SPW_Payout_Freq,0)))),0)+IFERROR(VLOOKUP(H237,Input!$B$68:$C$74,2,0),0)*(F237=0)*(Option_PW="Y")*(Option_SPW="N")*(age+H237&gt;=Legal_Age)</f>
        <v>0</v>
      </c>
      <c r="O237" s="148">
        <f t="shared" ca="1" si="159"/>
        <v>0</v>
      </c>
      <c r="P237" s="14">
        <f ca="1">(MAX(MAX(sa-CF236*Flag_UL_Type,105%*SUM($I$7:I237))-(AD236+L237-N237)*Flag_UL_Type,0)*B237)</f>
        <v>0</v>
      </c>
      <c r="Q237" s="213">
        <f t="shared" si="160"/>
        <v>0</v>
      </c>
      <c r="R237" s="14">
        <f t="shared" ca="1" si="161"/>
        <v>0</v>
      </c>
      <c r="S237" s="14">
        <f t="shared" ca="1" si="162"/>
        <v>0</v>
      </c>
      <c r="T237" s="14">
        <f>IFERROR(IF(WoP_Flag="Y",IF(fq=1,VLOOKUP(ppt*fq-H237,Charges!$AN$41:$AO$59,2,FALSE),IF(fq=2,VLOOKUP(ppt*fq-G237,Charges!$AP$41:$AQ$79,2,FALSE),VLOOKUP(ppt*fq-D237,Charges!$AR$41:$AS$279,2,FALSE)))*pr/fq,0),0)</f>
        <v>0</v>
      </c>
      <c r="U237" s="14">
        <f t="shared" ca="1" si="163"/>
        <v>0</v>
      </c>
      <c r="V237" s="34">
        <f>ROUND(MIN(IF(H237&gt;=7,Charges!$C$12*(1+Charges!$C$14)^((H237-7+1)),VLOOKUP(H237,Charges!$B$7:$C$12,2,0))*pr,Charges!$C$13)*B237,Round)</f>
        <v>0</v>
      </c>
      <c r="W237" s="14">
        <f t="shared" ca="1" si="164"/>
        <v>0</v>
      </c>
      <c r="X237" s="14">
        <f t="shared" ca="1" si="165"/>
        <v>0</v>
      </c>
      <c r="Y237" s="213">
        <f t="shared" ca="1" si="189"/>
        <v>0</v>
      </c>
      <c r="Z237" s="14">
        <f t="shared" ca="1" si="166"/>
        <v>0</v>
      </c>
      <c r="AA237" s="14">
        <f>IF(AND($H237=pt,$F237=11),SUM($K$7:K237)*VLOOKUP(pt,ROC,2,FALSE),0)</f>
        <v>0</v>
      </c>
      <c r="AB237" s="14">
        <f>IF(AND($H237=pt,$F237=11),SUM($V$7:V237)*VLOOKUP(pt,ROC,2,FALSE),0)</f>
        <v>0</v>
      </c>
      <c r="AC237" s="14">
        <f>IF(AND($H237=pt,$F237=11),SUM($Q$7:Q237)*VLOOKUP(pt,ROC,2,FALSE),0)</f>
        <v>0</v>
      </c>
      <c r="AD237" s="14">
        <f t="shared" ca="1" si="167"/>
        <v>0</v>
      </c>
      <c r="AE237" s="14">
        <f ca="1">(MAX(sa-CF236*Flag_UL_Type,105%*SUM($I$7:I237),Z237)+AU237)*B237</f>
        <v>0</v>
      </c>
      <c r="AF237" s="136"/>
      <c r="AG237" s="18">
        <v>231</v>
      </c>
      <c r="AH237" s="30">
        <f t="shared" ca="1" si="168"/>
        <v>0</v>
      </c>
      <c r="AI237" s="58"/>
      <c r="AJ237" s="50">
        <f>IF(AND(Option_Sys_TopUp&gt;="Y",H237&gt;=sytp,H237&lt;=(dtp+sytp-1),F237=0,H237&lt;=ppt+1),atp,0)+IFERROR(VLOOKUP(H237,Input!$B$55:$C$61,2,0),0)*(F237=0)*(Option_TopUP="Y")*(Option_Sys_TopUp="N")*B237*(pt&gt;=H237+5)</f>
        <v>0</v>
      </c>
      <c r="AK237" s="50">
        <f t="shared" si="169"/>
        <v>0</v>
      </c>
      <c r="AL237" s="50">
        <f t="shared" si="190"/>
        <v>0</v>
      </c>
      <c r="AM237" s="50">
        <f t="shared" ca="1" si="191"/>
        <v>0</v>
      </c>
      <c r="AN237" s="50">
        <f>IF(B237=0,0,AT237*(_rpm1+(1+_emr1)*VLOOKUP(E237,Tab_Mort_Charge,IF(Input!$C$12="M",2,3),0))*(0.001*0.0833)*Flag_Mort_Rider_Charge*(AT237&gt;0))</f>
        <v>0</v>
      </c>
      <c r="AO237" s="50">
        <f t="shared" ca="1" si="170"/>
        <v>0</v>
      </c>
      <c r="AP237" s="50">
        <f t="shared" ca="1" si="197"/>
        <v>0</v>
      </c>
      <c r="AQ237" s="50">
        <f t="shared" ca="1" si="171"/>
        <v>0</v>
      </c>
      <c r="AR237" s="50">
        <f t="shared" ca="1" si="172"/>
        <v>0</v>
      </c>
      <c r="AS237" s="50">
        <f t="shared" si="173"/>
        <v>0</v>
      </c>
      <c r="AT237" s="50">
        <f ca="1">(MAX((MAX(AS237,105%*SUM($AJ$7:AJ237))-AM237*Flag_UL_Type),0)*B237)</f>
        <v>0</v>
      </c>
      <c r="AU237" s="50">
        <f ca="1">(MAX(AS237,AR237,105%*SUM($AJ$7:AJ237))*B237)</f>
        <v>0</v>
      </c>
      <c r="AV237" s="125"/>
      <c r="AW237" s="13"/>
      <c r="AX237" s="13"/>
      <c r="AY237" s="13"/>
      <c r="AZ237" s="13"/>
      <c r="BA237" s="13"/>
      <c r="BG237" s="51">
        <f t="shared" si="174"/>
        <v>0</v>
      </c>
      <c r="BH237" s="51">
        <f t="shared" si="175"/>
        <v>0</v>
      </c>
      <c r="BI237" s="51">
        <f t="shared" ca="1" si="176"/>
        <v>0</v>
      </c>
      <c r="BJ237" s="51">
        <f t="shared" ca="1" si="177"/>
        <v>0</v>
      </c>
      <c r="BK237" s="51">
        <f t="shared" si="178"/>
        <v>0</v>
      </c>
      <c r="BL237" s="51">
        <f t="shared" ca="1" si="179"/>
        <v>0</v>
      </c>
      <c r="BM237" s="51">
        <f t="shared" si="180"/>
        <v>0</v>
      </c>
      <c r="BN237" s="51">
        <f t="shared" si="181"/>
        <v>0</v>
      </c>
      <c r="BO237" s="51">
        <f t="shared" ca="1" si="182"/>
        <v>0</v>
      </c>
      <c r="BP237" s="51">
        <f t="shared" ca="1" si="183"/>
        <v>0</v>
      </c>
      <c r="BQ237" s="120"/>
      <c r="BR237" s="32"/>
      <c r="BS237" s="126"/>
      <c r="BT237" s="16"/>
      <c r="BU237" s="58"/>
      <c r="BW237" s="51">
        <f>IF(Input!$C$13="Offline",VLOOKUP(H237,Charges!$AT$4:$AU$33,2,FALSE)*I237,0)</f>
        <v>0</v>
      </c>
      <c r="BX237" s="51">
        <f t="shared" si="184"/>
        <v>0</v>
      </c>
      <c r="BY237" s="51">
        <f t="shared" si="192"/>
        <v>0</v>
      </c>
      <c r="BZ237" s="151"/>
      <c r="CA237" s="151"/>
      <c r="CB237" s="32"/>
      <c r="CC237" s="16">
        <f ca="1">SUM($N$7:$N237)</f>
        <v>0</v>
      </c>
      <c r="CD237" s="16">
        <f t="shared" ca="1" si="185"/>
        <v>0</v>
      </c>
      <c r="CE237" s="16">
        <f t="shared" ca="1" si="186"/>
        <v>0</v>
      </c>
      <c r="CF237" s="7">
        <f t="shared" ca="1" si="187"/>
        <v>0</v>
      </c>
      <c r="CH237" s="7">
        <f t="shared" ca="1" si="188"/>
        <v>0</v>
      </c>
    </row>
    <row r="238" spans="2:86" s="7" customFormat="1" x14ac:dyDescent="0.2">
      <c r="B238" s="14">
        <f t="shared" si="152"/>
        <v>0</v>
      </c>
      <c r="C238" s="12">
        <f t="shared" si="153"/>
        <v>0</v>
      </c>
      <c r="D238" s="17">
        <f t="shared" si="193"/>
        <v>232</v>
      </c>
      <c r="E238" s="17">
        <f t="shared" ca="1" si="154"/>
        <v>79</v>
      </c>
      <c r="F238" s="12">
        <f t="shared" si="195"/>
        <v>3</v>
      </c>
      <c r="G238" s="12">
        <f t="shared" si="194"/>
        <v>39</v>
      </c>
      <c r="H238" s="17">
        <f t="shared" si="196"/>
        <v>20</v>
      </c>
      <c r="I238" s="29">
        <f t="shared" si="155"/>
        <v>0</v>
      </c>
      <c r="J238" s="211">
        <f>IFERROR(VLOOKUP(H238,Charges!$T$6:$U$35,2,0)*C238,0)</f>
        <v>0</v>
      </c>
      <c r="K238" s="29">
        <f t="shared" si="156"/>
        <v>0</v>
      </c>
      <c r="L238" s="29">
        <f t="shared" si="157"/>
        <v>0</v>
      </c>
      <c r="M238" s="147">
        <f t="shared" ca="1" si="158"/>
        <v>0</v>
      </c>
      <c r="N238" s="148">
        <f ca="1">IF(AND(Option_SPW="Y",H238&gt;=Lock_In_Period,Z237&gt;SPW_Amount_pa+IF(option="Single",1/5*pr,2*pr),H238&gt;=SPW_Start_Year,H238&lt;=SPW_Start_Year+SPW_Duration-1,age+H238&gt;=Legal_Age),IF(AND(F238=0,SPW_Payout_Freq=1),SPW_Amount_pa,IF(AND(SPW_Payout_Freq=2,MOD(F238,6)=0),SPW_Amount_pa/SPW_Payout_Freq,IF(AND(SPW_Payout_Freq=4,MOD(F238,3)=0),SPW_Amount_pa/SPW_Payout_Freq,IF(SPW_Payout_Freq=12,SPW_Amount_pa/SPW_Payout_Freq,0)))),0)+IFERROR(VLOOKUP(H238,Input!$B$68:$C$74,2,0),0)*(F238=0)*(Option_PW="Y")*(Option_SPW="N")*(age+H238&gt;=Legal_Age)</f>
        <v>0</v>
      </c>
      <c r="O238" s="148">
        <f t="shared" ca="1" si="159"/>
        <v>0</v>
      </c>
      <c r="P238" s="14">
        <f ca="1">(MAX(MAX(sa-CF237*Flag_UL_Type,105%*SUM($I$7:I238))-(AD237+L238-N238)*Flag_UL_Type,0)*B238)</f>
        <v>0</v>
      </c>
      <c r="Q238" s="213">
        <f t="shared" si="160"/>
        <v>0</v>
      </c>
      <c r="R238" s="14">
        <f t="shared" ca="1" si="161"/>
        <v>0</v>
      </c>
      <c r="S238" s="14">
        <f t="shared" ca="1" si="162"/>
        <v>0</v>
      </c>
      <c r="T238" s="14">
        <f>IFERROR(IF(WoP_Flag="Y",IF(fq=1,VLOOKUP(ppt*fq-H238,Charges!$AN$41:$AO$59,2,FALSE),IF(fq=2,VLOOKUP(ppt*fq-G238,Charges!$AP$41:$AQ$79,2,FALSE),VLOOKUP(ppt*fq-D238,Charges!$AR$41:$AS$279,2,FALSE)))*pr/fq,0),0)</f>
        <v>0</v>
      </c>
      <c r="U238" s="14">
        <f t="shared" ca="1" si="163"/>
        <v>0</v>
      </c>
      <c r="V238" s="34">
        <f>ROUND(MIN(IF(H238&gt;=7,Charges!$C$12*(1+Charges!$C$14)^((H238-7+1)),VLOOKUP(H238,Charges!$B$7:$C$12,2,0))*pr,Charges!$C$13)*B238,Round)</f>
        <v>0</v>
      </c>
      <c r="W238" s="14">
        <f t="shared" ca="1" si="164"/>
        <v>0</v>
      </c>
      <c r="X238" s="14">
        <f t="shared" ca="1" si="165"/>
        <v>0</v>
      </c>
      <c r="Y238" s="213">
        <f t="shared" ca="1" si="189"/>
        <v>0</v>
      </c>
      <c r="Z238" s="14">
        <f t="shared" ca="1" si="166"/>
        <v>0</v>
      </c>
      <c r="AA238" s="14">
        <f>IF(AND($H238=pt,$F238=11),SUM($K$7:K238)*VLOOKUP(pt,ROC,2,FALSE),0)</f>
        <v>0</v>
      </c>
      <c r="AB238" s="14">
        <f>IF(AND($H238=pt,$F238=11),SUM($V$7:V238)*VLOOKUP(pt,ROC,2,FALSE),0)</f>
        <v>0</v>
      </c>
      <c r="AC238" s="14">
        <f>IF(AND($H238=pt,$F238=11),SUM($Q$7:Q238)*VLOOKUP(pt,ROC,2,FALSE),0)</f>
        <v>0</v>
      </c>
      <c r="AD238" s="14">
        <f t="shared" ca="1" si="167"/>
        <v>0</v>
      </c>
      <c r="AE238" s="14">
        <f ca="1">(MAX(sa-CF237*Flag_UL_Type,105%*SUM($I$7:I238),Z238)+AU238)*B238</f>
        <v>0</v>
      </c>
      <c r="AF238" s="136"/>
      <c r="AG238" s="18">
        <v>232</v>
      </c>
      <c r="AH238" s="30">
        <f t="shared" ca="1" si="168"/>
        <v>0</v>
      </c>
      <c r="AI238" s="58"/>
      <c r="AJ238" s="50">
        <f>IF(AND(Option_Sys_TopUp&gt;="Y",H238&gt;=sytp,H238&lt;=(dtp+sytp-1),F238=0,H238&lt;=ppt+1),atp,0)+IFERROR(VLOOKUP(H238,Input!$B$55:$C$61,2,0),0)*(F238=0)*(Option_TopUP="Y")*(Option_Sys_TopUp="N")*B238*(pt&gt;=H238+5)</f>
        <v>0</v>
      </c>
      <c r="AK238" s="50">
        <f t="shared" si="169"/>
        <v>0</v>
      </c>
      <c r="AL238" s="50">
        <f t="shared" si="190"/>
        <v>0</v>
      </c>
      <c r="AM238" s="50">
        <f t="shared" ca="1" si="191"/>
        <v>0</v>
      </c>
      <c r="AN238" s="50">
        <f>IF(B238=0,0,AT238*(_rpm1+(1+_emr1)*VLOOKUP(E238,Tab_Mort_Charge,IF(Input!$C$12="M",2,3),0))*(0.001*0.0833)*Flag_Mort_Rider_Charge*(AT238&gt;0))</f>
        <v>0</v>
      </c>
      <c r="AO238" s="50">
        <f t="shared" ca="1" si="170"/>
        <v>0</v>
      </c>
      <c r="AP238" s="50">
        <f t="shared" ca="1" si="197"/>
        <v>0</v>
      </c>
      <c r="AQ238" s="50">
        <f t="shared" ca="1" si="171"/>
        <v>0</v>
      </c>
      <c r="AR238" s="50">
        <f t="shared" ca="1" si="172"/>
        <v>0</v>
      </c>
      <c r="AS238" s="50">
        <f t="shared" si="173"/>
        <v>0</v>
      </c>
      <c r="AT238" s="50">
        <f ca="1">(MAX((MAX(AS238,105%*SUM($AJ$7:AJ238))-AM238*Flag_UL_Type),0)*B238)</f>
        <v>0</v>
      </c>
      <c r="AU238" s="50">
        <f ca="1">(MAX(AS238,AR238,105%*SUM($AJ$7:AJ238))*B238)</f>
        <v>0</v>
      </c>
      <c r="AV238" s="125"/>
      <c r="AW238" s="13"/>
      <c r="AX238" s="13"/>
      <c r="AY238" s="13"/>
      <c r="AZ238" s="13"/>
      <c r="BA238" s="13"/>
      <c r="BG238" s="51">
        <f t="shared" si="174"/>
        <v>0</v>
      </c>
      <c r="BH238" s="51">
        <f t="shared" si="175"/>
        <v>0</v>
      </c>
      <c r="BI238" s="51">
        <f t="shared" ca="1" si="176"/>
        <v>0</v>
      </c>
      <c r="BJ238" s="51">
        <f t="shared" ca="1" si="177"/>
        <v>0</v>
      </c>
      <c r="BK238" s="51">
        <f t="shared" si="178"/>
        <v>0</v>
      </c>
      <c r="BL238" s="51">
        <f t="shared" ca="1" si="179"/>
        <v>0</v>
      </c>
      <c r="BM238" s="51">
        <f t="shared" si="180"/>
        <v>0</v>
      </c>
      <c r="BN238" s="51">
        <f t="shared" si="181"/>
        <v>0</v>
      </c>
      <c r="BO238" s="51">
        <f t="shared" ca="1" si="182"/>
        <v>0</v>
      </c>
      <c r="BP238" s="51">
        <f t="shared" ca="1" si="183"/>
        <v>0</v>
      </c>
      <c r="BQ238" s="120"/>
      <c r="BR238" s="32"/>
      <c r="BS238" s="126"/>
      <c r="BT238" s="16"/>
      <c r="BU238" s="58"/>
      <c r="BW238" s="51">
        <f>IF(Input!$C$13="Offline",VLOOKUP(H238,Charges!$AT$4:$AU$33,2,FALSE)*I238,0)</f>
        <v>0</v>
      </c>
      <c r="BX238" s="51">
        <f t="shared" si="184"/>
        <v>0</v>
      </c>
      <c r="BY238" s="51">
        <f t="shared" si="192"/>
        <v>0</v>
      </c>
      <c r="BZ238" s="151"/>
      <c r="CA238" s="151"/>
      <c r="CB238" s="32"/>
      <c r="CC238" s="16">
        <f ca="1">SUM($N$7:$N238)</f>
        <v>0</v>
      </c>
      <c r="CD238" s="16">
        <f t="shared" ca="1" si="185"/>
        <v>0</v>
      </c>
      <c r="CE238" s="16">
        <f t="shared" ca="1" si="186"/>
        <v>0</v>
      </c>
      <c r="CF238" s="7">
        <f t="shared" ca="1" si="187"/>
        <v>0</v>
      </c>
      <c r="CH238" s="7">
        <f t="shared" ca="1" si="188"/>
        <v>0</v>
      </c>
    </row>
    <row r="239" spans="2:86" s="7" customFormat="1" x14ac:dyDescent="0.2">
      <c r="B239" s="14">
        <f t="shared" si="152"/>
        <v>0</v>
      </c>
      <c r="C239" s="12">
        <f t="shared" si="153"/>
        <v>0</v>
      </c>
      <c r="D239" s="17">
        <f t="shared" si="193"/>
        <v>233</v>
      </c>
      <c r="E239" s="17">
        <f t="shared" ca="1" si="154"/>
        <v>79</v>
      </c>
      <c r="F239" s="12">
        <f t="shared" si="195"/>
        <v>4</v>
      </c>
      <c r="G239" s="12">
        <f t="shared" si="194"/>
        <v>39</v>
      </c>
      <c r="H239" s="17">
        <f t="shared" si="196"/>
        <v>20</v>
      </c>
      <c r="I239" s="29">
        <f t="shared" si="155"/>
        <v>0</v>
      </c>
      <c r="J239" s="211">
        <f>IFERROR(VLOOKUP(H239,Charges!$T$6:$U$35,2,0)*C239,0)</f>
        <v>0</v>
      </c>
      <c r="K239" s="29">
        <f t="shared" si="156"/>
        <v>0</v>
      </c>
      <c r="L239" s="29">
        <f t="shared" si="157"/>
        <v>0</v>
      </c>
      <c r="M239" s="147">
        <f t="shared" ca="1" si="158"/>
        <v>0</v>
      </c>
      <c r="N239" s="148">
        <f ca="1">IF(AND(Option_SPW="Y",H239&gt;=Lock_In_Period,Z238&gt;SPW_Amount_pa+IF(option="Single",1/5*pr,2*pr),H239&gt;=SPW_Start_Year,H239&lt;=SPW_Start_Year+SPW_Duration-1,age+H239&gt;=Legal_Age),IF(AND(F239=0,SPW_Payout_Freq=1),SPW_Amount_pa,IF(AND(SPW_Payout_Freq=2,MOD(F239,6)=0),SPW_Amount_pa/SPW_Payout_Freq,IF(AND(SPW_Payout_Freq=4,MOD(F239,3)=0),SPW_Amount_pa/SPW_Payout_Freq,IF(SPW_Payout_Freq=12,SPW_Amount_pa/SPW_Payout_Freq,0)))),0)+IFERROR(VLOOKUP(H239,Input!$B$68:$C$74,2,0),0)*(F239=0)*(Option_PW="Y")*(Option_SPW="N")*(age+H239&gt;=Legal_Age)</f>
        <v>0</v>
      </c>
      <c r="O239" s="148">
        <f t="shared" ca="1" si="159"/>
        <v>0</v>
      </c>
      <c r="P239" s="14">
        <f ca="1">(MAX(MAX(sa-CF238*Flag_UL_Type,105%*SUM($I$7:I239))-(AD238+L239-N239)*Flag_UL_Type,0)*B239)</f>
        <v>0</v>
      </c>
      <c r="Q239" s="213">
        <f t="shared" si="160"/>
        <v>0</v>
      </c>
      <c r="R239" s="14">
        <f t="shared" ca="1" si="161"/>
        <v>0</v>
      </c>
      <c r="S239" s="14">
        <f t="shared" ca="1" si="162"/>
        <v>0</v>
      </c>
      <c r="T239" s="14">
        <f>IFERROR(IF(WoP_Flag="Y",IF(fq=1,VLOOKUP(ppt*fq-H239,Charges!$AN$41:$AO$59,2,FALSE),IF(fq=2,VLOOKUP(ppt*fq-G239,Charges!$AP$41:$AQ$79,2,FALSE),VLOOKUP(ppt*fq-D239,Charges!$AR$41:$AS$279,2,FALSE)))*pr/fq,0),0)</f>
        <v>0</v>
      </c>
      <c r="U239" s="14">
        <f t="shared" ca="1" si="163"/>
        <v>0</v>
      </c>
      <c r="V239" s="34">
        <f>ROUND(MIN(IF(H239&gt;=7,Charges!$C$12*(1+Charges!$C$14)^((H239-7+1)),VLOOKUP(H239,Charges!$B$7:$C$12,2,0))*pr,Charges!$C$13)*B239,Round)</f>
        <v>0</v>
      </c>
      <c r="W239" s="14">
        <f t="shared" ca="1" si="164"/>
        <v>0</v>
      </c>
      <c r="X239" s="14">
        <f t="shared" ca="1" si="165"/>
        <v>0</v>
      </c>
      <c r="Y239" s="213">
        <f t="shared" ca="1" si="189"/>
        <v>0</v>
      </c>
      <c r="Z239" s="14">
        <f t="shared" ca="1" si="166"/>
        <v>0</v>
      </c>
      <c r="AA239" s="14">
        <f>IF(AND($H239=pt,$F239=11),SUM($K$7:K239)*VLOOKUP(pt,ROC,2,FALSE),0)</f>
        <v>0</v>
      </c>
      <c r="AB239" s="14">
        <f>IF(AND($H239=pt,$F239=11),SUM($V$7:V239)*VLOOKUP(pt,ROC,2,FALSE),0)</f>
        <v>0</v>
      </c>
      <c r="AC239" s="14">
        <f>IF(AND($H239=pt,$F239=11),SUM($Q$7:Q239)*VLOOKUP(pt,ROC,2,FALSE),0)</f>
        <v>0</v>
      </c>
      <c r="AD239" s="14">
        <f t="shared" ca="1" si="167"/>
        <v>0</v>
      </c>
      <c r="AE239" s="14">
        <f ca="1">(MAX(sa-CF238*Flag_UL_Type,105%*SUM($I$7:I239),Z239)+AU239)*B239</f>
        <v>0</v>
      </c>
      <c r="AF239" s="136"/>
      <c r="AG239" s="18">
        <v>233</v>
      </c>
      <c r="AH239" s="30">
        <f t="shared" ca="1" si="168"/>
        <v>0</v>
      </c>
      <c r="AI239" s="58"/>
      <c r="AJ239" s="50">
        <f>IF(AND(Option_Sys_TopUp&gt;="Y",H239&gt;=sytp,H239&lt;=(dtp+sytp-1),F239=0,H239&lt;=ppt+1),atp,0)+IFERROR(VLOOKUP(H239,Input!$B$55:$C$61,2,0),0)*(F239=0)*(Option_TopUP="Y")*(Option_Sys_TopUp="N")*B239*(pt&gt;=H239+5)</f>
        <v>0</v>
      </c>
      <c r="AK239" s="50">
        <f t="shared" si="169"/>
        <v>0</v>
      </c>
      <c r="AL239" s="50">
        <f t="shared" si="190"/>
        <v>0</v>
      </c>
      <c r="AM239" s="50">
        <f t="shared" ca="1" si="191"/>
        <v>0</v>
      </c>
      <c r="AN239" s="50">
        <f>IF(B239=0,0,AT239*(_rpm1+(1+_emr1)*VLOOKUP(E239,Tab_Mort_Charge,IF(Input!$C$12="M",2,3),0))*(0.001*0.0833)*Flag_Mort_Rider_Charge*(AT239&gt;0))</f>
        <v>0</v>
      </c>
      <c r="AO239" s="50">
        <f t="shared" ca="1" si="170"/>
        <v>0</v>
      </c>
      <c r="AP239" s="50">
        <f t="shared" ca="1" si="197"/>
        <v>0</v>
      </c>
      <c r="AQ239" s="50">
        <f t="shared" ca="1" si="171"/>
        <v>0</v>
      </c>
      <c r="AR239" s="50">
        <f t="shared" ca="1" si="172"/>
        <v>0</v>
      </c>
      <c r="AS239" s="50">
        <f t="shared" si="173"/>
        <v>0</v>
      </c>
      <c r="AT239" s="50">
        <f ca="1">(MAX((MAX(AS239,105%*SUM($AJ$7:AJ239))-AM239*Flag_UL_Type),0)*B239)</f>
        <v>0</v>
      </c>
      <c r="AU239" s="50">
        <f ca="1">(MAX(AS239,AR239,105%*SUM($AJ$7:AJ239))*B239)</f>
        <v>0</v>
      </c>
      <c r="AV239" s="125"/>
      <c r="AW239" s="13"/>
      <c r="AX239" s="13"/>
      <c r="AY239" s="13"/>
      <c r="AZ239" s="13"/>
      <c r="BA239" s="13"/>
      <c r="BG239" s="51">
        <f t="shared" si="174"/>
        <v>0</v>
      </c>
      <c r="BH239" s="51">
        <f t="shared" si="175"/>
        <v>0</v>
      </c>
      <c r="BI239" s="51">
        <f t="shared" ca="1" si="176"/>
        <v>0</v>
      </c>
      <c r="BJ239" s="51">
        <f t="shared" ca="1" si="177"/>
        <v>0</v>
      </c>
      <c r="BK239" s="51">
        <f t="shared" si="178"/>
        <v>0</v>
      </c>
      <c r="BL239" s="51">
        <f t="shared" ca="1" si="179"/>
        <v>0</v>
      </c>
      <c r="BM239" s="51">
        <f t="shared" si="180"/>
        <v>0</v>
      </c>
      <c r="BN239" s="51">
        <f t="shared" si="181"/>
        <v>0</v>
      </c>
      <c r="BO239" s="51">
        <f t="shared" ca="1" si="182"/>
        <v>0</v>
      </c>
      <c r="BP239" s="51">
        <f t="shared" ca="1" si="183"/>
        <v>0</v>
      </c>
      <c r="BQ239" s="120"/>
      <c r="BR239" s="32"/>
      <c r="BS239" s="126"/>
      <c r="BT239" s="16"/>
      <c r="BU239" s="58"/>
      <c r="BW239" s="51">
        <f>IF(Input!$C$13="Offline",VLOOKUP(H239,Charges!$AT$4:$AU$33,2,FALSE)*I239,0)</f>
        <v>0</v>
      </c>
      <c r="BX239" s="51">
        <f t="shared" si="184"/>
        <v>0</v>
      </c>
      <c r="BY239" s="51">
        <f t="shared" si="192"/>
        <v>0</v>
      </c>
      <c r="BZ239" s="151"/>
      <c r="CA239" s="151"/>
      <c r="CB239" s="32"/>
      <c r="CC239" s="16">
        <f ca="1">SUM($N$7:$N239)</f>
        <v>0</v>
      </c>
      <c r="CD239" s="16">
        <f t="shared" ca="1" si="185"/>
        <v>0</v>
      </c>
      <c r="CE239" s="16">
        <f t="shared" ca="1" si="186"/>
        <v>0</v>
      </c>
      <c r="CF239" s="7">
        <f t="shared" ca="1" si="187"/>
        <v>0</v>
      </c>
      <c r="CH239" s="7">
        <f t="shared" ca="1" si="188"/>
        <v>0</v>
      </c>
    </row>
    <row r="240" spans="2:86" s="7" customFormat="1" x14ac:dyDescent="0.2">
      <c r="B240" s="14">
        <f t="shared" si="152"/>
        <v>0</v>
      </c>
      <c r="C240" s="12">
        <f t="shared" si="153"/>
        <v>0</v>
      </c>
      <c r="D240" s="17">
        <f t="shared" si="193"/>
        <v>234</v>
      </c>
      <c r="E240" s="17">
        <f t="shared" ca="1" si="154"/>
        <v>79</v>
      </c>
      <c r="F240" s="12">
        <f t="shared" si="195"/>
        <v>5</v>
      </c>
      <c r="G240" s="12">
        <f t="shared" si="194"/>
        <v>39</v>
      </c>
      <c r="H240" s="17">
        <f t="shared" si="196"/>
        <v>20</v>
      </c>
      <c r="I240" s="29">
        <f t="shared" si="155"/>
        <v>0</v>
      </c>
      <c r="J240" s="211">
        <f>IFERROR(VLOOKUP(H240,Charges!$T$6:$U$35,2,0)*C240,0)</f>
        <v>0</v>
      </c>
      <c r="K240" s="29">
        <f t="shared" si="156"/>
        <v>0</v>
      </c>
      <c r="L240" s="29">
        <f t="shared" si="157"/>
        <v>0</v>
      </c>
      <c r="M240" s="147">
        <f t="shared" ca="1" si="158"/>
        <v>0</v>
      </c>
      <c r="N240" s="148">
        <f ca="1">IF(AND(Option_SPW="Y",H240&gt;=Lock_In_Period,Z239&gt;SPW_Amount_pa+IF(option="Single",1/5*pr,2*pr),H240&gt;=SPW_Start_Year,H240&lt;=SPW_Start_Year+SPW_Duration-1,age+H240&gt;=Legal_Age),IF(AND(F240=0,SPW_Payout_Freq=1),SPW_Amount_pa,IF(AND(SPW_Payout_Freq=2,MOD(F240,6)=0),SPW_Amount_pa/SPW_Payout_Freq,IF(AND(SPW_Payout_Freq=4,MOD(F240,3)=0),SPW_Amount_pa/SPW_Payout_Freq,IF(SPW_Payout_Freq=12,SPW_Amount_pa/SPW_Payout_Freq,0)))),0)+IFERROR(VLOOKUP(H240,Input!$B$68:$C$74,2,0),0)*(F240=0)*(Option_PW="Y")*(Option_SPW="N")*(age+H240&gt;=Legal_Age)</f>
        <v>0</v>
      </c>
      <c r="O240" s="148">
        <f t="shared" ca="1" si="159"/>
        <v>0</v>
      </c>
      <c r="P240" s="14">
        <f ca="1">(MAX(MAX(sa-CF239*Flag_UL_Type,105%*SUM($I$7:I240))-(AD239+L240-N240)*Flag_UL_Type,0)*B240)</f>
        <v>0</v>
      </c>
      <c r="Q240" s="213">
        <f t="shared" si="160"/>
        <v>0</v>
      </c>
      <c r="R240" s="14">
        <f t="shared" ca="1" si="161"/>
        <v>0</v>
      </c>
      <c r="S240" s="14">
        <f t="shared" ca="1" si="162"/>
        <v>0</v>
      </c>
      <c r="T240" s="14">
        <f>IFERROR(IF(WoP_Flag="Y",IF(fq=1,VLOOKUP(ppt*fq-H240,Charges!$AN$41:$AO$59,2,FALSE),IF(fq=2,VLOOKUP(ppt*fq-G240,Charges!$AP$41:$AQ$79,2,FALSE),VLOOKUP(ppt*fq-D240,Charges!$AR$41:$AS$279,2,FALSE)))*pr/fq,0),0)</f>
        <v>0</v>
      </c>
      <c r="U240" s="14">
        <f t="shared" ca="1" si="163"/>
        <v>0</v>
      </c>
      <c r="V240" s="34">
        <f>ROUND(MIN(IF(H240&gt;=7,Charges!$C$12*(1+Charges!$C$14)^((H240-7+1)),VLOOKUP(H240,Charges!$B$7:$C$12,2,0))*pr,Charges!$C$13)*B240,Round)</f>
        <v>0</v>
      </c>
      <c r="W240" s="14">
        <f t="shared" ca="1" si="164"/>
        <v>0</v>
      </c>
      <c r="X240" s="14">
        <f t="shared" ca="1" si="165"/>
        <v>0</v>
      </c>
      <c r="Y240" s="213">
        <f t="shared" ca="1" si="189"/>
        <v>0</v>
      </c>
      <c r="Z240" s="14">
        <f t="shared" ca="1" si="166"/>
        <v>0</v>
      </c>
      <c r="AA240" s="14">
        <f>IF(AND($H240=pt,$F240=11),SUM($K$7:K240)*VLOOKUP(pt,ROC,2,FALSE),0)</f>
        <v>0</v>
      </c>
      <c r="AB240" s="14">
        <f>IF(AND($H240=pt,$F240=11),SUM($V$7:V240)*VLOOKUP(pt,ROC,2,FALSE),0)</f>
        <v>0</v>
      </c>
      <c r="AC240" s="14">
        <f>IF(AND($H240=pt,$F240=11),SUM($Q$7:Q240)*VLOOKUP(pt,ROC,2,FALSE),0)</f>
        <v>0</v>
      </c>
      <c r="AD240" s="14">
        <f t="shared" ca="1" si="167"/>
        <v>0</v>
      </c>
      <c r="AE240" s="14">
        <f ca="1">(MAX(sa-CF239*Flag_UL_Type,105%*SUM($I$7:I240),Z240)+AU240)*B240</f>
        <v>0</v>
      </c>
      <c r="AF240" s="136"/>
      <c r="AG240" s="18">
        <v>234</v>
      </c>
      <c r="AH240" s="30">
        <f t="shared" ca="1" si="168"/>
        <v>0</v>
      </c>
      <c r="AI240" s="58"/>
      <c r="AJ240" s="50">
        <f>IF(AND(Option_Sys_TopUp&gt;="Y",H240&gt;=sytp,H240&lt;=(dtp+sytp-1),F240=0,H240&lt;=ppt+1),atp,0)+IFERROR(VLOOKUP(H240,Input!$B$55:$C$61,2,0),0)*(F240=0)*(Option_TopUP="Y")*(Option_Sys_TopUp="N")*B240*(pt&gt;=H240+5)</f>
        <v>0</v>
      </c>
      <c r="AK240" s="50">
        <f t="shared" si="169"/>
        <v>0</v>
      </c>
      <c r="AL240" s="50">
        <f t="shared" si="190"/>
        <v>0</v>
      </c>
      <c r="AM240" s="50">
        <f t="shared" ca="1" si="191"/>
        <v>0</v>
      </c>
      <c r="AN240" s="50">
        <f>IF(B240=0,0,AT240*(_rpm1+(1+_emr1)*VLOOKUP(E240,Tab_Mort_Charge,IF(Input!$C$12="M",2,3),0))*(0.001*0.0833)*Flag_Mort_Rider_Charge*(AT240&gt;0))</f>
        <v>0</v>
      </c>
      <c r="AO240" s="50">
        <f t="shared" ca="1" si="170"/>
        <v>0</v>
      </c>
      <c r="AP240" s="50">
        <f t="shared" ca="1" si="197"/>
        <v>0</v>
      </c>
      <c r="AQ240" s="50">
        <f t="shared" ca="1" si="171"/>
        <v>0</v>
      </c>
      <c r="AR240" s="50">
        <f t="shared" ca="1" si="172"/>
        <v>0</v>
      </c>
      <c r="AS240" s="50">
        <f t="shared" si="173"/>
        <v>0</v>
      </c>
      <c r="AT240" s="50">
        <f ca="1">(MAX((MAX(AS240,105%*SUM($AJ$7:AJ240))-AM240*Flag_UL_Type),0)*B240)</f>
        <v>0</v>
      </c>
      <c r="AU240" s="50">
        <f ca="1">(MAX(AS240,AR240,105%*SUM($AJ$7:AJ240))*B240)</f>
        <v>0</v>
      </c>
      <c r="AV240" s="125"/>
      <c r="AW240" s="13"/>
      <c r="AX240" s="13"/>
      <c r="AY240" s="13"/>
      <c r="AZ240" s="13"/>
      <c r="BA240" s="13"/>
      <c r="BG240" s="51">
        <f t="shared" si="174"/>
        <v>0</v>
      </c>
      <c r="BH240" s="51">
        <f t="shared" si="175"/>
        <v>0</v>
      </c>
      <c r="BI240" s="51">
        <f t="shared" ca="1" si="176"/>
        <v>0</v>
      </c>
      <c r="BJ240" s="51">
        <f t="shared" ca="1" si="177"/>
        <v>0</v>
      </c>
      <c r="BK240" s="51">
        <f t="shared" si="178"/>
        <v>0</v>
      </c>
      <c r="BL240" s="51">
        <f t="shared" ca="1" si="179"/>
        <v>0</v>
      </c>
      <c r="BM240" s="51">
        <f t="shared" si="180"/>
        <v>0</v>
      </c>
      <c r="BN240" s="51">
        <f t="shared" si="181"/>
        <v>0</v>
      </c>
      <c r="BO240" s="51">
        <f t="shared" ca="1" si="182"/>
        <v>0</v>
      </c>
      <c r="BP240" s="51">
        <f t="shared" ca="1" si="183"/>
        <v>0</v>
      </c>
      <c r="BQ240" s="120"/>
      <c r="BR240" s="32"/>
      <c r="BS240" s="126"/>
      <c r="BT240" s="16"/>
      <c r="BU240" s="58"/>
      <c r="BW240" s="51">
        <f>IF(Input!$C$13="Offline",VLOOKUP(H240,Charges!$AT$4:$AU$33,2,FALSE)*I240,0)</f>
        <v>0</v>
      </c>
      <c r="BX240" s="51">
        <f t="shared" si="184"/>
        <v>0</v>
      </c>
      <c r="BY240" s="51">
        <f t="shared" si="192"/>
        <v>0</v>
      </c>
      <c r="BZ240" s="151"/>
      <c r="CA240" s="151"/>
      <c r="CB240" s="32"/>
      <c r="CC240" s="16">
        <f ca="1">SUM($N$7:$N240)</f>
        <v>0</v>
      </c>
      <c r="CD240" s="16">
        <f t="shared" ca="1" si="185"/>
        <v>0</v>
      </c>
      <c r="CE240" s="16">
        <f t="shared" ca="1" si="186"/>
        <v>0</v>
      </c>
      <c r="CF240" s="7">
        <f t="shared" ca="1" si="187"/>
        <v>0</v>
      </c>
      <c r="CH240" s="7">
        <f t="shared" ca="1" si="188"/>
        <v>0</v>
      </c>
    </row>
    <row r="241" spans="2:86" s="7" customFormat="1" x14ac:dyDescent="0.2">
      <c r="B241" s="14">
        <f t="shared" si="152"/>
        <v>0</v>
      </c>
      <c r="C241" s="12">
        <f t="shared" si="153"/>
        <v>0</v>
      </c>
      <c r="D241" s="17">
        <f t="shared" si="193"/>
        <v>235</v>
      </c>
      <c r="E241" s="17">
        <f t="shared" ca="1" si="154"/>
        <v>79</v>
      </c>
      <c r="F241" s="12">
        <f t="shared" si="195"/>
        <v>6</v>
      </c>
      <c r="G241" s="12">
        <f t="shared" si="194"/>
        <v>40</v>
      </c>
      <c r="H241" s="17">
        <f t="shared" si="196"/>
        <v>20</v>
      </c>
      <c r="I241" s="29">
        <f t="shared" si="155"/>
        <v>0</v>
      </c>
      <c r="J241" s="211">
        <f>IFERROR(VLOOKUP(H241,Charges!$T$6:$U$35,2,0)*C241,0)</f>
        <v>0</v>
      </c>
      <c r="K241" s="29">
        <f t="shared" si="156"/>
        <v>0</v>
      </c>
      <c r="L241" s="29">
        <f t="shared" si="157"/>
        <v>0</v>
      </c>
      <c r="M241" s="147">
        <f t="shared" ca="1" si="158"/>
        <v>0</v>
      </c>
      <c r="N241" s="148">
        <f ca="1">IF(AND(Option_SPW="Y",H241&gt;=Lock_In_Period,Z240&gt;SPW_Amount_pa+IF(option="Single",1/5*pr,2*pr),H241&gt;=SPW_Start_Year,H241&lt;=SPW_Start_Year+SPW_Duration-1,age+H241&gt;=Legal_Age),IF(AND(F241=0,SPW_Payout_Freq=1),SPW_Amount_pa,IF(AND(SPW_Payout_Freq=2,MOD(F241,6)=0),SPW_Amount_pa/SPW_Payout_Freq,IF(AND(SPW_Payout_Freq=4,MOD(F241,3)=0),SPW_Amount_pa/SPW_Payout_Freq,IF(SPW_Payout_Freq=12,SPW_Amount_pa/SPW_Payout_Freq,0)))),0)+IFERROR(VLOOKUP(H241,Input!$B$68:$C$74,2,0),0)*(F241=0)*(Option_PW="Y")*(Option_SPW="N")*(age+H241&gt;=Legal_Age)</f>
        <v>0</v>
      </c>
      <c r="O241" s="148">
        <f t="shared" ca="1" si="159"/>
        <v>0</v>
      </c>
      <c r="P241" s="14">
        <f ca="1">(MAX(MAX(sa-CF240*Flag_UL_Type,105%*SUM($I$7:I241))-(AD240+L241-N241)*Flag_UL_Type,0)*B241)</f>
        <v>0</v>
      </c>
      <c r="Q241" s="213">
        <f t="shared" si="160"/>
        <v>0</v>
      </c>
      <c r="R241" s="14">
        <f t="shared" ca="1" si="161"/>
        <v>0</v>
      </c>
      <c r="S241" s="14">
        <f t="shared" ca="1" si="162"/>
        <v>0</v>
      </c>
      <c r="T241" s="14">
        <f>IFERROR(IF(WoP_Flag="Y",IF(fq=1,VLOOKUP(ppt*fq-H241,Charges!$AN$41:$AO$59,2,FALSE),IF(fq=2,VLOOKUP(ppt*fq-G241,Charges!$AP$41:$AQ$79,2,FALSE),VLOOKUP(ppt*fq-D241,Charges!$AR$41:$AS$279,2,FALSE)))*pr/fq,0),0)</f>
        <v>0</v>
      </c>
      <c r="U241" s="14">
        <f t="shared" ca="1" si="163"/>
        <v>0</v>
      </c>
      <c r="V241" s="34">
        <f>ROUND(MIN(IF(H241&gt;=7,Charges!$C$12*(1+Charges!$C$14)^((H241-7+1)),VLOOKUP(H241,Charges!$B$7:$C$12,2,0))*pr,Charges!$C$13)*B241,Round)</f>
        <v>0</v>
      </c>
      <c r="W241" s="14">
        <f t="shared" ca="1" si="164"/>
        <v>0</v>
      </c>
      <c r="X241" s="14">
        <f t="shared" ca="1" si="165"/>
        <v>0</v>
      </c>
      <c r="Y241" s="213">
        <f t="shared" ca="1" si="189"/>
        <v>0</v>
      </c>
      <c r="Z241" s="14">
        <f t="shared" ca="1" si="166"/>
        <v>0</v>
      </c>
      <c r="AA241" s="14">
        <f>IF(AND($H241=pt,$F241=11),SUM($K$7:K241)*VLOOKUP(pt,ROC,2,FALSE),0)</f>
        <v>0</v>
      </c>
      <c r="AB241" s="14">
        <f>IF(AND($H241=pt,$F241=11),SUM($V$7:V241)*VLOOKUP(pt,ROC,2,FALSE),0)</f>
        <v>0</v>
      </c>
      <c r="AC241" s="14">
        <f>IF(AND($H241=pt,$F241=11),SUM($Q$7:Q241)*VLOOKUP(pt,ROC,2,FALSE),0)</f>
        <v>0</v>
      </c>
      <c r="AD241" s="14">
        <f t="shared" ca="1" si="167"/>
        <v>0</v>
      </c>
      <c r="AE241" s="14">
        <f ca="1">(MAX(sa-CF240*Flag_UL_Type,105%*SUM($I$7:I241),Z241)+AU241)*B241</f>
        <v>0</v>
      </c>
      <c r="AF241" s="136"/>
      <c r="AG241" s="18">
        <v>235</v>
      </c>
      <c r="AH241" s="30">
        <f t="shared" ca="1" si="168"/>
        <v>0</v>
      </c>
      <c r="AI241" s="58"/>
      <c r="AJ241" s="50">
        <f>IF(AND(Option_Sys_TopUp&gt;="Y",H241&gt;=sytp,H241&lt;=(dtp+sytp-1),F241=0,H241&lt;=ppt+1),atp,0)+IFERROR(VLOOKUP(H241,Input!$B$55:$C$61,2,0),0)*(F241=0)*(Option_TopUP="Y")*(Option_Sys_TopUp="N")*B241*(pt&gt;=H241+5)</f>
        <v>0</v>
      </c>
      <c r="AK241" s="50">
        <f t="shared" si="169"/>
        <v>0</v>
      </c>
      <c r="AL241" s="50">
        <f t="shared" si="190"/>
        <v>0</v>
      </c>
      <c r="AM241" s="50">
        <f t="shared" ca="1" si="191"/>
        <v>0</v>
      </c>
      <c r="AN241" s="50">
        <f>IF(B241=0,0,AT241*(_rpm1+(1+_emr1)*VLOOKUP(E241,Tab_Mort_Charge,IF(Input!$C$12="M",2,3),0))*(0.001*0.0833)*Flag_Mort_Rider_Charge*(AT241&gt;0))</f>
        <v>0</v>
      </c>
      <c r="AO241" s="50">
        <f t="shared" ca="1" si="170"/>
        <v>0</v>
      </c>
      <c r="AP241" s="50">
        <f t="shared" ca="1" si="197"/>
        <v>0</v>
      </c>
      <c r="AQ241" s="50">
        <f t="shared" ca="1" si="171"/>
        <v>0</v>
      </c>
      <c r="AR241" s="50">
        <f t="shared" ca="1" si="172"/>
        <v>0</v>
      </c>
      <c r="AS241" s="50">
        <f t="shared" si="173"/>
        <v>0</v>
      </c>
      <c r="AT241" s="50">
        <f ca="1">(MAX((MAX(AS241,105%*SUM($AJ$7:AJ241))-AM241*Flag_UL_Type),0)*B241)</f>
        <v>0</v>
      </c>
      <c r="AU241" s="50">
        <f ca="1">(MAX(AS241,AR241,105%*SUM($AJ$7:AJ241))*B241)</f>
        <v>0</v>
      </c>
      <c r="AV241" s="125"/>
      <c r="AW241" s="13"/>
      <c r="AX241" s="13"/>
      <c r="AY241" s="13"/>
      <c r="AZ241" s="13"/>
      <c r="BA241" s="13"/>
      <c r="BG241" s="51">
        <f t="shared" si="174"/>
        <v>0</v>
      </c>
      <c r="BH241" s="51">
        <f t="shared" si="175"/>
        <v>0</v>
      </c>
      <c r="BI241" s="51">
        <f t="shared" ca="1" si="176"/>
        <v>0</v>
      </c>
      <c r="BJ241" s="51">
        <f t="shared" ca="1" si="177"/>
        <v>0</v>
      </c>
      <c r="BK241" s="51">
        <f t="shared" si="178"/>
        <v>0</v>
      </c>
      <c r="BL241" s="51">
        <f t="shared" ca="1" si="179"/>
        <v>0</v>
      </c>
      <c r="BM241" s="51">
        <f t="shared" si="180"/>
        <v>0</v>
      </c>
      <c r="BN241" s="51">
        <f t="shared" si="181"/>
        <v>0</v>
      </c>
      <c r="BO241" s="51">
        <f t="shared" ca="1" si="182"/>
        <v>0</v>
      </c>
      <c r="BP241" s="51">
        <f t="shared" ca="1" si="183"/>
        <v>0</v>
      </c>
      <c r="BQ241" s="120"/>
      <c r="BR241" s="32"/>
      <c r="BS241" s="126"/>
      <c r="BT241" s="16"/>
      <c r="BU241" s="58"/>
      <c r="BW241" s="51">
        <f>IF(Input!$C$13="Offline",VLOOKUP(H241,Charges!$AT$4:$AU$33,2,FALSE)*I241,0)</f>
        <v>0</v>
      </c>
      <c r="BX241" s="51">
        <f t="shared" si="184"/>
        <v>0</v>
      </c>
      <c r="BY241" s="51">
        <f t="shared" si="192"/>
        <v>0</v>
      </c>
      <c r="BZ241" s="151"/>
      <c r="CA241" s="151"/>
      <c r="CB241" s="32"/>
      <c r="CC241" s="16">
        <f ca="1">SUM($N$7:$N241)</f>
        <v>0</v>
      </c>
      <c r="CD241" s="16">
        <f t="shared" ca="1" si="185"/>
        <v>0</v>
      </c>
      <c r="CE241" s="16">
        <f t="shared" ca="1" si="186"/>
        <v>0</v>
      </c>
      <c r="CF241" s="7">
        <f t="shared" ca="1" si="187"/>
        <v>0</v>
      </c>
      <c r="CH241" s="7">
        <f t="shared" ca="1" si="188"/>
        <v>0</v>
      </c>
    </row>
    <row r="242" spans="2:86" s="7" customFormat="1" x14ac:dyDescent="0.2">
      <c r="B242" s="14">
        <f t="shared" si="152"/>
        <v>0</v>
      </c>
      <c r="C242" s="12">
        <f t="shared" si="153"/>
        <v>0</v>
      </c>
      <c r="D242" s="17">
        <f t="shared" si="193"/>
        <v>236</v>
      </c>
      <c r="E242" s="17">
        <f t="shared" ca="1" si="154"/>
        <v>79</v>
      </c>
      <c r="F242" s="12">
        <f t="shared" si="195"/>
        <v>7</v>
      </c>
      <c r="G242" s="12">
        <f t="shared" si="194"/>
        <v>40</v>
      </c>
      <c r="H242" s="17">
        <f t="shared" si="196"/>
        <v>20</v>
      </c>
      <c r="I242" s="29">
        <f t="shared" si="155"/>
        <v>0</v>
      </c>
      <c r="J242" s="211">
        <f>IFERROR(VLOOKUP(H242,Charges!$T$6:$U$35,2,0)*C242,0)</f>
        <v>0</v>
      </c>
      <c r="K242" s="29">
        <f t="shared" si="156"/>
        <v>0</v>
      </c>
      <c r="L242" s="29">
        <f t="shared" si="157"/>
        <v>0</v>
      </c>
      <c r="M242" s="147">
        <f t="shared" ca="1" si="158"/>
        <v>0</v>
      </c>
      <c r="N242" s="148">
        <f ca="1">IF(AND(Option_SPW="Y",H242&gt;=Lock_In_Period,Z241&gt;SPW_Amount_pa+IF(option="Single",1/5*pr,2*pr),H242&gt;=SPW_Start_Year,H242&lt;=SPW_Start_Year+SPW_Duration-1,age+H242&gt;=Legal_Age),IF(AND(F242=0,SPW_Payout_Freq=1),SPW_Amount_pa,IF(AND(SPW_Payout_Freq=2,MOD(F242,6)=0),SPW_Amount_pa/SPW_Payout_Freq,IF(AND(SPW_Payout_Freq=4,MOD(F242,3)=0),SPW_Amount_pa/SPW_Payout_Freq,IF(SPW_Payout_Freq=12,SPW_Amount_pa/SPW_Payout_Freq,0)))),0)+IFERROR(VLOOKUP(H242,Input!$B$68:$C$74,2,0),0)*(F242=0)*(Option_PW="Y")*(Option_SPW="N")*(age+H242&gt;=Legal_Age)</f>
        <v>0</v>
      </c>
      <c r="O242" s="148">
        <f t="shared" ca="1" si="159"/>
        <v>0</v>
      </c>
      <c r="P242" s="14">
        <f ca="1">(MAX(MAX(sa-CF241*Flag_UL_Type,105%*SUM($I$7:I242))-(AD241+L242-N242)*Flag_UL_Type,0)*B242)</f>
        <v>0</v>
      </c>
      <c r="Q242" s="213">
        <f t="shared" si="160"/>
        <v>0</v>
      </c>
      <c r="R242" s="14">
        <f t="shared" ca="1" si="161"/>
        <v>0</v>
      </c>
      <c r="S242" s="14">
        <f t="shared" ca="1" si="162"/>
        <v>0</v>
      </c>
      <c r="T242" s="14">
        <f>IFERROR(IF(WoP_Flag="Y",IF(fq=1,VLOOKUP(ppt*fq-H242,Charges!$AN$41:$AO$59,2,FALSE),IF(fq=2,VLOOKUP(ppt*fq-G242,Charges!$AP$41:$AQ$79,2,FALSE),VLOOKUP(ppt*fq-D242,Charges!$AR$41:$AS$279,2,FALSE)))*pr/fq,0),0)</f>
        <v>0</v>
      </c>
      <c r="U242" s="14">
        <f t="shared" ca="1" si="163"/>
        <v>0</v>
      </c>
      <c r="V242" s="34">
        <f>ROUND(MIN(IF(H242&gt;=7,Charges!$C$12*(1+Charges!$C$14)^((H242-7+1)),VLOOKUP(H242,Charges!$B$7:$C$12,2,0))*pr,Charges!$C$13)*B242,Round)</f>
        <v>0</v>
      </c>
      <c r="W242" s="14">
        <f t="shared" ca="1" si="164"/>
        <v>0</v>
      </c>
      <c r="X242" s="14">
        <f t="shared" ca="1" si="165"/>
        <v>0</v>
      </c>
      <c r="Y242" s="213">
        <f t="shared" ca="1" si="189"/>
        <v>0</v>
      </c>
      <c r="Z242" s="14">
        <f t="shared" ca="1" si="166"/>
        <v>0</v>
      </c>
      <c r="AA242" s="14">
        <f>IF(AND($H242=pt,$F242=11),SUM($K$7:K242)*VLOOKUP(pt,ROC,2,FALSE),0)</f>
        <v>0</v>
      </c>
      <c r="AB242" s="14">
        <f>IF(AND($H242=pt,$F242=11),SUM($V$7:V242)*VLOOKUP(pt,ROC,2,FALSE),0)</f>
        <v>0</v>
      </c>
      <c r="AC242" s="14">
        <f>IF(AND($H242=pt,$F242=11),SUM($Q$7:Q242)*VLOOKUP(pt,ROC,2,FALSE),0)</f>
        <v>0</v>
      </c>
      <c r="AD242" s="14">
        <f t="shared" ca="1" si="167"/>
        <v>0</v>
      </c>
      <c r="AE242" s="14">
        <f ca="1">(MAX(sa-CF241*Flag_UL_Type,105%*SUM($I$7:I242),Z242)+AU242)*B242</f>
        <v>0</v>
      </c>
      <c r="AF242" s="136"/>
      <c r="AG242" s="18">
        <v>236</v>
      </c>
      <c r="AH242" s="30">
        <f t="shared" ca="1" si="168"/>
        <v>0</v>
      </c>
      <c r="AI242" s="58"/>
      <c r="AJ242" s="50">
        <f>IF(AND(Option_Sys_TopUp&gt;="Y",H242&gt;=sytp,H242&lt;=(dtp+sytp-1),F242=0,H242&lt;=ppt+1),atp,0)+IFERROR(VLOOKUP(H242,Input!$B$55:$C$61,2,0),0)*(F242=0)*(Option_TopUP="Y")*(Option_Sys_TopUp="N")*B242*(pt&gt;=H242+5)</f>
        <v>0</v>
      </c>
      <c r="AK242" s="50">
        <f t="shared" si="169"/>
        <v>0</v>
      </c>
      <c r="AL242" s="50">
        <f t="shared" si="190"/>
        <v>0</v>
      </c>
      <c r="AM242" s="50">
        <f t="shared" ca="1" si="191"/>
        <v>0</v>
      </c>
      <c r="AN242" s="50">
        <f>IF(B242=0,0,AT242*(_rpm1+(1+_emr1)*VLOOKUP(E242,Tab_Mort_Charge,IF(Input!$C$12="M",2,3),0))*(0.001*0.0833)*Flag_Mort_Rider_Charge*(AT242&gt;0))</f>
        <v>0</v>
      </c>
      <c r="AO242" s="50">
        <f t="shared" ca="1" si="170"/>
        <v>0</v>
      </c>
      <c r="AP242" s="50">
        <f t="shared" ca="1" si="197"/>
        <v>0</v>
      </c>
      <c r="AQ242" s="50">
        <f t="shared" ca="1" si="171"/>
        <v>0</v>
      </c>
      <c r="AR242" s="50">
        <f t="shared" ca="1" si="172"/>
        <v>0</v>
      </c>
      <c r="AS242" s="50">
        <f t="shared" si="173"/>
        <v>0</v>
      </c>
      <c r="AT242" s="50">
        <f ca="1">(MAX((MAX(AS242,105%*SUM($AJ$7:AJ242))-AM242*Flag_UL_Type),0)*B242)</f>
        <v>0</v>
      </c>
      <c r="AU242" s="50">
        <f ca="1">(MAX(AS242,AR242,105%*SUM($AJ$7:AJ242))*B242)</f>
        <v>0</v>
      </c>
      <c r="AV242" s="125"/>
      <c r="AW242" s="13"/>
      <c r="AX242" s="13"/>
      <c r="AY242" s="13"/>
      <c r="AZ242" s="13"/>
      <c r="BA242" s="13"/>
      <c r="BG242" s="51">
        <f t="shared" si="174"/>
        <v>0</v>
      </c>
      <c r="BH242" s="51">
        <f t="shared" si="175"/>
        <v>0</v>
      </c>
      <c r="BI242" s="51">
        <f t="shared" ca="1" si="176"/>
        <v>0</v>
      </c>
      <c r="BJ242" s="51">
        <f t="shared" ca="1" si="177"/>
        <v>0</v>
      </c>
      <c r="BK242" s="51">
        <f t="shared" si="178"/>
        <v>0</v>
      </c>
      <c r="BL242" s="51">
        <f t="shared" ca="1" si="179"/>
        <v>0</v>
      </c>
      <c r="BM242" s="51">
        <f t="shared" si="180"/>
        <v>0</v>
      </c>
      <c r="BN242" s="51">
        <f t="shared" si="181"/>
        <v>0</v>
      </c>
      <c r="BO242" s="51">
        <f t="shared" ca="1" si="182"/>
        <v>0</v>
      </c>
      <c r="BP242" s="51">
        <f t="shared" ca="1" si="183"/>
        <v>0</v>
      </c>
      <c r="BQ242" s="120"/>
      <c r="BR242" s="32"/>
      <c r="BS242" s="126"/>
      <c r="BT242" s="16"/>
      <c r="BU242" s="58"/>
      <c r="BW242" s="51">
        <f>IF(Input!$C$13="Offline",VLOOKUP(H242,Charges!$AT$4:$AU$33,2,FALSE)*I242,0)</f>
        <v>0</v>
      </c>
      <c r="BX242" s="51">
        <f t="shared" si="184"/>
        <v>0</v>
      </c>
      <c r="BY242" s="51">
        <f t="shared" si="192"/>
        <v>0</v>
      </c>
      <c r="BZ242" s="151"/>
      <c r="CA242" s="151"/>
      <c r="CB242" s="32"/>
      <c r="CC242" s="16">
        <f ca="1">SUM($N$7:$N242)</f>
        <v>0</v>
      </c>
      <c r="CD242" s="16">
        <f t="shared" ca="1" si="185"/>
        <v>0</v>
      </c>
      <c r="CE242" s="16">
        <f t="shared" ca="1" si="186"/>
        <v>0</v>
      </c>
      <c r="CF242" s="7">
        <f t="shared" ca="1" si="187"/>
        <v>0</v>
      </c>
      <c r="CH242" s="7">
        <f t="shared" ca="1" si="188"/>
        <v>0</v>
      </c>
    </row>
    <row r="243" spans="2:86" s="7" customFormat="1" x14ac:dyDescent="0.2">
      <c r="B243" s="14">
        <f t="shared" si="152"/>
        <v>0</v>
      </c>
      <c r="C243" s="12">
        <f t="shared" si="153"/>
        <v>0</v>
      </c>
      <c r="D243" s="17">
        <f t="shared" si="193"/>
        <v>237</v>
      </c>
      <c r="E243" s="17">
        <f t="shared" ca="1" si="154"/>
        <v>79</v>
      </c>
      <c r="F243" s="12">
        <f t="shared" si="195"/>
        <v>8</v>
      </c>
      <c r="G243" s="12">
        <f t="shared" si="194"/>
        <v>40</v>
      </c>
      <c r="H243" s="17">
        <f t="shared" si="196"/>
        <v>20</v>
      </c>
      <c r="I243" s="29">
        <f t="shared" si="155"/>
        <v>0</v>
      </c>
      <c r="J243" s="211">
        <f>IFERROR(VLOOKUP(H243,Charges!$T$6:$U$35,2,0)*C243,0)</f>
        <v>0</v>
      </c>
      <c r="K243" s="29">
        <f t="shared" si="156"/>
        <v>0</v>
      </c>
      <c r="L243" s="29">
        <f t="shared" si="157"/>
        <v>0</v>
      </c>
      <c r="M243" s="147">
        <f t="shared" ca="1" si="158"/>
        <v>0</v>
      </c>
      <c r="N243" s="148">
        <f ca="1">IF(AND(Option_SPW="Y",H243&gt;=Lock_In_Period,Z242&gt;SPW_Amount_pa+IF(option="Single",1/5*pr,2*pr),H243&gt;=SPW_Start_Year,H243&lt;=SPW_Start_Year+SPW_Duration-1,age+H243&gt;=Legal_Age),IF(AND(F243=0,SPW_Payout_Freq=1),SPW_Amount_pa,IF(AND(SPW_Payout_Freq=2,MOD(F243,6)=0),SPW_Amount_pa/SPW_Payout_Freq,IF(AND(SPW_Payout_Freq=4,MOD(F243,3)=0),SPW_Amount_pa/SPW_Payout_Freq,IF(SPW_Payout_Freq=12,SPW_Amount_pa/SPW_Payout_Freq,0)))),0)+IFERROR(VLOOKUP(H243,Input!$B$68:$C$74,2,0),0)*(F243=0)*(Option_PW="Y")*(Option_SPW="N")*(age+H243&gt;=Legal_Age)</f>
        <v>0</v>
      </c>
      <c r="O243" s="148">
        <f t="shared" ca="1" si="159"/>
        <v>0</v>
      </c>
      <c r="P243" s="14">
        <f ca="1">(MAX(MAX(sa-CF242*Flag_UL_Type,105%*SUM($I$7:I243))-(AD242+L243-N243)*Flag_UL_Type,0)*B243)</f>
        <v>0</v>
      </c>
      <c r="Q243" s="213">
        <f t="shared" si="160"/>
        <v>0</v>
      </c>
      <c r="R243" s="14">
        <f t="shared" ca="1" si="161"/>
        <v>0</v>
      </c>
      <c r="S243" s="14">
        <f t="shared" ca="1" si="162"/>
        <v>0</v>
      </c>
      <c r="T243" s="14">
        <f>IFERROR(IF(WoP_Flag="Y",IF(fq=1,VLOOKUP(ppt*fq-H243,Charges!$AN$41:$AO$59,2,FALSE),IF(fq=2,VLOOKUP(ppt*fq-G243,Charges!$AP$41:$AQ$79,2,FALSE),VLOOKUP(ppt*fq-D243,Charges!$AR$41:$AS$279,2,FALSE)))*pr/fq,0),0)</f>
        <v>0</v>
      </c>
      <c r="U243" s="14">
        <f t="shared" ca="1" si="163"/>
        <v>0</v>
      </c>
      <c r="V243" s="34">
        <f>ROUND(MIN(IF(H243&gt;=7,Charges!$C$12*(1+Charges!$C$14)^((H243-7+1)),VLOOKUP(H243,Charges!$B$7:$C$12,2,0))*pr,Charges!$C$13)*B243,Round)</f>
        <v>0</v>
      </c>
      <c r="W243" s="14">
        <f t="shared" ca="1" si="164"/>
        <v>0</v>
      </c>
      <c r="X243" s="14">
        <f t="shared" ca="1" si="165"/>
        <v>0</v>
      </c>
      <c r="Y243" s="213">
        <f t="shared" ca="1" si="189"/>
        <v>0</v>
      </c>
      <c r="Z243" s="14">
        <f t="shared" ca="1" si="166"/>
        <v>0</v>
      </c>
      <c r="AA243" s="14">
        <f>IF(AND($H243=pt,$F243=11),SUM($K$7:K243)*VLOOKUP(pt,ROC,2,FALSE),0)</f>
        <v>0</v>
      </c>
      <c r="AB243" s="14">
        <f>IF(AND($H243=pt,$F243=11),SUM($V$7:V243)*VLOOKUP(pt,ROC,2,FALSE),0)</f>
        <v>0</v>
      </c>
      <c r="AC243" s="14">
        <f>IF(AND($H243=pt,$F243=11),SUM($Q$7:Q243)*VLOOKUP(pt,ROC,2,FALSE),0)</f>
        <v>0</v>
      </c>
      <c r="AD243" s="14">
        <f t="shared" ca="1" si="167"/>
        <v>0</v>
      </c>
      <c r="AE243" s="14">
        <f ca="1">(MAX(sa-CF242*Flag_UL_Type,105%*SUM($I$7:I243),Z243)+AU243)*B243</f>
        <v>0</v>
      </c>
      <c r="AF243" s="136"/>
      <c r="AG243" s="18">
        <v>237</v>
      </c>
      <c r="AH243" s="30">
        <f t="shared" ca="1" si="168"/>
        <v>0</v>
      </c>
      <c r="AI243" s="58"/>
      <c r="AJ243" s="50">
        <f>IF(AND(Option_Sys_TopUp&gt;="Y",H243&gt;=sytp,H243&lt;=(dtp+sytp-1),F243=0,H243&lt;=ppt+1),atp,0)+IFERROR(VLOOKUP(H243,Input!$B$55:$C$61,2,0),0)*(F243=0)*(Option_TopUP="Y")*(Option_Sys_TopUp="N")*B243*(pt&gt;=H243+5)</f>
        <v>0</v>
      </c>
      <c r="AK243" s="50">
        <f t="shared" si="169"/>
        <v>0</v>
      </c>
      <c r="AL243" s="50">
        <f t="shared" si="190"/>
        <v>0</v>
      </c>
      <c r="AM243" s="50">
        <f t="shared" ca="1" si="191"/>
        <v>0</v>
      </c>
      <c r="AN243" s="50">
        <f>IF(B243=0,0,AT243*(_rpm1+(1+_emr1)*VLOOKUP(E243,Tab_Mort_Charge,IF(Input!$C$12="M",2,3),0))*(0.001*0.0833)*Flag_Mort_Rider_Charge*(AT243&gt;0))</f>
        <v>0</v>
      </c>
      <c r="AO243" s="50">
        <f t="shared" ca="1" si="170"/>
        <v>0</v>
      </c>
      <c r="AP243" s="50">
        <f t="shared" ca="1" si="197"/>
        <v>0</v>
      </c>
      <c r="AQ243" s="50">
        <f t="shared" ca="1" si="171"/>
        <v>0</v>
      </c>
      <c r="AR243" s="50">
        <f t="shared" ca="1" si="172"/>
        <v>0</v>
      </c>
      <c r="AS243" s="50">
        <f t="shared" si="173"/>
        <v>0</v>
      </c>
      <c r="AT243" s="50">
        <f ca="1">(MAX((MAX(AS243,105%*SUM($AJ$7:AJ243))-AM243*Flag_UL_Type),0)*B243)</f>
        <v>0</v>
      </c>
      <c r="AU243" s="50">
        <f ca="1">(MAX(AS243,AR243,105%*SUM($AJ$7:AJ243))*B243)</f>
        <v>0</v>
      </c>
      <c r="AV243" s="125"/>
      <c r="AW243" s="13"/>
      <c r="AX243" s="13"/>
      <c r="AY243" s="13"/>
      <c r="AZ243" s="13"/>
      <c r="BA243" s="13"/>
      <c r="BG243" s="51">
        <f t="shared" si="174"/>
        <v>0</v>
      </c>
      <c r="BH243" s="51">
        <f t="shared" si="175"/>
        <v>0</v>
      </c>
      <c r="BI243" s="51">
        <f t="shared" ca="1" si="176"/>
        <v>0</v>
      </c>
      <c r="BJ243" s="51">
        <f t="shared" ca="1" si="177"/>
        <v>0</v>
      </c>
      <c r="BK243" s="51">
        <f t="shared" si="178"/>
        <v>0</v>
      </c>
      <c r="BL243" s="51">
        <f t="shared" ca="1" si="179"/>
        <v>0</v>
      </c>
      <c r="BM243" s="51">
        <f t="shared" si="180"/>
        <v>0</v>
      </c>
      <c r="BN243" s="51">
        <f t="shared" si="181"/>
        <v>0</v>
      </c>
      <c r="BO243" s="51">
        <f t="shared" ca="1" si="182"/>
        <v>0</v>
      </c>
      <c r="BP243" s="51">
        <f t="shared" ca="1" si="183"/>
        <v>0</v>
      </c>
      <c r="BQ243" s="120"/>
      <c r="BR243" s="32"/>
      <c r="BS243" s="126"/>
      <c r="BT243" s="16"/>
      <c r="BU243" s="58"/>
      <c r="BW243" s="51">
        <f>IF(Input!$C$13="Offline",VLOOKUP(H243,Charges!$AT$4:$AU$33,2,FALSE)*I243,0)</f>
        <v>0</v>
      </c>
      <c r="BX243" s="51">
        <f t="shared" si="184"/>
        <v>0</v>
      </c>
      <c r="BY243" s="51">
        <f t="shared" si="192"/>
        <v>0</v>
      </c>
      <c r="BZ243" s="151"/>
      <c r="CA243" s="151"/>
      <c r="CB243" s="32"/>
      <c r="CC243" s="16">
        <f ca="1">SUM($N$7:$N243)</f>
        <v>0</v>
      </c>
      <c r="CD243" s="16">
        <f t="shared" ca="1" si="185"/>
        <v>0</v>
      </c>
      <c r="CE243" s="16">
        <f t="shared" ca="1" si="186"/>
        <v>0</v>
      </c>
      <c r="CF243" s="7">
        <f t="shared" ca="1" si="187"/>
        <v>0</v>
      </c>
      <c r="CH243" s="7">
        <f t="shared" ca="1" si="188"/>
        <v>0</v>
      </c>
    </row>
    <row r="244" spans="2:86" s="7" customFormat="1" x14ac:dyDescent="0.2">
      <c r="B244" s="14">
        <f t="shared" si="152"/>
        <v>0</v>
      </c>
      <c r="C244" s="12">
        <f t="shared" si="153"/>
        <v>0</v>
      </c>
      <c r="D244" s="17">
        <f t="shared" si="193"/>
        <v>238</v>
      </c>
      <c r="E244" s="17">
        <f t="shared" ca="1" si="154"/>
        <v>79</v>
      </c>
      <c r="F244" s="12">
        <f t="shared" si="195"/>
        <v>9</v>
      </c>
      <c r="G244" s="12">
        <f t="shared" si="194"/>
        <v>40</v>
      </c>
      <c r="H244" s="17">
        <f t="shared" si="196"/>
        <v>20</v>
      </c>
      <c r="I244" s="29">
        <f t="shared" si="155"/>
        <v>0</v>
      </c>
      <c r="J244" s="211">
        <f>IFERROR(VLOOKUP(H244,Charges!$T$6:$U$35,2,0)*C244,0)</f>
        <v>0</v>
      </c>
      <c r="K244" s="29">
        <f t="shared" si="156"/>
        <v>0</v>
      </c>
      <c r="L244" s="29">
        <f t="shared" si="157"/>
        <v>0</v>
      </c>
      <c r="M244" s="147">
        <f t="shared" ca="1" si="158"/>
        <v>0</v>
      </c>
      <c r="N244" s="148">
        <f ca="1">IF(AND(Option_SPW="Y",H244&gt;=Lock_In_Period,Z243&gt;SPW_Amount_pa+IF(option="Single",1/5*pr,2*pr),H244&gt;=SPW_Start_Year,H244&lt;=SPW_Start_Year+SPW_Duration-1,age+H244&gt;=Legal_Age),IF(AND(F244=0,SPW_Payout_Freq=1),SPW_Amount_pa,IF(AND(SPW_Payout_Freq=2,MOD(F244,6)=0),SPW_Amount_pa/SPW_Payout_Freq,IF(AND(SPW_Payout_Freq=4,MOD(F244,3)=0),SPW_Amount_pa/SPW_Payout_Freq,IF(SPW_Payout_Freq=12,SPW_Amount_pa/SPW_Payout_Freq,0)))),0)+IFERROR(VLOOKUP(H244,Input!$B$68:$C$74,2,0),0)*(F244=0)*(Option_PW="Y")*(Option_SPW="N")*(age+H244&gt;=Legal_Age)</f>
        <v>0</v>
      </c>
      <c r="O244" s="148">
        <f t="shared" ca="1" si="159"/>
        <v>0</v>
      </c>
      <c r="P244" s="14">
        <f ca="1">(MAX(MAX(sa-CF243*Flag_UL_Type,105%*SUM($I$7:I244))-(AD243+L244-N244)*Flag_UL_Type,0)*B244)</f>
        <v>0</v>
      </c>
      <c r="Q244" s="213">
        <f t="shared" si="160"/>
        <v>0</v>
      </c>
      <c r="R244" s="14">
        <f t="shared" ca="1" si="161"/>
        <v>0</v>
      </c>
      <c r="S244" s="14">
        <f t="shared" ca="1" si="162"/>
        <v>0</v>
      </c>
      <c r="T244" s="14">
        <f>IFERROR(IF(WoP_Flag="Y",IF(fq=1,VLOOKUP(ppt*fq-H244,Charges!$AN$41:$AO$59,2,FALSE),IF(fq=2,VLOOKUP(ppt*fq-G244,Charges!$AP$41:$AQ$79,2,FALSE),VLOOKUP(ppt*fq-D244,Charges!$AR$41:$AS$279,2,FALSE)))*pr/fq,0),0)</f>
        <v>0</v>
      </c>
      <c r="U244" s="14">
        <f t="shared" ca="1" si="163"/>
        <v>0</v>
      </c>
      <c r="V244" s="34">
        <f>ROUND(MIN(IF(H244&gt;=7,Charges!$C$12*(1+Charges!$C$14)^((H244-7+1)),VLOOKUP(H244,Charges!$B$7:$C$12,2,0))*pr,Charges!$C$13)*B244,Round)</f>
        <v>0</v>
      </c>
      <c r="W244" s="14">
        <f t="shared" ca="1" si="164"/>
        <v>0</v>
      </c>
      <c r="X244" s="14">
        <f t="shared" ca="1" si="165"/>
        <v>0</v>
      </c>
      <c r="Y244" s="213">
        <f t="shared" ca="1" si="189"/>
        <v>0</v>
      </c>
      <c r="Z244" s="14">
        <f t="shared" ca="1" si="166"/>
        <v>0</v>
      </c>
      <c r="AA244" s="14">
        <f>IF(AND($H244=pt,$F244=11),SUM($K$7:K244)*VLOOKUP(pt,ROC,2,FALSE),0)</f>
        <v>0</v>
      </c>
      <c r="AB244" s="14">
        <f>IF(AND($H244=pt,$F244=11),SUM($V$7:V244)*VLOOKUP(pt,ROC,2,FALSE),0)</f>
        <v>0</v>
      </c>
      <c r="AC244" s="14">
        <f>IF(AND($H244=pt,$F244=11),SUM($Q$7:Q244)*VLOOKUP(pt,ROC,2,FALSE),0)</f>
        <v>0</v>
      </c>
      <c r="AD244" s="14">
        <f t="shared" ca="1" si="167"/>
        <v>0</v>
      </c>
      <c r="AE244" s="14">
        <f ca="1">(MAX(sa-CF243*Flag_UL_Type,105%*SUM($I$7:I244),Z244)+AU244)*B244</f>
        <v>0</v>
      </c>
      <c r="AF244" s="136"/>
      <c r="AG244" s="18">
        <v>238</v>
      </c>
      <c r="AH244" s="30">
        <f t="shared" ca="1" si="168"/>
        <v>0</v>
      </c>
      <c r="AI244" s="58"/>
      <c r="AJ244" s="50">
        <f>IF(AND(Option_Sys_TopUp&gt;="Y",H244&gt;=sytp,H244&lt;=(dtp+sytp-1),F244=0,H244&lt;=ppt+1),atp,0)+IFERROR(VLOOKUP(H244,Input!$B$55:$C$61,2,0),0)*(F244=0)*(Option_TopUP="Y")*(Option_Sys_TopUp="N")*B244*(pt&gt;=H244+5)</f>
        <v>0</v>
      </c>
      <c r="AK244" s="50">
        <f t="shared" si="169"/>
        <v>0</v>
      </c>
      <c r="AL244" s="50">
        <f t="shared" si="190"/>
        <v>0</v>
      </c>
      <c r="AM244" s="50">
        <f t="shared" ca="1" si="191"/>
        <v>0</v>
      </c>
      <c r="AN244" s="50">
        <f>IF(B244=0,0,AT244*(_rpm1+(1+_emr1)*VLOOKUP(E244,Tab_Mort_Charge,IF(Input!$C$12="M",2,3),0))*(0.001*0.0833)*Flag_Mort_Rider_Charge*(AT244&gt;0))</f>
        <v>0</v>
      </c>
      <c r="AO244" s="50">
        <f t="shared" ca="1" si="170"/>
        <v>0</v>
      </c>
      <c r="AP244" s="50">
        <f t="shared" ca="1" si="197"/>
        <v>0</v>
      </c>
      <c r="AQ244" s="50">
        <f t="shared" ca="1" si="171"/>
        <v>0</v>
      </c>
      <c r="AR244" s="50">
        <f t="shared" ca="1" si="172"/>
        <v>0</v>
      </c>
      <c r="AS244" s="50">
        <f t="shared" si="173"/>
        <v>0</v>
      </c>
      <c r="AT244" s="50">
        <f ca="1">(MAX((MAX(AS244,105%*SUM($AJ$7:AJ244))-AM244*Flag_UL_Type),0)*B244)</f>
        <v>0</v>
      </c>
      <c r="AU244" s="50">
        <f ca="1">(MAX(AS244,AR244,105%*SUM($AJ$7:AJ244))*B244)</f>
        <v>0</v>
      </c>
      <c r="AV244" s="125"/>
      <c r="AW244" s="13"/>
      <c r="AX244" s="13"/>
      <c r="AY244" s="13"/>
      <c r="AZ244" s="13"/>
      <c r="BA244" s="13"/>
      <c r="BG244" s="51">
        <f t="shared" si="174"/>
        <v>0</v>
      </c>
      <c r="BH244" s="51">
        <f t="shared" si="175"/>
        <v>0</v>
      </c>
      <c r="BI244" s="51">
        <f t="shared" ca="1" si="176"/>
        <v>0</v>
      </c>
      <c r="BJ244" s="51">
        <f t="shared" ca="1" si="177"/>
        <v>0</v>
      </c>
      <c r="BK244" s="51">
        <f t="shared" si="178"/>
        <v>0</v>
      </c>
      <c r="BL244" s="51">
        <f t="shared" ca="1" si="179"/>
        <v>0</v>
      </c>
      <c r="BM244" s="51">
        <f t="shared" si="180"/>
        <v>0</v>
      </c>
      <c r="BN244" s="51">
        <f t="shared" si="181"/>
        <v>0</v>
      </c>
      <c r="BO244" s="51">
        <f t="shared" ca="1" si="182"/>
        <v>0</v>
      </c>
      <c r="BP244" s="51">
        <f t="shared" ca="1" si="183"/>
        <v>0</v>
      </c>
      <c r="BQ244" s="120"/>
      <c r="BR244" s="32"/>
      <c r="BS244" s="126"/>
      <c r="BT244" s="16"/>
      <c r="BU244" s="58"/>
      <c r="BW244" s="51">
        <f>IF(Input!$C$13="Offline",VLOOKUP(H244,Charges!$AT$4:$AU$33,2,FALSE)*I244,0)</f>
        <v>0</v>
      </c>
      <c r="BX244" s="51">
        <f t="shared" si="184"/>
        <v>0</v>
      </c>
      <c r="BY244" s="51">
        <f t="shared" si="192"/>
        <v>0</v>
      </c>
      <c r="BZ244" s="151"/>
      <c r="CA244" s="151"/>
      <c r="CB244" s="32"/>
      <c r="CC244" s="16">
        <f ca="1">SUM($N$7:$N244)</f>
        <v>0</v>
      </c>
      <c r="CD244" s="16">
        <f t="shared" ca="1" si="185"/>
        <v>0</v>
      </c>
      <c r="CE244" s="16">
        <f t="shared" ca="1" si="186"/>
        <v>0</v>
      </c>
      <c r="CF244" s="7">
        <f t="shared" ca="1" si="187"/>
        <v>0</v>
      </c>
      <c r="CH244" s="7">
        <f t="shared" ca="1" si="188"/>
        <v>0</v>
      </c>
    </row>
    <row r="245" spans="2:86" s="7" customFormat="1" x14ac:dyDescent="0.2">
      <c r="B245" s="14">
        <f t="shared" si="152"/>
        <v>0</v>
      </c>
      <c r="C245" s="12">
        <f t="shared" si="153"/>
        <v>0</v>
      </c>
      <c r="D245" s="17">
        <f t="shared" si="193"/>
        <v>239</v>
      </c>
      <c r="E245" s="17">
        <f t="shared" ca="1" si="154"/>
        <v>79</v>
      </c>
      <c r="F245" s="12">
        <f t="shared" si="195"/>
        <v>10</v>
      </c>
      <c r="G245" s="12">
        <f t="shared" si="194"/>
        <v>40</v>
      </c>
      <c r="H245" s="17">
        <f t="shared" si="196"/>
        <v>20</v>
      </c>
      <c r="I245" s="29">
        <f t="shared" si="155"/>
        <v>0</v>
      </c>
      <c r="J245" s="211">
        <f>IFERROR(VLOOKUP(H245,Charges!$T$6:$U$35,2,0)*C245,0)</f>
        <v>0</v>
      </c>
      <c r="K245" s="29">
        <f t="shared" si="156"/>
        <v>0</v>
      </c>
      <c r="L245" s="29">
        <f t="shared" si="157"/>
        <v>0</v>
      </c>
      <c r="M245" s="147">
        <f t="shared" ca="1" si="158"/>
        <v>0</v>
      </c>
      <c r="N245" s="148">
        <f ca="1">IF(AND(Option_SPW="Y",H245&gt;=Lock_In_Period,Z244&gt;SPW_Amount_pa+IF(option="Single",1/5*pr,2*pr),H245&gt;=SPW_Start_Year,H245&lt;=SPW_Start_Year+SPW_Duration-1,age+H245&gt;=Legal_Age),IF(AND(F245=0,SPW_Payout_Freq=1),SPW_Amount_pa,IF(AND(SPW_Payout_Freq=2,MOD(F245,6)=0),SPW_Amount_pa/SPW_Payout_Freq,IF(AND(SPW_Payout_Freq=4,MOD(F245,3)=0),SPW_Amount_pa/SPW_Payout_Freq,IF(SPW_Payout_Freq=12,SPW_Amount_pa/SPW_Payout_Freq,0)))),0)+IFERROR(VLOOKUP(H245,Input!$B$68:$C$74,2,0),0)*(F245=0)*(Option_PW="Y")*(Option_SPW="N")*(age+H245&gt;=Legal_Age)</f>
        <v>0</v>
      </c>
      <c r="O245" s="148">
        <f t="shared" ca="1" si="159"/>
        <v>0</v>
      </c>
      <c r="P245" s="14">
        <f ca="1">(MAX(MAX(sa-CF244*Flag_UL_Type,105%*SUM($I$7:I245))-(AD244+L245-N245)*Flag_UL_Type,0)*B245)</f>
        <v>0</v>
      </c>
      <c r="Q245" s="213">
        <f t="shared" si="160"/>
        <v>0</v>
      </c>
      <c r="R245" s="14">
        <f t="shared" ca="1" si="161"/>
        <v>0</v>
      </c>
      <c r="S245" s="14">
        <f t="shared" ca="1" si="162"/>
        <v>0</v>
      </c>
      <c r="T245" s="14">
        <f>IFERROR(IF(WoP_Flag="Y",IF(fq=1,VLOOKUP(ppt*fq-H245,Charges!$AN$41:$AO$59,2,FALSE),IF(fq=2,VLOOKUP(ppt*fq-G245,Charges!$AP$41:$AQ$79,2,FALSE),VLOOKUP(ppt*fq-D245,Charges!$AR$41:$AS$279,2,FALSE)))*pr/fq,0),0)</f>
        <v>0</v>
      </c>
      <c r="U245" s="14">
        <f t="shared" ca="1" si="163"/>
        <v>0</v>
      </c>
      <c r="V245" s="34">
        <f>ROUND(MIN(IF(H245&gt;=7,Charges!$C$12*(1+Charges!$C$14)^((H245-7+1)),VLOOKUP(H245,Charges!$B$7:$C$12,2,0))*pr,Charges!$C$13)*B245,Round)</f>
        <v>0</v>
      </c>
      <c r="W245" s="14">
        <f t="shared" ca="1" si="164"/>
        <v>0</v>
      </c>
      <c r="X245" s="14">
        <f t="shared" ca="1" si="165"/>
        <v>0</v>
      </c>
      <c r="Y245" s="213">
        <f t="shared" ca="1" si="189"/>
        <v>0</v>
      </c>
      <c r="Z245" s="14">
        <f t="shared" ca="1" si="166"/>
        <v>0</v>
      </c>
      <c r="AA245" s="14">
        <f>IF(AND($H245=pt,$F245=11),SUM($K$7:K245)*VLOOKUP(pt,ROC,2,FALSE),0)</f>
        <v>0</v>
      </c>
      <c r="AB245" s="14">
        <f>IF(AND($H245=pt,$F245=11),SUM($V$7:V245)*VLOOKUP(pt,ROC,2,FALSE),0)</f>
        <v>0</v>
      </c>
      <c r="AC245" s="14">
        <f>IF(AND($H245=pt,$F245=11),SUM($Q$7:Q245)*VLOOKUP(pt,ROC,2,FALSE),0)</f>
        <v>0</v>
      </c>
      <c r="AD245" s="14">
        <f t="shared" ca="1" si="167"/>
        <v>0</v>
      </c>
      <c r="AE245" s="14">
        <f ca="1">(MAX(sa-CF244*Flag_UL_Type,105%*SUM($I$7:I245),Z245)+AU245)*B245</f>
        <v>0</v>
      </c>
      <c r="AF245" s="136"/>
      <c r="AG245" s="18">
        <v>239</v>
      </c>
      <c r="AH245" s="30">
        <f t="shared" ca="1" si="168"/>
        <v>0</v>
      </c>
      <c r="AI245" s="58"/>
      <c r="AJ245" s="50">
        <f>IF(AND(Option_Sys_TopUp&gt;="Y",H245&gt;=sytp,H245&lt;=(dtp+sytp-1),F245=0,H245&lt;=ppt+1),atp,0)+IFERROR(VLOOKUP(H245,Input!$B$55:$C$61,2,0),0)*(F245=0)*(Option_TopUP="Y")*(Option_Sys_TopUp="N")*B245*(pt&gt;=H245+5)</f>
        <v>0</v>
      </c>
      <c r="AK245" s="50">
        <f t="shared" si="169"/>
        <v>0</v>
      </c>
      <c r="AL245" s="50">
        <f t="shared" si="190"/>
        <v>0</v>
      </c>
      <c r="AM245" s="50">
        <f t="shared" ca="1" si="191"/>
        <v>0</v>
      </c>
      <c r="AN245" s="50">
        <f>IF(B245=0,0,AT245*(_rpm1+(1+_emr1)*VLOOKUP(E245,Tab_Mort_Charge,IF(Input!$C$12="M",2,3),0))*(0.001*0.0833)*Flag_Mort_Rider_Charge*(AT245&gt;0))</f>
        <v>0</v>
      </c>
      <c r="AO245" s="50">
        <f t="shared" ca="1" si="170"/>
        <v>0</v>
      </c>
      <c r="AP245" s="50">
        <f t="shared" ca="1" si="197"/>
        <v>0</v>
      </c>
      <c r="AQ245" s="50">
        <f t="shared" ca="1" si="171"/>
        <v>0</v>
      </c>
      <c r="AR245" s="50">
        <f t="shared" ca="1" si="172"/>
        <v>0</v>
      </c>
      <c r="AS245" s="50">
        <f t="shared" si="173"/>
        <v>0</v>
      </c>
      <c r="AT245" s="50">
        <f ca="1">(MAX((MAX(AS245,105%*SUM($AJ$7:AJ245))-AM245*Flag_UL_Type),0)*B245)</f>
        <v>0</v>
      </c>
      <c r="AU245" s="50">
        <f ca="1">(MAX(AS245,AR245,105%*SUM($AJ$7:AJ245))*B245)</f>
        <v>0</v>
      </c>
      <c r="AV245" s="125"/>
      <c r="AW245" s="13"/>
      <c r="AX245" s="13"/>
      <c r="AY245" s="13"/>
      <c r="AZ245" s="13"/>
      <c r="BA245" s="13"/>
      <c r="BG245" s="51">
        <f t="shared" si="174"/>
        <v>0</v>
      </c>
      <c r="BH245" s="51">
        <f t="shared" si="175"/>
        <v>0</v>
      </c>
      <c r="BI245" s="51">
        <f t="shared" ca="1" si="176"/>
        <v>0</v>
      </c>
      <c r="BJ245" s="51">
        <f t="shared" ca="1" si="177"/>
        <v>0</v>
      </c>
      <c r="BK245" s="51">
        <f t="shared" si="178"/>
        <v>0</v>
      </c>
      <c r="BL245" s="51">
        <f t="shared" ca="1" si="179"/>
        <v>0</v>
      </c>
      <c r="BM245" s="51">
        <f t="shared" si="180"/>
        <v>0</v>
      </c>
      <c r="BN245" s="51">
        <f t="shared" si="181"/>
        <v>0</v>
      </c>
      <c r="BO245" s="51">
        <f t="shared" ca="1" si="182"/>
        <v>0</v>
      </c>
      <c r="BP245" s="51">
        <f t="shared" ca="1" si="183"/>
        <v>0</v>
      </c>
      <c r="BQ245" s="120"/>
      <c r="BR245" s="32"/>
      <c r="BS245" s="126"/>
      <c r="BT245" s="16"/>
      <c r="BU245" s="58"/>
      <c r="BW245" s="51">
        <f>IF(Input!$C$13="Offline",VLOOKUP(H245,Charges!$AT$4:$AU$33,2,FALSE)*I245,0)</f>
        <v>0</v>
      </c>
      <c r="BX245" s="51">
        <f t="shared" si="184"/>
        <v>0</v>
      </c>
      <c r="BY245" s="51">
        <f t="shared" si="192"/>
        <v>0</v>
      </c>
      <c r="BZ245" s="151"/>
      <c r="CA245" s="151"/>
      <c r="CB245" s="32"/>
      <c r="CC245" s="16">
        <f ca="1">SUM($N$7:$N245)</f>
        <v>0</v>
      </c>
      <c r="CD245" s="16">
        <f t="shared" ca="1" si="185"/>
        <v>0</v>
      </c>
      <c r="CE245" s="16">
        <f t="shared" ca="1" si="186"/>
        <v>0</v>
      </c>
      <c r="CF245" s="7">
        <f t="shared" ca="1" si="187"/>
        <v>0</v>
      </c>
      <c r="CH245" s="7">
        <f t="shared" ca="1" si="188"/>
        <v>0</v>
      </c>
    </row>
    <row r="246" spans="2:86" s="7" customFormat="1" x14ac:dyDescent="0.2">
      <c r="B246" s="14">
        <f t="shared" si="152"/>
        <v>0</v>
      </c>
      <c r="C246" s="12">
        <f t="shared" si="153"/>
        <v>0</v>
      </c>
      <c r="D246" s="17">
        <f t="shared" si="193"/>
        <v>240</v>
      </c>
      <c r="E246" s="17">
        <f t="shared" ca="1" si="154"/>
        <v>79</v>
      </c>
      <c r="F246" s="12">
        <f t="shared" si="195"/>
        <v>11</v>
      </c>
      <c r="G246" s="12">
        <f t="shared" si="194"/>
        <v>40</v>
      </c>
      <c r="H246" s="17">
        <f t="shared" si="196"/>
        <v>20</v>
      </c>
      <c r="I246" s="29">
        <f t="shared" si="155"/>
        <v>0</v>
      </c>
      <c r="J246" s="211">
        <f>IFERROR(VLOOKUP(H246,Charges!$T$6:$U$35,2,0)*C246,0)</f>
        <v>0</v>
      </c>
      <c r="K246" s="29">
        <f t="shared" si="156"/>
        <v>0</v>
      </c>
      <c r="L246" s="29">
        <f t="shared" si="157"/>
        <v>0</v>
      </c>
      <c r="M246" s="147">
        <f t="shared" ca="1" si="158"/>
        <v>0</v>
      </c>
      <c r="N246" s="148">
        <f ca="1">IF(AND(Option_SPW="Y",H246&gt;=Lock_In_Period,Z245&gt;SPW_Amount_pa+IF(option="Single",1/5*pr,2*pr),H246&gt;=SPW_Start_Year,H246&lt;=SPW_Start_Year+SPW_Duration-1,age+H246&gt;=Legal_Age),IF(AND(F246=0,SPW_Payout_Freq=1),SPW_Amount_pa,IF(AND(SPW_Payout_Freq=2,MOD(F246,6)=0),SPW_Amount_pa/SPW_Payout_Freq,IF(AND(SPW_Payout_Freq=4,MOD(F246,3)=0),SPW_Amount_pa/SPW_Payout_Freq,IF(SPW_Payout_Freq=12,SPW_Amount_pa/SPW_Payout_Freq,0)))),0)+IFERROR(VLOOKUP(H246,Input!$B$68:$C$74,2,0),0)*(F246=0)*(Option_PW="Y")*(Option_SPW="N")*(age+H246&gt;=Legal_Age)</f>
        <v>0</v>
      </c>
      <c r="O246" s="148">
        <f t="shared" ca="1" si="159"/>
        <v>0</v>
      </c>
      <c r="P246" s="14">
        <f ca="1">(MAX(MAX(sa-CF245*Flag_UL_Type,105%*SUM($I$7:I246))-(AD245+L246-N246)*Flag_UL_Type,0)*B246)</f>
        <v>0</v>
      </c>
      <c r="Q246" s="213">
        <f t="shared" si="160"/>
        <v>0</v>
      </c>
      <c r="R246" s="14">
        <f t="shared" ca="1" si="161"/>
        <v>0</v>
      </c>
      <c r="S246" s="14">
        <f t="shared" ca="1" si="162"/>
        <v>0</v>
      </c>
      <c r="T246" s="14">
        <f>IFERROR(IF(WoP_Flag="Y",IF(fq=1,VLOOKUP(ppt*fq-H246,Charges!$AN$41:$AO$59,2,FALSE),IF(fq=2,VLOOKUP(ppt*fq-G246,Charges!$AP$41:$AQ$79,2,FALSE),VLOOKUP(ppt*fq-D246,Charges!$AR$41:$AS$279,2,FALSE)))*pr/fq,0),0)</f>
        <v>0</v>
      </c>
      <c r="U246" s="14">
        <f t="shared" ca="1" si="163"/>
        <v>0</v>
      </c>
      <c r="V246" s="34">
        <f>ROUND(MIN(IF(H246&gt;=7,Charges!$C$12*(1+Charges!$C$14)^((H246-7+1)),VLOOKUP(H246,Charges!$B$7:$C$12,2,0))*pr,Charges!$C$13)*B246,Round)</f>
        <v>0</v>
      </c>
      <c r="W246" s="14">
        <f t="shared" ca="1" si="164"/>
        <v>0</v>
      </c>
      <c r="X246" s="14">
        <f t="shared" ca="1" si="165"/>
        <v>0</v>
      </c>
      <c r="Y246" s="213">
        <f t="shared" ca="1" si="189"/>
        <v>0</v>
      </c>
      <c r="Z246" s="14">
        <f t="shared" ca="1" si="166"/>
        <v>0</v>
      </c>
      <c r="AA246" s="14">
        <f>IF(AND($H246=pt,$F246=11),SUM($K$7:K246)*VLOOKUP(pt,ROC,2,FALSE),0)</f>
        <v>0</v>
      </c>
      <c r="AB246" s="14">
        <f>IF(AND($H246=pt,$F246=11),SUM($V$7:V246)*VLOOKUP(pt,ROC,2,FALSE),0)</f>
        <v>0</v>
      </c>
      <c r="AC246" s="14">
        <f>IF(AND($H246=pt,$F246=11),SUM($Q$7:Q246)*VLOOKUP(pt,ROC,2,FALSE),0)</f>
        <v>0</v>
      </c>
      <c r="AD246" s="14">
        <f t="shared" ca="1" si="167"/>
        <v>0</v>
      </c>
      <c r="AE246" s="14">
        <f ca="1">(MAX(sa-CF245*Flag_UL_Type,105%*SUM($I$7:I246),Z246)+AU246)*B246</f>
        <v>0</v>
      </c>
      <c r="AF246" s="136"/>
      <c r="AG246" s="18">
        <v>240</v>
      </c>
      <c r="AH246" s="30">
        <f t="shared" ca="1" si="168"/>
        <v>0</v>
      </c>
      <c r="AI246" s="58"/>
      <c r="AJ246" s="50">
        <f>IF(AND(Option_Sys_TopUp&gt;="Y",H246&gt;=sytp,H246&lt;=(dtp+sytp-1),F246=0,H246&lt;=ppt+1),atp,0)+IFERROR(VLOOKUP(H246,Input!$B$55:$C$61,2,0),0)*(F246=0)*(Option_TopUP="Y")*(Option_Sys_TopUp="N")*B246*(pt&gt;=H246+5)</f>
        <v>0</v>
      </c>
      <c r="AK246" s="50">
        <f t="shared" si="169"/>
        <v>0</v>
      </c>
      <c r="AL246" s="50">
        <f t="shared" si="190"/>
        <v>0</v>
      </c>
      <c r="AM246" s="50">
        <f t="shared" ca="1" si="191"/>
        <v>0</v>
      </c>
      <c r="AN246" s="50">
        <f>IF(B246=0,0,AT246*(_rpm1+(1+_emr1)*VLOOKUP(E246,Tab_Mort_Charge,IF(Input!$C$12="M",2,3),0))*(0.001*0.0833)*Flag_Mort_Rider_Charge*(AT246&gt;0))</f>
        <v>0</v>
      </c>
      <c r="AO246" s="50">
        <f t="shared" ca="1" si="170"/>
        <v>0</v>
      </c>
      <c r="AP246" s="50">
        <f t="shared" ca="1" si="197"/>
        <v>0</v>
      </c>
      <c r="AQ246" s="50">
        <f t="shared" ca="1" si="171"/>
        <v>0</v>
      </c>
      <c r="AR246" s="50">
        <f t="shared" ca="1" si="172"/>
        <v>0</v>
      </c>
      <c r="AS246" s="50">
        <f t="shared" si="173"/>
        <v>0</v>
      </c>
      <c r="AT246" s="50">
        <f ca="1">(MAX((MAX(AS246,105%*SUM($AJ$7:AJ246))-AM246*Flag_UL_Type),0)*B246)</f>
        <v>0</v>
      </c>
      <c r="AU246" s="50">
        <f ca="1">(MAX(AS246,AR246,105%*SUM($AJ$7:AJ246))*B246)</f>
        <v>0</v>
      </c>
      <c r="AV246" s="125"/>
      <c r="AW246" s="13"/>
      <c r="AX246" s="13"/>
      <c r="AY246" s="13"/>
      <c r="AZ246" s="13"/>
      <c r="BA246" s="13"/>
      <c r="BG246" s="51">
        <f t="shared" si="174"/>
        <v>0</v>
      </c>
      <c r="BH246" s="51">
        <f t="shared" si="175"/>
        <v>0</v>
      </c>
      <c r="BI246" s="51">
        <f t="shared" ca="1" si="176"/>
        <v>0</v>
      </c>
      <c r="BJ246" s="51">
        <f t="shared" ca="1" si="177"/>
        <v>0</v>
      </c>
      <c r="BK246" s="51">
        <f t="shared" si="178"/>
        <v>0</v>
      </c>
      <c r="BL246" s="51">
        <f t="shared" ca="1" si="179"/>
        <v>0</v>
      </c>
      <c r="BM246" s="51">
        <f t="shared" si="180"/>
        <v>0</v>
      </c>
      <c r="BN246" s="51">
        <f t="shared" si="181"/>
        <v>0</v>
      </c>
      <c r="BO246" s="51">
        <f t="shared" ca="1" si="182"/>
        <v>0</v>
      </c>
      <c r="BP246" s="51">
        <f t="shared" ca="1" si="183"/>
        <v>0</v>
      </c>
      <c r="BQ246" s="120"/>
      <c r="BR246" s="32"/>
      <c r="BS246" s="126"/>
      <c r="BT246" s="16"/>
      <c r="BU246" s="58"/>
      <c r="BW246" s="51">
        <f>IF(Input!$C$13="Offline",VLOOKUP(H246,Charges!$AT$4:$AU$33,2,FALSE)*I246,0)</f>
        <v>0</v>
      </c>
      <c r="BX246" s="51">
        <f t="shared" si="184"/>
        <v>0</v>
      </c>
      <c r="BY246" s="51">
        <f t="shared" si="192"/>
        <v>0</v>
      </c>
      <c r="BZ246" s="151"/>
      <c r="CA246" s="151"/>
      <c r="CB246" s="32"/>
      <c r="CC246" s="16">
        <f ca="1">SUM($N$7:$N246)</f>
        <v>0</v>
      </c>
      <c r="CD246" s="16">
        <f t="shared" ca="1" si="185"/>
        <v>0</v>
      </c>
      <c r="CE246" s="16">
        <f t="shared" ca="1" si="186"/>
        <v>0</v>
      </c>
      <c r="CF246" s="7">
        <f t="shared" ca="1" si="187"/>
        <v>0</v>
      </c>
      <c r="CH246" s="7">
        <f t="shared" ca="1" si="188"/>
        <v>0</v>
      </c>
    </row>
    <row r="247" spans="2:86" s="7" customFormat="1" x14ac:dyDescent="0.2">
      <c r="B247" s="14">
        <f t="shared" si="152"/>
        <v>0</v>
      </c>
      <c r="C247" s="12">
        <f t="shared" si="153"/>
        <v>0</v>
      </c>
      <c r="D247" s="17">
        <f t="shared" si="193"/>
        <v>241</v>
      </c>
      <c r="E247" s="17">
        <f t="shared" ca="1" si="154"/>
        <v>80</v>
      </c>
      <c r="F247" s="12">
        <f t="shared" si="195"/>
        <v>0</v>
      </c>
      <c r="G247" s="12">
        <f t="shared" si="194"/>
        <v>41</v>
      </c>
      <c r="H247" s="17">
        <f t="shared" si="196"/>
        <v>21</v>
      </c>
      <c r="I247" s="29">
        <f t="shared" si="155"/>
        <v>0</v>
      </c>
      <c r="J247" s="211">
        <f>IFERROR(VLOOKUP(H247,Charges!$T$6:$U$35,2,0)*C247,0)</f>
        <v>0</v>
      </c>
      <c r="K247" s="29">
        <f t="shared" si="156"/>
        <v>0</v>
      </c>
      <c r="L247" s="29">
        <f t="shared" si="157"/>
        <v>0</v>
      </c>
      <c r="M247" s="147">
        <f t="shared" ca="1" si="158"/>
        <v>0</v>
      </c>
      <c r="N247" s="148">
        <f ca="1">IF(AND(Option_SPW="Y",H247&gt;=Lock_In_Period,Z246&gt;SPW_Amount_pa+IF(option="Single",1/5*pr,2*pr),H247&gt;=SPW_Start_Year,H247&lt;=SPW_Start_Year+SPW_Duration-1,age+H247&gt;=Legal_Age),IF(AND(F247=0,SPW_Payout_Freq=1),SPW_Amount_pa,IF(AND(SPW_Payout_Freq=2,MOD(F247,6)=0),SPW_Amount_pa/SPW_Payout_Freq,IF(AND(SPW_Payout_Freq=4,MOD(F247,3)=0),SPW_Amount_pa/SPW_Payout_Freq,IF(SPW_Payout_Freq=12,SPW_Amount_pa/SPW_Payout_Freq,0)))),0)+IFERROR(VLOOKUP(H247,Input!$B$68:$C$74,2,0),0)*(F247=0)*(Option_PW="Y")*(Option_SPW="N")*(age+H247&gt;=Legal_Age)</f>
        <v>0</v>
      </c>
      <c r="O247" s="148">
        <f t="shared" ca="1" si="159"/>
        <v>0</v>
      </c>
      <c r="P247" s="14">
        <f ca="1">(MAX(MAX(sa-CF246*Flag_UL_Type,105%*SUM($I$7:I247))-(AD246+L247-N247)*Flag_UL_Type,0)*B247)</f>
        <v>0</v>
      </c>
      <c r="Q247" s="213">
        <f t="shared" si="160"/>
        <v>0</v>
      </c>
      <c r="R247" s="14">
        <f t="shared" ca="1" si="161"/>
        <v>0</v>
      </c>
      <c r="S247" s="14">
        <f t="shared" ca="1" si="162"/>
        <v>0</v>
      </c>
      <c r="T247" s="14">
        <f>IFERROR(IF(WoP_Flag="Y",IF(fq=1,VLOOKUP(ppt*fq-H247,Charges!$AN$41:$AO$59,2,FALSE),IF(fq=2,VLOOKUP(ppt*fq-G247,Charges!$AP$41:$AQ$79,2,FALSE),VLOOKUP(ppt*fq-D247,Charges!$AR$41:$AS$279,2,FALSE)))*pr/fq,0),0)</f>
        <v>0</v>
      </c>
      <c r="U247" s="14">
        <f t="shared" ca="1" si="163"/>
        <v>0</v>
      </c>
      <c r="V247" s="34">
        <f>ROUND(MIN(IF(H247&gt;=7,Charges!$C$12*(1+Charges!$C$14)^((H247-7+1)),VLOOKUP(H247,Charges!$B$7:$C$12,2,0))*pr,Charges!$C$13)*B247,Round)</f>
        <v>0</v>
      </c>
      <c r="W247" s="14">
        <f t="shared" ca="1" si="164"/>
        <v>0</v>
      </c>
      <c r="X247" s="14">
        <f t="shared" ca="1" si="165"/>
        <v>0</v>
      </c>
      <c r="Y247" s="213">
        <f t="shared" ca="1" si="189"/>
        <v>0</v>
      </c>
      <c r="Z247" s="14">
        <f t="shared" ca="1" si="166"/>
        <v>0</v>
      </c>
      <c r="AA247" s="14">
        <f>IF(AND($H247=pt,$F247=11),SUM($K$7:K247)*VLOOKUP(pt,ROC,2,FALSE),0)</f>
        <v>0</v>
      </c>
      <c r="AB247" s="14">
        <f>IF(AND($H247=pt,$F247=11),SUM($V$7:V247)*VLOOKUP(pt,ROC,2,FALSE),0)</f>
        <v>0</v>
      </c>
      <c r="AC247" s="14">
        <f>IF(AND($H247=pt,$F247=11),SUM($Q$7:Q247)*VLOOKUP(pt,ROC,2,FALSE),0)</f>
        <v>0</v>
      </c>
      <c r="AD247" s="14">
        <f t="shared" ca="1" si="167"/>
        <v>0</v>
      </c>
      <c r="AE247" s="14">
        <f ca="1">(MAX(sa-CF246*Flag_UL_Type,105%*SUM($I$7:I247),Z247)+AU247)*B247</f>
        <v>0</v>
      </c>
      <c r="AF247" s="136"/>
      <c r="AG247" s="18">
        <v>241</v>
      </c>
      <c r="AH247" s="30">
        <f t="shared" ca="1" si="168"/>
        <v>0</v>
      </c>
      <c r="AI247" s="58"/>
      <c r="AJ247" s="50">
        <f>IF(AND(Option_Sys_TopUp&gt;="Y",H247&gt;=sytp,H247&lt;=(dtp+sytp-1),F247=0,H247&lt;=ppt+1),atp,0)+IFERROR(VLOOKUP(H247,Input!$B$55:$C$61,2,0),0)*(F247=0)*(Option_TopUP="Y")*(Option_Sys_TopUp="N")*B247*(pt&gt;=H247+5)</f>
        <v>0</v>
      </c>
      <c r="AK247" s="50">
        <f t="shared" si="169"/>
        <v>0</v>
      </c>
      <c r="AL247" s="50">
        <f t="shared" si="190"/>
        <v>0</v>
      </c>
      <c r="AM247" s="50">
        <f t="shared" ca="1" si="191"/>
        <v>0</v>
      </c>
      <c r="AN247" s="50">
        <f>IF(B247=0,0,AT247*(_rpm1+(1+_emr1)*VLOOKUP(E247,Tab_Mort_Charge,IF(Input!$C$12="M",2,3),0))*(0.001*0.0833)*Flag_Mort_Rider_Charge*(AT247&gt;0))</f>
        <v>0</v>
      </c>
      <c r="AO247" s="50">
        <f t="shared" ca="1" si="170"/>
        <v>0</v>
      </c>
      <c r="AP247" s="50">
        <f t="shared" ca="1" si="197"/>
        <v>0</v>
      </c>
      <c r="AQ247" s="50">
        <f t="shared" ca="1" si="171"/>
        <v>0</v>
      </c>
      <c r="AR247" s="50">
        <f t="shared" ca="1" si="172"/>
        <v>0</v>
      </c>
      <c r="AS247" s="50">
        <f t="shared" si="173"/>
        <v>0</v>
      </c>
      <c r="AT247" s="50">
        <f ca="1">(MAX((MAX(AS247,105%*SUM($AJ$7:AJ247))-AM247*Flag_UL_Type),0)*B247)</f>
        <v>0</v>
      </c>
      <c r="AU247" s="50">
        <f ca="1">(MAX(AS247,AR247,105%*SUM($AJ$7:AJ247))*B247)</f>
        <v>0</v>
      </c>
      <c r="AV247" s="125"/>
      <c r="AW247" s="13"/>
      <c r="AX247" s="13"/>
      <c r="AY247" s="13"/>
      <c r="AZ247" s="13"/>
      <c r="BA247" s="13"/>
      <c r="BG247" s="51">
        <f t="shared" si="174"/>
        <v>0</v>
      </c>
      <c r="BH247" s="51">
        <f t="shared" ref="BH247:BH262" si="198">ROUND(Q247*Service_Tax_Rate*Flag_Service_Tax,Round)+ROUND(Q247*Cess1_Rate*Flag_Service_Tax,Round)+ROUND(Q247*Cess2_Rate*Flag_Service_Tax,Round)</f>
        <v>0</v>
      </c>
      <c r="BI247" s="51">
        <f t="shared" ca="1" si="176"/>
        <v>0</v>
      </c>
      <c r="BJ247" s="51">
        <f t="shared" ca="1" si="177"/>
        <v>0</v>
      </c>
      <c r="BK247" s="51">
        <f t="shared" si="178"/>
        <v>0</v>
      </c>
      <c r="BL247" s="51">
        <f t="shared" ca="1" si="179"/>
        <v>0</v>
      </c>
      <c r="BM247" s="51">
        <f t="shared" si="180"/>
        <v>0</v>
      </c>
      <c r="BN247" s="51">
        <f t="shared" ref="BN247:BN262" si="199">ROUND(AN247*Service_Tax_Rate*Flag_Service_Tax,Round)+ROUND(AN247*Cess1_Rate*Flag_Service_Tax,Round)+ROUND(AN247*Cess2_Rate*Flag_Service_Tax,Round)</f>
        <v>0</v>
      </c>
      <c r="BO247" s="51">
        <f t="shared" ca="1" si="182"/>
        <v>0</v>
      </c>
      <c r="BP247" s="51">
        <f t="shared" ca="1" si="183"/>
        <v>0</v>
      </c>
      <c r="BQ247" s="120"/>
      <c r="BR247" s="32"/>
      <c r="BS247" s="126"/>
      <c r="BT247" s="16"/>
      <c r="BU247" s="58"/>
      <c r="BW247" s="51">
        <f>IF(Input!$C$13="Offline",VLOOKUP(H247,Charges!$AT$4:$AU$33,2,FALSE)*I247,0)</f>
        <v>0</v>
      </c>
      <c r="BX247" s="51">
        <f t="shared" si="184"/>
        <v>0</v>
      </c>
      <c r="BY247" s="51">
        <f t="shared" si="192"/>
        <v>0</v>
      </c>
      <c r="BZ247" s="151"/>
      <c r="CA247" s="151"/>
      <c r="CB247" s="32"/>
      <c r="CC247" s="16">
        <f ca="1">SUM($N$7:$N247)</f>
        <v>0</v>
      </c>
      <c r="CD247" s="16">
        <f t="shared" ca="1" si="185"/>
        <v>0</v>
      </c>
      <c r="CE247" s="16">
        <f t="shared" ca="1" si="186"/>
        <v>0</v>
      </c>
      <c r="CF247" s="7">
        <f t="shared" ca="1" si="187"/>
        <v>0</v>
      </c>
      <c r="CH247" s="7">
        <f t="shared" ca="1" si="188"/>
        <v>0</v>
      </c>
    </row>
    <row r="248" spans="2:86" s="7" customFormat="1" x14ac:dyDescent="0.2">
      <c r="B248" s="14">
        <f t="shared" si="152"/>
        <v>0</v>
      </c>
      <c r="C248" s="12">
        <f t="shared" si="153"/>
        <v>0</v>
      </c>
      <c r="D248" s="17">
        <f t="shared" si="193"/>
        <v>242</v>
      </c>
      <c r="E248" s="17">
        <f t="shared" ca="1" si="154"/>
        <v>80</v>
      </c>
      <c r="F248" s="12">
        <f t="shared" si="195"/>
        <v>1</v>
      </c>
      <c r="G248" s="12">
        <f t="shared" si="194"/>
        <v>41</v>
      </c>
      <c r="H248" s="17">
        <f t="shared" si="196"/>
        <v>21</v>
      </c>
      <c r="I248" s="29">
        <f t="shared" si="155"/>
        <v>0</v>
      </c>
      <c r="J248" s="211">
        <f>IFERROR(VLOOKUP(H248,Charges!$T$6:$U$35,2,0)*C248,0)</f>
        <v>0</v>
      </c>
      <c r="K248" s="29">
        <f t="shared" si="156"/>
        <v>0</v>
      </c>
      <c r="L248" s="29">
        <f t="shared" si="157"/>
        <v>0</v>
      </c>
      <c r="M248" s="147">
        <f t="shared" ca="1" si="158"/>
        <v>0</v>
      </c>
      <c r="N248" s="148">
        <f ca="1">IF(AND(Option_SPW="Y",H248&gt;=Lock_In_Period,Z247&gt;SPW_Amount_pa+IF(option="Single",1/5*pr,2*pr),H248&gt;=SPW_Start_Year,H248&lt;=SPW_Start_Year+SPW_Duration-1,age+H248&gt;=Legal_Age),IF(AND(F248=0,SPW_Payout_Freq=1),SPW_Amount_pa,IF(AND(SPW_Payout_Freq=2,MOD(F248,6)=0),SPW_Amount_pa/SPW_Payout_Freq,IF(AND(SPW_Payout_Freq=4,MOD(F248,3)=0),SPW_Amount_pa/SPW_Payout_Freq,IF(SPW_Payout_Freq=12,SPW_Amount_pa/SPW_Payout_Freq,0)))),0)+IFERROR(VLOOKUP(H248,Input!$B$68:$C$74,2,0),0)*(F248=0)*(Option_PW="Y")*(Option_SPW="N")*(age+H248&gt;=Legal_Age)</f>
        <v>0</v>
      </c>
      <c r="O248" s="148">
        <f t="shared" ca="1" si="159"/>
        <v>0</v>
      </c>
      <c r="P248" s="14">
        <f ca="1">(MAX(MAX(sa-CF247*Flag_UL_Type,105%*SUM($I$7:I248))-(AD247+L248-N248)*Flag_UL_Type,0)*B248)</f>
        <v>0</v>
      </c>
      <c r="Q248" s="213">
        <f t="shared" si="160"/>
        <v>0</v>
      </c>
      <c r="R248" s="14">
        <f t="shared" ca="1" si="161"/>
        <v>0</v>
      </c>
      <c r="S248" s="14">
        <f t="shared" ca="1" si="162"/>
        <v>0</v>
      </c>
      <c r="T248" s="14">
        <f>IFERROR(IF(WoP_Flag="Y",IF(fq=1,VLOOKUP(ppt*fq-H248,Charges!$AN$41:$AO$59,2,FALSE),IF(fq=2,VLOOKUP(ppt*fq-G248,Charges!$AP$41:$AQ$79,2,FALSE),VLOOKUP(ppt*fq-D248,Charges!$AR$41:$AS$279,2,FALSE)))*pr/fq,0),0)</f>
        <v>0</v>
      </c>
      <c r="U248" s="14">
        <f t="shared" ca="1" si="163"/>
        <v>0</v>
      </c>
      <c r="V248" s="34">
        <f>ROUND(MIN(IF(H248&gt;=7,Charges!$C$12*(1+Charges!$C$14)^((H248-7+1)),VLOOKUP(H248,Charges!$B$7:$C$12,2,0))*pr,Charges!$C$13)*B248,Round)</f>
        <v>0</v>
      </c>
      <c r="W248" s="14">
        <f t="shared" ca="1" si="164"/>
        <v>0</v>
      </c>
      <c r="X248" s="14">
        <f t="shared" ca="1" si="165"/>
        <v>0</v>
      </c>
      <c r="Y248" s="213">
        <f t="shared" ca="1" si="189"/>
        <v>0</v>
      </c>
      <c r="Z248" s="14">
        <f t="shared" ca="1" si="166"/>
        <v>0</v>
      </c>
      <c r="AA248" s="14">
        <f>IF(AND($H248=pt,$F248=11),SUM($K$7:K248)*VLOOKUP(pt,ROC,2,FALSE),0)</f>
        <v>0</v>
      </c>
      <c r="AB248" s="14">
        <f>IF(AND($H248=pt,$F248=11),SUM($V$7:V248)*VLOOKUP(pt,ROC,2,FALSE),0)</f>
        <v>0</v>
      </c>
      <c r="AC248" s="14">
        <f>IF(AND($H248=pt,$F248=11),SUM($Q$7:Q248)*VLOOKUP(pt,ROC,2,FALSE),0)</f>
        <v>0</v>
      </c>
      <c r="AD248" s="14">
        <f t="shared" ca="1" si="167"/>
        <v>0</v>
      </c>
      <c r="AE248" s="14">
        <f ca="1">(MAX(sa-CF247*Flag_UL_Type,105%*SUM($I$7:I248),Z248)+AU248)*B248</f>
        <v>0</v>
      </c>
      <c r="AF248" s="136"/>
      <c r="AG248" s="18">
        <v>242</v>
      </c>
      <c r="AH248" s="30">
        <f t="shared" ca="1" si="168"/>
        <v>0</v>
      </c>
      <c r="AI248" s="58"/>
      <c r="AJ248" s="50">
        <f>IF(AND(Option_Sys_TopUp&gt;="Y",H248&gt;=sytp,H248&lt;=(dtp+sytp-1),F248=0,H248&lt;=ppt+1),atp,0)+IFERROR(VLOOKUP(H248,Input!$B$55:$C$61,2,0),0)*(F248=0)*(Option_TopUP="Y")*(Option_Sys_TopUp="N")*B248*(pt&gt;=H248+5)</f>
        <v>0</v>
      </c>
      <c r="AK248" s="50">
        <f t="shared" si="169"/>
        <v>0</v>
      </c>
      <c r="AL248" s="50">
        <f t="shared" si="190"/>
        <v>0</v>
      </c>
      <c r="AM248" s="50">
        <f t="shared" ca="1" si="191"/>
        <v>0</v>
      </c>
      <c r="AN248" s="50">
        <f>IF(B248=0,0,AT248*(_rpm1+(1+_emr1)*VLOOKUP(E248,Tab_Mort_Charge,IF(Input!$C$12="M",2,3),0))*(0.001*0.0833)*Flag_Mort_Rider_Charge*(AT248&gt;0))</f>
        <v>0</v>
      </c>
      <c r="AO248" s="50">
        <f t="shared" ca="1" si="170"/>
        <v>0</v>
      </c>
      <c r="AP248" s="50">
        <f t="shared" ca="1" si="197"/>
        <v>0</v>
      </c>
      <c r="AQ248" s="50">
        <f t="shared" ca="1" si="171"/>
        <v>0</v>
      </c>
      <c r="AR248" s="50">
        <f t="shared" ca="1" si="172"/>
        <v>0</v>
      </c>
      <c r="AS248" s="50">
        <f t="shared" si="173"/>
        <v>0</v>
      </c>
      <c r="AT248" s="50">
        <f ca="1">(MAX((MAX(AS248,105%*SUM($AJ$7:AJ248))-AM248*Flag_UL_Type),0)*B248)</f>
        <v>0</v>
      </c>
      <c r="AU248" s="50">
        <f ca="1">(MAX(AS248,AR248,105%*SUM($AJ$7:AJ248))*B248)</f>
        <v>0</v>
      </c>
      <c r="AV248" s="125"/>
      <c r="AW248" s="13"/>
      <c r="AX248" s="13"/>
      <c r="AY248" s="13"/>
      <c r="AZ248" s="13"/>
      <c r="BA248" s="13"/>
      <c r="BG248" s="51">
        <f t="shared" si="174"/>
        <v>0</v>
      </c>
      <c r="BH248" s="51">
        <f t="shared" si="198"/>
        <v>0</v>
      </c>
      <c r="BI248" s="51">
        <f t="shared" ca="1" si="176"/>
        <v>0</v>
      </c>
      <c r="BJ248" s="51">
        <f t="shared" ca="1" si="177"/>
        <v>0</v>
      </c>
      <c r="BK248" s="51">
        <f t="shared" si="178"/>
        <v>0</v>
      </c>
      <c r="BL248" s="51">
        <f t="shared" ca="1" si="179"/>
        <v>0</v>
      </c>
      <c r="BM248" s="51">
        <f t="shared" si="180"/>
        <v>0</v>
      </c>
      <c r="BN248" s="51">
        <f t="shared" si="199"/>
        <v>0</v>
      </c>
      <c r="BO248" s="51">
        <f t="shared" ca="1" si="182"/>
        <v>0</v>
      </c>
      <c r="BP248" s="51">
        <f t="shared" ca="1" si="183"/>
        <v>0</v>
      </c>
      <c r="BQ248" s="120"/>
      <c r="BR248" s="32"/>
      <c r="BS248" s="126"/>
      <c r="BT248" s="16"/>
      <c r="BU248" s="58"/>
      <c r="BW248" s="51">
        <f>IF(Input!$C$13="Offline",VLOOKUP(H248,Charges!$AT$4:$AU$33,2,FALSE)*I248,0)</f>
        <v>0</v>
      </c>
      <c r="BX248" s="51">
        <f t="shared" si="184"/>
        <v>0</v>
      </c>
      <c r="BY248" s="51">
        <f t="shared" si="192"/>
        <v>0</v>
      </c>
      <c r="BZ248" s="151"/>
      <c r="CA248" s="151"/>
      <c r="CB248" s="32"/>
      <c r="CC248" s="16">
        <f ca="1">SUM($N$7:$N248)</f>
        <v>0</v>
      </c>
      <c r="CD248" s="16">
        <f t="shared" ca="1" si="185"/>
        <v>0</v>
      </c>
      <c r="CE248" s="16">
        <f t="shared" ca="1" si="186"/>
        <v>0</v>
      </c>
      <c r="CF248" s="7">
        <f t="shared" ca="1" si="187"/>
        <v>0</v>
      </c>
      <c r="CH248" s="7">
        <f t="shared" ca="1" si="188"/>
        <v>0</v>
      </c>
    </row>
    <row r="249" spans="2:86" s="7" customFormat="1" x14ac:dyDescent="0.2">
      <c r="B249" s="14">
        <f t="shared" si="152"/>
        <v>0</v>
      </c>
      <c r="C249" s="12">
        <f t="shared" si="153"/>
        <v>0</v>
      </c>
      <c r="D249" s="17">
        <f t="shared" si="193"/>
        <v>243</v>
      </c>
      <c r="E249" s="17">
        <f t="shared" ca="1" si="154"/>
        <v>80</v>
      </c>
      <c r="F249" s="12">
        <f t="shared" si="195"/>
        <v>2</v>
      </c>
      <c r="G249" s="12">
        <f t="shared" si="194"/>
        <v>41</v>
      </c>
      <c r="H249" s="17">
        <f t="shared" si="196"/>
        <v>21</v>
      </c>
      <c r="I249" s="29">
        <f t="shared" si="155"/>
        <v>0</v>
      </c>
      <c r="J249" s="211">
        <f>IFERROR(VLOOKUP(H249,Charges!$T$6:$U$35,2,0)*C249,0)</f>
        <v>0</v>
      </c>
      <c r="K249" s="29">
        <f t="shared" si="156"/>
        <v>0</v>
      </c>
      <c r="L249" s="29">
        <f t="shared" si="157"/>
        <v>0</v>
      </c>
      <c r="M249" s="147">
        <f t="shared" ca="1" si="158"/>
        <v>0</v>
      </c>
      <c r="N249" s="148">
        <f ca="1">IF(AND(Option_SPW="Y",H249&gt;=Lock_In_Period,Z248&gt;SPW_Amount_pa+IF(option="Single",1/5*pr,2*pr),H249&gt;=SPW_Start_Year,H249&lt;=SPW_Start_Year+SPW_Duration-1,age+H249&gt;=Legal_Age),IF(AND(F249=0,SPW_Payout_Freq=1),SPW_Amount_pa,IF(AND(SPW_Payout_Freq=2,MOD(F249,6)=0),SPW_Amount_pa/SPW_Payout_Freq,IF(AND(SPW_Payout_Freq=4,MOD(F249,3)=0),SPW_Amount_pa/SPW_Payout_Freq,IF(SPW_Payout_Freq=12,SPW_Amount_pa/SPW_Payout_Freq,0)))),0)+IFERROR(VLOOKUP(H249,Input!$B$68:$C$74,2,0),0)*(F249=0)*(Option_PW="Y")*(Option_SPW="N")*(age+H249&gt;=Legal_Age)</f>
        <v>0</v>
      </c>
      <c r="O249" s="148">
        <f t="shared" ca="1" si="159"/>
        <v>0</v>
      </c>
      <c r="P249" s="14">
        <f ca="1">(MAX(MAX(sa-CF248*Flag_UL_Type,105%*SUM($I$7:I249))-(AD248+L249-N249)*Flag_UL_Type,0)*B249)</f>
        <v>0</v>
      </c>
      <c r="Q249" s="213">
        <f t="shared" si="160"/>
        <v>0</v>
      </c>
      <c r="R249" s="14">
        <f t="shared" ca="1" si="161"/>
        <v>0</v>
      </c>
      <c r="S249" s="14">
        <f t="shared" ca="1" si="162"/>
        <v>0</v>
      </c>
      <c r="T249" s="14">
        <f>IFERROR(IF(WoP_Flag="Y",IF(fq=1,VLOOKUP(ppt*fq-H249,Charges!$AN$41:$AO$59,2,FALSE),IF(fq=2,VLOOKUP(ppt*fq-G249,Charges!$AP$41:$AQ$79,2,FALSE),VLOOKUP(ppt*fq-D249,Charges!$AR$41:$AS$279,2,FALSE)))*pr/fq,0),0)</f>
        <v>0</v>
      </c>
      <c r="U249" s="14">
        <f t="shared" ca="1" si="163"/>
        <v>0</v>
      </c>
      <c r="V249" s="34">
        <f>ROUND(MIN(IF(H249&gt;=7,Charges!$C$12*(1+Charges!$C$14)^((H249-7+1)),VLOOKUP(H249,Charges!$B$7:$C$12,2,0))*pr,Charges!$C$13)*B249,Round)</f>
        <v>0</v>
      </c>
      <c r="W249" s="14">
        <f t="shared" ca="1" si="164"/>
        <v>0</v>
      </c>
      <c r="X249" s="14">
        <f t="shared" ca="1" si="165"/>
        <v>0</v>
      </c>
      <c r="Y249" s="213">
        <f t="shared" ca="1" si="189"/>
        <v>0</v>
      </c>
      <c r="Z249" s="14">
        <f t="shared" ca="1" si="166"/>
        <v>0</v>
      </c>
      <c r="AA249" s="14">
        <f>IF(AND($H249=pt,$F249=11),SUM($K$7:K249)*VLOOKUP(pt,ROC,2,FALSE),0)</f>
        <v>0</v>
      </c>
      <c r="AB249" s="14">
        <f>IF(AND($H249=pt,$F249=11),SUM($V$7:V249)*VLOOKUP(pt,ROC,2,FALSE),0)</f>
        <v>0</v>
      </c>
      <c r="AC249" s="14">
        <f>IF(AND($H249=pt,$F249=11),SUM($Q$7:Q249)*VLOOKUP(pt,ROC,2,FALSE),0)</f>
        <v>0</v>
      </c>
      <c r="AD249" s="14">
        <f t="shared" ca="1" si="167"/>
        <v>0</v>
      </c>
      <c r="AE249" s="14">
        <f ca="1">(MAX(sa-CF248*Flag_UL_Type,105%*SUM($I$7:I249),Z249)+AU249)*B249</f>
        <v>0</v>
      </c>
      <c r="AF249" s="136"/>
      <c r="AG249" s="18">
        <v>243</v>
      </c>
      <c r="AH249" s="30">
        <f t="shared" ca="1" si="168"/>
        <v>0</v>
      </c>
      <c r="AI249" s="58"/>
      <c r="AJ249" s="50">
        <f>IF(AND(Option_Sys_TopUp&gt;="Y",H249&gt;=sytp,H249&lt;=(dtp+sytp-1),F249=0,H249&lt;=ppt+1),atp,0)+IFERROR(VLOOKUP(H249,Input!$B$55:$C$61,2,0),0)*(F249=0)*(Option_TopUP="Y")*(Option_Sys_TopUp="N")*B249*(pt&gt;=H249+5)</f>
        <v>0</v>
      </c>
      <c r="AK249" s="50">
        <f t="shared" si="169"/>
        <v>0</v>
      </c>
      <c r="AL249" s="50">
        <f t="shared" si="190"/>
        <v>0</v>
      </c>
      <c r="AM249" s="50">
        <f t="shared" ca="1" si="191"/>
        <v>0</v>
      </c>
      <c r="AN249" s="50">
        <f>IF(B249=0,0,AT249*(_rpm1+(1+_emr1)*VLOOKUP(E249,Tab_Mort_Charge,IF(Input!$C$12="M",2,3),0))*(0.001*0.0833)*Flag_Mort_Rider_Charge*(AT249&gt;0))</f>
        <v>0</v>
      </c>
      <c r="AO249" s="50">
        <f t="shared" ca="1" si="170"/>
        <v>0</v>
      </c>
      <c r="AP249" s="50">
        <f t="shared" ca="1" si="197"/>
        <v>0</v>
      </c>
      <c r="AQ249" s="50">
        <f t="shared" ca="1" si="171"/>
        <v>0</v>
      </c>
      <c r="AR249" s="50">
        <f t="shared" ca="1" si="172"/>
        <v>0</v>
      </c>
      <c r="AS249" s="50">
        <f t="shared" si="173"/>
        <v>0</v>
      </c>
      <c r="AT249" s="50">
        <f ca="1">(MAX((MAX(AS249,105%*SUM($AJ$7:AJ249))-AM249*Flag_UL_Type),0)*B249)</f>
        <v>0</v>
      </c>
      <c r="AU249" s="50">
        <f ca="1">(MAX(AS249,AR249,105%*SUM($AJ$7:AJ249))*B249)</f>
        <v>0</v>
      </c>
      <c r="AV249" s="125"/>
      <c r="AW249" s="13"/>
      <c r="AX249" s="13"/>
      <c r="AY249" s="13"/>
      <c r="AZ249" s="13"/>
      <c r="BA249" s="13"/>
      <c r="BG249" s="51">
        <f t="shared" si="174"/>
        <v>0</v>
      </c>
      <c r="BH249" s="51">
        <f t="shared" si="198"/>
        <v>0</v>
      </c>
      <c r="BI249" s="51">
        <f t="shared" ca="1" si="176"/>
        <v>0</v>
      </c>
      <c r="BJ249" s="51">
        <f t="shared" ca="1" si="177"/>
        <v>0</v>
      </c>
      <c r="BK249" s="51">
        <f t="shared" si="178"/>
        <v>0</v>
      </c>
      <c r="BL249" s="51">
        <f t="shared" ca="1" si="179"/>
        <v>0</v>
      </c>
      <c r="BM249" s="51">
        <f t="shared" si="180"/>
        <v>0</v>
      </c>
      <c r="BN249" s="51">
        <f t="shared" si="199"/>
        <v>0</v>
      </c>
      <c r="BO249" s="51">
        <f t="shared" ca="1" si="182"/>
        <v>0</v>
      </c>
      <c r="BP249" s="51">
        <f t="shared" ca="1" si="183"/>
        <v>0</v>
      </c>
      <c r="BQ249" s="120"/>
      <c r="BR249" s="32"/>
      <c r="BS249" s="126"/>
      <c r="BT249" s="16"/>
      <c r="BU249" s="58"/>
      <c r="BW249" s="51">
        <f>IF(Input!$C$13="Offline",VLOOKUP(H249,Charges!$AT$4:$AU$33,2,FALSE)*I249,0)</f>
        <v>0</v>
      </c>
      <c r="BX249" s="51">
        <f t="shared" si="184"/>
        <v>0</v>
      </c>
      <c r="BY249" s="51">
        <f t="shared" si="192"/>
        <v>0</v>
      </c>
      <c r="BZ249" s="151"/>
      <c r="CA249" s="151"/>
      <c r="CB249" s="32"/>
      <c r="CC249" s="16">
        <f ca="1">SUM($N$7:$N249)</f>
        <v>0</v>
      </c>
      <c r="CD249" s="16">
        <f t="shared" ca="1" si="185"/>
        <v>0</v>
      </c>
      <c r="CE249" s="16">
        <f t="shared" ca="1" si="186"/>
        <v>0</v>
      </c>
      <c r="CF249" s="7">
        <f t="shared" ca="1" si="187"/>
        <v>0</v>
      </c>
      <c r="CH249" s="7">
        <f t="shared" ca="1" si="188"/>
        <v>0</v>
      </c>
    </row>
    <row r="250" spans="2:86" s="7" customFormat="1" x14ac:dyDescent="0.2">
      <c r="B250" s="14">
        <f t="shared" si="152"/>
        <v>0</v>
      </c>
      <c r="C250" s="12">
        <f t="shared" si="153"/>
        <v>0</v>
      </c>
      <c r="D250" s="17">
        <f t="shared" si="193"/>
        <v>244</v>
      </c>
      <c r="E250" s="17">
        <f t="shared" ca="1" si="154"/>
        <v>80</v>
      </c>
      <c r="F250" s="12">
        <f t="shared" si="195"/>
        <v>3</v>
      </c>
      <c r="G250" s="12">
        <f t="shared" si="194"/>
        <v>41</v>
      </c>
      <c r="H250" s="17">
        <f t="shared" si="196"/>
        <v>21</v>
      </c>
      <c r="I250" s="29">
        <f t="shared" si="155"/>
        <v>0</v>
      </c>
      <c r="J250" s="211">
        <f>IFERROR(VLOOKUP(H250,Charges!$T$6:$U$35,2,0)*C250,0)</f>
        <v>0</v>
      </c>
      <c r="K250" s="29">
        <f t="shared" si="156"/>
        <v>0</v>
      </c>
      <c r="L250" s="29">
        <f t="shared" si="157"/>
        <v>0</v>
      </c>
      <c r="M250" s="147">
        <f t="shared" ca="1" si="158"/>
        <v>0</v>
      </c>
      <c r="N250" s="148">
        <f ca="1">IF(AND(Option_SPW="Y",H250&gt;=Lock_In_Period,Z249&gt;SPW_Amount_pa+IF(option="Single",1/5*pr,2*pr),H250&gt;=SPW_Start_Year,H250&lt;=SPW_Start_Year+SPW_Duration-1,age+H250&gt;=Legal_Age),IF(AND(F250=0,SPW_Payout_Freq=1),SPW_Amount_pa,IF(AND(SPW_Payout_Freq=2,MOD(F250,6)=0),SPW_Amount_pa/SPW_Payout_Freq,IF(AND(SPW_Payout_Freq=4,MOD(F250,3)=0),SPW_Amount_pa/SPW_Payout_Freq,IF(SPW_Payout_Freq=12,SPW_Amount_pa/SPW_Payout_Freq,0)))),0)+IFERROR(VLOOKUP(H250,Input!$B$68:$C$74,2,0),0)*(F250=0)*(Option_PW="Y")*(Option_SPW="N")*(age+H250&gt;=Legal_Age)</f>
        <v>0</v>
      </c>
      <c r="O250" s="148">
        <f t="shared" ca="1" si="159"/>
        <v>0</v>
      </c>
      <c r="P250" s="14">
        <f ca="1">(MAX(MAX(sa-CF249*Flag_UL_Type,105%*SUM($I$7:I250))-(AD249+L250-N250)*Flag_UL_Type,0)*B250)</f>
        <v>0</v>
      </c>
      <c r="Q250" s="213">
        <f t="shared" si="160"/>
        <v>0</v>
      </c>
      <c r="R250" s="14">
        <f t="shared" ca="1" si="161"/>
        <v>0</v>
      </c>
      <c r="S250" s="14">
        <f t="shared" ca="1" si="162"/>
        <v>0</v>
      </c>
      <c r="T250" s="14">
        <f>IFERROR(IF(WoP_Flag="Y",IF(fq=1,VLOOKUP(ppt*fq-H250,Charges!$AN$41:$AO$59,2,FALSE),IF(fq=2,VLOOKUP(ppt*fq-G250,Charges!$AP$41:$AQ$79,2,FALSE),VLOOKUP(ppt*fq-D250,Charges!$AR$41:$AS$279,2,FALSE)))*pr/fq,0),0)</f>
        <v>0</v>
      </c>
      <c r="U250" s="14">
        <f t="shared" ca="1" si="163"/>
        <v>0</v>
      </c>
      <c r="V250" s="34">
        <f>ROUND(MIN(IF(H250&gt;=7,Charges!$C$12*(1+Charges!$C$14)^((H250-7+1)),VLOOKUP(H250,Charges!$B$7:$C$12,2,0))*pr,Charges!$C$13)*B250,Round)</f>
        <v>0</v>
      </c>
      <c r="W250" s="14">
        <f t="shared" ca="1" si="164"/>
        <v>0</v>
      </c>
      <c r="X250" s="14">
        <f t="shared" ca="1" si="165"/>
        <v>0</v>
      </c>
      <c r="Y250" s="213">
        <f t="shared" ca="1" si="189"/>
        <v>0</v>
      </c>
      <c r="Z250" s="14">
        <f t="shared" ca="1" si="166"/>
        <v>0</v>
      </c>
      <c r="AA250" s="14">
        <f>IF(AND($H250=pt,$F250=11),SUM($K$7:K250)*VLOOKUP(pt,ROC,2,FALSE),0)</f>
        <v>0</v>
      </c>
      <c r="AB250" s="14">
        <f>IF(AND($H250=pt,$F250=11),SUM($V$7:V250)*VLOOKUP(pt,ROC,2,FALSE),0)</f>
        <v>0</v>
      </c>
      <c r="AC250" s="14">
        <f>IF(AND($H250=pt,$F250=11),SUM($Q$7:Q250)*VLOOKUP(pt,ROC,2,FALSE),0)</f>
        <v>0</v>
      </c>
      <c r="AD250" s="14">
        <f t="shared" ca="1" si="167"/>
        <v>0</v>
      </c>
      <c r="AE250" s="14">
        <f ca="1">(MAX(sa-CF249*Flag_UL_Type,105%*SUM($I$7:I250),Z250)+AU250)*B250</f>
        <v>0</v>
      </c>
      <c r="AF250" s="136"/>
      <c r="AG250" s="18">
        <v>244</v>
      </c>
      <c r="AH250" s="30">
        <f t="shared" ca="1" si="168"/>
        <v>0</v>
      </c>
      <c r="AI250" s="58"/>
      <c r="AJ250" s="50">
        <f>IF(AND(Option_Sys_TopUp&gt;="Y",H250&gt;=sytp,H250&lt;=(dtp+sytp-1),F250=0,H250&lt;=ppt+1),atp,0)+IFERROR(VLOOKUP(H250,Input!$B$55:$C$61,2,0),0)*(F250=0)*(Option_TopUP="Y")*(Option_Sys_TopUp="N")*B250*(pt&gt;=H250+5)</f>
        <v>0</v>
      </c>
      <c r="AK250" s="50">
        <f t="shared" si="169"/>
        <v>0</v>
      </c>
      <c r="AL250" s="50">
        <f t="shared" si="190"/>
        <v>0</v>
      </c>
      <c r="AM250" s="50">
        <f t="shared" ca="1" si="191"/>
        <v>0</v>
      </c>
      <c r="AN250" s="50">
        <f>IF(B250=0,0,AT250*(_rpm1+(1+_emr1)*VLOOKUP(E250,Tab_Mort_Charge,IF(Input!$C$12="M",2,3),0))*(0.001*0.0833)*Flag_Mort_Rider_Charge*(AT250&gt;0))</f>
        <v>0</v>
      </c>
      <c r="AO250" s="50">
        <f t="shared" ca="1" si="170"/>
        <v>0</v>
      </c>
      <c r="AP250" s="50">
        <f t="shared" ca="1" si="197"/>
        <v>0</v>
      </c>
      <c r="AQ250" s="50">
        <f t="shared" ca="1" si="171"/>
        <v>0</v>
      </c>
      <c r="AR250" s="50">
        <f t="shared" ca="1" si="172"/>
        <v>0</v>
      </c>
      <c r="AS250" s="50">
        <f t="shared" si="173"/>
        <v>0</v>
      </c>
      <c r="AT250" s="50">
        <f ca="1">(MAX((MAX(AS250,105%*SUM($AJ$7:AJ250))-AM250*Flag_UL_Type),0)*B250)</f>
        <v>0</v>
      </c>
      <c r="AU250" s="50">
        <f ca="1">(MAX(AS250,AR250,105%*SUM($AJ$7:AJ250))*B250)</f>
        <v>0</v>
      </c>
      <c r="AV250" s="125"/>
      <c r="AW250" s="13"/>
      <c r="AX250" s="13"/>
      <c r="AY250" s="13"/>
      <c r="AZ250" s="13"/>
      <c r="BA250" s="13"/>
      <c r="BG250" s="51">
        <f t="shared" si="174"/>
        <v>0</v>
      </c>
      <c r="BH250" s="51">
        <f t="shared" si="198"/>
        <v>0</v>
      </c>
      <c r="BI250" s="51">
        <f t="shared" ca="1" si="176"/>
        <v>0</v>
      </c>
      <c r="BJ250" s="51">
        <f t="shared" ca="1" si="177"/>
        <v>0</v>
      </c>
      <c r="BK250" s="51">
        <f t="shared" si="178"/>
        <v>0</v>
      </c>
      <c r="BL250" s="51">
        <f t="shared" ca="1" si="179"/>
        <v>0</v>
      </c>
      <c r="BM250" s="51">
        <f t="shared" si="180"/>
        <v>0</v>
      </c>
      <c r="BN250" s="51">
        <f t="shared" si="199"/>
        <v>0</v>
      </c>
      <c r="BO250" s="51">
        <f t="shared" ca="1" si="182"/>
        <v>0</v>
      </c>
      <c r="BP250" s="51">
        <f t="shared" ca="1" si="183"/>
        <v>0</v>
      </c>
      <c r="BQ250" s="120"/>
      <c r="BR250" s="32"/>
      <c r="BS250" s="126"/>
      <c r="BT250" s="16"/>
      <c r="BU250" s="58"/>
      <c r="BW250" s="51">
        <f>IF(Input!$C$13="Offline",VLOOKUP(H250,Charges!$AT$4:$AU$33,2,FALSE)*I250,0)</f>
        <v>0</v>
      </c>
      <c r="BX250" s="51">
        <f t="shared" si="184"/>
        <v>0</v>
      </c>
      <c r="BY250" s="51">
        <f t="shared" si="192"/>
        <v>0</v>
      </c>
      <c r="BZ250" s="151"/>
      <c r="CA250" s="151"/>
      <c r="CB250" s="32"/>
      <c r="CC250" s="16">
        <f ca="1">SUM($N$7:$N250)</f>
        <v>0</v>
      </c>
      <c r="CD250" s="16">
        <f t="shared" ca="1" si="185"/>
        <v>0</v>
      </c>
      <c r="CE250" s="16">
        <f t="shared" ca="1" si="186"/>
        <v>0</v>
      </c>
      <c r="CF250" s="7">
        <f t="shared" ca="1" si="187"/>
        <v>0</v>
      </c>
      <c r="CH250" s="7">
        <f t="shared" ca="1" si="188"/>
        <v>0</v>
      </c>
    </row>
    <row r="251" spans="2:86" s="7" customFormat="1" x14ac:dyDescent="0.2">
      <c r="B251" s="14">
        <f t="shared" si="152"/>
        <v>0</v>
      </c>
      <c r="C251" s="12">
        <f t="shared" si="153"/>
        <v>0</v>
      </c>
      <c r="D251" s="17">
        <f t="shared" si="193"/>
        <v>245</v>
      </c>
      <c r="E251" s="17">
        <f t="shared" ca="1" si="154"/>
        <v>80</v>
      </c>
      <c r="F251" s="12">
        <f t="shared" si="195"/>
        <v>4</v>
      </c>
      <c r="G251" s="12">
        <f t="shared" si="194"/>
        <v>41</v>
      </c>
      <c r="H251" s="17">
        <f t="shared" si="196"/>
        <v>21</v>
      </c>
      <c r="I251" s="29">
        <f t="shared" si="155"/>
        <v>0</v>
      </c>
      <c r="J251" s="211">
        <f>IFERROR(VLOOKUP(H251,Charges!$T$6:$U$35,2,0)*C251,0)</f>
        <v>0</v>
      </c>
      <c r="K251" s="29">
        <f t="shared" si="156"/>
        <v>0</v>
      </c>
      <c r="L251" s="29">
        <f t="shared" si="157"/>
        <v>0</v>
      </c>
      <c r="M251" s="147">
        <f t="shared" ca="1" si="158"/>
        <v>0</v>
      </c>
      <c r="N251" s="148">
        <f ca="1">IF(AND(Option_SPW="Y",H251&gt;=Lock_In_Period,Z250&gt;SPW_Amount_pa+IF(option="Single",1/5*pr,2*pr),H251&gt;=SPW_Start_Year,H251&lt;=SPW_Start_Year+SPW_Duration-1,age+H251&gt;=Legal_Age),IF(AND(F251=0,SPW_Payout_Freq=1),SPW_Amount_pa,IF(AND(SPW_Payout_Freq=2,MOD(F251,6)=0),SPW_Amount_pa/SPW_Payout_Freq,IF(AND(SPW_Payout_Freq=4,MOD(F251,3)=0),SPW_Amount_pa/SPW_Payout_Freq,IF(SPW_Payout_Freq=12,SPW_Amount_pa/SPW_Payout_Freq,0)))),0)+IFERROR(VLOOKUP(H251,Input!$B$68:$C$74,2,0),0)*(F251=0)*(Option_PW="Y")*(Option_SPW="N")*(age+H251&gt;=Legal_Age)</f>
        <v>0</v>
      </c>
      <c r="O251" s="148">
        <f t="shared" ca="1" si="159"/>
        <v>0</v>
      </c>
      <c r="P251" s="14">
        <f ca="1">(MAX(MAX(sa-CF250*Flag_UL_Type,105%*SUM($I$7:I251))-(AD250+L251-N251)*Flag_UL_Type,0)*B251)</f>
        <v>0</v>
      </c>
      <c r="Q251" s="213">
        <f t="shared" si="160"/>
        <v>0</v>
      </c>
      <c r="R251" s="14">
        <f t="shared" ca="1" si="161"/>
        <v>0</v>
      </c>
      <c r="S251" s="14">
        <f t="shared" ca="1" si="162"/>
        <v>0</v>
      </c>
      <c r="T251" s="14">
        <f>IFERROR(IF(WoP_Flag="Y",IF(fq=1,VLOOKUP(ppt*fq-H251,Charges!$AN$41:$AO$59,2,FALSE),IF(fq=2,VLOOKUP(ppt*fq-G251,Charges!$AP$41:$AQ$79,2,FALSE),VLOOKUP(ppt*fq-D251,Charges!$AR$41:$AS$279,2,FALSE)))*pr/fq,0),0)</f>
        <v>0</v>
      </c>
      <c r="U251" s="14">
        <f t="shared" ca="1" si="163"/>
        <v>0</v>
      </c>
      <c r="V251" s="34">
        <f>ROUND(MIN(IF(H251&gt;=7,Charges!$C$12*(1+Charges!$C$14)^((H251-7+1)),VLOOKUP(H251,Charges!$B$7:$C$12,2,0))*pr,Charges!$C$13)*B251,Round)</f>
        <v>0</v>
      </c>
      <c r="W251" s="14">
        <f t="shared" ca="1" si="164"/>
        <v>0</v>
      </c>
      <c r="X251" s="14">
        <f t="shared" ca="1" si="165"/>
        <v>0</v>
      </c>
      <c r="Y251" s="213">
        <f t="shared" ca="1" si="189"/>
        <v>0</v>
      </c>
      <c r="Z251" s="14">
        <f t="shared" ca="1" si="166"/>
        <v>0</v>
      </c>
      <c r="AA251" s="14">
        <f>IF(AND($H251=pt,$F251=11),SUM($K$7:K251)*VLOOKUP(pt,ROC,2,FALSE),0)</f>
        <v>0</v>
      </c>
      <c r="AB251" s="14">
        <f>IF(AND($H251=pt,$F251=11),SUM($V$7:V251)*VLOOKUP(pt,ROC,2,FALSE),0)</f>
        <v>0</v>
      </c>
      <c r="AC251" s="14">
        <f>IF(AND($H251=pt,$F251=11),SUM($Q$7:Q251)*VLOOKUP(pt,ROC,2,FALSE),0)</f>
        <v>0</v>
      </c>
      <c r="AD251" s="14">
        <f t="shared" ca="1" si="167"/>
        <v>0</v>
      </c>
      <c r="AE251" s="14">
        <f ca="1">(MAX(sa-CF250*Flag_UL_Type,105%*SUM($I$7:I251),Z251)+AU251)*B251</f>
        <v>0</v>
      </c>
      <c r="AF251" s="136"/>
      <c r="AG251" s="18">
        <v>245</v>
      </c>
      <c r="AH251" s="30">
        <f t="shared" ca="1" si="168"/>
        <v>0</v>
      </c>
      <c r="AI251" s="58"/>
      <c r="AJ251" s="50">
        <f>IF(AND(Option_Sys_TopUp&gt;="Y",H251&gt;=sytp,H251&lt;=(dtp+sytp-1),F251=0,H251&lt;=ppt+1),atp,0)+IFERROR(VLOOKUP(H251,Input!$B$55:$C$61,2,0),0)*(F251=0)*(Option_TopUP="Y")*(Option_Sys_TopUp="N")*B251*(pt&gt;=H251+5)</f>
        <v>0</v>
      </c>
      <c r="AK251" s="50">
        <f t="shared" si="169"/>
        <v>0</v>
      </c>
      <c r="AL251" s="50">
        <f t="shared" si="190"/>
        <v>0</v>
      </c>
      <c r="AM251" s="50">
        <f t="shared" ca="1" si="191"/>
        <v>0</v>
      </c>
      <c r="AN251" s="50">
        <f>IF(B251=0,0,AT251*(_rpm1+(1+_emr1)*VLOOKUP(E251,Tab_Mort_Charge,IF(Input!$C$12="M",2,3),0))*(0.001*0.0833)*Flag_Mort_Rider_Charge*(AT251&gt;0))</f>
        <v>0</v>
      </c>
      <c r="AO251" s="50">
        <f t="shared" ca="1" si="170"/>
        <v>0</v>
      </c>
      <c r="AP251" s="50">
        <f t="shared" ca="1" si="197"/>
        <v>0</v>
      </c>
      <c r="AQ251" s="50">
        <f t="shared" ca="1" si="171"/>
        <v>0</v>
      </c>
      <c r="AR251" s="50">
        <f t="shared" ca="1" si="172"/>
        <v>0</v>
      </c>
      <c r="AS251" s="50">
        <f t="shared" si="173"/>
        <v>0</v>
      </c>
      <c r="AT251" s="50">
        <f ca="1">(MAX((MAX(AS251,105%*SUM($AJ$7:AJ251))-AM251*Flag_UL_Type),0)*B251)</f>
        <v>0</v>
      </c>
      <c r="AU251" s="50">
        <f ca="1">(MAX(AS251,AR251,105%*SUM($AJ$7:AJ251))*B251)</f>
        <v>0</v>
      </c>
      <c r="AV251" s="125"/>
      <c r="AW251" s="13"/>
      <c r="AX251" s="13"/>
      <c r="AY251" s="13"/>
      <c r="AZ251" s="13"/>
      <c r="BA251" s="13"/>
      <c r="BG251" s="51">
        <f t="shared" si="174"/>
        <v>0</v>
      </c>
      <c r="BH251" s="51">
        <f t="shared" si="198"/>
        <v>0</v>
      </c>
      <c r="BI251" s="51">
        <f t="shared" ca="1" si="176"/>
        <v>0</v>
      </c>
      <c r="BJ251" s="51">
        <f t="shared" ca="1" si="177"/>
        <v>0</v>
      </c>
      <c r="BK251" s="51">
        <f t="shared" si="178"/>
        <v>0</v>
      </c>
      <c r="BL251" s="51">
        <f t="shared" ca="1" si="179"/>
        <v>0</v>
      </c>
      <c r="BM251" s="51">
        <f t="shared" si="180"/>
        <v>0</v>
      </c>
      <c r="BN251" s="51">
        <f t="shared" si="199"/>
        <v>0</v>
      </c>
      <c r="BO251" s="51">
        <f t="shared" ca="1" si="182"/>
        <v>0</v>
      </c>
      <c r="BP251" s="51">
        <f t="shared" ca="1" si="183"/>
        <v>0</v>
      </c>
      <c r="BQ251" s="120"/>
      <c r="BR251" s="32"/>
      <c r="BS251" s="126"/>
      <c r="BT251" s="16"/>
      <c r="BU251" s="58"/>
      <c r="BW251" s="51">
        <f>IF(Input!$C$13="Offline",VLOOKUP(H251,Charges!$AT$4:$AU$33,2,FALSE)*I251,0)</f>
        <v>0</v>
      </c>
      <c r="BX251" s="51">
        <f t="shared" si="184"/>
        <v>0</v>
      </c>
      <c r="BY251" s="51">
        <f t="shared" si="192"/>
        <v>0</v>
      </c>
      <c r="BZ251" s="151"/>
      <c r="CA251" s="151"/>
      <c r="CB251" s="32"/>
      <c r="CC251" s="16">
        <f ca="1">SUM($N$7:$N251)</f>
        <v>0</v>
      </c>
      <c r="CD251" s="16">
        <f t="shared" ca="1" si="185"/>
        <v>0</v>
      </c>
      <c r="CE251" s="16">
        <f t="shared" ca="1" si="186"/>
        <v>0</v>
      </c>
      <c r="CF251" s="7">
        <f t="shared" ca="1" si="187"/>
        <v>0</v>
      </c>
      <c r="CH251" s="7">
        <f t="shared" ca="1" si="188"/>
        <v>0</v>
      </c>
    </row>
    <row r="252" spans="2:86" s="7" customFormat="1" x14ac:dyDescent="0.2">
      <c r="B252" s="14">
        <f t="shared" si="152"/>
        <v>0</v>
      </c>
      <c r="C252" s="12">
        <f t="shared" si="153"/>
        <v>0</v>
      </c>
      <c r="D252" s="17">
        <f t="shared" si="193"/>
        <v>246</v>
      </c>
      <c r="E252" s="17">
        <f t="shared" ca="1" si="154"/>
        <v>80</v>
      </c>
      <c r="F252" s="12">
        <f t="shared" si="195"/>
        <v>5</v>
      </c>
      <c r="G252" s="12">
        <f t="shared" si="194"/>
        <v>41</v>
      </c>
      <c r="H252" s="17">
        <f t="shared" si="196"/>
        <v>21</v>
      </c>
      <c r="I252" s="29">
        <f t="shared" si="155"/>
        <v>0</v>
      </c>
      <c r="J252" s="211">
        <f>IFERROR(VLOOKUP(H252,Charges!$T$6:$U$35,2,0)*C252,0)</f>
        <v>0</v>
      </c>
      <c r="K252" s="29">
        <f t="shared" si="156"/>
        <v>0</v>
      </c>
      <c r="L252" s="29">
        <f t="shared" si="157"/>
        <v>0</v>
      </c>
      <c r="M252" s="147">
        <f t="shared" ca="1" si="158"/>
        <v>0</v>
      </c>
      <c r="N252" s="148">
        <f ca="1">IF(AND(Option_SPW="Y",H252&gt;=Lock_In_Period,Z251&gt;SPW_Amount_pa+IF(option="Single",1/5*pr,2*pr),H252&gt;=SPW_Start_Year,H252&lt;=SPW_Start_Year+SPW_Duration-1,age+H252&gt;=Legal_Age),IF(AND(F252=0,SPW_Payout_Freq=1),SPW_Amount_pa,IF(AND(SPW_Payout_Freq=2,MOD(F252,6)=0),SPW_Amount_pa/SPW_Payout_Freq,IF(AND(SPW_Payout_Freq=4,MOD(F252,3)=0),SPW_Amount_pa/SPW_Payout_Freq,IF(SPW_Payout_Freq=12,SPW_Amount_pa/SPW_Payout_Freq,0)))),0)+IFERROR(VLOOKUP(H252,Input!$B$68:$C$74,2,0),0)*(F252=0)*(Option_PW="Y")*(Option_SPW="N")*(age+H252&gt;=Legal_Age)</f>
        <v>0</v>
      </c>
      <c r="O252" s="148">
        <f t="shared" ca="1" si="159"/>
        <v>0</v>
      </c>
      <c r="P252" s="14">
        <f ca="1">(MAX(MAX(sa-CF251*Flag_UL_Type,105%*SUM($I$7:I252))-(AD251+L252-N252)*Flag_UL_Type,0)*B252)</f>
        <v>0</v>
      </c>
      <c r="Q252" s="213">
        <f t="shared" si="160"/>
        <v>0</v>
      </c>
      <c r="R252" s="14">
        <f t="shared" ca="1" si="161"/>
        <v>0</v>
      </c>
      <c r="S252" s="14">
        <f t="shared" ca="1" si="162"/>
        <v>0</v>
      </c>
      <c r="T252" s="14">
        <f>IFERROR(IF(WoP_Flag="Y",IF(fq=1,VLOOKUP(ppt*fq-H252,Charges!$AN$41:$AO$59,2,FALSE),IF(fq=2,VLOOKUP(ppt*fq-G252,Charges!$AP$41:$AQ$79,2,FALSE),VLOOKUP(ppt*fq-D252,Charges!$AR$41:$AS$279,2,FALSE)))*pr/fq,0),0)</f>
        <v>0</v>
      </c>
      <c r="U252" s="14">
        <f t="shared" ca="1" si="163"/>
        <v>0</v>
      </c>
      <c r="V252" s="34">
        <f>ROUND(MIN(IF(H252&gt;=7,Charges!$C$12*(1+Charges!$C$14)^((H252-7+1)),VLOOKUP(H252,Charges!$B$7:$C$12,2,0))*pr,Charges!$C$13)*B252,Round)</f>
        <v>0</v>
      </c>
      <c r="W252" s="14">
        <f t="shared" ca="1" si="164"/>
        <v>0</v>
      </c>
      <c r="X252" s="14">
        <f t="shared" ca="1" si="165"/>
        <v>0</v>
      </c>
      <c r="Y252" s="213">
        <f t="shared" ca="1" si="189"/>
        <v>0</v>
      </c>
      <c r="Z252" s="14">
        <f t="shared" ca="1" si="166"/>
        <v>0</v>
      </c>
      <c r="AA252" s="14">
        <f>IF(AND($H252=pt,$F252=11),SUM($K$7:K252)*VLOOKUP(pt,ROC,2,FALSE),0)</f>
        <v>0</v>
      </c>
      <c r="AB252" s="14">
        <f>IF(AND($H252=pt,$F252=11),SUM($V$7:V252)*VLOOKUP(pt,ROC,2,FALSE),0)</f>
        <v>0</v>
      </c>
      <c r="AC252" s="14">
        <f>IF(AND($H252=pt,$F252=11),SUM($Q$7:Q252)*VLOOKUP(pt,ROC,2,FALSE),0)</f>
        <v>0</v>
      </c>
      <c r="AD252" s="14">
        <f t="shared" ca="1" si="167"/>
        <v>0</v>
      </c>
      <c r="AE252" s="14">
        <f ca="1">(MAX(sa-CF251*Flag_UL_Type,105%*SUM($I$7:I252),Z252)+AU252)*B252</f>
        <v>0</v>
      </c>
      <c r="AF252" s="136"/>
      <c r="AG252" s="18">
        <v>246</v>
      </c>
      <c r="AH252" s="30">
        <f t="shared" ca="1" si="168"/>
        <v>0</v>
      </c>
      <c r="AI252" s="58"/>
      <c r="AJ252" s="50">
        <f>IF(AND(Option_Sys_TopUp&gt;="Y",H252&gt;=sytp,H252&lt;=(dtp+sytp-1),F252=0,H252&lt;=ppt+1),atp,0)+IFERROR(VLOOKUP(H252,Input!$B$55:$C$61,2,0),0)*(F252=0)*(Option_TopUP="Y")*(Option_Sys_TopUp="N")*B252*(pt&gt;=H252+5)</f>
        <v>0</v>
      </c>
      <c r="AK252" s="50">
        <f t="shared" si="169"/>
        <v>0</v>
      </c>
      <c r="AL252" s="50">
        <f t="shared" si="190"/>
        <v>0</v>
      </c>
      <c r="AM252" s="50">
        <f t="shared" ca="1" si="191"/>
        <v>0</v>
      </c>
      <c r="AN252" s="50">
        <f>IF(B252=0,0,AT252*(_rpm1+(1+_emr1)*VLOOKUP(E252,Tab_Mort_Charge,IF(Input!$C$12="M",2,3),0))*(0.001*0.0833)*Flag_Mort_Rider_Charge*(AT252&gt;0))</f>
        <v>0</v>
      </c>
      <c r="AO252" s="50">
        <f t="shared" ca="1" si="170"/>
        <v>0</v>
      </c>
      <c r="AP252" s="50">
        <f t="shared" ca="1" si="197"/>
        <v>0</v>
      </c>
      <c r="AQ252" s="50">
        <f t="shared" ca="1" si="171"/>
        <v>0</v>
      </c>
      <c r="AR252" s="50">
        <f t="shared" ca="1" si="172"/>
        <v>0</v>
      </c>
      <c r="AS252" s="50">
        <f t="shared" si="173"/>
        <v>0</v>
      </c>
      <c r="AT252" s="50">
        <f ca="1">(MAX((MAX(AS252,105%*SUM($AJ$7:AJ252))-AM252*Flag_UL_Type),0)*B252)</f>
        <v>0</v>
      </c>
      <c r="AU252" s="50">
        <f ca="1">(MAX(AS252,AR252,105%*SUM($AJ$7:AJ252))*B252)</f>
        <v>0</v>
      </c>
      <c r="AV252" s="125"/>
      <c r="AW252" s="13"/>
      <c r="AX252" s="13"/>
      <c r="AY252" s="13"/>
      <c r="AZ252" s="13"/>
      <c r="BA252" s="13"/>
      <c r="BG252" s="51">
        <f t="shared" si="174"/>
        <v>0</v>
      </c>
      <c r="BH252" s="51">
        <f t="shared" si="198"/>
        <v>0</v>
      </c>
      <c r="BI252" s="51">
        <f t="shared" ca="1" si="176"/>
        <v>0</v>
      </c>
      <c r="BJ252" s="51">
        <f t="shared" ca="1" si="177"/>
        <v>0</v>
      </c>
      <c r="BK252" s="51">
        <f t="shared" si="178"/>
        <v>0</v>
      </c>
      <c r="BL252" s="51">
        <f t="shared" ca="1" si="179"/>
        <v>0</v>
      </c>
      <c r="BM252" s="51">
        <f t="shared" si="180"/>
        <v>0</v>
      </c>
      <c r="BN252" s="51">
        <f t="shared" si="199"/>
        <v>0</v>
      </c>
      <c r="BO252" s="51">
        <f t="shared" ca="1" si="182"/>
        <v>0</v>
      </c>
      <c r="BP252" s="51">
        <f t="shared" ca="1" si="183"/>
        <v>0</v>
      </c>
      <c r="BQ252" s="120"/>
      <c r="BR252" s="32"/>
      <c r="BS252" s="126"/>
      <c r="BT252" s="16"/>
      <c r="BU252" s="58"/>
      <c r="BW252" s="51">
        <f>IF(Input!$C$13="Offline",VLOOKUP(H252,Charges!$AT$4:$AU$33,2,FALSE)*I252,0)</f>
        <v>0</v>
      </c>
      <c r="BX252" s="51">
        <f t="shared" si="184"/>
        <v>0</v>
      </c>
      <c r="BY252" s="51">
        <f t="shared" si="192"/>
        <v>0</v>
      </c>
      <c r="BZ252" s="151"/>
      <c r="CA252" s="151"/>
      <c r="CB252" s="32"/>
      <c r="CC252" s="16">
        <f ca="1">SUM($N$7:$N252)</f>
        <v>0</v>
      </c>
      <c r="CD252" s="16">
        <f t="shared" ca="1" si="185"/>
        <v>0</v>
      </c>
      <c r="CE252" s="16">
        <f t="shared" ca="1" si="186"/>
        <v>0</v>
      </c>
      <c r="CF252" s="7">
        <f t="shared" ca="1" si="187"/>
        <v>0</v>
      </c>
      <c r="CH252" s="7">
        <f t="shared" ca="1" si="188"/>
        <v>0</v>
      </c>
    </row>
    <row r="253" spans="2:86" s="7" customFormat="1" x14ac:dyDescent="0.2">
      <c r="B253" s="14">
        <f t="shared" si="152"/>
        <v>0</v>
      </c>
      <c r="C253" s="12">
        <f t="shared" si="153"/>
        <v>0</v>
      </c>
      <c r="D253" s="17">
        <f t="shared" si="193"/>
        <v>247</v>
      </c>
      <c r="E253" s="17">
        <f t="shared" ca="1" si="154"/>
        <v>80</v>
      </c>
      <c r="F253" s="12">
        <f t="shared" si="195"/>
        <v>6</v>
      </c>
      <c r="G253" s="12">
        <f t="shared" si="194"/>
        <v>42</v>
      </c>
      <c r="H253" s="17">
        <f t="shared" si="196"/>
        <v>21</v>
      </c>
      <c r="I253" s="29">
        <f t="shared" si="155"/>
        <v>0</v>
      </c>
      <c r="J253" s="211">
        <f>IFERROR(VLOOKUP(H253,Charges!$T$6:$U$35,2,0)*C253,0)</f>
        <v>0</v>
      </c>
      <c r="K253" s="29">
        <f t="shared" si="156"/>
        <v>0</v>
      </c>
      <c r="L253" s="29">
        <f t="shared" si="157"/>
        <v>0</v>
      </c>
      <c r="M253" s="147">
        <f t="shared" ca="1" si="158"/>
        <v>0</v>
      </c>
      <c r="N253" s="148">
        <f ca="1">IF(AND(Option_SPW="Y",H253&gt;=Lock_In_Period,Z252&gt;SPW_Amount_pa+IF(option="Single",1/5*pr,2*pr),H253&gt;=SPW_Start_Year,H253&lt;=SPW_Start_Year+SPW_Duration-1,age+H253&gt;=Legal_Age),IF(AND(F253=0,SPW_Payout_Freq=1),SPW_Amount_pa,IF(AND(SPW_Payout_Freq=2,MOD(F253,6)=0),SPW_Amount_pa/SPW_Payout_Freq,IF(AND(SPW_Payout_Freq=4,MOD(F253,3)=0),SPW_Amount_pa/SPW_Payout_Freq,IF(SPW_Payout_Freq=12,SPW_Amount_pa/SPW_Payout_Freq,0)))),0)+IFERROR(VLOOKUP(H253,Input!$B$68:$C$74,2,0),0)*(F253=0)*(Option_PW="Y")*(Option_SPW="N")*(age+H253&gt;=Legal_Age)</f>
        <v>0</v>
      </c>
      <c r="O253" s="148">
        <f t="shared" ca="1" si="159"/>
        <v>0</v>
      </c>
      <c r="P253" s="14">
        <f ca="1">(MAX(MAX(sa-CF252*Flag_UL_Type,105%*SUM($I$7:I253))-(AD252+L253-N253)*Flag_UL_Type,0)*B253)</f>
        <v>0</v>
      </c>
      <c r="Q253" s="213">
        <f t="shared" si="160"/>
        <v>0</v>
      </c>
      <c r="R253" s="14">
        <f t="shared" ca="1" si="161"/>
        <v>0</v>
      </c>
      <c r="S253" s="14">
        <f t="shared" ca="1" si="162"/>
        <v>0</v>
      </c>
      <c r="T253" s="14">
        <f>IFERROR(IF(WoP_Flag="Y",IF(fq=1,VLOOKUP(ppt*fq-H253,Charges!$AN$41:$AO$59,2,FALSE),IF(fq=2,VLOOKUP(ppt*fq-G253,Charges!$AP$41:$AQ$79,2,FALSE),VLOOKUP(ppt*fq-D253,Charges!$AR$41:$AS$279,2,FALSE)))*pr/fq,0),0)</f>
        <v>0</v>
      </c>
      <c r="U253" s="14">
        <f t="shared" ca="1" si="163"/>
        <v>0</v>
      </c>
      <c r="V253" s="34">
        <f>ROUND(MIN(IF(H253&gt;=7,Charges!$C$12*(1+Charges!$C$14)^((H253-7+1)),VLOOKUP(H253,Charges!$B$7:$C$12,2,0))*pr,Charges!$C$13)*B253,Round)</f>
        <v>0</v>
      </c>
      <c r="W253" s="14">
        <f t="shared" ca="1" si="164"/>
        <v>0</v>
      </c>
      <c r="X253" s="14">
        <f t="shared" ca="1" si="165"/>
        <v>0</v>
      </c>
      <c r="Y253" s="213">
        <f t="shared" ca="1" si="189"/>
        <v>0</v>
      </c>
      <c r="Z253" s="14">
        <f t="shared" ca="1" si="166"/>
        <v>0</v>
      </c>
      <c r="AA253" s="14">
        <f>IF(AND($H253=pt,$F253=11),SUM($K$7:K253)*VLOOKUP(pt,ROC,2,FALSE),0)</f>
        <v>0</v>
      </c>
      <c r="AB253" s="14">
        <f>IF(AND($H253=pt,$F253=11),SUM($V$7:V253)*VLOOKUP(pt,ROC,2,FALSE),0)</f>
        <v>0</v>
      </c>
      <c r="AC253" s="14">
        <f>IF(AND($H253=pt,$F253=11),SUM($Q$7:Q253)*VLOOKUP(pt,ROC,2,FALSE),0)</f>
        <v>0</v>
      </c>
      <c r="AD253" s="14">
        <f t="shared" ca="1" si="167"/>
        <v>0</v>
      </c>
      <c r="AE253" s="14">
        <f ca="1">(MAX(sa-CF252*Flag_UL_Type,105%*SUM($I$7:I253),Z253)+AU253)*B253</f>
        <v>0</v>
      </c>
      <c r="AF253" s="136"/>
      <c r="AG253" s="18">
        <v>247</v>
      </c>
      <c r="AH253" s="30">
        <f t="shared" ca="1" si="168"/>
        <v>0</v>
      </c>
      <c r="AI253" s="58"/>
      <c r="AJ253" s="50">
        <f>IF(AND(Option_Sys_TopUp&gt;="Y",H253&gt;=sytp,H253&lt;=(dtp+sytp-1),F253=0,H253&lt;=ppt+1),atp,0)+IFERROR(VLOOKUP(H253,Input!$B$55:$C$61,2,0),0)*(F253=0)*(Option_TopUP="Y")*(Option_Sys_TopUp="N")*B253*(pt&gt;=H253+5)</f>
        <v>0</v>
      </c>
      <c r="AK253" s="50">
        <f t="shared" si="169"/>
        <v>0</v>
      </c>
      <c r="AL253" s="50">
        <f t="shared" si="190"/>
        <v>0</v>
      </c>
      <c r="AM253" s="50">
        <f t="shared" ca="1" si="191"/>
        <v>0</v>
      </c>
      <c r="AN253" s="50">
        <f>IF(B253=0,0,AT253*(_rpm1+(1+_emr1)*VLOOKUP(E253,Tab_Mort_Charge,IF(Input!$C$12="M",2,3),0))*(0.001*0.0833)*Flag_Mort_Rider_Charge*(AT253&gt;0))</f>
        <v>0</v>
      </c>
      <c r="AO253" s="50">
        <f t="shared" ca="1" si="170"/>
        <v>0</v>
      </c>
      <c r="AP253" s="50">
        <f t="shared" ca="1" si="197"/>
        <v>0</v>
      </c>
      <c r="AQ253" s="50">
        <f t="shared" ca="1" si="171"/>
        <v>0</v>
      </c>
      <c r="AR253" s="50">
        <f t="shared" ca="1" si="172"/>
        <v>0</v>
      </c>
      <c r="AS253" s="50">
        <f t="shared" si="173"/>
        <v>0</v>
      </c>
      <c r="AT253" s="50">
        <f ca="1">(MAX((MAX(AS253,105%*SUM($AJ$7:AJ253))-AM253*Flag_UL_Type),0)*B253)</f>
        <v>0</v>
      </c>
      <c r="AU253" s="50">
        <f ca="1">(MAX(AS253,AR253,105%*SUM($AJ$7:AJ253))*B253)</f>
        <v>0</v>
      </c>
      <c r="AV253" s="125"/>
      <c r="AW253" s="13"/>
      <c r="AX253" s="13"/>
      <c r="AY253" s="13"/>
      <c r="AZ253" s="13"/>
      <c r="BA253" s="13"/>
      <c r="BG253" s="51">
        <f t="shared" si="174"/>
        <v>0</v>
      </c>
      <c r="BH253" s="51">
        <f t="shared" si="198"/>
        <v>0</v>
      </c>
      <c r="BI253" s="51">
        <f t="shared" ca="1" si="176"/>
        <v>0</v>
      </c>
      <c r="BJ253" s="51">
        <f t="shared" ca="1" si="177"/>
        <v>0</v>
      </c>
      <c r="BK253" s="51">
        <f t="shared" si="178"/>
        <v>0</v>
      </c>
      <c r="BL253" s="51">
        <f t="shared" ca="1" si="179"/>
        <v>0</v>
      </c>
      <c r="BM253" s="51">
        <f t="shared" si="180"/>
        <v>0</v>
      </c>
      <c r="BN253" s="51">
        <f t="shared" si="199"/>
        <v>0</v>
      </c>
      <c r="BO253" s="51">
        <f t="shared" ca="1" si="182"/>
        <v>0</v>
      </c>
      <c r="BP253" s="51">
        <f t="shared" ca="1" si="183"/>
        <v>0</v>
      </c>
      <c r="BQ253" s="120"/>
      <c r="BR253" s="32"/>
      <c r="BS253" s="126"/>
      <c r="BT253" s="16"/>
      <c r="BU253" s="58"/>
      <c r="BW253" s="51">
        <f>IF(Input!$C$13="Offline",VLOOKUP(H253,Charges!$AT$4:$AU$33,2,FALSE)*I253,0)</f>
        <v>0</v>
      </c>
      <c r="BX253" s="51">
        <f t="shared" si="184"/>
        <v>0</v>
      </c>
      <c r="BY253" s="51">
        <f t="shared" si="192"/>
        <v>0</v>
      </c>
      <c r="BZ253" s="151"/>
      <c r="CA253" s="151"/>
      <c r="CB253" s="32"/>
      <c r="CC253" s="16">
        <f ca="1">SUM($N$7:$N253)</f>
        <v>0</v>
      </c>
      <c r="CD253" s="16">
        <f t="shared" ca="1" si="185"/>
        <v>0</v>
      </c>
      <c r="CE253" s="16">
        <f t="shared" ca="1" si="186"/>
        <v>0</v>
      </c>
      <c r="CF253" s="7">
        <f t="shared" ca="1" si="187"/>
        <v>0</v>
      </c>
      <c r="CH253" s="7">
        <f t="shared" ca="1" si="188"/>
        <v>0</v>
      </c>
    </row>
    <row r="254" spans="2:86" s="7" customFormat="1" x14ac:dyDescent="0.2">
      <c r="B254" s="14">
        <f t="shared" si="152"/>
        <v>0</v>
      </c>
      <c r="C254" s="12">
        <f t="shared" si="153"/>
        <v>0</v>
      </c>
      <c r="D254" s="17">
        <f t="shared" si="193"/>
        <v>248</v>
      </c>
      <c r="E254" s="17">
        <f t="shared" ca="1" si="154"/>
        <v>80</v>
      </c>
      <c r="F254" s="12">
        <f t="shared" si="195"/>
        <v>7</v>
      </c>
      <c r="G254" s="12">
        <f t="shared" si="194"/>
        <v>42</v>
      </c>
      <c r="H254" s="17">
        <f t="shared" si="196"/>
        <v>21</v>
      </c>
      <c r="I254" s="29">
        <f t="shared" si="155"/>
        <v>0</v>
      </c>
      <c r="J254" s="211">
        <f>IFERROR(VLOOKUP(H254,Charges!$T$6:$U$35,2,0)*C254,0)</f>
        <v>0</v>
      </c>
      <c r="K254" s="29">
        <f t="shared" si="156"/>
        <v>0</v>
      </c>
      <c r="L254" s="29">
        <f t="shared" si="157"/>
        <v>0</v>
      </c>
      <c r="M254" s="147">
        <f t="shared" ca="1" si="158"/>
        <v>0</v>
      </c>
      <c r="N254" s="148">
        <f ca="1">IF(AND(Option_SPW="Y",H254&gt;=Lock_In_Period,Z253&gt;SPW_Amount_pa+IF(option="Single",1/5*pr,2*pr),H254&gt;=SPW_Start_Year,H254&lt;=SPW_Start_Year+SPW_Duration-1,age+H254&gt;=Legal_Age),IF(AND(F254=0,SPW_Payout_Freq=1),SPW_Amount_pa,IF(AND(SPW_Payout_Freq=2,MOD(F254,6)=0),SPW_Amount_pa/SPW_Payout_Freq,IF(AND(SPW_Payout_Freq=4,MOD(F254,3)=0),SPW_Amount_pa/SPW_Payout_Freq,IF(SPW_Payout_Freq=12,SPW_Amount_pa/SPW_Payout_Freq,0)))),0)+IFERROR(VLOOKUP(H254,Input!$B$68:$C$74,2,0),0)*(F254=0)*(Option_PW="Y")*(Option_SPW="N")*(age+H254&gt;=Legal_Age)</f>
        <v>0</v>
      </c>
      <c r="O254" s="148">
        <f t="shared" ca="1" si="159"/>
        <v>0</v>
      </c>
      <c r="P254" s="14">
        <f ca="1">(MAX(MAX(sa-CF253*Flag_UL_Type,105%*SUM($I$7:I254))-(AD253+L254-N254)*Flag_UL_Type,0)*B254)</f>
        <v>0</v>
      </c>
      <c r="Q254" s="213">
        <f t="shared" si="160"/>
        <v>0</v>
      </c>
      <c r="R254" s="14">
        <f t="shared" ca="1" si="161"/>
        <v>0</v>
      </c>
      <c r="S254" s="14">
        <f t="shared" ca="1" si="162"/>
        <v>0</v>
      </c>
      <c r="T254" s="14">
        <f>IFERROR(IF(WoP_Flag="Y",IF(fq=1,VLOOKUP(ppt*fq-H254,Charges!$AN$41:$AO$59,2,FALSE),IF(fq=2,VLOOKUP(ppt*fq-G254,Charges!$AP$41:$AQ$79,2,FALSE),VLOOKUP(ppt*fq-D254,Charges!$AR$41:$AS$279,2,FALSE)))*pr/fq,0),0)</f>
        <v>0</v>
      </c>
      <c r="U254" s="14">
        <f t="shared" ca="1" si="163"/>
        <v>0</v>
      </c>
      <c r="V254" s="34">
        <f>ROUND(MIN(IF(H254&gt;=7,Charges!$C$12*(1+Charges!$C$14)^((H254-7+1)),VLOOKUP(H254,Charges!$B$7:$C$12,2,0))*pr,Charges!$C$13)*B254,Round)</f>
        <v>0</v>
      </c>
      <c r="W254" s="14">
        <f t="shared" ca="1" si="164"/>
        <v>0</v>
      </c>
      <c r="X254" s="14">
        <f t="shared" ca="1" si="165"/>
        <v>0</v>
      </c>
      <c r="Y254" s="213">
        <f t="shared" ca="1" si="189"/>
        <v>0</v>
      </c>
      <c r="Z254" s="14">
        <f t="shared" ca="1" si="166"/>
        <v>0</v>
      </c>
      <c r="AA254" s="14">
        <f>IF(AND($H254=pt,$F254=11),SUM($K$7:K254)*VLOOKUP(pt,ROC,2,FALSE),0)</f>
        <v>0</v>
      </c>
      <c r="AB254" s="14">
        <f>IF(AND($H254=pt,$F254=11),SUM($V$7:V254)*VLOOKUP(pt,ROC,2,FALSE),0)</f>
        <v>0</v>
      </c>
      <c r="AC254" s="14">
        <f>IF(AND($H254=pt,$F254=11),SUM($Q$7:Q254)*VLOOKUP(pt,ROC,2,FALSE),0)</f>
        <v>0</v>
      </c>
      <c r="AD254" s="14">
        <f t="shared" ca="1" si="167"/>
        <v>0</v>
      </c>
      <c r="AE254" s="14">
        <f ca="1">(MAX(sa-CF253*Flag_UL_Type,105%*SUM($I$7:I254),Z254)+AU254)*B254</f>
        <v>0</v>
      </c>
      <c r="AF254" s="136"/>
      <c r="AG254" s="18">
        <v>248</v>
      </c>
      <c r="AH254" s="30">
        <f t="shared" ca="1" si="168"/>
        <v>0</v>
      </c>
      <c r="AI254" s="58"/>
      <c r="AJ254" s="50">
        <f>IF(AND(Option_Sys_TopUp&gt;="Y",H254&gt;=sytp,H254&lt;=(dtp+sytp-1),F254=0,H254&lt;=ppt+1),atp,0)+IFERROR(VLOOKUP(H254,Input!$B$55:$C$61,2,0),0)*(F254=0)*(Option_TopUP="Y")*(Option_Sys_TopUp="N")*B254*(pt&gt;=H254+5)</f>
        <v>0</v>
      </c>
      <c r="AK254" s="50">
        <f t="shared" si="169"/>
        <v>0</v>
      </c>
      <c r="AL254" s="50">
        <f t="shared" si="190"/>
        <v>0</v>
      </c>
      <c r="AM254" s="50">
        <f t="shared" ca="1" si="191"/>
        <v>0</v>
      </c>
      <c r="AN254" s="50">
        <f>IF(B254=0,0,AT254*(_rpm1+(1+_emr1)*VLOOKUP(E254,Tab_Mort_Charge,IF(Input!$C$12="M",2,3),0))*(0.001*0.0833)*Flag_Mort_Rider_Charge*(AT254&gt;0))</f>
        <v>0</v>
      </c>
      <c r="AO254" s="50">
        <f t="shared" ca="1" si="170"/>
        <v>0</v>
      </c>
      <c r="AP254" s="50">
        <f t="shared" ca="1" si="197"/>
        <v>0</v>
      </c>
      <c r="AQ254" s="50">
        <f t="shared" ca="1" si="171"/>
        <v>0</v>
      </c>
      <c r="AR254" s="50">
        <f t="shared" ca="1" si="172"/>
        <v>0</v>
      </c>
      <c r="AS254" s="50">
        <f t="shared" si="173"/>
        <v>0</v>
      </c>
      <c r="AT254" s="50">
        <f ca="1">(MAX((MAX(AS254,105%*SUM($AJ$7:AJ254))-AM254*Flag_UL_Type),0)*B254)</f>
        <v>0</v>
      </c>
      <c r="AU254" s="50">
        <f ca="1">(MAX(AS254,AR254,105%*SUM($AJ$7:AJ254))*B254)</f>
        <v>0</v>
      </c>
      <c r="AV254" s="125"/>
      <c r="AW254" s="13"/>
      <c r="AX254" s="13"/>
      <c r="AY254" s="13"/>
      <c r="AZ254" s="13"/>
      <c r="BA254" s="13"/>
      <c r="BG254" s="51">
        <f t="shared" si="174"/>
        <v>0</v>
      </c>
      <c r="BH254" s="51">
        <f t="shared" si="198"/>
        <v>0</v>
      </c>
      <c r="BI254" s="51">
        <f t="shared" ca="1" si="176"/>
        <v>0</v>
      </c>
      <c r="BJ254" s="51">
        <f t="shared" ca="1" si="177"/>
        <v>0</v>
      </c>
      <c r="BK254" s="51">
        <f t="shared" si="178"/>
        <v>0</v>
      </c>
      <c r="BL254" s="51">
        <f t="shared" ca="1" si="179"/>
        <v>0</v>
      </c>
      <c r="BM254" s="51">
        <f t="shared" si="180"/>
        <v>0</v>
      </c>
      <c r="BN254" s="51">
        <f t="shared" si="199"/>
        <v>0</v>
      </c>
      <c r="BO254" s="51">
        <f t="shared" ca="1" si="182"/>
        <v>0</v>
      </c>
      <c r="BP254" s="51">
        <f t="shared" ca="1" si="183"/>
        <v>0</v>
      </c>
      <c r="BQ254" s="120"/>
      <c r="BR254" s="32"/>
      <c r="BS254" s="126"/>
      <c r="BT254" s="16"/>
      <c r="BU254" s="58"/>
      <c r="BW254" s="51">
        <f>IF(Input!$C$13="Offline",VLOOKUP(H254,Charges!$AT$4:$AU$33,2,FALSE)*I254,0)</f>
        <v>0</v>
      </c>
      <c r="BX254" s="51">
        <f t="shared" si="184"/>
        <v>0</v>
      </c>
      <c r="BY254" s="51">
        <f t="shared" si="192"/>
        <v>0</v>
      </c>
      <c r="BZ254" s="151"/>
      <c r="CA254" s="151"/>
      <c r="CB254" s="32"/>
      <c r="CC254" s="16">
        <f ca="1">SUM($N$7:$N254)</f>
        <v>0</v>
      </c>
      <c r="CD254" s="16">
        <f t="shared" ca="1" si="185"/>
        <v>0</v>
      </c>
      <c r="CE254" s="16">
        <f t="shared" ca="1" si="186"/>
        <v>0</v>
      </c>
      <c r="CF254" s="7">
        <f t="shared" ca="1" si="187"/>
        <v>0</v>
      </c>
      <c r="CH254" s="7">
        <f t="shared" ca="1" si="188"/>
        <v>0</v>
      </c>
    </row>
    <row r="255" spans="2:86" s="7" customFormat="1" x14ac:dyDescent="0.2">
      <c r="B255" s="14">
        <f t="shared" si="152"/>
        <v>0</v>
      </c>
      <c r="C255" s="12">
        <f t="shared" si="153"/>
        <v>0</v>
      </c>
      <c r="D255" s="17">
        <f t="shared" si="193"/>
        <v>249</v>
      </c>
      <c r="E255" s="17">
        <f t="shared" ca="1" si="154"/>
        <v>80</v>
      </c>
      <c r="F255" s="12">
        <f t="shared" si="195"/>
        <v>8</v>
      </c>
      <c r="G255" s="12">
        <f t="shared" si="194"/>
        <v>42</v>
      </c>
      <c r="H255" s="17">
        <f t="shared" si="196"/>
        <v>21</v>
      </c>
      <c r="I255" s="29">
        <f t="shared" si="155"/>
        <v>0</v>
      </c>
      <c r="J255" s="211">
        <f>IFERROR(VLOOKUP(H255,Charges!$T$6:$U$35,2,0)*C255,0)</f>
        <v>0</v>
      </c>
      <c r="K255" s="29">
        <f t="shared" si="156"/>
        <v>0</v>
      </c>
      <c r="L255" s="29">
        <f t="shared" si="157"/>
        <v>0</v>
      </c>
      <c r="M255" s="147">
        <f t="shared" ca="1" si="158"/>
        <v>0</v>
      </c>
      <c r="N255" s="148">
        <f ca="1">IF(AND(Option_SPW="Y",H255&gt;=Lock_In_Period,Z254&gt;SPW_Amount_pa+IF(option="Single",1/5*pr,2*pr),H255&gt;=SPW_Start_Year,H255&lt;=SPW_Start_Year+SPW_Duration-1,age+H255&gt;=Legal_Age),IF(AND(F255=0,SPW_Payout_Freq=1),SPW_Amount_pa,IF(AND(SPW_Payout_Freq=2,MOD(F255,6)=0),SPW_Amount_pa/SPW_Payout_Freq,IF(AND(SPW_Payout_Freq=4,MOD(F255,3)=0),SPW_Amount_pa/SPW_Payout_Freq,IF(SPW_Payout_Freq=12,SPW_Amount_pa/SPW_Payout_Freq,0)))),0)+IFERROR(VLOOKUP(H255,Input!$B$68:$C$74,2,0),0)*(F255=0)*(Option_PW="Y")*(Option_SPW="N")*(age+H255&gt;=Legal_Age)</f>
        <v>0</v>
      </c>
      <c r="O255" s="148">
        <f t="shared" ca="1" si="159"/>
        <v>0</v>
      </c>
      <c r="P255" s="14">
        <f ca="1">(MAX(MAX(sa-CF254*Flag_UL_Type,105%*SUM($I$7:I255))-(AD254+L255-N255)*Flag_UL_Type,0)*B255)</f>
        <v>0</v>
      </c>
      <c r="Q255" s="213">
        <f t="shared" si="160"/>
        <v>0</v>
      </c>
      <c r="R255" s="14">
        <f t="shared" ca="1" si="161"/>
        <v>0</v>
      </c>
      <c r="S255" s="14">
        <f t="shared" ca="1" si="162"/>
        <v>0</v>
      </c>
      <c r="T255" s="14">
        <f>IFERROR(IF(WoP_Flag="Y",IF(fq=1,VLOOKUP(ppt*fq-H255,Charges!$AN$41:$AO$59,2,FALSE),IF(fq=2,VLOOKUP(ppt*fq-G255,Charges!$AP$41:$AQ$79,2,FALSE),VLOOKUP(ppt*fq-D255,Charges!$AR$41:$AS$279,2,FALSE)))*pr/fq,0),0)</f>
        <v>0</v>
      </c>
      <c r="U255" s="14">
        <f t="shared" ca="1" si="163"/>
        <v>0</v>
      </c>
      <c r="V255" s="34">
        <f>ROUND(MIN(IF(H255&gt;=7,Charges!$C$12*(1+Charges!$C$14)^((H255-7+1)),VLOOKUP(H255,Charges!$B$7:$C$12,2,0))*pr,Charges!$C$13)*B255,Round)</f>
        <v>0</v>
      </c>
      <c r="W255" s="14">
        <f t="shared" ca="1" si="164"/>
        <v>0</v>
      </c>
      <c r="X255" s="14">
        <f t="shared" ca="1" si="165"/>
        <v>0</v>
      </c>
      <c r="Y255" s="213">
        <f t="shared" ca="1" si="189"/>
        <v>0</v>
      </c>
      <c r="Z255" s="14">
        <f t="shared" ca="1" si="166"/>
        <v>0</v>
      </c>
      <c r="AA255" s="14">
        <f>IF(AND($H255=pt,$F255=11),SUM($K$7:K255)*VLOOKUP(pt,ROC,2,FALSE),0)</f>
        <v>0</v>
      </c>
      <c r="AB255" s="14">
        <f>IF(AND($H255=pt,$F255=11),SUM($V$7:V255)*VLOOKUP(pt,ROC,2,FALSE),0)</f>
        <v>0</v>
      </c>
      <c r="AC255" s="14">
        <f>IF(AND($H255=pt,$F255=11),SUM($Q$7:Q255)*VLOOKUP(pt,ROC,2,FALSE),0)</f>
        <v>0</v>
      </c>
      <c r="AD255" s="14">
        <f t="shared" ca="1" si="167"/>
        <v>0</v>
      </c>
      <c r="AE255" s="14">
        <f ca="1">(MAX(sa-CF254*Flag_UL_Type,105%*SUM($I$7:I255),Z255)+AU255)*B255</f>
        <v>0</v>
      </c>
      <c r="AF255" s="136"/>
      <c r="AG255" s="18">
        <v>249</v>
      </c>
      <c r="AH255" s="30">
        <f t="shared" ca="1" si="168"/>
        <v>0</v>
      </c>
      <c r="AI255" s="58"/>
      <c r="AJ255" s="50">
        <f>IF(AND(Option_Sys_TopUp&gt;="Y",H255&gt;=sytp,H255&lt;=(dtp+sytp-1),F255=0,H255&lt;=ppt+1),atp,0)+IFERROR(VLOOKUP(H255,Input!$B$55:$C$61,2,0),0)*(F255=0)*(Option_TopUP="Y")*(Option_Sys_TopUp="N")*B255*(pt&gt;=H255+5)</f>
        <v>0</v>
      </c>
      <c r="AK255" s="50">
        <f t="shared" si="169"/>
        <v>0</v>
      </c>
      <c r="AL255" s="50">
        <f t="shared" si="190"/>
        <v>0</v>
      </c>
      <c r="AM255" s="50">
        <f t="shared" ca="1" si="191"/>
        <v>0</v>
      </c>
      <c r="AN255" s="50">
        <f>IF(B255=0,0,AT255*(_rpm1+(1+_emr1)*VLOOKUP(E255,Tab_Mort_Charge,IF(Input!$C$12="M",2,3),0))*(0.001*0.0833)*Flag_Mort_Rider_Charge*(AT255&gt;0))</f>
        <v>0</v>
      </c>
      <c r="AO255" s="50">
        <f t="shared" ca="1" si="170"/>
        <v>0</v>
      </c>
      <c r="AP255" s="50">
        <f t="shared" ca="1" si="197"/>
        <v>0</v>
      </c>
      <c r="AQ255" s="50">
        <f t="shared" ca="1" si="171"/>
        <v>0</v>
      </c>
      <c r="AR255" s="50">
        <f t="shared" ca="1" si="172"/>
        <v>0</v>
      </c>
      <c r="AS255" s="50">
        <f t="shared" si="173"/>
        <v>0</v>
      </c>
      <c r="AT255" s="50">
        <f ca="1">(MAX((MAX(AS255,105%*SUM($AJ$7:AJ255))-AM255*Flag_UL_Type),0)*B255)</f>
        <v>0</v>
      </c>
      <c r="AU255" s="50">
        <f ca="1">(MAX(AS255,AR255,105%*SUM($AJ$7:AJ255))*B255)</f>
        <v>0</v>
      </c>
      <c r="AV255" s="125"/>
      <c r="AW255" s="13"/>
      <c r="AX255" s="13"/>
      <c r="AY255" s="13"/>
      <c r="AZ255" s="13"/>
      <c r="BA255" s="13"/>
      <c r="BG255" s="51">
        <f t="shared" si="174"/>
        <v>0</v>
      </c>
      <c r="BH255" s="51">
        <f t="shared" si="198"/>
        <v>0</v>
      </c>
      <c r="BI255" s="51">
        <f t="shared" ca="1" si="176"/>
        <v>0</v>
      </c>
      <c r="BJ255" s="51">
        <f t="shared" ca="1" si="177"/>
        <v>0</v>
      </c>
      <c r="BK255" s="51">
        <f t="shared" si="178"/>
        <v>0</v>
      </c>
      <c r="BL255" s="51">
        <f t="shared" ca="1" si="179"/>
        <v>0</v>
      </c>
      <c r="BM255" s="51">
        <f t="shared" si="180"/>
        <v>0</v>
      </c>
      <c r="BN255" s="51">
        <f t="shared" si="199"/>
        <v>0</v>
      </c>
      <c r="BO255" s="51">
        <f t="shared" ca="1" si="182"/>
        <v>0</v>
      </c>
      <c r="BP255" s="51">
        <f t="shared" ca="1" si="183"/>
        <v>0</v>
      </c>
      <c r="BQ255" s="120"/>
      <c r="BR255" s="32"/>
      <c r="BS255" s="126"/>
      <c r="BT255" s="16"/>
      <c r="BU255" s="58"/>
      <c r="BW255" s="51">
        <f>IF(Input!$C$13="Offline",VLOOKUP(H255,Charges!$AT$4:$AU$33,2,FALSE)*I255,0)</f>
        <v>0</v>
      </c>
      <c r="BX255" s="51">
        <f t="shared" si="184"/>
        <v>0</v>
      </c>
      <c r="BY255" s="51">
        <f t="shared" si="192"/>
        <v>0</v>
      </c>
      <c r="BZ255" s="151"/>
      <c r="CA255" s="151"/>
      <c r="CB255" s="32"/>
      <c r="CC255" s="16">
        <f ca="1">SUM($N$7:$N255)</f>
        <v>0</v>
      </c>
      <c r="CD255" s="16">
        <f t="shared" ca="1" si="185"/>
        <v>0</v>
      </c>
      <c r="CE255" s="16">
        <f t="shared" ca="1" si="186"/>
        <v>0</v>
      </c>
      <c r="CF255" s="7">
        <f t="shared" ca="1" si="187"/>
        <v>0</v>
      </c>
      <c r="CH255" s="7">
        <f t="shared" ca="1" si="188"/>
        <v>0</v>
      </c>
    </row>
    <row r="256" spans="2:86" s="7" customFormat="1" x14ac:dyDescent="0.2">
      <c r="B256" s="14">
        <f t="shared" si="152"/>
        <v>0</v>
      </c>
      <c r="C256" s="12">
        <f t="shared" si="153"/>
        <v>0</v>
      </c>
      <c r="D256" s="17">
        <f t="shared" si="193"/>
        <v>250</v>
      </c>
      <c r="E256" s="17">
        <f t="shared" ca="1" si="154"/>
        <v>80</v>
      </c>
      <c r="F256" s="12">
        <f t="shared" si="195"/>
        <v>9</v>
      </c>
      <c r="G256" s="12">
        <f t="shared" si="194"/>
        <v>42</v>
      </c>
      <c r="H256" s="17">
        <f t="shared" si="196"/>
        <v>21</v>
      </c>
      <c r="I256" s="29">
        <f t="shared" si="155"/>
        <v>0</v>
      </c>
      <c r="J256" s="211">
        <f>IFERROR(VLOOKUP(H256,Charges!$T$6:$U$35,2,0)*C256,0)</f>
        <v>0</v>
      </c>
      <c r="K256" s="29">
        <f t="shared" si="156"/>
        <v>0</v>
      </c>
      <c r="L256" s="29">
        <f t="shared" si="157"/>
        <v>0</v>
      </c>
      <c r="M256" s="147">
        <f t="shared" ca="1" si="158"/>
        <v>0</v>
      </c>
      <c r="N256" s="148">
        <f ca="1">IF(AND(Option_SPW="Y",H256&gt;=Lock_In_Period,Z255&gt;SPW_Amount_pa+IF(option="Single",1/5*pr,2*pr),H256&gt;=SPW_Start_Year,H256&lt;=SPW_Start_Year+SPW_Duration-1,age+H256&gt;=Legal_Age),IF(AND(F256=0,SPW_Payout_Freq=1),SPW_Amount_pa,IF(AND(SPW_Payout_Freq=2,MOD(F256,6)=0),SPW_Amount_pa/SPW_Payout_Freq,IF(AND(SPW_Payout_Freq=4,MOD(F256,3)=0),SPW_Amount_pa/SPW_Payout_Freq,IF(SPW_Payout_Freq=12,SPW_Amount_pa/SPW_Payout_Freq,0)))),0)+IFERROR(VLOOKUP(H256,Input!$B$68:$C$74,2,0),0)*(F256=0)*(Option_PW="Y")*(Option_SPW="N")*(age+H256&gt;=Legal_Age)</f>
        <v>0</v>
      </c>
      <c r="O256" s="148">
        <f t="shared" ca="1" si="159"/>
        <v>0</v>
      </c>
      <c r="P256" s="14">
        <f ca="1">(MAX(MAX(sa-CF255*Flag_UL_Type,105%*SUM($I$7:I256))-(AD255+L256-N256)*Flag_UL_Type,0)*B256)</f>
        <v>0</v>
      </c>
      <c r="Q256" s="213">
        <f t="shared" si="160"/>
        <v>0</v>
      </c>
      <c r="R256" s="14">
        <f t="shared" ca="1" si="161"/>
        <v>0</v>
      </c>
      <c r="S256" s="14">
        <f t="shared" ca="1" si="162"/>
        <v>0</v>
      </c>
      <c r="T256" s="14">
        <f>IFERROR(IF(WoP_Flag="Y",IF(fq=1,VLOOKUP(ppt*fq-H256,Charges!$AN$41:$AO$59,2,FALSE),IF(fq=2,VLOOKUP(ppt*fq-G256,Charges!$AP$41:$AQ$79,2,FALSE),VLOOKUP(ppt*fq-D256,Charges!$AR$41:$AS$279,2,FALSE)))*pr/fq,0),0)</f>
        <v>0</v>
      </c>
      <c r="U256" s="14">
        <f t="shared" ca="1" si="163"/>
        <v>0</v>
      </c>
      <c r="V256" s="34">
        <f>ROUND(MIN(IF(H256&gt;=7,Charges!$C$12*(1+Charges!$C$14)^((H256-7+1)),VLOOKUP(H256,Charges!$B$7:$C$12,2,0))*pr,Charges!$C$13)*B256,Round)</f>
        <v>0</v>
      </c>
      <c r="W256" s="14">
        <f t="shared" ca="1" si="164"/>
        <v>0</v>
      </c>
      <c r="X256" s="14">
        <f t="shared" ca="1" si="165"/>
        <v>0</v>
      </c>
      <c r="Y256" s="213">
        <f t="shared" ca="1" si="189"/>
        <v>0</v>
      </c>
      <c r="Z256" s="14">
        <f t="shared" ca="1" si="166"/>
        <v>0</v>
      </c>
      <c r="AA256" s="14">
        <f>IF(AND($H256=pt,$F256=11),SUM($K$7:K256)*VLOOKUP(pt,ROC,2,FALSE),0)</f>
        <v>0</v>
      </c>
      <c r="AB256" s="14">
        <f>IF(AND($H256=pt,$F256=11),SUM($V$7:V256)*VLOOKUP(pt,ROC,2,FALSE),0)</f>
        <v>0</v>
      </c>
      <c r="AC256" s="14">
        <f>IF(AND($H256=pt,$F256=11),SUM($Q$7:Q256)*VLOOKUP(pt,ROC,2,FALSE),0)</f>
        <v>0</v>
      </c>
      <c r="AD256" s="14">
        <f t="shared" ca="1" si="167"/>
        <v>0</v>
      </c>
      <c r="AE256" s="14">
        <f ca="1">(MAX(sa-CF255*Flag_UL_Type,105%*SUM($I$7:I256),Z256)+AU256)*B256</f>
        <v>0</v>
      </c>
      <c r="AF256" s="136"/>
      <c r="AG256" s="18">
        <v>250</v>
      </c>
      <c r="AH256" s="30">
        <f t="shared" ca="1" si="168"/>
        <v>0</v>
      </c>
      <c r="AI256" s="58"/>
      <c r="AJ256" s="50">
        <f>IF(AND(Option_Sys_TopUp&gt;="Y",H256&gt;=sytp,H256&lt;=(dtp+sytp-1),F256=0,H256&lt;=ppt+1),atp,0)+IFERROR(VLOOKUP(H256,Input!$B$55:$C$61,2,0),0)*(F256=0)*(Option_TopUP="Y")*(Option_Sys_TopUp="N")*B256*(pt&gt;=H256+5)</f>
        <v>0</v>
      </c>
      <c r="AK256" s="50">
        <f t="shared" si="169"/>
        <v>0</v>
      </c>
      <c r="AL256" s="50">
        <f t="shared" si="190"/>
        <v>0</v>
      </c>
      <c r="AM256" s="50">
        <f t="shared" ca="1" si="191"/>
        <v>0</v>
      </c>
      <c r="AN256" s="50">
        <f>IF(B256=0,0,AT256*(_rpm1+(1+_emr1)*VLOOKUP(E256,Tab_Mort_Charge,IF(Input!$C$12="M",2,3),0))*(0.001*0.0833)*Flag_Mort_Rider_Charge*(AT256&gt;0))</f>
        <v>0</v>
      </c>
      <c r="AO256" s="50">
        <f t="shared" ca="1" si="170"/>
        <v>0</v>
      </c>
      <c r="AP256" s="50">
        <f t="shared" ca="1" si="197"/>
        <v>0</v>
      </c>
      <c r="AQ256" s="50">
        <f t="shared" ca="1" si="171"/>
        <v>0</v>
      </c>
      <c r="AR256" s="50">
        <f t="shared" ca="1" si="172"/>
        <v>0</v>
      </c>
      <c r="AS256" s="50">
        <f t="shared" si="173"/>
        <v>0</v>
      </c>
      <c r="AT256" s="50">
        <f ca="1">(MAX((MAX(AS256,105%*SUM($AJ$7:AJ256))-AM256*Flag_UL_Type),0)*B256)</f>
        <v>0</v>
      </c>
      <c r="AU256" s="50">
        <f ca="1">(MAX(AS256,AR256,105%*SUM($AJ$7:AJ256))*B256)</f>
        <v>0</v>
      </c>
      <c r="AV256" s="125"/>
      <c r="AW256" s="13"/>
      <c r="AX256" s="13"/>
      <c r="AY256" s="13"/>
      <c r="AZ256" s="13"/>
      <c r="BA256" s="13"/>
      <c r="BG256" s="51">
        <f t="shared" si="174"/>
        <v>0</v>
      </c>
      <c r="BH256" s="51">
        <f t="shared" si="198"/>
        <v>0</v>
      </c>
      <c r="BI256" s="51">
        <f t="shared" ca="1" si="176"/>
        <v>0</v>
      </c>
      <c r="BJ256" s="51">
        <f t="shared" ca="1" si="177"/>
        <v>0</v>
      </c>
      <c r="BK256" s="51">
        <f t="shared" si="178"/>
        <v>0</v>
      </c>
      <c r="BL256" s="51">
        <f t="shared" ca="1" si="179"/>
        <v>0</v>
      </c>
      <c r="BM256" s="51">
        <f t="shared" si="180"/>
        <v>0</v>
      </c>
      <c r="BN256" s="51">
        <f t="shared" si="199"/>
        <v>0</v>
      </c>
      <c r="BO256" s="51">
        <f t="shared" ca="1" si="182"/>
        <v>0</v>
      </c>
      <c r="BP256" s="51">
        <f t="shared" ca="1" si="183"/>
        <v>0</v>
      </c>
      <c r="BQ256" s="120"/>
      <c r="BR256" s="32"/>
      <c r="BS256" s="126"/>
      <c r="BT256" s="16"/>
      <c r="BU256" s="58"/>
      <c r="BW256" s="51">
        <f>IF(Input!$C$13="Offline",VLOOKUP(H256,Charges!$AT$4:$AU$33,2,FALSE)*I256,0)</f>
        <v>0</v>
      </c>
      <c r="BX256" s="51">
        <f t="shared" si="184"/>
        <v>0</v>
      </c>
      <c r="BY256" s="51">
        <f t="shared" si="192"/>
        <v>0</v>
      </c>
      <c r="BZ256" s="151"/>
      <c r="CA256" s="151"/>
      <c r="CB256" s="32"/>
      <c r="CC256" s="16">
        <f ca="1">SUM($N$7:$N256)</f>
        <v>0</v>
      </c>
      <c r="CD256" s="16">
        <f t="shared" ca="1" si="185"/>
        <v>0</v>
      </c>
      <c r="CE256" s="16">
        <f t="shared" ca="1" si="186"/>
        <v>0</v>
      </c>
      <c r="CF256" s="7">
        <f t="shared" ca="1" si="187"/>
        <v>0</v>
      </c>
      <c r="CH256" s="7">
        <f t="shared" ca="1" si="188"/>
        <v>0</v>
      </c>
    </row>
    <row r="257" spans="2:86" s="7" customFormat="1" x14ac:dyDescent="0.2">
      <c r="B257" s="14">
        <f t="shared" si="152"/>
        <v>0</v>
      </c>
      <c r="C257" s="12">
        <f t="shared" si="153"/>
        <v>0</v>
      </c>
      <c r="D257" s="17">
        <f t="shared" si="193"/>
        <v>251</v>
      </c>
      <c r="E257" s="17">
        <f t="shared" ca="1" si="154"/>
        <v>80</v>
      </c>
      <c r="F257" s="12">
        <f t="shared" si="195"/>
        <v>10</v>
      </c>
      <c r="G257" s="12">
        <f t="shared" si="194"/>
        <v>42</v>
      </c>
      <c r="H257" s="17">
        <f t="shared" si="196"/>
        <v>21</v>
      </c>
      <c r="I257" s="29">
        <f t="shared" si="155"/>
        <v>0</v>
      </c>
      <c r="J257" s="211">
        <f>IFERROR(VLOOKUP(H257,Charges!$T$6:$U$35,2,0)*C257,0)</f>
        <v>0</v>
      </c>
      <c r="K257" s="29">
        <f t="shared" si="156"/>
        <v>0</v>
      </c>
      <c r="L257" s="29">
        <f t="shared" si="157"/>
        <v>0</v>
      </c>
      <c r="M257" s="147">
        <f t="shared" ca="1" si="158"/>
        <v>0</v>
      </c>
      <c r="N257" s="148">
        <f ca="1">IF(AND(Option_SPW="Y",H257&gt;=Lock_In_Period,Z256&gt;SPW_Amount_pa+IF(option="Single",1/5*pr,2*pr),H257&gt;=SPW_Start_Year,H257&lt;=SPW_Start_Year+SPW_Duration-1,age+H257&gt;=Legal_Age),IF(AND(F257=0,SPW_Payout_Freq=1),SPW_Amount_pa,IF(AND(SPW_Payout_Freq=2,MOD(F257,6)=0),SPW_Amount_pa/SPW_Payout_Freq,IF(AND(SPW_Payout_Freq=4,MOD(F257,3)=0),SPW_Amount_pa/SPW_Payout_Freq,IF(SPW_Payout_Freq=12,SPW_Amount_pa/SPW_Payout_Freq,0)))),0)+IFERROR(VLOOKUP(H257,Input!$B$68:$C$74,2,0),0)*(F257=0)*(Option_PW="Y")*(Option_SPW="N")*(age+H257&gt;=Legal_Age)</f>
        <v>0</v>
      </c>
      <c r="O257" s="148">
        <f t="shared" ca="1" si="159"/>
        <v>0</v>
      </c>
      <c r="P257" s="14">
        <f ca="1">(MAX(MAX(sa-CF256*Flag_UL_Type,105%*SUM($I$7:I257))-(AD256+L257-N257)*Flag_UL_Type,0)*B257)</f>
        <v>0</v>
      </c>
      <c r="Q257" s="213">
        <f t="shared" si="160"/>
        <v>0</v>
      </c>
      <c r="R257" s="14">
        <f t="shared" ca="1" si="161"/>
        <v>0</v>
      </c>
      <c r="S257" s="14">
        <f t="shared" ca="1" si="162"/>
        <v>0</v>
      </c>
      <c r="T257" s="14">
        <f>IFERROR(IF(WoP_Flag="Y",IF(fq=1,VLOOKUP(ppt*fq-H257,Charges!$AN$41:$AO$59,2,FALSE),IF(fq=2,VLOOKUP(ppt*fq-G257,Charges!$AP$41:$AQ$79,2,FALSE),VLOOKUP(ppt*fq-D257,Charges!$AR$41:$AS$279,2,FALSE)))*pr/fq,0),0)</f>
        <v>0</v>
      </c>
      <c r="U257" s="14">
        <f t="shared" ca="1" si="163"/>
        <v>0</v>
      </c>
      <c r="V257" s="34">
        <f>ROUND(MIN(IF(H257&gt;=7,Charges!$C$12*(1+Charges!$C$14)^((H257-7+1)),VLOOKUP(H257,Charges!$B$7:$C$12,2,0))*pr,Charges!$C$13)*B257,Round)</f>
        <v>0</v>
      </c>
      <c r="W257" s="14">
        <f t="shared" ca="1" si="164"/>
        <v>0</v>
      </c>
      <c r="X257" s="14">
        <f t="shared" ca="1" si="165"/>
        <v>0</v>
      </c>
      <c r="Y257" s="213">
        <f t="shared" ca="1" si="189"/>
        <v>0</v>
      </c>
      <c r="Z257" s="14">
        <f t="shared" ca="1" si="166"/>
        <v>0</v>
      </c>
      <c r="AA257" s="14">
        <f>IF(AND($H257=pt,$F257=11),SUM($K$7:K257)*VLOOKUP(pt,ROC,2,FALSE),0)</f>
        <v>0</v>
      </c>
      <c r="AB257" s="14">
        <f>IF(AND($H257=pt,$F257=11),SUM($V$7:V257)*VLOOKUP(pt,ROC,2,FALSE),0)</f>
        <v>0</v>
      </c>
      <c r="AC257" s="14">
        <f>IF(AND($H257=pt,$F257=11),SUM($Q$7:Q257)*VLOOKUP(pt,ROC,2,FALSE),0)</f>
        <v>0</v>
      </c>
      <c r="AD257" s="14">
        <f t="shared" ca="1" si="167"/>
        <v>0</v>
      </c>
      <c r="AE257" s="14">
        <f ca="1">(MAX(sa-CF256*Flag_UL_Type,105%*SUM($I$7:I257),Z257)+AU257)*B257</f>
        <v>0</v>
      </c>
      <c r="AF257" s="136"/>
      <c r="AG257" s="18">
        <v>251</v>
      </c>
      <c r="AH257" s="30">
        <f t="shared" ca="1" si="168"/>
        <v>0</v>
      </c>
      <c r="AI257" s="58"/>
      <c r="AJ257" s="50">
        <f>IF(AND(Option_Sys_TopUp&gt;="Y",H257&gt;=sytp,H257&lt;=(dtp+sytp-1),F257=0,H257&lt;=ppt+1),atp,0)+IFERROR(VLOOKUP(H257,Input!$B$55:$C$61,2,0),0)*(F257=0)*(Option_TopUP="Y")*(Option_Sys_TopUp="N")*B257*(pt&gt;=H257+5)</f>
        <v>0</v>
      </c>
      <c r="AK257" s="50">
        <f t="shared" si="169"/>
        <v>0</v>
      </c>
      <c r="AL257" s="50">
        <f t="shared" si="190"/>
        <v>0</v>
      </c>
      <c r="AM257" s="50">
        <f t="shared" ca="1" si="191"/>
        <v>0</v>
      </c>
      <c r="AN257" s="50">
        <f>IF(B257=0,0,AT257*(_rpm1+(1+_emr1)*VLOOKUP(E257,Tab_Mort_Charge,IF(Input!$C$12="M",2,3),0))*(0.001*0.0833)*Flag_Mort_Rider_Charge*(AT257&gt;0))</f>
        <v>0</v>
      </c>
      <c r="AO257" s="50">
        <f t="shared" ca="1" si="170"/>
        <v>0</v>
      </c>
      <c r="AP257" s="50">
        <f t="shared" ca="1" si="197"/>
        <v>0</v>
      </c>
      <c r="AQ257" s="50">
        <f t="shared" ca="1" si="171"/>
        <v>0</v>
      </c>
      <c r="AR257" s="50">
        <f t="shared" ca="1" si="172"/>
        <v>0</v>
      </c>
      <c r="AS257" s="50">
        <f t="shared" si="173"/>
        <v>0</v>
      </c>
      <c r="AT257" s="50">
        <f ca="1">(MAX((MAX(AS257,105%*SUM($AJ$7:AJ257))-AM257*Flag_UL_Type),0)*B257)</f>
        <v>0</v>
      </c>
      <c r="AU257" s="50">
        <f ca="1">(MAX(AS257,AR257,105%*SUM($AJ$7:AJ257))*B257)</f>
        <v>0</v>
      </c>
      <c r="AV257" s="125"/>
      <c r="AW257" s="13"/>
      <c r="AX257" s="13"/>
      <c r="AY257" s="13"/>
      <c r="AZ257" s="13"/>
      <c r="BA257" s="13"/>
      <c r="BG257" s="51">
        <f t="shared" si="174"/>
        <v>0</v>
      </c>
      <c r="BH257" s="51">
        <f t="shared" si="198"/>
        <v>0</v>
      </c>
      <c r="BI257" s="51">
        <f t="shared" ca="1" si="176"/>
        <v>0</v>
      </c>
      <c r="BJ257" s="51">
        <f t="shared" ca="1" si="177"/>
        <v>0</v>
      </c>
      <c r="BK257" s="51">
        <f t="shared" si="178"/>
        <v>0</v>
      </c>
      <c r="BL257" s="51">
        <f t="shared" ca="1" si="179"/>
        <v>0</v>
      </c>
      <c r="BM257" s="51">
        <f t="shared" si="180"/>
        <v>0</v>
      </c>
      <c r="BN257" s="51">
        <f t="shared" si="199"/>
        <v>0</v>
      </c>
      <c r="BO257" s="51">
        <f t="shared" ca="1" si="182"/>
        <v>0</v>
      </c>
      <c r="BP257" s="51">
        <f t="shared" ca="1" si="183"/>
        <v>0</v>
      </c>
      <c r="BQ257" s="120"/>
      <c r="BR257" s="32"/>
      <c r="BS257" s="126"/>
      <c r="BT257" s="16"/>
      <c r="BU257" s="58"/>
      <c r="BW257" s="51">
        <f>IF(Input!$C$13="Offline",VLOOKUP(H257,Charges!$AT$4:$AU$33,2,FALSE)*I257,0)</f>
        <v>0</v>
      </c>
      <c r="BX257" s="51">
        <f t="shared" si="184"/>
        <v>0</v>
      </c>
      <c r="BY257" s="51">
        <f t="shared" si="192"/>
        <v>0</v>
      </c>
      <c r="BZ257" s="151"/>
      <c r="CA257" s="151"/>
      <c r="CB257" s="32"/>
      <c r="CC257" s="16">
        <f ca="1">SUM($N$7:$N257)</f>
        <v>0</v>
      </c>
      <c r="CD257" s="16">
        <f t="shared" ca="1" si="185"/>
        <v>0</v>
      </c>
      <c r="CE257" s="16">
        <f t="shared" ca="1" si="186"/>
        <v>0</v>
      </c>
      <c r="CF257" s="7">
        <f t="shared" ca="1" si="187"/>
        <v>0</v>
      </c>
      <c r="CH257" s="7">
        <f t="shared" ca="1" si="188"/>
        <v>0</v>
      </c>
    </row>
    <row r="258" spans="2:86" s="7" customFormat="1" x14ac:dyDescent="0.2">
      <c r="B258" s="14">
        <f t="shared" si="152"/>
        <v>0</v>
      </c>
      <c r="C258" s="12">
        <f t="shared" si="153"/>
        <v>0</v>
      </c>
      <c r="D258" s="17">
        <f t="shared" si="193"/>
        <v>252</v>
      </c>
      <c r="E258" s="17">
        <f t="shared" ca="1" si="154"/>
        <v>80</v>
      </c>
      <c r="F258" s="12">
        <f t="shared" si="195"/>
        <v>11</v>
      </c>
      <c r="G258" s="12">
        <f t="shared" si="194"/>
        <v>42</v>
      </c>
      <c r="H258" s="17">
        <f t="shared" si="196"/>
        <v>21</v>
      </c>
      <c r="I258" s="29">
        <f t="shared" si="155"/>
        <v>0</v>
      </c>
      <c r="J258" s="211">
        <f>IFERROR(VLOOKUP(H258,Charges!$T$6:$U$35,2,0)*C258,0)</f>
        <v>0</v>
      </c>
      <c r="K258" s="29">
        <f t="shared" si="156"/>
        <v>0</v>
      </c>
      <c r="L258" s="29">
        <f t="shared" si="157"/>
        <v>0</v>
      </c>
      <c r="M258" s="147">
        <f t="shared" ca="1" si="158"/>
        <v>0</v>
      </c>
      <c r="N258" s="148">
        <f ca="1">IF(AND(Option_SPW="Y",H258&gt;=Lock_In_Period,Z257&gt;SPW_Amount_pa+IF(option="Single",1/5*pr,2*pr),H258&gt;=SPW_Start_Year,H258&lt;=SPW_Start_Year+SPW_Duration-1,age+H258&gt;=Legal_Age),IF(AND(F258=0,SPW_Payout_Freq=1),SPW_Amount_pa,IF(AND(SPW_Payout_Freq=2,MOD(F258,6)=0),SPW_Amount_pa/SPW_Payout_Freq,IF(AND(SPW_Payout_Freq=4,MOD(F258,3)=0),SPW_Amount_pa/SPW_Payout_Freq,IF(SPW_Payout_Freq=12,SPW_Amount_pa/SPW_Payout_Freq,0)))),0)+IFERROR(VLOOKUP(H258,Input!$B$68:$C$74,2,0),0)*(F258=0)*(Option_PW="Y")*(Option_SPW="N")*(age+H258&gt;=Legal_Age)</f>
        <v>0</v>
      </c>
      <c r="O258" s="148">
        <f t="shared" ca="1" si="159"/>
        <v>0</v>
      </c>
      <c r="P258" s="14">
        <f ca="1">(MAX(MAX(sa-CF257*Flag_UL_Type,105%*SUM($I$7:I258))-(AD257+L258-N258)*Flag_UL_Type,0)*B258)</f>
        <v>0</v>
      </c>
      <c r="Q258" s="213">
        <f t="shared" si="160"/>
        <v>0</v>
      </c>
      <c r="R258" s="14">
        <f t="shared" ca="1" si="161"/>
        <v>0</v>
      </c>
      <c r="S258" s="14">
        <f t="shared" ca="1" si="162"/>
        <v>0</v>
      </c>
      <c r="T258" s="14">
        <f>IFERROR(IF(WoP_Flag="Y",IF(fq=1,VLOOKUP(ppt*fq-H258,Charges!$AN$41:$AO$59,2,FALSE),IF(fq=2,VLOOKUP(ppt*fq-G258,Charges!$AP$41:$AQ$79,2,FALSE),VLOOKUP(ppt*fq-D258,Charges!$AR$41:$AS$279,2,FALSE)))*pr/fq,0),0)</f>
        <v>0</v>
      </c>
      <c r="U258" s="14">
        <f t="shared" ca="1" si="163"/>
        <v>0</v>
      </c>
      <c r="V258" s="34">
        <f>ROUND(MIN(IF(H258&gt;=7,Charges!$C$12*(1+Charges!$C$14)^((H258-7+1)),VLOOKUP(H258,Charges!$B$7:$C$12,2,0))*pr,Charges!$C$13)*B258,Round)</f>
        <v>0</v>
      </c>
      <c r="W258" s="14">
        <f t="shared" ca="1" si="164"/>
        <v>0</v>
      </c>
      <c r="X258" s="14">
        <f t="shared" ca="1" si="165"/>
        <v>0</v>
      </c>
      <c r="Y258" s="213">
        <f t="shared" ca="1" si="189"/>
        <v>0</v>
      </c>
      <c r="Z258" s="14">
        <f t="shared" ca="1" si="166"/>
        <v>0</v>
      </c>
      <c r="AA258" s="14">
        <f>IF(AND($H258=pt,$F258=11),SUM($K$7:K258)*VLOOKUP(pt,ROC,2,FALSE),0)</f>
        <v>0</v>
      </c>
      <c r="AB258" s="14">
        <f>IF(AND($H258=pt,$F258=11),SUM($V$7:V258)*VLOOKUP(pt,ROC,2,FALSE),0)</f>
        <v>0</v>
      </c>
      <c r="AC258" s="14">
        <f>IF(AND($H258=pt,$F258=11),SUM($Q$7:Q258)*VLOOKUP(pt,ROC,2,FALSE),0)</f>
        <v>0</v>
      </c>
      <c r="AD258" s="14">
        <f t="shared" ca="1" si="167"/>
        <v>0</v>
      </c>
      <c r="AE258" s="14">
        <f ca="1">(MAX(sa-CF257*Flag_UL_Type,105%*SUM($I$7:I258),Z258)+AU258)*B258</f>
        <v>0</v>
      </c>
      <c r="AF258" s="136"/>
      <c r="AG258" s="18">
        <v>252</v>
      </c>
      <c r="AH258" s="30">
        <f t="shared" ca="1" si="168"/>
        <v>0</v>
      </c>
      <c r="AI258" s="58"/>
      <c r="AJ258" s="50">
        <f>IF(AND(Option_Sys_TopUp&gt;="Y",H258&gt;=sytp,H258&lt;=(dtp+sytp-1),F258=0,H258&lt;=ppt+1),atp,0)+IFERROR(VLOOKUP(H258,Input!$B$55:$C$61,2,0),0)*(F258=0)*(Option_TopUP="Y")*(Option_Sys_TopUp="N")*B258*(pt&gt;=H258+5)</f>
        <v>0</v>
      </c>
      <c r="AK258" s="50">
        <f t="shared" si="169"/>
        <v>0</v>
      </c>
      <c r="AL258" s="50">
        <f t="shared" si="190"/>
        <v>0</v>
      </c>
      <c r="AM258" s="50">
        <f t="shared" ca="1" si="191"/>
        <v>0</v>
      </c>
      <c r="AN258" s="50">
        <f>IF(B258=0,0,AT258*(_rpm1+(1+_emr1)*VLOOKUP(E258,Tab_Mort_Charge,IF(Input!$C$12="M",2,3),0))*(0.001*0.0833)*Flag_Mort_Rider_Charge*(AT258&gt;0))</f>
        <v>0</v>
      </c>
      <c r="AO258" s="50">
        <f t="shared" ca="1" si="170"/>
        <v>0</v>
      </c>
      <c r="AP258" s="50">
        <f t="shared" ca="1" si="197"/>
        <v>0</v>
      </c>
      <c r="AQ258" s="50">
        <f t="shared" ca="1" si="171"/>
        <v>0</v>
      </c>
      <c r="AR258" s="50">
        <f t="shared" ca="1" si="172"/>
        <v>0</v>
      </c>
      <c r="AS258" s="50">
        <f t="shared" si="173"/>
        <v>0</v>
      </c>
      <c r="AT258" s="50">
        <f ca="1">(MAX((MAX(AS258,105%*SUM($AJ$7:AJ258))-AM258*Flag_UL_Type),0)*B258)</f>
        <v>0</v>
      </c>
      <c r="AU258" s="50">
        <f ca="1">(MAX(AS258,AR258,105%*SUM($AJ$7:AJ258))*B258)</f>
        <v>0</v>
      </c>
      <c r="AV258" s="125"/>
      <c r="AW258" s="13"/>
      <c r="AX258" s="13"/>
      <c r="AY258" s="13"/>
      <c r="AZ258" s="13"/>
      <c r="BA258" s="13"/>
      <c r="BG258" s="51">
        <f t="shared" si="174"/>
        <v>0</v>
      </c>
      <c r="BH258" s="51">
        <f t="shared" si="198"/>
        <v>0</v>
      </c>
      <c r="BI258" s="51">
        <f t="shared" ca="1" si="176"/>
        <v>0</v>
      </c>
      <c r="BJ258" s="51">
        <f t="shared" ca="1" si="177"/>
        <v>0</v>
      </c>
      <c r="BK258" s="51">
        <f t="shared" si="178"/>
        <v>0</v>
      </c>
      <c r="BL258" s="51">
        <f t="shared" ca="1" si="179"/>
        <v>0</v>
      </c>
      <c r="BM258" s="51">
        <f t="shared" si="180"/>
        <v>0</v>
      </c>
      <c r="BN258" s="51">
        <f t="shared" si="199"/>
        <v>0</v>
      </c>
      <c r="BO258" s="51">
        <f t="shared" ca="1" si="182"/>
        <v>0</v>
      </c>
      <c r="BP258" s="51">
        <f t="shared" ca="1" si="183"/>
        <v>0</v>
      </c>
      <c r="BQ258" s="120"/>
      <c r="BR258" s="32"/>
      <c r="BS258" s="126"/>
      <c r="BT258" s="16"/>
      <c r="BU258" s="58"/>
      <c r="BW258" s="51">
        <f>IF(Input!$C$13="Offline",VLOOKUP(H258,Charges!$AT$4:$AU$33,2,FALSE)*I258,0)</f>
        <v>0</v>
      </c>
      <c r="BX258" s="51">
        <f t="shared" si="184"/>
        <v>0</v>
      </c>
      <c r="BY258" s="51">
        <f t="shared" si="192"/>
        <v>0</v>
      </c>
      <c r="BZ258" s="151"/>
      <c r="CA258" s="151"/>
      <c r="CB258" s="32"/>
      <c r="CC258" s="16">
        <f ca="1">SUM($N$7:$N258)</f>
        <v>0</v>
      </c>
      <c r="CD258" s="16">
        <f t="shared" ca="1" si="185"/>
        <v>0</v>
      </c>
      <c r="CE258" s="16">
        <f t="shared" ca="1" si="186"/>
        <v>0</v>
      </c>
      <c r="CF258" s="7">
        <f t="shared" ca="1" si="187"/>
        <v>0</v>
      </c>
      <c r="CH258" s="7">
        <f t="shared" ca="1" si="188"/>
        <v>0</v>
      </c>
    </row>
    <row r="259" spans="2:86" s="7" customFormat="1" x14ac:dyDescent="0.2">
      <c r="B259" s="14">
        <f t="shared" si="152"/>
        <v>0</v>
      </c>
      <c r="C259" s="12">
        <f t="shared" si="153"/>
        <v>0</v>
      </c>
      <c r="D259" s="17">
        <f t="shared" si="193"/>
        <v>253</v>
      </c>
      <c r="E259" s="17">
        <f t="shared" ca="1" si="154"/>
        <v>81</v>
      </c>
      <c r="F259" s="12">
        <f t="shared" si="195"/>
        <v>0</v>
      </c>
      <c r="G259" s="12">
        <f t="shared" si="194"/>
        <v>43</v>
      </c>
      <c r="H259" s="17">
        <f t="shared" si="196"/>
        <v>22</v>
      </c>
      <c r="I259" s="29">
        <f t="shared" si="155"/>
        <v>0</v>
      </c>
      <c r="J259" s="211">
        <f>IFERROR(VLOOKUP(H259,Charges!$T$6:$U$35,2,0)*C259,0)</f>
        <v>0</v>
      </c>
      <c r="K259" s="29">
        <f t="shared" si="156"/>
        <v>0</v>
      </c>
      <c r="L259" s="29">
        <f t="shared" si="157"/>
        <v>0</v>
      </c>
      <c r="M259" s="147">
        <f t="shared" ca="1" si="158"/>
        <v>0</v>
      </c>
      <c r="N259" s="148">
        <f ca="1">IF(AND(Option_SPW="Y",H259&gt;=Lock_In_Period,Z258&gt;SPW_Amount_pa+IF(option="Single",1/5*pr,2*pr),H259&gt;=SPW_Start_Year,H259&lt;=SPW_Start_Year+SPW_Duration-1,age+H259&gt;=Legal_Age),IF(AND(F259=0,SPW_Payout_Freq=1),SPW_Amount_pa,IF(AND(SPW_Payout_Freq=2,MOD(F259,6)=0),SPW_Amount_pa/SPW_Payout_Freq,IF(AND(SPW_Payout_Freq=4,MOD(F259,3)=0),SPW_Amount_pa/SPW_Payout_Freq,IF(SPW_Payout_Freq=12,SPW_Amount_pa/SPW_Payout_Freq,0)))),0)+IFERROR(VLOOKUP(H259,Input!$B$68:$C$74,2,0),0)*(F259=0)*(Option_PW="Y")*(Option_SPW="N")*(age+H259&gt;=Legal_Age)</f>
        <v>0</v>
      </c>
      <c r="O259" s="148">
        <f t="shared" ca="1" si="159"/>
        <v>0</v>
      </c>
      <c r="P259" s="14">
        <f ca="1">(MAX(MAX(sa-CF258*Flag_UL_Type,105%*SUM($I$7:I259))-(AD258+L259-N259)*Flag_UL_Type,0)*B259)</f>
        <v>0</v>
      </c>
      <c r="Q259" s="213">
        <f t="shared" si="160"/>
        <v>0</v>
      </c>
      <c r="R259" s="14">
        <f t="shared" ca="1" si="161"/>
        <v>0</v>
      </c>
      <c r="S259" s="14">
        <f t="shared" ca="1" si="162"/>
        <v>0</v>
      </c>
      <c r="T259" s="14">
        <f>IFERROR(IF(WoP_Flag="Y",IF(fq=1,VLOOKUP(ppt*fq-H259,Charges!$AN$41:$AO$59,2,FALSE),IF(fq=2,VLOOKUP(ppt*fq-G259,Charges!$AP$41:$AQ$79,2,FALSE),VLOOKUP(ppt*fq-D259,Charges!$AR$41:$AS$279,2,FALSE)))*pr/fq,0),0)</f>
        <v>0</v>
      </c>
      <c r="U259" s="14">
        <f t="shared" ca="1" si="163"/>
        <v>0</v>
      </c>
      <c r="V259" s="34">
        <f>ROUND(MIN(IF(H259&gt;=7,Charges!$C$12*(1+Charges!$C$14)^((H259-7+1)),VLOOKUP(H259,Charges!$B$7:$C$12,2,0))*pr,Charges!$C$13)*B259,Round)</f>
        <v>0</v>
      </c>
      <c r="W259" s="14">
        <f t="shared" ca="1" si="164"/>
        <v>0</v>
      </c>
      <c r="X259" s="14">
        <f t="shared" ca="1" si="165"/>
        <v>0</v>
      </c>
      <c r="Y259" s="213">
        <f t="shared" ca="1" si="189"/>
        <v>0</v>
      </c>
      <c r="Z259" s="14">
        <f t="shared" ca="1" si="166"/>
        <v>0</v>
      </c>
      <c r="AA259" s="14">
        <f>IF(AND($H259=pt,$F259=11),SUM($K$7:K259)*VLOOKUP(pt,ROC,2,FALSE),0)</f>
        <v>0</v>
      </c>
      <c r="AB259" s="14">
        <f>IF(AND($H259=pt,$F259=11),SUM($V$7:V259)*VLOOKUP(pt,ROC,2,FALSE),0)</f>
        <v>0</v>
      </c>
      <c r="AC259" s="14">
        <f>IF(AND($H259=pt,$F259=11),SUM($Q$7:Q259)*VLOOKUP(pt,ROC,2,FALSE),0)</f>
        <v>0</v>
      </c>
      <c r="AD259" s="14">
        <f t="shared" ca="1" si="167"/>
        <v>0</v>
      </c>
      <c r="AE259" s="14">
        <f ca="1">(MAX(sa-CF258*Flag_UL_Type,105%*SUM($I$7:I259),Z259)+AU259)*B259</f>
        <v>0</v>
      </c>
      <c r="AF259" s="136"/>
      <c r="AG259" s="18">
        <v>253</v>
      </c>
      <c r="AH259" s="30">
        <f t="shared" ca="1" si="168"/>
        <v>0</v>
      </c>
      <c r="AI259" s="58"/>
      <c r="AJ259" s="50">
        <f>IF(AND(Option_Sys_TopUp&gt;="Y",H259&gt;=sytp,H259&lt;=(dtp+sytp-1),F259=0,H259&lt;=ppt+1),atp,0)+IFERROR(VLOOKUP(H259,Input!$B$55:$C$61,2,0),0)*(F259=0)*(Option_TopUP="Y")*(Option_Sys_TopUp="N")*B259*(pt&gt;=H259+5)</f>
        <v>0</v>
      </c>
      <c r="AK259" s="50">
        <f t="shared" si="169"/>
        <v>0</v>
      </c>
      <c r="AL259" s="50">
        <f t="shared" si="190"/>
        <v>0</v>
      </c>
      <c r="AM259" s="50">
        <f t="shared" ca="1" si="191"/>
        <v>0</v>
      </c>
      <c r="AN259" s="50">
        <f>IF(B259=0,0,AT259*(_rpm1+(1+_emr1)*VLOOKUP(E259,Tab_Mort_Charge,IF(Input!$C$12="M",2,3),0))*(0.001*0.0833)*Flag_Mort_Rider_Charge*(AT259&gt;0))</f>
        <v>0</v>
      </c>
      <c r="AO259" s="50">
        <f t="shared" ca="1" si="170"/>
        <v>0</v>
      </c>
      <c r="AP259" s="50">
        <f t="shared" ca="1" si="197"/>
        <v>0</v>
      </c>
      <c r="AQ259" s="50">
        <f t="shared" ca="1" si="171"/>
        <v>0</v>
      </c>
      <c r="AR259" s="50">
        <f t="shared" ca="1" si="172"/>
        <v>0</v>
      </c>
      <c r="AS259" s="50">
        <f t="shared" si="173"/>
        <v>0</v>
      </c>
      <c r="AT259" s="50">
        <f ca="1">(MAX((MAX(AS259,105%*SUM($AJ$7:AJ259))-AM259*Flag_UL_Type),0)*B259)</f>
        <v>0</v>
      </c>
      <c r="AU259" s="50">
        <f ca="1">(MAX(AS259,AR259,105%*SUM($AJ$7:AJ259))*B259)</f>
        <v>0</v>
      </c>
      <c r="AV259" s="125"/>
      <c r="AW259" s="13"/>
      <c r="AX259" s="13"/>
      <c r="AY259" s="13"/>
      <c r="AZ259" s="13"/>
      <c r="BA259" s="13"/>
      <c r="BG259" s="51">
        <f t="shared" si="174"/>
        <v>0</v>
      </c>
      <c r="BH259" s="51">
        <f t="shared" si="198"/>
        <v>0</v>
      </c>
      <c r="BI259" s="51">
        <f t="shared" ca="1" si="176"/>
        <v>0</v>
      </c>
      <c r="BJ259" s="51">
        <f t="shared" ca="1" si="177"/>
        <v>0</v>
      </c>
      <c r="BK259" s="51">
        <f t="shared" si="178"/>
        <v>0</v>
      </c>
      <c r="BL259" s="51">
        <f t="shared" ca="1" si="179"/>
        <v>0</v>
      </c>
      <c r="BM259" s="51">
        <f t="shared" si="180"/>
        <v>0</v>
      </c>
      <c r="BN259" s="51">
        <f t="shared" si="199"/>
        <v>0</v>
      </c>
      <c r="BO259" s="51">
        <f t="shared" ca="1" si="182"/>
        <v>0</v>
      </c>
      <c r="BP259" s="51">
        <f t="shared" ca="1" si="183"/>
        <v>0</v>
      </c>
      <c r="BQ259" s="120"/>
      <c r="BR259" s="32"/>
      <c r="BS259" s="126"/>
      <c r="BT259" s="16"/>
      <c r="BU259" s="58"/>
      <c r="BW259" s="51">
        <f>IF(Input!$C$13="Offline",VLOOKUP(H259,Charges!$AT$4:$AU$33,2,FALSE)*I259,0)</f>
        <v>0</v>
      </c>
      <c r="BX259" s="51">
        <f t="shared" si="184"/>
        <v>0</v>
      </c>
      <c r="BY259" s="51">
        <f t="shared" si="192"/>
        <v>0</v>
      </c>
      <c r="BZ259" s="151"/>
      <c r="CA259" s="151"/>
      <c r="CB259" s="32"/>
      <c r="CC259" s="16">
        <f ca="1">SUM($N$7:$N259)</f>
        <v>0</v>
      </c>
      <c r="CD259" s="16">
        <f t="shared" ca="1" si="185"/>
        <v>0</v>
      </c>
      <c r="CE259" s="16">
        <f t="shared" ca="1" si="186"/>
        <v>0</v>
      </c>
      <c r="CF259" s="7">
        <f t="shared" ca="1" si="187"/>
        <v>0</v>
      </c>
      <c r="CH259" s="7">
        <f t="shared" ca="1" si="188"/>
        <v>0</v>
      </c>
    </row>
    <row r="260" spans="2:86" s="7" customFormat="1" x14ac:dyDescent="0.2">
      <c r="B260" s="14">
        <f t="shared" si="152"/>
        <v>0</v>
      </c>
      <c r="C260" s="12">
        <f t="shared" si="153"/>
        <v>0</v>
      </c>
      <c r="D260" s="17">
        <f t="shared" si="193"/>
        <v>254</v>
      </c>
      <c r="E260" s="17">
        <f t="shared" ca="1" si="154"/>
        <v>81</v>
      </c>
      <c r="F260" s="12">
        <f t="shared" si="195"/>
        <v>1</v>
      </c>
      <c r="G260" s="12">
        <f t="shared" si="194"/>
        <v>43</v>
      </c>
      <c r="H260" s="17">
        <f t="shared" si="196"/>
        <v>22</v>
      </c>
      <c r="I260" s="29">
        <f t="shared" si="155"/>
        <v>0</v>
      </c>
      <c r="J260" s="211">
        <f>IFERROR(VLOOKUP(H260,Charges!$T$6:$U$35,2,0)*C260,0)</f>
        <v>0</v>
      </c>
      <c r="K260" s="29">
        <f t="shared" si="156"/>
        <v>0</v>
      </c>
      <c r="L260" s="29">
        <f t="shared" si="157"/>
        <v>0</v>
      </c>
      <c r="M260" s="147">
        <f t="shared" ca="1" si="158"/>
        <v>0</v>
      </c>
      <c r="N260" s="148">
        <f ca="1">IF(AND(Option_SPW="Y",H260&gt;=Lock_In_Period,Z259&gt;SPW_Amount_pa+IF(option="Single",1/5*pr,2*pr),H260&gt;=SPW_Start_Year,H260&lt;=SPW_Start_Year+SPW_Duration-1,age+H260&gt;=Legal_Age),IF(AND(F260=0,SPW_Payout_Freq=1),SPW_Amount_pa,IF(AND(SPW_Payout_Freq=2,MOD(F260,6)=0),SPW_Amount_pa/SPW_Payout_Freq,IF(AND(SPW_Payout_Freq=4,MOD(F260,3)=0),SPW_Amount_pa/SPW_Payout_Freq,IF(SPW_Payout_Freq=12,SPW_Amount_pa/SPW_Payout_Freq,0)))),0)+IFERROR(VLOOKUP(H260,Input!$B$68:$C$74,2,0),0)*(F260=0)*(Option_PW="Y")*(Option_SPW="N")*(age+H260&gt;=Legal_Age)</f>
        <v>0</v>
      </c>
      <c r="O260" s="148">
        <f t="shared" ca="1" si="159"/>
        <v>0</v>
      </c>
      <c r="P260" s="14">
        <f ca="1">(MAX(MAX(sa-CF259*Flag_UL_Type,105%*SUM($I$7:I260))-(AD259+L260-N260)*Flag_UL_Type,0)*B260)</f>
        <v>0</v>
      </c>
      <c r="Q260" s="213">
        <f t="shared" si="160"/>
        <v>0</v>
      </c>
      <c r="R260" s="14">
        <f t="shared" ca="1" si="161"/>
        <v>0</v>
      </c>
      <c r="S260" s="14">
        <f t="shared" ca="1" si="162"/>
        <v>0</v>
      </c>
      <c r="T260" s="14">
        <f>IFERROR(IF(WoP_Flag="Y",IF(fq=1,VLOOKUP(ppt*fq-H260,Charges!$AN$41:$AO$59,2,FALSE),IF(fq=2,VLOOKUP(ppt*fq-G260,Charges!$AP$41:$AQ$79,2,FALSE),VLOOKUP(ppt*fq-D260,Charges!$AR$41:$AS$279,2,FALSE)))*pr/fq,0),0)</f>
        <v>0</v>
      </c>
      <c r="U260" s="14">
        <f t="shared" ca="1" si="163"/>
        <v>0</v>
      </c>
      <c r="V260" s="34">
        <f>ROUND(MIN(IF(H260&gt;=7,Charges!$C$12*(1+Charges!$C$14)^((H260-7+1)),VLOOKUP(H260,Charges!$B$7:$C$12,2,0))*pr,Charges!$C$13)*B260,Round)</f>
        <v>0</v>
      </c>
      <c r="W260" s="14">
        <f t="shared" ca="1" si="164"/>
        <v>0</v>
      </c>
      <c r="X260" s="14">
        <f t="shared" ca="1" si="165"/>
        <v>0</v>
      </c>
      <c r="Y260" s="213">
        <f t="shared" ca="1" si="189"/>
        <v>0</v>
      </c>
      <c r="Z260" s="14">
        <f t="shared" ca="1" si="166"/>
        <v>0</v>
      </c>
      <c r="AA260" s="14">
        <f>IF(AND($H260=pt,$F260=11),SUM($K$7:K260)*VLOOKUP(pt,ROC,2,FALSE),0)</f>
        <v>0</v>
      </c>
      <c r="AB260" s="14">
        <f>IF(AND($H260=pt,$F260=11),SUM($V$7:V260)*VLOOKUP(pt,ROC,2,FALSE),0)</f>
        <v>0</v>
      </c>
      <c r="AC260" s="14">
        <f>IF(AND($H260=pt,$F260=11),SUM($Q$7:Q260)*VLOOKUP(pt,ROC,2,FALSE),0)</f>
        <v>0</v>
      </c>
      <c r="AD260" s="14">
        <f t="shared" ca="1" si="167"/>
        <v>0</v>
      </c>
      <c r="AE260" s="14">
        <f ca="1">(MAX(sa-CF259*Flag_UL_Type,105%*SUM($I$7:I260),Z260)+AU260)*B260</f>
        <v>0</v>
      </c>
      <c r="AF260" s="136"/>
      <c r="AG260" s="18">
        <v>254</v>
      </c>
      <c r="AH260" s="30">
        <f t="shared" ca="1" si="168"/>
        <v>0</v>
      </c>
      <c r="AI260" s="58"/>
      <c r="AJ260" s="50">
        <f>IF(AND(Option_Sys_TopUp&gt;="Y",H260&gt;=sytp,H260&lt;=(dtp+sytp-1),F260=0,H260&lt;=ppt+1),atp,0)+IFERROR(VLOOKUP(H260,Input!$B$55:$C$61,2,0),0)*(F260=0)*(Option_TopUP="Y")*(Option_Sys_TopUp="N")*B260*(pt&gt;=H260+5)</f>
        <v>0</v>
      </c>
      <c r="AK260" s="50">
        <f t="shared" si="169"/>
        <v>0</v>
      </c>
      <c r="AL260" s="50">
        <f t="shared" si="190"/>
        <v>0</v>
      </c>
      <c r="AM260" s="50">
        <f t="shared" ca="1" si="191"/>
        <v>0</v>
      </c>
      <c r="AN260" s="50">
        <f>IF(B260=0,0,AT260*(_rpm1+(1+_emr1)*VLOOKUP(E260,Tab_Mort_Charge,IF(Input!$C$12="M",2,3),0))*(0.001*0.0833)*Flag_Mort_Rider_Charge*(AT260&gt;0))</f>
        <v>0</v>
      </c>
      <c r="AO260" s="50">
        <f t="shared" ca="1" si="170"/>
        <v>0</v>
      </c>
      <c r="AP260" s="50">
        <f t="shared" ca="1" si="197"/>
        <v>0</v>
      </c>
      <c r="AQ260" s="50">
        <f t="shared" ca="1" si="171"/>
        <v>0</v>
      </c>
      <c r="AR260" s="50">
        <f t="shared" ca="1" si="172"/>
        <v>0</v>
      </c>
      <c r="AS260" s="50">
        <f t="shared" si="173"/>
        <v>0</v>
      </c>
      <c r="AT260" s="50">
        <f ca="1">(MAX((MAX(AS260,105%*SUM($AJ$7:AJ260))-AM260*Flag_UL_Type),0)*B260)</f>
        <v>0</v>
      </c>
      <c r="AU260" s="50">
        <f ca="1">(MAX(AS260,AR260,105%*SUM($AJ$7:AJ260))*B260)</f>
        <v>0</v>
      </c>
      <c r="AV260" s="125"/>
      <c r="AW260" s="13"/>
      <c r="AX260" s="13"/>
      <c r="AY260" s="13"/>
      <c r="AZ260" s="13"/>
      <c r="BA260" s="13"/>
      <c r="BG260" s="51">
        <f t="shared" si="174"/>
        <v>0</v>
      </c>
      <c r="BH260" s="51">
        <f t="shared" si="198"/>
        <v>0</v>
      </c>
      <c r="BI260" s="51">
        <f t="shared" ca="1" si="176"/>
        <v>0</v>
      </c>
      <c r="BJ260" s="51">
        <f t="shared" ca="1" si="177"/>
        <v>0</v>
      </c>
      <c r="BK260" s="51">
        <f t="shared" si="178"/>
        <v>0</v>
      </c>
      <c r="BL260" s="51">
        <f t="shared" ca="1" si="179"/>
        <v>0</v>
      </c>
      <c r="BM260" s="51">
        <f t="shared" si="180"/>
        <v>0</v>
      </c>
      <c r="BN260" s="51">
        <f t="shared" si="199"/>
        <v>0</v>
      </c>
      <c r="BO260" s="51">
        <f t="shared" ca="1" si="182"/>
        <v>0</v>
      </c>
      <c r="BP260" s="51">
        <f t="shared" ca="1" si="183"/>
        <v>0</v>
      </c>
      <c r="BQ260" s="120"/>
      <c r="BR260" s="32"/>
      <c r="BS260" s="126"/>
      <c r="BT260" s="16"/>
      <c r="BU260" s="58"/>
      <c r="BW260" s="51">
        <f>IF(Input!$C$13="Offline",VLOOKUP(H260,Charges!$AT$4:$AU$33,2,FALSE)*I260,0)</f>
        <v>0</v>
      </c>
      <c r="BX260" s="51">
        <f t="shared" si="184"/>
        <v>0</v>
      </c>
      <c r="BY260" s="51">
        <f t="shared" si="192"/>
        <v>0</v>
      </c>
      <c r="BZ260" s="151"/>
      <c r="CA260" s="151"/>
      <c r="CB260" s="32"/>
      <c r="CC260" s="16">
        <f ca="1">SUM($N$7:$N260)</f>
        <v>0</v>
      </c>
      <c r="CD260" s="16">
        <f t="shared" ca="1" si="185"/>
        <v>0</v>
      </c>
      <c r="CE260" s="16">
        <f t="shared" ca="1" si="186"/>
        <v>0</v>
      </c>
      <c r="CF260" s="7">
        <f t="shared" ca="1" si="187"/>
        <v>0</v>
      </c>
      <c r="CH260" s="7">
        <f t="shared" ca="1" si="188"/>
        <v>0</v>
      </c>
    </row>
    <row r="261" spans="2:86" s="7" customFormat="1" x14ac:dyDescent="0.2">
      <c r="B261" s="14">
        <f t="shared" si="152"/>
        <v>0</v>
      </c>
      <c r="C261" s="12">
        <f t="shared" si="153"/>
        <v>0</v>
      </c>
      <c r="D261" s="17">
        <f t="shared" si="193"/>
        <v>255</v>
      </c>
      <c r="E261" s="17">
        <f t="shared" ca="1" si="154"/>
        <v>81</v>
      </c>
      <c r="F261" s="12">
        <f t="shared" si="195"/>
        <v>2</v>
      </c>
      <c r="G261" s="12">
        <f t="shared" si="194"/>
        <v>43</v>
      </c>
      <c r="H261" s="17">
        <f t="shared" si="196"/>
        <v>22</v>
      </c>
      <c r="I261" s="29">
        <f t="shared" si="155"/>
        <v>0</v>
      </c>
      <c r="J261" s="211">
        <f>IFERROR(VLOOKUP(H261,Charges!$T$6:$U$35,2,0)*C261,0)</f>
        <v>0</v>
      </c>
      <c r="K261" s="29">
        <f t="shared" si="156"/>
        <v>0</v>
      </c>
      <c r="L261" s="29">
        <f t="shared" si="157"/>
        <v>0</v>
      </c>
      <c r="M261" s="147">
        <f t="shared" ca="1" si="158"/>
        <v>0</v>
      </c>
      <c r="N261" s="148">
        <f ca="1">IF(AND(Option_SPW="Y",H261&gt;=Lock_In_Period,Z260&gt;SPW_Amount_pa+IF(option="Single",1/5*pr,2*pr),H261&gt;=SPW_Start_Year,H261&lt;=SPW_Start_Year+SPW_Duration-1,age+H261&gt;=Legal_Age),IF(AND(F261=0,SPW_Payout_Freq=1),SPW_Amount_pa,IF(AND(SPW_Payout_Freq=2,MOD(F261,6)=0),SPW_Amount_pa/SPW_Payout_Freq,IF(AND(SPW_Payout_Freq=4,MOD(F261,3)=0),SPW_Amount_pa/SPW_Payout_Freq,IF(SPW_Payout_Freq=12,SPW_Amount_pa/SPW_Payout_Freq,0)))),0)+IFERROR(VLOOKUP(H261,Input!$B$68:$C$74,2,0),0)*(F261=0)*(Option_PW="Y")*(Option_SPW="N")*(age+H261&gt;=Legal_Age)</f>
        <v>0</v>
      </c>
      <c r="O261" s="148">
        <f t="shared" ca="1" si="159"/>
        <v>0</v>
      </c>
      <c r="P261" s="14">
        <f ca="1">(MAX(MAX(sa-CF260*Flag_UL_Type,105%*SUM($I$7:I261))-(AD260+L261-N261)*Flag_UL_Type,0)*B261)</f>
        <v>0</v>
      </c>
      <c r="Q261" s="213">
        <f t="shared" si="160"/>
        <v>0</v>
      </c>
      <c r="R261" s="14">
        <f t="shared" ca="1" si="161"/>
        <v>0</v>
      </c>
      <c r="S261" s="14">
        <f t="shared" ca="1" si="162"/>
        <v>0</v>
      </c>
      <c r="T261" s="14">
        <f>IFERROR(IF(WoP_Flag="Y",IF(fq=1,VLOOKUP(ppt*fq-H261,Charges!$AN$41:$AO$59,2,FALSE),IF(fq=2,VLOOKUP(ppt*fq-G261,Charges!$AP$41:$AQ$79,2,FALSE),VLOOKUP(ppt*fq-D261,Charges!$AR$41:$AS$279,2,FALSE)))*pr/fq,0),0)</f>
        <v>0</v>
      </c>
      <c r="U261" s="14">
        <f t="shared" ca="1" si="163"/>
        <v>0</v>
      </c>
      <c r="V261" s="34">
        <f>ROUND(MIN(IF(H261&gt;=7,Charges!$C$12*(1+Charges!$C$14)^((H261-7+1)),VLOOKUP(H261,Charges!$B$7:$C$12,2,0))*pr,Charges!$C$13)*B261,Round)</f>
        <v>0</v>
      </c>
      <c r="W261" s="14">
        <f t="shared" ca="1" si="164"/>
        <v>0</v>
      </c>
      <c r="X261" s="14">
        <f t="shared" ca="1" si="165"/>
        <v>0</v>
      </c>
      <c r="Y261" s="213">
        <f t="shared" ca="1" si="189"/>
        <v>0</v>
      </c>
      <c r="Z261" s="14">
        <f t="shared" ca="1" si="166"/>
        <v>0</v>
      </c>
      <c r="AA261" s="14">
        <f>IF(AND($H261=pt,$F261=11),SUM($K$7:K261)*VLOOKUP(pt,ROC,2,FALSE),0)</f>
        <v>0</v>
      </c>
      <c r="AB261" s="14">
        <f>IF(AND($H261=pt,$F261=11),SUM($V$7:V261)*VLOOKUP(pt,ROC,2,FALSE),0)</f>
        <v>0</v>
      </c>
      <c r="AC261" s="14">
        <f>IF(AND($H261=pt,$F261=11),SUM($Q$7:Q261)*VLOOKUP(pt,ROC,2,FALSE),0)</f>
        <v>0</v>
      </c>
      <c r="AD261" s="14">
        <f t="shared" ca="1" si="167"/>
        <v>0</v>
      </c>
      <c r="AE261" s="14">
        <f ca="1">(MAX(sa-CF260*Flag_UL_Type,105%*SUM($I$7:I261),Z261)+AU261)*B261</f>
        <v>0</v>
      </c>
      <c r="AF261" s="136"/>
      <c r="AG261" s="18">
        <v>255</v>
      </c>
      <c r="AH261" s="30">
        <f t="shared" ca="1" si="168"/>
        <v>0</v>
      </c>
      <c r="AI261" s="58"/>
      <c r="AJ261" s="50">
        <f>IF(AND(Option_Sys_TopUp&gt;="Y",H261&gt;=sytp,H261&lt;=(dtp+sytp-1),F261=0,H261&lt;=ppt+1),atp,0)+IFERROR(VLOOKUP(H261,Input!$B$55:$C$61,2,0),0)*(F261=0)*(Option_TopUP="Y")*(Option_Sys_TopUp="N")*B261*(pt&gt;=H261+5)</f>
        <v>0</v>
      </c>
      <c r="AK261" s="50">
        <f t="shared" si="169"/>
        <v>0</v>
      </c>
      <c r="AL261" s="50">
        <f t="shared" si="190"/>
        <v>0</v>
      </c>
      <c r="AM261" s="50">
        <f t="shared" ca="1" si="191"/>
        <v>0</v>
      </c>
      <c r="AN261" s="50">
        <f>IF(B261=0,0,AT261*(_rpm1+(1+_emr1)*VLOOKUP(E261,Tab_Mort_Charge,IF(Input!$C$12="M",2,3),0))*(0.001*0.0833)*Flag_Mort_Rider_Charge*(AT261&gt;0))</f>
        <v>0</v>
      </c>
      <c r="AO261" s="50">
        <f t="shared" ca="1" si="170"/>
        <v>0</v>
      </c>
      <c r="AP261" s="50">
        <f t="shared" ca="1" si="197"/>
        <v>0</v>
      </c>
      <c r="AQ261" s="50">
        <f t="shared" ca="1" si="171"/>
        <v>0</v>
      </c>
      <c r="AR261" s="50">
        <f t="shared" ca="1" si="172"/>
        <v>0</v>
      </c>
      <c r="AS261" s="50">
        <f t="shared" si="173"/>
        <v>0</v>
      </c>
      <c r="AT261" s="50">
        <f ca="1">(MAX((MAX(AS261,105%*SUM($AJ$7:AJ261))-AM261*Flag_UL_Type),0)*B261)</f>
        <v>0</v>
      </c>
      <c r="AU261" s="50">
        <f ca="1">(MAX(AS261,AR261,105%*SUM($AJ$7:AJ261))*B261)</f>
        <v>0</v>
      </c>
      <c r="AV261" s="125"/>
      <c r="AW261" s="13"/>
      <c r="AX261" s="13"/>
      <c r="AY261" s="13"/>
      <c r="AZ261" s="13"/>
      <c r="BA261" s="13"/>
      <c r="BG261" s="51">
        <f t="shared" si="174"/>
        <v>0</v>
      </c>
      <c r="BH261" s="51">
        <f t="shared" si="198"/>
        <v>0</v>
      </c>
      <c r="BI261" s="51">
        <f t="shared" ca="1" si="176"/>
        <v>0</v>
      </c>
      <c r="BJ261" s="51">
        <f t="shared" ca="1" si="177"/>
        <v>0</v>
      </c>
      <c r="BK261" s="51">
        <f t="shared" si="178"/>
        <v>0</v>
      </c>
      <c r="BL261" s="51">
        <f t="shared" ca="1" si="179"/>
        <v>0</v>
      </c>
      <c r="BM261" s="51">
        <f t="shared" si="180"/>
        <v>0</v>
      </c>
      <c r="BN261" s="51">
        <f t="shared" si="199"/>
        <v>0</v>
      </c>
      <c r="BO261" s="51">
        <f t="shared" ca="1" si="182"/>
        <v>0</v>
      </c>
      <c r="BP261" s="51">
        <f t="shared" ca="1" si="183"/>
        <v>0</v>
      </c>
      <c r="BQ261" s="120"/>
      <c r="BR261" s="32"/>
      <c r="BS261" s="126"/>
      <c r="BT261" s="16"/>
      <c r="BU261" s="58"/>
      <c r="BW261" s="51">
        <f>IF(Input!$C$13="Offline",VLOOKUP(H261,Charges!$AT$4:$AU$33,2,FALSE)*I261,0)</f>
        <v>0</v>
      </c>
      <c r="BX261" s="51">
        <f t="shared" si="184"/>
        <v>0</v>
      </c>
      <c r="BY261" s="51">
        <f t="shared" si="192"/>
        <v>0</v>
      </c>
      <c r="BZ261" s="151"/>
      <c r="CA261" s="151"/>
      <c r="CB261" s="32"/>
      <c r="CC261" s="16">
        <f ca="1">SUM($N$7:$N261)</f>
        <v>0</v>
      </c>
      <c r="CD261" s="16">
        <f t="shared" ca="1" si="185"/>
        <v>0</v>
      </c>
      <c r="CE261" s="16">
        <f t="shared" ca="1" si="186"/>
        <v>0</v>
      </c>
      <c r="CF261" s="7">
        <f t="shared" ca="1" si="187"/>
        <v>0</v>
      </c>
      <c r="CH261" s="7">
        <f t="shared" ca="1" si="188"/>
        <v>0</v>
      </c>
    </row>
    <row r="262" spans="2:86" s="7" customFormat="1" x14ac:dyDescent="0.2">
      <c r="B262" s="14">
        <f t="shared" si="152"/>
        <v>0</v>
      </c>
      <c r="C262" s="12">
        <f t="shared" si="153"/>
        <v>0</v>
      </c>
      <c r="D262" s="17">
        <f t="shared" si="193"/>
        <v>256</v>
      </c>
      <c r="E262" s="17">
        <f t="shared" ca="1" si="154"/>
        <v>81</v>
      </c>
      <c r="F262" s="12">
        <f t="shared" si="195"/>
        <v>3</v>
      </c>
      <c r="G262" s="12">
        <f t="shared" si="194"/>
        <v>43</v>
      </c>
      <c r="H262" s="17">
        <f t="shared" si="196"/>
        <v>22</v>
      </c>
      <c r="I262" s="29">
        <f t="shared" si="155"/>
        <v>0</v>
      </c>
      <c r="J262" s="211">
        <f>IFERROR(VLOOKUP(H262,Charges!$T$6:$U$35,2,0)*C262,0)</f>
        <v>0</v>
      </c>
      <c r="K262" s="29">
        <f t="shared" si="156"/>
        <v>0</v>
      </c>
      <c r="L262" s="29">
        <f t="shared" si="157"/>
        <v>0</v>
      </c>
      <c r="M262" s="147">
        <f t="shared" ca="1" si="158"/>
        <v>0</v>
      </c>
      <c r="N262" s="148">
        <f ca="1">IF(AND(Option_SPW="Y",H262&gt;=Lock_In_Period,Z261&gt;SPW_Amount_pa+IF(option="Single",1/5*pr,2*pr),H262&gt;=SPW_Start_Year,H262&lt;=SPW_Start_Year+SPW_Duration-1,age+H262&gt;=Legal_Age),IF(AND(F262=0,SPW_Payout_Freq=1),SPW_Amount_pa,IF(AND(SPW_Payout_Freq=2,MOD(F262,6)=0),SPW_Amount_pa/SPW_Payout_Freq,IF(AND(SPW_Payout_Freq=4,MOD(F262,3)=0),SPW_Amount_pa/SPW_Payout_Freq,IF(SPW_Payout_Freq=12,SPW_Amount_pa/SPW_Payout_Freq,0)))),0)+IFERROR(VLOOKUP(H262,Input!$B$68:$C$74,2,0),0)*(F262=0)*(Option_PW="Y")*(Option_SPW="N")*(age+H262&gt;=Legal_Age)</f>
        <v>0</v>
      </c>
      <c r="O262" s="148">
        <f t="shared" ca="1" si="159"/>
        <v>0</v>
      </c>
      <c r="P262" s="14">
        <f ca="1">(MAX(MAX(sa-CF261*Flag_UL_Type,105%*SUM($I$7:I262))-(AD261+L262-N262)*Flag_UL_Type,0)*B262)</f>
        <v>0</v>
      </c>
      <c r="Q262" s="213">
        <f t="shared" si="160"/>
        <v>0</v>
      </c>
      <c r="R262" s="14">
        <f t="shared" ca="1" si="161"/>
        <v>0</v>
      </c>
      <c r="S262" s="14">
        <f t="shared" ca="1" si="162"/>
        <v>0</v>
      </c>
      <c r="T262" s="14">
        <f>IFERROR(IF(WoP_Flag="Y",IF(fq=1,VLOOKUP(ppt*fq-H262,Charges!$AN$41:$AO$59,2,FALSE),IF(fq=2,VLOOKUP(ppt*fq-G262,Charges!$AP$41:$AQ$79,2,FALSE),VLOOKUP(ppt*fq-D262,Charges!$AR$41:$AS$279,2,FALSE)))*pr/fq,0),0)</f>
        <v>0</v>
      </c>
      <c r="U262" s="14">
        <f t="shared" ca="1" si="163"/>
        <v>0</v>
      </c>
      <c r="V262" s="34">
        <f>ROUND(MIN(IF(H262&gt;=7,Charges!$C$12*(1+Charges!$C$14)^((H262-7+1)),VLOOKUP(H262,Charges!$B$7:$C$12,2,0))*pr,Charges!$C$13)*B262,Round)</f>
        <v>0</v>
      </c>
      <c r="W262" s="14">
        <f t="shared" ca="1" si="164"/>
        <v>0</v>
      </c>
      <c r="X262" s="14">
        <f t="shared" ca="1" si="165"/>
        <v>0</v>
      </c>
      <c r="Y262" s="213">
        <f t="shared" ca="1" si="189"/>
        <v>0</v>
      </c>
      <c r="Z262" s="14">
        <f t="shared" ca="1" si="166"/>
        <v>0</v>
      </c>
      <c r="AA262" s="14">
        <f>IF(AND($H262=pt,$F262=11),SUM($K$7:K262)*VLOOKUP(pt,ROC,2,FALSE),0)</f>
        <v>0</v>
      </c>
      <c r="AB262" s="14">
        <f>IF(AND($H262=pt,$F262=11),SUM($V$7:V262)*VLOOKUP(pt,ROC,2,FALSE),0)</f>
        <v>0</v>
      </c>
      <c r="AC262" s="14">
        <f>IF(AND($H262=pt,$F262=11),SUM($Q$7:Q262)*VLOOKUP(pt,ROC,2,FALSE),0)</f>
        <v>0</v>
      </c>
      <c r="AD262" s="14">
        <f t="shared" ca="1" si="167"/>
        <v>0</v>
      </c>
      <c r="AE262" s="14">
        <f ca="1">(MAX(sa-CF261*Flag_UL_Type,105%*SUM($I$7:I262),Z262)+AU262)*B262</f>
        <v>0</v>
      </c>
      <c r="AF262" s="136"/>
      <c r="AG262" s="18">
        <v>256</v>
      </c>
      <c r="AH262" s="30">
        <f t="shared" ca="1" si="168"/>
        <v>0</v>
      </c>
      <c r="AI262" s="58"/>
      <c r="AJ262" s="50">
        <f>IF(AND(Option_Sys_TopUp&gt;="Y",H262&gt;=sytp,H262&lt;=(dtp+sytp-1),F262=0,H262&lt;=ppt+1),atp,0)+IFERROR(VLOOKUP(H262,Input!$B$55:$C$61,2,0),0)*(F262=0)*(Option_TopUP="Y")*(Option_Sys_TopUp="N")*B262*(pt&gt;=H262+5)</f>
        <v>0</v>
      </c>
      <c r="AK262" s="50">
        <f t="shared" si="169"/>
        <v>0</v>
      </c>
      <c r="AL262" s="50">
        <f t="shared" si="190"/>
        <v>0</v>
      </c>
      <c r="AM262" s="50">
        <f t="shared" ca="1" si="191"/>
        <v>0</v>
      </c>
      <c r="AN262" s="50">
        <f>IF(B262=0,0,AT262*(_rpm1+(1+_emr1)*VLOOKUP(E262,Tab_Mort_Charge,IF(Input!$C$12="M",2,3),0))*(0.001*0.0833)*Flag_Mort_Rider_Charge*(AT262&gt;0))</f>
        <v>0</v>
      </c>
      <c r="AO262" s="50">
        <f t="shared" ca="1" si="170"/>
        <v>0</v>
      </c>
      <c r="AP262" s="50">
        <f t="shared" ca="1" si="197"/>
        <v>0</v>
      </c>
      <c r="AQ262" s="50">
        <f t="shared" ca="1" si="171"/>
        <v>0</v>
      </c>
      <c r="AR262" s="50">
        <f t="shared" ca="1" si="172"/>
        <v>0</v>
      </c>
      <c r="AS262" s="50">
        <f t="shared" si="173"/>
        <v>0</v>
      </c>
      <c r="AT262" s="50">
        <f ca="1">(MAX((MAX(AS262,105%*SUM($AJ$7:AJ262))-AM262*Flag_UL_Type),0)*B262)</f>
        <v>0</v>
      </c>
      <c r="AU262" s="50">
        <f ca="1">(MAX(AS262,AR262,105%*SUM($AJ$7:AJ262))*B262)</f>
        <v>0</v>
      </c>
      <c r="AV262" s="125"/>
      <c r="AW262" s="13"/>
      <c r="AX262" s="13"/>
      <c r="AY262" s="13"/>
      <c r="AZ262" s="13"/>
      <c r="BA262" s="13"/>
      <c r="BG262" s="51">
        <f t="shared" si="174"/>
        <v>0</v>
      </c>
      <c r="BH262" s="51">
        <f t="shared" si="198"/>
        <v>0</v>
      </c>
      <c r="BI262" s="51">
        <f t="shared" ca="1" si="176"/>
        <v>0</v>
      </c>
      <c r="BJ262" s="51">
        <f t="shared" ca="1" si="177"/>
        <v>0</v>
      </c>
      <c r="BK262" s="51">
        <f t="shared" si="178"/>
        <v>0</v>
      </c>
      <c r="BL262" s="51">
        <f t="shared" ca="1" si="179"/>
        <v>0</v>
      </c>
      <c r="BM262" s="51">
        <f t="shared" si="180"/>
        <v>0</v>
      </c>
      <c r="BN262" s="51">
        <f t="shared" si="199"/>
        <v>0</v>
      </c>
      <c r="BO262" s="51">
        <f t="shared" ca="1" si="182"/>
        <v>0</v>
      </c>
      <c r="BP262" s="51">
        <f t="shared" ca="1" si="183"/>
        <v>0</v>
      </c>
      <c r="BQ262" s="120"/>
      <c r="BR262" s="32"/>
      <c r="BS262" s="126"/>
      <c r="BT262" s="16"/>
      <c r="BU262" s="58"/>
      <c r="BW262" s="51">
        <f>IF(Input!$C$13="Offline",VLOOKUP(H262,Charges!$AT$4:$AU$33,2,FALSE)*I262,0)</f>
        <v>0</v>
      </c>
      <c r="BX262" s="51">
        <f t="shared" si="184"/>
        <v>0</v>
      </c>
      <c r="BY262" s="51">
        <f t="shared" si="192"/>
        <v>0</v>
      </c>
      <c r="BZ262" s="151"/>
      <c r="CA262" s="151"/>
      <c r="CB262" s="32"/>
      <c r="CC262" s="16">
        <f ca="1">SUM($N$7:$N262)</f>
        <v>0</v>
      </c>
      <c r="CD262" s="16">
        <f t="shared" ca="1" si="185"/>
        <v>0</v>
      </c>
      <c r="CE262" s="16">
        <f t="shared" ca="1" si="186"/>
        <v>0</v>
      </c>
      <c r="CF262" s="7">
        <f t="shared" ca="1" si="187"/>
        <v>0</v>
      </c>
      <c r="CH262" s="7">
        <f t="shared" ca="1" si="188"/>
        <v>0</v>
      </c>
    </row>
    <row r="263" spans="2:86" s="7" customFormat="1" x14ac:dyDescent="0.2">
      <c r="B263" s="14">
        <f t="shared" ref="B263:B326" si="200">IF(H263&lt;=pt,1,0)</f>
        <v>0</v>
      </c>
      <c r="C263" s="12">
        <f t="shared" ref="C263:C326" si="201">IF(H263&lt;=ppt,1,0)</f>
        <v>0</v>
      </c>
      <c r="D263" s="17">
        <f t="shared" si="193"/>
        <v>257</v>
      </c>
      <c r="E263" s="17">
        <f t="shared" ref="E263:E326" ca="1" si="202">(age+(H263-1))</f>
        <v>81</v>
      </c>
      <c r="F263" s="12">
        <f t="shared" si="195"/>
        <v>4</v>
      </c>
      <c r="G263" s="12">
        <f t="shared" si="194"/>
        <v>43</v>
      </c>
      <c r="H263" s="17">
        <f t="shared" si="196"/>
        <v>22</v>
      </c>
      <c r="I263" s="29">
        <f t="shared" ref="I263:I326" si="203">IF(AND(H263&lt;=pt,H263&lt;=ppt,F263=0,fq=1),pr,IF(AND(H263&lt;=pt,H263&lt;=ppt,fq=2,MOD(F263,6)=0),pr/fq,IF(AND(H263&lt;=pt,H263&lt;=ppt,fq=12),pr/fq,0)))</f>
        <v>0</v>
      </c>
      <c r="J263" s="211">
        <f>IFERROR(VLOOKUP(H263,Charges!$T$6:$U$35,2,0)*C263,0)</f>
        <v>0</v>
      </c>
      <c r="K263" s="29">
        <f t="shared" ref="K263:K326" si="204">ROUND((100%-J263)*I263,Round)</f>
        <v>0</v>
      </c>
      <c r="L263" s="29">
        <f t="shared" ref="L263:L326" si="205">(I263-(K263+BG263*IF(Model_Type="Pricing_Unit",1,0)))*C263</f>
        <v>0</v>
      </c>
      <c r="M263" s="147">
        <f t="shared" ref="M263:M326" ca="1" si="206">IF(AND(OR(Option_PW="Y",Option_SPW="Y"),H263&gt;Lock_In_Period,H263&lt;=pt,(W263-IF(option="Single",1/5*pr,2*pr))&gt;0,(age+H263)&gt;=Legal_Age),(W262+L263-IF(option="Single",1/5*pr,2*pr)),0)</f>
        <v>0</v>
      </c>
      <c r="N263" s="148">
        <f ca="1">IF(AND(Option_SPW="Y",H263&gt;=Lock_In_Period,Z262&gt;SPW_Amount_pa+IF(option="Single",1/5*pr,2*pr),H263&gt;=SPW_Start_Year,H263&lt;=SPW_Start_Year+SPW_Duration-1,age+H263&gt;=Legal_Age),IF(AND(F263=0,SPW_Payout_Freq=1),SPW_Amount_pa,IF(AND(SPW_Payout_Freq=2,MOD(F263,6)=0),SPW_Amount_pa/SPW_Payout_Freq,IF(AND(SPW_Payout_Freq=4,MOD(F263,3)=0),SPW_Amount_pa/SPW_Payout_Freq,IF(SPW_Payout_Freq=12,SPW_Amount_pa/SPW_Payout_Freq,0)))),0)+IFERROR(VLOOKUP(H263,Input!$B$68:$C$74,2,0),0)*(F263=0)*(Option_PW="Y")*(Option_SPW="N")*(age+H263&gt;=Legal_Age)</f>
        <v>0</v>
      </c>
      <c r="O263" s="148">
        <f t="shared" ref="O263:O326" ca="1" si="207">IF(N263&lt;=M263,0,1)</f>
        <v>0</v>
      </c>
      <c r="P263" s="14">
        <f ca="1">(MAX(MAX(sa-CF262*Flag_UL_Type,105%*SUM($I$7:I263))-(AD262+L263-N263)*Flag_UL_Type,0)*B263)</f>
        <v>0</v>
      </c>
      <c r="Q263" s="213">
        <f t="shared" ref="Q263:Q326" si="208">IF(B263=0,0,ROUND(P263*(_rpm1+(1+_emr1)*VLOOKUP(E263,Tab_Mort_Charge,IF(Gender="M",2,3),0))*Flag_Mort_Rider_Charge*(P263&gt;0),Round))*(0.001*IF(Model_Type="LA_PQIS",0.0833,(1/12)))</f>
        <v>0</v>
      </c>
      <c r="R263" s="14">
        <f t="shared" ref="R263:R326" ca="1" si="209">IF(AND(B263,ADB_Flag="Y",age&lt;=ADB_MAX_AGE,age&gt;=ADB_MIN_AGE,E263&lt;=age+pt),sa_adb,0)</f>
        <v>0</v>
      </c>
      <c r="S263" s="14">
        <f t="shared" ref="S263:S326" ca="1" si="210">ROUND((adb_rate*(1+adb_emr)+adb_rpm)*R263*(0.001*IF(Model_Type="LA_PQIS",0.0833,(1/12)))*Flag_Mort_Rider_Charge*IF(age+H263-1&lt;=Max_Maturity_Age,1,0),Round)</f>
        <v>0</v>
      </c>
      <c r="T263" s="14">
        <f>IFERROR(IF(WoP_Flag="Y",IF(fq=1,VLOOKUP(ppt*fq-H263,Charges!$AN$41:$AO$59,2,FALSE),IF(fq=2,VLOOKUP(ppt*fq-G263,Charges!$AP$41:$AQ$79,2,FALSE),VLOOKUP(ppt*fq-D263,Charges!$AR$41:$AS$279,2,FALSE)))*pr/fq,0),0)</f>
        <v>0</v>
      </c>
      <c r="U263" s="14">
        <f t="shared" ref="U263:U326" ca="1" si="211">IFERROR(((T263*(VLOOKUP(age_2+H263-1,Tab_Mort_Charge,IF(Gender_2="M",2,3),FALSE)*(1+_emr2)+_rpm2)/IF(Model_Type="LA_PQIS",1000/0.0833,(12*1000))))*Flag_Mort_Rider_Charge*(T263&gt;0),0)</f>
        <v>0</v>
      </c>
      <c r="V263" s="34">
        <f>ROUND(MIN(IF(H263&gt;=7,Charges!$C$12*(1+Charges!$C$14)^((H263-7+1)),VLOOKUP(H263,Charges!$B$7:$C$12,2,0))*pr,Charges!$C$13)*B263,Round)</f>
        <v>0</v>
      </c>
      <c r="W263" s="14">
        <f t="shared" ref="W263:W326" ca="1" si="212">+(AD262+L263-(N263+Q263+S263+U263+V263+BG263*IF(Model_Type="La_PQIS",1,0)+BH263+BK263+BJ263+BI263+BM263*IF(Model_Type="La_PQIS",1,0)))*B263</f>
        <v>0</v>
      </c>
      <c r="X263" s="14">
        <f t="shared" ref="X263:X326" ca="1" si="213">W263*(1+$F$3)</f>
        <v>0</v>
      </c>
      <c r="Y263" s="213">
        <f t="shared" ca="1" si="189"/>
        <v>0</v>
      </c>
      <c r="Z263" s="14">
        <f t="shared" ref="Z263:Z326" ca="1" si="214">X263-(Y263+BL263)</f>
        <v>0</v>
      </c>
      <c r="AA263" s="14">
        <f>IF(AND($H263=pt,$F263=11),SUM($K$7:K263)*VLOOKUP(pt,ROC,2,FALSE),0)</f>
        <v>0</v>
      </c>
      <c r="AB263" s="14">
        <f>IF(AND($H263=pt,$F263=11),SUM($V$7:V263)*VLOOKUP(pt,ROC,2,FALSE),0)</f>
        <v>0</v>
      </c>
      <c r="AC263" s="14">
        <f>IF(AND($H263=pt,$F263=11),SUM($Q$7:Q263)*VLOOKUP(pt,ROC,2,FALSE),0)</f>
        <v>0</v>
      </c>
      <c r="AD263" s="14">
        <f t="shared" ref="AD263:AD326" ca="1" si="215">Z263+AA263+AB263+AC263</f>
        <v>0</v>
      </c>
      <c r="AE263" s="14">
        <f ca="1">(MAX(sa-CF262*Flag_UL_Type,105%*SUM($I$7:I263),Z263)+AU263)*B263</f>
        <v>0</v>
      </c>
      <c r="AF263" s="136"/>
      <c r="AG263" s="18">
        <v>257</v>
      </c>
      <c r="AH263" s="30">
        <f t="shared" ref="AH263:AH326" ca="1" si="216">(I263+AJ263)-IF(AG263=pt*12+1,AD262,0)-IF(AG263=pt*12+1,AR262,0)-N263</f>
        <v>0</v>
      </c>
      <c r="AI263" s="58"/>
      <c r="AJ263" s="50">
        <f>IF(AND(Option_Sys_TopUp&gt;="Y",H263&gt;=sytp,H263&lt;=(dtp+sytp-1),F263=0,H263&lt;=ppt+1),atp,0)+IFERROR(VLOOKUP(H263,Input!$B$55:$C$61,2,0),0)*(F263=0)*(Option_TopUP="Y")*(Option_Sys_TopUp="N")*B263*(pt&gt;=H263+5)</f>
        <v>0</v>
      </c>
      <c r="AK263" s="50">
        <f t="shared" ref="AK263:AK326" si="217">ROUND(allctp*AJ263,0)</f>
        <v>0</v>
      </c>
      <c r="AL263" s="50">
        <f t="shared" si="190"/>
        <v>0</v>
      </c>
      <c r="AM263" s="50">
        <f t="shared" ca="1" si="191"/>
        <v>0</v>
      </c>
      <c r="AN263" s="50">
        <f>IF(B263=0,0,AT263*(_rpm1+(1+_emr1)*VLOOKUP(E263,Tab_Mort_Charge,IF(Input!$C$12="M",2,3),0))*(0.001*0.0833)*Flag_Mort_Rider_Charge*(AT263&gt;0))</f>
        <v>0</v>
      </c>
      <c r="AO263" s="50">
        <f t="shared" ref="AO263:AO326" ca="1" si="218">AM263-AN263-BM263*1-BN263*1</f>
        <v>0</v>
      </c>
      <c r="AP263" s="50">
        <f t="shared" ca="1" si="197"/>
        <v>0</v>
      </c>
      <c r="AQ263" s="50">
        <f t="shared" ref="AQ263:AQ326" ca="1" si="219">AP263*$Y$2</f>
        <v>0</v>
      </c>
      <c r="AR263" s="50">
        <f t="shared" ref="AR263:AR326" ca="1" si="220">AP263-(AQ263+BO263)</f>
        <v>0</v>
      </c>
      <c r="AS263" s="50">
        <f t="shared" ref="AS263:AS326" si="221">(AJ263*TOPUP_Cover_Level+AS262)*B263</f>
        <v>0</v>
      </c>
      <c r="AT263" s="50">
        <f ca="1">(MAX((MAX(AS263,105%*SUM($AJ$7:AJ263))-AM263*Flag_UL_Type),0)*B263)</f>
        <v>0</v>
      </c>
      <c r="AU263" s="50">
        <f ca="1">(MAX(AS263,AR263,105%*SUM($AJ$7:AJ263))*B263)</f>
        <v>0</v>
      </c>
      <c r="AV263" s="125"/>
      <c r="AW263" s="13"/>
      <c r="AX263" s="13"/>
      <c r="AY263" s="13"/>
      <c r="AZ263" s="13"/>
      <c r="BA263" s="13"/>
      <c r="BG263" s="51">
        <f t="shared" ref="BG263:BG326" si="222">ROUND(K263*Service_Tax_Rate*Flag_Service_Tax,Round)+ROUND(K263*Cess1_Rate*Flag_Service_Tax,Round)+ROUND(K263*Cess2_Rate*Flag_Service_Tax,Round)</f>
        <v>0</v>
      </c>
      <c r="BH263" s="51">
        <f t="shared" ref="BH263:BH326" si="223">ROUND(Q263*Service_Tax_Rate*Flag_Service_Tax,Round)+ROUND(Q263*Cess1_Rate*Flag_Service_Tax,Round)+ROUND(Q263*Cess2_Rate*Flag_Service_Tax,Round)</f>
        <v>0</v>
      </c>
      <c r="BI263" s="51">
        <f t="shared" ref="BI263:BI326" ca="1" si="224">ROUND(S263*Service_Tax_Rate*Flag_Service_Tax,Round)+ROUND(S263*Cess1_Rate*Flag_Service_Tax,Round)+ROUND(S263*Cess2_Rate*Flag_Service_Tax,Round)</f>
        <v>0</v>
      </c>
      <c r="BJ263" s="51">
        <f t="shared" ref="BJ263:BJ326" ca="1" si="225">ROUND(U263*Service_Tax_Rate*Flag_Service_Tax,Round)+ROUND(U263*Cess1_Rate*Flag_Service_Tax,Round)+ROUND(U263*Cess2_Rate*Flag_Service_Tax,2)</f>
        <v>0</v>
      </c>
      <c r="BK263" s="51">
        <f t="shared" ref="BK263:BK326" si="226">ROUND(V263*Service_Tax_Rate*Flag_Service_Tax,Round)+ROUND(V263*Cess1_Rate*Flag_Service_Tax,Round)+ROUND(V263*Cess2_Rate*Flag_Service_Tax,Round)</f>
        <v>0</v>
      </c>
      <c r="BL263" s="51">
        <f t="shared" ref="BL263:BL326" ca="1" si="227">Y263*Service_Tax_Rate*Flag_Service_Tax+Y263*Cess1_Rate*Flag_Service_Tax+Y263*Cess2_Rate*Flag_Service_Tax</f>
        <v>0</v>
      </c>
      <c r="BM263" s="51">
        <f t="shared" ref="BM263:BM326" si="228">ROUND(AK263*Service_Tax_Rate*Flag_Service_Tax,Round)+ROUND(AK263*Cess1_Rate*Flag_Service_Tax,Round)+ROUND(AK263*Cess2_Rate*Flag_Service_Tax,Round)</f>
        <v>0</v>
      </c>
      <c r="BN263" s="51">
        <f t="shared" ref="BN263:BN326" si="229">ROUND(AN263*Service_Tax_Rate*Flag_Service_Tax,Round)+ROUND(AN263*Cess1_Rate*Flag_Service_Tax,Round)+ROUND(AN263*Cess2_Rate*Flag_Service_Tax,Round)</f>
        <v>0</v>
      </c>
      <c r="BO263" s="51">
        <f t="shared" ref="BO263:BO326" ca="1" si="230">AQ263*Service_Tax_Rate*Flag_Service_Tax+AQ263*Cess1_Rate*Flag_Service_Tax+AQ263*Cess2_Rate*Flag_Service_Tax</f>
        <v>0</v>
      </c>
      <c r="BP263" s="51">
        <f t="shared" ref="BP263:BP326" ca="1" si="231">SUM(BG263:BO263)</f>
        <v>0</v>
      </c>
      <c r="BQ263" s="120"/>
      <c r="BR263" s="32"/>
      <c r="BS263" s="126"/>
      <c r="BT263" s="16"/>
      <c r="BU263" s="58"/>
      <c r="BW263" s="51">
        <f>IF(Input!$C$13="Offline",VLOOKUP(H263,Charges!$AT$4:$AU$33,2,FALSE)*I263,0)</f>
        <v>0</v>
      </c>
      <c r="BX263" s="51">
        <f t="shared" ref="BX263:BX326" si="232">AJ263*Commission_TOPUP</f>
        <v>0</v>
      </c>
      <c r="BY263" s="51">
        <f t="shared" si="192"/>
        <v>0</v>
      </c>
      <c r="BZ263" s="151"/>
      <c r="CA263" s="151"/>
      <c r="CB263" s="32"/>
      <c r="CC263" s="16">
        <f ca="1">SUM($N$7:$N263)</f>
        <v>0</v>
      </c>
      <c r="CD263" s="16">
        <f t="shared" ref="CD263:CD326" ca="1" si="233">IF(AND((B263=1)*(H263&gt;Lock_In_Period)),CC263-INDEX($CC$7:$CC$367,D263-24,1),0)*(E263&lt;60)</f>
        <v>0</v>
      </c>
      <c r="CE263" s="16">
        <f t="shared" ref="CE263:CE326" ca="1" si="234">(B263=1)*(H263&gt;Lock_In_Period)*(E263&gt;=60)*IFERROR((CC263-INDEX($CC$7:$CC$367,D263-24,1)),0)</f>
        <v>0</v>
      </c>
      <c r="CF263" s="7">
        <f t="shared" ref="CF263:CF326" ca="1" si="235">IF(E263&lt;60,CD263,CE263)</f>
        <v>0</v>
      </c>
      <c r="CH263" s="7">
        <f t="shared" ref="CH263:CH326" ca="1" si="236">IF(Z262&gt;(IF(option="SP",1/5*pr,2*pr)),0,1)*(H263&gt;=SPW_Start_Year)*B263</f>
        <v>0</v>
      </c>
    </row>
    <row r="264" spans="2:86" s="7" customFormat="1" x14ac:dyDescent="0.2">
      <c r="B264" s="14">
        <f t="shared" si="200"/>
        <v>0</v>
      </c>
      <c r="C264" s="12">
        <f t="shared" si="201"/>
        <v>0</v>
      </c>
      <c r="D264" s="17">
        <f t="shared" si="193"/>
        <v>258</v>
      </c>
      <c r="E264" s="17">
        <f t="shared" ca="1" si="202"/>
        <v>81</v>
      </c>
      <c r="F264" s="12">
        <f t="shared" si="195"/>
        <v>5</v>
      </c>
      <c r="G264" s="12">
        <f t="shared" si="194"/>
        <v>43</v>
      </c>
      <c r="H264" s="17">
        <f t="shared" si="196"/>
        <v>22</v>
      </c>
      <c r="I264" s="29">
        <f t="shared" si="203"/>
        <v>0</v>
      </c>
      <c r="J264" s="211">
        <f>IFERROR(VLOOKUP(H264,Charges!$T$6:$U$35,2,0)*C264,0)</f>
        <v>0</v>
      </c>
      <c r="K264" s="29">
        <f t="shared" si="204"/>
        <v>0</v>
      </c>
      <c r="L264" s="29">
        <f t="shared" si="205"/>
        <v>0</v>
      </c>
      <c r="M264" s="147">
        <f t="shared" ca="1" si="206"/>
        <v>0</v>
      </c>
      <c r="N264" s="148">
        <f ca="1">IF(AND(Option_SPW="Y",H264&gt;=Lock_In_Period,Z263&gt;SPW_Amount_pa+IF(option="Single",1/5*pr,2*pr),H264&gt;=SPW_Start_Year,H264&lt;=SPW_Start_Year+SPW_Duration-1,age+H264&gt;=Legal_Age),IF(AND(F264=0,SPW_Payout_Freq=1),SPW_Amount_pa,IF(AND(SPW_Payout_Freq=2,MOD(F264,6)=0),SPW_Amount_pa/SPW_Payout_Freq,IF(AND(SPW_Payout_Freq=4,MOD(F264,3)=0),SPW_Amount_pa/SPW_Payout_Freq,IF(SPW_Payout_Freq=12,SPW_Amount_pa/SPW_Payout_Freq,0)))),0)+IFERROR(VLOOKUP(H264,Input!$B$68:$C$74,2,0),0)*(F264=0)*(Option_PW="Y")*(Option_SPW="N")*(age+H264&gt;=Legal_Age)</f>
        <v>0</v>
      </c>
      <c r="O264" s="148">
        <f t="shared" ca="1" si="207"/>
        <v>0</v>
      </c>
      <c r="P264" s="14">
        <f ca="1">(MAX(MAX(sa-CF263*Flag_UL_Type,105%*SUM($I$7:I264))-(AD263+L264-N264)*Flag_UL_Type,0)*B264)</f>
        <v>0</v>
      </c>
      <c r="Q264" s="213">
        <f t="shared" si="208"/>
        <v>0</v>
      </c>
      <c r="R264" s="14">
        <f t="shared" ca="1" si="209"/>
        <v>0</v>
      </c>
      <c r="S264" s="14">
        <f t="shared" ca="1" si="210"/>
        <v>0</v>
      </c>
      <c r="T264" s="14">
        <f>IFERROR(IF(WoP_Flag="Y",IF(fq=1,VLOOKUP(ppt*fq-H264,Charges!$AN$41:$AO$59,2,FALSE),IF(fq=2,VLOOKUP(ppt*fq-G264,Charges!$AP$41:$AQ$79,2,FALSE),VLOOKUP(ppt*fq-D264,Charges!$AR$41:$AS$279,2,FALSE)))*pr/fq,0),0)</f>
        <v>0</v>
      </c>
      <c r="U264" s="14">
        <f t="shared" ca="1" si="211"/>
        <v>0</v>
      </c>
      <c r="V264" s="34">
        <f>ROUND(MIN(IF(H264&gt;=7,Charges!$C$12*(1+Charges!$C$14)^((H264-7+1)),VLOOKUP(H264,Charges!$B$7:$C$12,2,0))*pr,Charges!$C$13)*B264,Round)</f>
        <v>0</v>
      </c>
      <c r="W264" s="14">
        <f t="shared" ca="1" si="212"/>
        <v>0</v>
      </c>
      <c r="X264" s="14">
        <f t="shared" ca="1" si="213"/>
        <v>0</v>
      </c>
      <c r="Y264" s="213">
        <f t="shared" ref="Y264:Y327" ca="1" si="237">X264*$Y$2</f>
        <v>0</v>
      </c>
      <c r="Z264" s="14">
        <f t="shared" ca="1" si="214"/>
        <v>0</v>
      </c>
      <c r="AA264" s="14">
        <f>IF(AND($H264=pt,$F264=11),SUM($K$7:K264)*VLOOKUP(pt,ROC,2,FALSE),0)</f>
        <v>0</v>
      </c>
      <c r="AB264" s="14">
        <f>IF(AND($H264=pt,$F264=11),SUM($V$7:V264)*VLOOKUP(pt,ROC,2,FALSE),0)</f>
        <v>0</v>
      </c>
      <c r="AC264" s="14">
        <f>IF(AND($H264=pt,$F264=11),SUM($Q$7:Q264)*VLOOKUP(pt,ROC,2,FALSE),0)</f>
        <v>0</v>
      </c>
      <c r="AD264" s="14">
        <f t="shared" ca="1" si="215"/>
        <v>0</v>
      </c>
      <c r="AE264" s="14">
        <f ca="1">(MAX(sa-CF263*Flag_UL_Type,105%*SUM($I$7:I264),Z264)+AU264)*B264</f>
        <v>0</v>
      </c>
      <c r="AF264" s="136"/>
      <c r="AG264" s="18">
        <v>258</v>
      </c>
      <c r="AH264" s="30">
        <f t="shared" ca="1" si="216"/>
        <v>0</v>
      </c>
      <c r="AI264" s="58"/>
      <c r="AJ264" s="50">
        <f>IF(AND(Option_Sys_TopUp&gt;="Y",H264&gt;=sytp,H264&lt;=(dtp+sytp-1),F264=0,H264&lt;=ppt+1),atp,0)+IFERROR(VLOOKUP(H264,Input!$B$55:$C$61,2,0),0)*(F264=0)*(Option_TopUP="Y")*(Option_Sys_TopUp="N")*B264*(pt&gt;=H264+5)</f>
        <v>0</v>
      </c>
      <c r="AK264" s="50">
        <f t="shared" si="217"/>
        <v>0</v>
      </c>
      <c r="AL264" s="50">
        <f t="shared" ref="AL264:AL327" si="238">AJ264-(AK264+BM264*0)</f>
        <v>0</v>
      </c>
      <c r="AM264" s="50">
        <f t="shared" ref="AM264:AM327" ca="1" si="239">AR263+AL264</f>
        <v>0</v>
      </c>
      <c r="AN264" s="50">
        <f>IF(B264=0,0,AT264*(_rpm1+(1+_emr1)*VLOOKUP(E264,Tab_Mort_Charge,IF(Input!$C$12="M",2,3),0))*(0.001*0.0833)*Flag_Mort_Rider_Charge*(AT264&gt;0))</f>
        <v>0</v>
      </c>
      <c r="AO264" s="50">
        <f t="shared" ca="1" si="218"/>
        <v>0</v>
      </c>
      <c r="AP264" s="50">
        <f t="shared" ca="1" si="197"/>
        <v>0</v>
      </c>
      <c r="AQ264" s="50">
        <f t="shared" ca="1" si="219"/>
        <v>0</v>
      </c>
      <c r="AR264" s="50">
        <f t="shared" ca="1" si="220"/>
        <v>0</v>
      </c>
      <c r="AS264" s="50">
        <f t="shared" si="221"/>
        <v>0</v>
      </c>
      <c r="AT264" s="50">
        <f ca="1">(MAX((MAX(AS264,105%*SUM($AJ$7:AJ264))-AM264*Flag_UL_Type),0)*B264)</f>
        <v>0</v>
      </c>
      <c r="AU264" s="50">
        <f ca="1">(MAX(AS264,AR264,105%*SUM($AJ$7:AJ264))*B264)</f>
        <v>0</v>
      </c>
      <c r="AV264" s="125"/>
      <c r="AW264" s="13"/>
      <c r="AX264" s="13"/>
      <c r="AY264" s="13"/>
      <c r="AZ264" s="13"/>
      <c r="BA264" s="13"/>
      <c r="BG264" s="51">
        <f t="shared" si="222"/>
        <v>0</v>
      </c>
      <c r="BH264" s="51">
        <f t="shared" si="223"/>
        <v>0</v>
      </c>
      <c r="BI264" s="51">
        <f t="shared" ca="1" si="224"/>
        <v>0</v>
      </c>
      <c r="BJ264" s="51">
        <f t="shared" ca="1" si="225"/>
        <v>0</v>
      </c>
      <c r="BK264" s="51">
        <f t="shared" si="226"/>
        <v>0</v>
      </c>
      <c r="BL264" s="51">
        <f t="shared" ca="1" si="227"/>
        <v>0</v>
      </c>
      <c r="BM264" s="51">
        <f t="shared" si="228"/>
        <v>0</v>
      </c>
      <c r="BN264" s="51">
        <f t="shared" si="229"/>
        <v>0</v>
      </c>
      <c r="BO264" s="51">
        <f t="shared" ca="1" si="230"/>
        <v>0</v>
      </c>
      <c r="BP264" s="51">
        <f t="shared" ca="1" si="231"/>
        <v>0</v>
      </c>
      <c r="BQ264" s="120"/>
      <c r="BR264" s="32"/>
      <c r="BS264" s="126"/>
      <c r="BT264" s="16"/>
      <c r="BU264" s="58"/>
      <c r="BW264" s="51">
        <f>IF(Input!$C$13="Offline",VLOOKUP(H264,Charges!$AT$4:$AU$33,2,FALSE)*I264,0)</f>
        <v>0</v>
      </c>
      <c r="BX264" s="51">
        <f t="shared" si="232"/>
        <v>0</v>
      </c>
      <c r="BY264" s="51">
        <f t="shared" ref="BY264:BY327" si="240">SUM(BW264:BX264)</f>
        <v>0</v>
      </c>
      <c r="BZ264" s="151"/>
      <c r="CA264" s="151"/>
      <c r="CB264" s="32"/>
      <c r="CC264" s="16">
        <f ca="1">SUM($N$7:$N264)</f>
        <v>0</v>
      </c>
      <c r="CD264" s="16">
        <f t="shared" ca="1" si="233"/>
        <v>0</v>
      </c>
      <c r="CE264" s="16">
        <f t="shared" ca="1" si="234"/>
        <v>0</v>
      </c>
      <c r="CF264" s="7">
        <f t="shared" ca="1" si="235"/>
        <v>0</v>
      </c>
      <c r="CH264" s="7">
        <f t="shared" ca="1" si="236"/>
        <v>0</v>
      </c>
    </row>
    <row r="265" spans="2:86" s="7" customFormat="1" x14ac:dyDescent="0.2">
      <c r="B265" s="14">
        <f t="shared" si="200"/>
        <v>0</v>
      </c>
      <c r="C265" s="12">
        <f t="shared" si="201"/>
        <v>0</v>
      </c>
      <c r="D265" s="17">
        <f t="shared" ref="D265:D328" si="241">D264+1</f>
        <v>259</v>
      </c>
      <c r="E265" s="17">
        <f t="shared" ca="1" si="202"/>
        <v>81</v>
      </c>
      <c r="F265" s="12">
        <f t="shared" si="195"/>
        <v>6</v>
      </c>
      <c r="G265" s="12">
        <f t="shared" si="194"/>
        <v>44</v>
      </c>
      <c r="H265" s="17">
        <f t="shared" si="196"/>
        <v>22</v>
      </c>
      <c r="I265" s="29">
        <f t="shared" si="203"/>
        <v>0</v>
      </c>
      <c r="J265" s="211">
        <f>IFERROR(VLOOKUP(H265,Charges!$T$6:$U$35,2,0)*C265,0)</f>
        <v>0</v>
      </c>
      <c r="K265" s="29">
        <f t="shared" si="204"/>
        <v>0</v>
      </c>
      <c r="L265" s="29">
        <f t="shared" si="205"/>
        <v>0</v>
      </c>
      <c r="M265" s="147">
        <f t="shared" ca="1" si="206"/>
        <v>0</v>
      </c>
      <c r="N265" s="148">
        <f ca="1">IF(AND(Option_SPW="Y",H265&gt;=Lock_In_Period,Z264&gt;SPW_Amount_pa+IF(option="Single",1/5*pr,2*pr),H265&gt;=SPW_Start_Year,H265&lt;=SPW_Start_Year+SPW_Duration-1,age+H265&gt;=Legal_Age),IF(AND(F265=0,SPW_Payout_Freq=1),SPW_Amount_pa,IF(AND(SPW_Payout_Freq=2,MOD(F265,6)=0),SPW_Amount_pa/SPW_Payout_Freq,IF(AND(SPW_Payout_Freq=4,MOD(F265,3)=0),SPW_Amount_pa/SPW_Payout_Freq,IF(SPW_Payout_Freq=12,SPW_Amount_pa/SPW_Payout_Freq,0)))),0)+IFERROR(VLOOKUP(H265,Input!$B$68:$C$74,2,0),0)*(F265=0)*(Option_PW="Y")*(Option_SPW="N")*(age+H265&gt;=Legal_Age)</f>
        <v>0</v>
      </c>
      <c r="O265" s="148">
        <f t="shared" ca="1" si="207"/>
        <v>0</v>
      </c>
      <c r="P265" s="14">
        <f ca="1">(MAX(MAX(sa-CF264*Flag_UL_Type,105%*SUM($I$7:I265))-(AD264+L265-N265)*Flag_UL_Type,0)*B265)</f>
        <v>0</v>
      </c>
      <c r="Q265" s="213">
        <f t="shared" si="208"/>
        <v>0</v>
      </c>
      <c r="R265" s="14">
        <f t="shared" ca="1" si="209"/>
        <v>0</v>
      </c>
      <c r="S265" s="14">
        <f t="shared" ca="1" si="210"/>
        <v>0</v>
      </c>
      <c r="T265" s="14">
        <f>IFERROR(IF(WoP_Flag="Y",IF(fq=1,VLOOKUP(ppt*fq-H265,Charges!$AN$41:$AO$59,2,FALSE),IF(fq=2,VLOOKUP(ppt*fq-G265,Charges!$AP$41:$AQ$79,2,FALSE),VLOOKUP(ppt*fq-D265,Charges!$AR$41:$AS$279,2,FALSE)))*pr/fq,0),0)</f>
        <v>0</v>
      </c>
      <c r="U265" s="14">
        <f t="shared" ca="1" si="211"/>
        <v>0</v>
      </c>
      <c r="V265" s="34">
        <f>ROUND(MIN(IF(H265&gt;=7,Charges!$C$12*(1+Charges!$C$14)^((H265-7+1)),VLOOKUP(H265,Charges!$B$7:$C$12,2,0))*pr,Charges!$C$13)*B265,Round)</f>
        <v>0</v>
      </c>
      <c r="W265" s="14">
        <f t="shared" ca="1" si="212"/>
        <v>0</v>
      </c>
      <c r="X265" s="14">
        <f t="shared" ca="1" si="213"/>
        <v>0</v>
      </c>
      <c r="Y265" s="213">
        <f t="shared" ca="1" si="237"/>
        <v>0</v>
      </c>
      <c r="Z265" s="14">
        <f t="shared" ca="1" si="214"/>
        <v>0</v>
      </c>
      <c r="AA265" s="14">
        <f>IF(AND($H265=pt,$F265=11),SUM($K$7:K265)*VLOOKUP(pt,ROC,2,FALSE),0)</f>
        <v>0</v>
      </c>
      <c r="AB265" s="14">
        <f>IF(AND($H265=pt,$F265=11),SUM($V$7:V265)*VLOOKUP(pt,ROC,2,FALSE),0)</f>
        <v>0</v>
      </c>
      <c r="AC265" s="14">
        <f>IF(AND($H265=pt,$F265=11),SUM($Q$7:Q265)*VLOOKUP(pt,ROC,2,FALSE),0)</f>
        <v>0</v>
      </c>
      <c r="AD265" s="14">
        <f t="shared" ca="1" si="215"/>
        <v>0</v>
      </c>
      <c r="AE265" s="14">
        <f ca="1">(MAX(sa-CF264*Flag_UL_Type,105%*SUM($I$7:I265),Z265)+AU265)*B265</f>
        <v>0</v>
      </c>
      <c r="AF265" s="136"/>
      <c r="AG265" s="18">
        <v>259</v>
      </c>
      <c r="AH265" s="30">
        <f t="shared" ca="1" si="216"/>
        <v>0</v>
      </c>
      <c r="AI265" s="58"/>
      <c r="AJ265" s="50">
        <f>IF(AND(Option_Sys_TopUp&gt;="Y",H265&gt;=sytp,H265&lt;=(dtp+sytp-1),F265=0,H265&lt;=ppt+1),atp,0)+IFERROR(VLOOKUP(H265,Input!$B$55:$C$61,2,0),0)*(F265=0)*(Option_TopUP="Y")*(Option_Sys_TopUp="N")*B265*(pt&gt;=H265+5)</f>
        <v>0</v>
      </c>
      <c r="AK265" s="50">
        <f t="shared" si="217"/>
        <v>0</v>
      </c>
      <c r="AL265" s="50">
        <f t="shared" si="238"/>
        <v>0</v>
      </c>
      <c r="AM265" s="50">
        <f t="shared" ca="1" si="239"/>
        <v>0</v>
      </c>
      <c r="AN265" s="50">
        <f>IF(B265=0,0,AT265*(_rpm1+(1+_emr1)*VLOOKUP(E265,Tab_Mort_Charge,IF(Input!$C$12="M",2,3),0))*(0.001*0.0833)*Flag_Mort_Rider_Charge*(AT265&gt;0))</f>
        <v>0</v>
      </c>
      <c r="AO265" s="50">
        <f t="shared" ca="1" si="218"/>
        <v>0</v>
      </c>
      <c r="AP265" s="50">
        <f t="shared" ca="1" si="197"/>
        <v>0</v>
      </c>
      <c r="AQ265" s="50">
        <f t="shared" ca="1" si="219"/>
        <v>0</v>
      </c>
      <c r="AR265" s="50">
        <f t="shared" ca="1" si="220"/>
        <v>0</v>
      </c>
      <c r="AS265" s="50">
        <f t="shared" si="221"/>
        <v>0</v>
      </c>
      <c r="AT265" s="50">
        <f ca="1">(MAX((MAX(AS265,105%*SUM($AJ$7:AJ265))-AM265*Flag_UL_Type),0)*B265)</f>
        <v>0</v>
      </c>
      <c r="AU265" s="50">
        <f ca="1">(MAX(AS265,AR265,105%*SUM($AJ$7:AJ265))*B265)</f>
        <v>0</v>
      </c>
      <c r="AV265" s="125"/>
      <c r="AW265" s="13"/>
      <c r="AX265" s="13"/>
      <c r="AY265" s="13"/>
      <c r="AZ265" s="13"/>
      <c r="BA265" s="13"/>
      <c r="BG265" s="51">
        <f t="shared" si="222"/>
        <v>0</v>
      </c>
      <c r="BH265" s="51">
        <f t="shared" si="223"/>
        <v>0</v>
      </c>
      <c r="BI265" s="51">
        <f t="shared" ca="1" si="224"/>
        <v>0</v>
      </c>
      <c r="BJ265" s="51">
        <f t="shared" ca="1" si="225"/>
        <v>0</v>
      </c>
      <c r="BK265" s="51">
        <f t="shared" si="226"/>
        <v>0</v>
      </c>
      <c r="BL265" s="51">
        <f t="shared" ca="1" si="227"/>
        <v>0</v>
      </c>
      <c r="BM265" s="51">
        <f t="shared" si="228"/>
        <v>0</v>
      </c>
      <c r="BN265" s="51">
        <f t="shared" si="229"/>
        <v>0</v>
      </c>
      <c r="BO265" s="51">
        <f t="shared" ca="1" si="230"/>
        <v>0</v>
      </c>
      <c r="BP265" s="51">
        <f t="shared" ca="1" si="231"/>
        <v>0</v>
      </c>
      <c r="BQ265" s="120"/>
      <c r="BR265" s="32"/>
      <c r="BS265" s="126"/>
      <c r="BT265" s="16"/>
      <c r="BU265" s="58"/>
      <c r="BW265" s="51">
        <f>IF(Input!$C$13="Offline",VLOOKUP(H265,Charges!$AT$4:$AU$33,2,FALSE)*I265,0)</f>
        <v>0</v>
      </c>
      <c r="BX265" s="51">
        <f t="shared" si="232"/>
        <v>0</v>
      </c>
      <c r="BY265" s="51">
        <f t="shared" si="240"/>
        <v>0</v>
      </c>
      <c r="BZ265" s="151"/>
      <c r="CA265" s="151"/>
      <c r="CB265" s="32"/>
      <c r="CC265" s="16">
        <f ca="1">SUM($N$7:$N265)</f>
        <v>0</v>
      </c>
      <c r="CD265" s="16">
        <f t="shared" ca="1" si="233"/>
        <v>0</v>
      </c>
      <c r="CE265" s="16">
        <f t="shared" ca="1" si="234"/>
        <v>0</v>
      </c>
      <c r="CF265" s="7">
        <f t="shared" ca="1" si="235"/>
        <v>0</v>
      </c>
      <c r="CH265" s="7">
        <f t="shared" ca="1" si="236"/>
        <v>0</v>
      </c>
    </row>
    <row r="266" spans="2:86" s="7" customFormat="1" x14ac:dyDescent="0.2">
      <c r="B266" s="14">
        <f t="shared" si="200"/>
        <v>0</v>
      </c>
      <c r="C266" s="12">
        <f t="shared" si="201"/>
        <v>0</v>
      </c>
      <c r="D266" s="17">
        <f t="shared" si="241"/>
        <v>260</v>
      </c>
      <c r="E266" s="17">
        <f t="shared" ca="1" si="202"/>
        <v>81</v>
      </c>
      <c r="F266" s="12">
        <f t="shared" si="195"/>
        <v>7</v>
      </c>
      <c r="G266" s="12">
        <f t="shared" si="194"/>
        <v>44</v>
      </c>
      <c r="H266" s="17">
        <f t="shared" si="196"/>
        <v>22</v>
      </c>
      <c r="I266" s="29">
        <f t="shared" si="203"/>
        <v>0</v>
      </c>
      <c r="J266" s="211">
        <f>IFERROR(VLOOKUP(H266,Charges!$T$6:$U$35,2,0)*C266,0)</f>
        <v>0</v>
      </c>
      <c r="K266" s="29">
        <f t="shared" si="204"/>
        <v>0</v>
      </c>
      <c r="L266" s="29">
        <f t="shared" si="205"/>
        <v>0</v>
      </c>
      <c r="M266" s="147">
        <f t="shared" ca="1" si="206"/>
        <v>0</v>
      </c>
      <c r="N266" s="148">
        <f ca="1">IF(AND(Option_SPW="Y",H266&gt;=Lock_In_Period,Z265&gt;SPW_Amount_pa+IF(option="Single",1/5*pr,2*pr),H266&gt;=SPW_Start_Year,H266&lt;=SPW_Start_Year+SPW_Duration-1,age+H266&gt;=Legal_Age),IF(AND(F266=0,SPW_Payout_Freq=1),SPW_Amount_pa,IF(AND(SPW_Payout_Freq=2,MOD(F266,6)=0),SPW_Amount_pa/SPW_Payout_Freq,IF(AND(SPW_Payout_Freq=4,MOD(F266,3)=0),SPW_Amount_pa/SPW_Payout_Freq,IF(SPW_Payout_Freq=12,SPW_Amount_pa/SPW_Payout_Freq,0)))),0)+IFERROR(VLOOKUP(H266,Input!$B$68:$C$74,2,0),0)*(F266=0)*(Option_PW="Y")*(Option_SPW="N")*(age+H266&gt;=Legal_Age)</f>
        <v>0</v>
      </c>
      <c r="O266" s="148">
        <f t="shared" ca="1" si="207"/>
        <v>0</v>
      </c>
      <c r="P266" s="14">
        <f ca="1">(MAX(MAX(sa-CF265*Flag_UL_Type,105%*SUM($I$7:I266))-(AD265+L266-N266)*Flag_UL_Type,0)*B266)</f>
        <v>0</v>
      </c>
      <c r="Q266" s="213">
        <f t="shared" si="208"/>
        <v>0</v>
      </c>
      <c r="R266" s="14">
        <f t="shared" ca="1" si="209"/>
        <v>0</v>
      </c>
      <c r="S266" s="14">
        <f t="shared" ca="1" si="210"/>
        <v>0</v>
      </c>
      <c r="T266" s="14">
        <f>IFERROR(IF(WoP_Flag="Y",IF(fq=1,VLOOKUP(ppt*fq-H266,Charges!$AN$41:$AO$59,2,FALSE),IF(fq=2,VLOOKUP(ppt*fq-G266,Charges!$AP$41:$AQ$79,2,FALSE),VLOOKUP(ppt*fq-D266,Charges!$AR$41:$AS$279,2,FALSE)))*pr/fq,0),0)</f>
        <v>0</v>
      </c>
      <c r="U266" s="14">
        <f t="shared" ca="1" si="211"/>
        <v>0</v>
      </c>
      <c r="V266" s="34">
        <f>ROUND(MIN(IF(H266&gt;=7,Charges!$C$12*(1+Charges!$C$14)^((H266-7+1)),VLOOKUP(H266,Charges!$B$7:$C$12,2,0))*pr,Charges!$C$13)*B266,Round)</f>
        <v>0</v>
      </c>
      <c r="W266" s="14">
        <f t="shared" ca="1" si="212"/>
        <v>0</v>
      </c>
      <c r="X266" s="14">
        <f t="shared" ca="1" si="213"/>
        <v>0</v>
      </c>
      <c r="Y266" s="213">
        <f t="shared" ca="1" si="237"/>
        <v>0</v>
      </c>
      <c r="Z266" s="14">
        <f t="shared" ca="1" si="214"/>
        <v>0</v>
      </c>
      <c r="AA266" s="14">
        <f>IF(AND($H266=pt,$F266=11),SUM($K$7:K266)*VLOOKUP(pt,ROC,2,FALSE),0)</f>
        <v>0</v>
      </c>
      <c r="AB266" s="14">
        <f>IF(AND($H266=pt,$F266=11),SUM($V$7:V266)*VLOOKUP(pt,ROC,2,FALSE),0)</f>
        <v>0</v>
      </c>
      <c r="AC266" s="14">
        <f>IF(AND($H266=pt,$F266=11),SUM($Q$7:Q266)*VLOOKUP(pt,ROC,2,FALSE),0)</f>
        <v>0</v>
      </c>
      <c r="AD266" s="14">
        <f t="shared" ca="1" si="215"/>
        <v>0</v>
      </c>
      <c r="AE266" s="14">
        <f ca="1">(MAX(sa-CF265*Flag_UL_Type,105%*SUM($I$7:I266),Z266)+AU266)*B266</f>
        <v>0</v>
      </c>
      <c r="AF266" s="136"/>
      <c r="AG266" s="18">
        <v>260</v>
      </c>
      <c r="AH266" s="30">
        <f t="shared" ca="1" si="216"/>
        <v>0</v>
      </c>
      <c r="AI266" s="58"/>
      <c r="AJ266" s="50">
        <f>IF(AND(Option_Sys_TopUp&gt;="Y",H266&gt;=sytp,H266&lt;=(dtp+sytp-1),F266=0,H266&lt;=ppt+1),atp,0)+IFERROR(VLOOKUP(H266,Input!$B$55:$C$61,2,0),0)*(F266=0)*(Option_TopUP="Y")*(Option_Sys_TopUp="N")*B266*(pt&gt;=H266+5)</f>
        <v>0</v>
      </c>
      <c r="AK266" s="50">
        <f t="shared" si="217"/>
        <v>0</v>
      </c>
      <c r="AL266" s="50">
        <f t="shared" si="238"/>
        <v>0</v>
      </c>
      <c r="AM266" s="50">
        <f t="shared" ca="1" si="239"/>
        <v>0</v>
      </c>
      <c r="AN266" s="50">
        <f>IF(B266=0,0,AT266*(_rpm1+(1+_emr1)*VLOOKUP(E266,Tab_Mort_Charge,IF(Input!$C$12="M",2,3),0))*(0.001*0.0833)*Flag_Mort_Rider_Charge*(AT266&gt;0))</f>
        <v>0</v>
      </c>
      <c r="AO266" s="50">
        <f t="shared" ca="1" si="218"/>
        <v>0</v>
      </c>
      <c r="AP266" s="50">
        <f t="shared" ca="1" si="197"/>
        <v>0</v>
      </c>
      <c r="AQ266" s="50">
        <f t="shared" ca="1" si="219"/>
        <v>0</v>
      </c>
      <c r="AR266" s="50">
        <f t="shared" ca="1" si="220"/>
        <v>0</v>
      </c>
      <c r="AS266" s="50">
        <f t="shared" si="221"/>
        <v>0</v>
      </c>
      <c r="AT266" s="50">
        <f ca="1">(MAX((MAX(AS266,105%*SUM($AJ$7:AJ266))-AM266*Flag_UL_Type),0)*B266)</f>
        <v>0</v>
      </c>
      <c r="AU266" s="50">
        <f ca="1">(MAX(AS266,AR266,105%*SUM($AJ$7:AJ266))*B266)</f>
        <v>0</v>
      </c>
      <c r="AV266" s="125"/>
      <c r="AW266" s="13"/>
      <c r="AX266" s="13"/>
      <c r="AY266" s="13"/>
      <c r="AZ266" s="13"/>
      <c r="BA266" s="13"/>
      <c r="BG266" s="51">
        <f t="shared" si="222"/>
        <v>0</v>
      </c>
      <c r="BH266" s="51">
        <f t="shared" si="223"/>
        <v>0</v>
      </c>
      <c r="BI266" s="51">
        <f t="shared" ca="1" si="224"/>
        <v>0</v>
      </c>
      <c r="BJ266" s="51">
        <f t="shared" ca="1" si="225"/>
        <v>0</v>
      </c>
      <c r="BK266" s="51">
        <f t="shared" si="226"/>
        <v>0</v>
      </c>
      <c r="BL266" s="51">
        <f t="shared" ca="1" si="227"/>
        <v>0</v>
      </c>
      <c r="BM266" s="51">
        <f t="shared" si="228"/>
        <v>0</v>
      </c>
      <c r="BN266" s="51">
        <f t="shared" si="229"/>
        <v>0</v>
      </c>
      <c r="BO266" s="51">
        <f t="shared" ca="1" si="230"/>
        <v>0</v>
      </c>
      <c r="BP266" s="51">
        <f t="shared" ca="1" si="231"/>
        <v>0</v>
      </c>
      <c r="BQ266" s="120"/>
      <c r="BR266" s="32"/>
      <c r="BS266" s="126"/>
      <c r="BT266" s="16"/>
      <c r="BU266" s="58"/>
      <c r="BW266" s="51">
        <f>IF(Input!$C$13="Offline",VLOOKUP(H266,Charges!$AT$4:$AU$33,2,FALSE)*I266,0)</f>
        <v>0</v>
      </c>
      <c r="BX266" s="51">
        <f t="shared" si="232"/>
        <v>0</v>
      </c>
      <c r="BY266" s="51">
        <f t="shared" si="240"/>
        <v>0</v>
      </c>
      <c r="BZ266" s="151"/>
      <c r="CA266" s="151"/>
      <c r="CB266" s="32"/>
      <c r="CC266" s="16">
        <f ca="1">SUM($N$7:$N266)</f>
        <v>0</v>
      </c>
      <c r="CD266" s="16">
        <f t="shared" ca="1" si="233"/>
        <v>0</v>
      </c>
      <c r="CE266" s="16">
        <f t="shared" ca="1" si="234"/>
        <v>0</v>
      </c>
      <c r="CF266" s="7">
        <f t="shared" ca="1" si="235"/>
        <v>0</v>
      </c>
      <c r="CH266" s="7">
        <f t="shared" ca="1" si="236"/>
        <v>0</v>
      </c>
    </row>
    <row r="267" spans="2:86" s="7" customFormat="1" x14ac:dyDescent="0.2">
      <c r="B267" s="14">
        <f t="shared" si="200"/>
        <v>0</v>
      </c>
      <c r="C267" s="12">
        <f t="shared" si="201"/>
        <v>0</v>
      </c>
      <c r="D267" s="17">
        <f t="shared" si="241"/>
        <v>261</v>
      </c>
      <c r="E267" s="17">
        <f t="shared" ca="1" si="202"/>
        <v>81</v>
      </c>
      <c r="F267" s="12">
        <f t="shared" si="195"/>
        <v>8</v>
      </c>
      <c r="G267" s="12">
        <f t="shared" si="194"/>
        <v>44</v>
      </c>
      <c r="H267" s="17">
        <f t="shared" si="196"/>
        <v>22</v>
      </c>
      <c r="I267" s="29">
        <f t="shared" si="203"/>
        <v>0</v>
      </c>
      <c r="J267" s="211">
        <f>IFERROR(VLOOKUP(H267,Charges!$T$6:$U$35,2,0)*C267,0)</f>
        <v>0</v>
      </c>
      <c r="K267" s="29">
        <f t="shared" si="204"/>
        <v>0</v>
      </c>
      <c r="L267" s="29">
        <f t="shared" si="205"/>
        <v>0</v>
      </c>
      <c r="M267" s="147">
        <f t="shared" ca="1" si="206"/>
        <v>0</v>
      </c>
      <c r="N267" s="148">
        <f ca="1">IF(AND(Option_SPW="Y",H267&gt;=Lock_In_Period,Z266&gt;SPW_Amount_pa+IF(option="Single",1/5*pr,2*pr),H267&gt;=SPW_Start_Year,H267&lt;=SPW_Start_Year+SPW_Duration-1,age+H267&gt;=Legal_Age),IF(AND(F267=0,SPW_Payout_Freq=1),SPW_Amount_pa,IF(AND(SPW_Payout_Freq=2,MOD(F267,6)=0),SPW_Amount_pa/SPW_Payout_Freq,IF(AND(SPW_Payout_Freq=4,MOD(F267,3)=0),SPW_Amount_pa/SPW_Payout_Freq,IF(SPW_Payout_Freq=12,SPW_Amount_pa/SPW_Payout_Freq,0)))),0)+IFERROR(VLOOKUP(H267,Input!$B$68:$C$74,2,0),0)*(F267=0)*(Option_PW="Y")*(Option_SPW="N")*(age+H267&gt;=Legal_Age)</f>
        <v>0</v>
      </c>
      <c r="O267" s="148">
        <f t="shared" ca="1" si="207"/>
        <v>0</v>
      </c>
      <c r="P267" s="14">
        <f ca="1">(MAX(MAX(sa-CF266*Flag_UL_Type,105%*SUM($I$7:I267))-(AD266+L267-N267)*Flag_UL_Type,0)*B267)</f>
        <v>0</v>
      </c>
      <c r="Q267" s="213">
        <f t="shared" si="208"/>
        <v>0</v>
      </c>
      <c r="R267" s="14">
        <f t="shared" ca="1" si="209"/>
        <v>0</v>
      </c>
      <c r="S267" s="14">
        <f t="shared" ca="1" si="210"/>
        <v>0</v>
      </c>
      <c r="T267" s="14">
        <f>IFERROR(IF(WoP_Flag="Y",IF(fq=1,VLOOKUP(ppt*fq-H267,Charges!$AN$41:$AO$59,2,FALSE),IF(fq=2,VLOOKUP(ppt*fq-G267,Charges!$AP$41:$AQ$79,2,FALSE),VLOOKUP(ppt*fq-D267,Charges!$AR$41:$AS$279,2,FALSE)))*pr/fq,0),0)</f>
        <v>0</v>
      </c>
      <c r="U267" s="14">
        <f t="shared" ca="1" si="211"/>
        <v>0</v>
      </c>
      <c r="V267" s="34">
        <f>ROUND(MIN(IF(H267&gt;=7,Charges!$C$12*(1+Charges!$C$14)^((H267-7+1)),VLOOKUP(H267,Charges!$B$7:$C$12,2,0))*pr,Charges!$C$13)*B267,Round)</f>
        <v>0</v>
      </c>
      <c r="W267" s="14">
        <f t="shared" ca="1" si="212"/>
        <v>0</v>
      </c>
      <c r="X267" s="14">
        <f t="shared" ca="1" si="213"/>
        <v>0</v>
      </c>
      <c r="Y267" s="213">
        <f t="shared" ca="1" si="237"/>
        <v>0</v>
      </c>
      <c r="Z267" s="14">
        <f t="shared" ca="1" si="214"/>
        <v>0</v>
      </c>
      <c r="AA267" s="14">
        <f>IF(AND($H267=pt,$F267=11),SUM($K$7:K267)*VLOOKUP(pt,ROC,2,FALSE),0)</f>
        <v>0</v>
      </c>
      <c r="AB267" s="14">
        <f>IF(AND($H267=pt,$F267=11),SUM($V$7:V267)*VLOOKUP(pt,ROC,2,FALSE),0)</f>
        <v>0</v>
      </c>
      <c r="AC267" s="14">
        <f>IF(AND($H267=pt,$F267=11),SUM($Q$7:Q267)*VLOOKUP(pt,ROC,2,FALSE),0)</f>
        <v>0</v>
      </c>
      <c r="AD267" s="14">
        <f t="shared" ca="1" si="215"/>
        <v>0</v>
      </c>
      <c r="AE267" s="14">
        <f ca="1">(MAX(sa-CF266*Flag_UL_Type,105%*SUM($I$7:I267),Z267)+AU267)*B267</f>
        <v>0</v>
      </c>
      <c r="AF267" s="136"/>
      <c r="AG267" s="18">
        <v>261</v>
      </c>
      <c r="AH267" s="30">
        <f t="shared" ca="1" si="216"/>
        <v>0</v>
      </c>
      <c r="AI267" s="58"/>
      <c r="AJ267" s="50">
        <f>IF(AND(Option_Sys_TopUp&gt;="Y",H267&gt;=sytp,H267&lt;=(dtp+sytp-1),F267=0,H267&lt;=ppt+1),atp,0)+IFERROR(VLOOKUP(H267,Input!$B$55:$C$61,2,0),0)*(F267=0)*(Option_TopUP="Y")*(Option_Sys_TopUp="N")*B267*(pt&gt;=H267+5)</f>
        <v>0</v>
      </c>
      <c r="AK267" s="50">
        <f t="shared" si="217"/>
        <v>0</v>
      </c>
      <c r="AL267" s="50">
        <f t="shared" si="238"/>
        <v>0</v>
      </c>
      <c r="AM267" s="50">
        <f t="shared" ca="1" si="239"/>
        <v>0</v>
      </c>
      <c r="AN267" s="50">
        <f>IF(B267=0,0,AT267*(_rpm1+(1+_emr1)*VLOOKUP(E267,Tab_Mort_Charge,IF(Input!$C$12="M",2,3),0))*(0.001*0.0833)*Flag_Mort_Rider_Charge*(AT267&gt;0))</f>
        <v>0</v>
      </c>
      <c r="AO267" s="50">
        <f t="shared" ca="1" si="218"/>
        <v>0</v>
      </c>
      <c r="AP267" s="50">
        <f t="shared" ca="1" si="197"/>
        <v>0</v>
      </c>
      <c r="AQ267" s="50">
        <f t="shared" ca="1" si="219"/>
        <v>0</v>
      </c>
      <c r="AR267" s="50">
        <f t="shared" ca="1" si="220"/>
        <v>0</v>
      </c>
      <c r="AS267" s="50">
        <f t="shared" si="221"/>
        <v>0</v>
      </c>
      <c r="AT267" s="50">
        <f ca="1">(MAX((MAX(AS267,105%*SUM($AJ$7:AJ267))-AM267*Flag_UL_Type),0)*B267)</f>
        <v>0</v>
      </c>
      <c r="AU267" s="50">
        <f ca="1">(MAX(AS267,AR267,105%*SUM($AJ$7:AJ267))*B267)</f>
        <v>0</v>
      </c>
      <c r="AV267" s="125"/>
      <c r="AW267" s="13"/>
      <c r="AX267" s="13"/>
      <c r="AY267" s="13"/>
      <c r="AZ267" s="13"/>
      <c r="BA267" s="13"/>
      <c r="BG267" s="51">
        <f t="shared" si="222"/>
        <v>0</v>
      </c>
      <c r="BH267" s="51">
        <f t="shared" si="223"/>
        <v>0</v>
      </c>
      <c r="BI267" s="51">
        <f t="shared" ca="1" si="224"/>
        <v>0</v>
      </c>
      <c r="BJ267" s="51">
        <f t="shared" ca="1" si="225"/>
        <v>0</v>
      </c>
      <c r="BK267" s="51">
        <f t="shared" si="226"/>
        <v>0</v>
      </c>
      <c r="BL267" s="51">
        <f t="shared" ca="1" si="227"/>
        <v>0</v>
      </c>
      <c r="BM267" s="51">
        <f t="shared" si="228"/>
        <v>0</v>
      </c>
      <c r="BN267" s="51">
        <f t="shared" si="229"/>
        <v>0</v>
      </c>
      <c r="BO267" s="51">
        <f t="shared" ca="1" si="230"/>
        <v>0</v>
      </c>
      <c r="BP267" s="51">
        <f t="shared" ca="1" si="231"/>
        <v>0</v>
      </c>
      <c r="BQ267" s="120"/>
      <c r="BR267" s="32"/>
      <c r="BS267" s="126"/>
      <c r="BT267" s="16"/>
      <c r="BU267" s="58"/>
      <c r="BW267" s="51">
        <f>IF(Input!$C$13="Offline",VLOOKUP(H267,Charges!$AT$4:$AU$33,2,FALSE)*I267,0)</f>
        <v>0</v>
      </c>
      <c r="BX267" s="51">
        <f t="shared" si="232"/>
        <v>0</v>
      </c>
      <c r="BY267" s="51">
        <f t="shared" si="240"/>
        <v>0</v>
      </c>
      <c r="BZ267" s="151"/>
      <c r="CA267" s="151"/>
      <c r="CB267" s="32"/>
      <c r="CC267" s="16">
        <f ca="1">SUM($N$7:$N267)</f>
        <v>0</v>
      </c>
      <c r="CD267" s="16">
        <f t="shared" ca="1" si="233"/>
        <v>0</v>
      </c>
      <c r="CE267" s="16">
        <f t="shared" ca="1" si="234"/>
        <v>0</v>
      </c>
      <c r="CF267" s="7">
        <f t="shared" ca="1" si="235"/>
        <v>0</v>
      </c>
      <c r="CH267" s="7">
        <f t="shared" ca="1" si="236"/>
        <v>0</v>
      </c>
    </row>
    <row r="268" spans="2:86" s="7" customFormat="1" x14ac:dyDescent="0.2">
      <c r="B268" s="14">
        <f t="shared" si="200"/>
        <v>0</v>
      </c>
      <c r="C268" s="12">
        <f t="shared" si="201"/>
        <v>0</v>
      </c>
      <c r="D268" s="17">
        <f t="shared" si="241"/>
        <v>262</v>
      </c>
      <c r="E268" s="17">
        <f t="shared" ca="1" si="202"/>
        <v>81</v>
      </c>
      <c r="F268" s="12">
        <f t="shared" si="195"/>
        <v>9</v>
      </c>
      <c r="G268" s="12">
        <f t="shared" si="194"/>
        <v>44</v>
      </c>
      <c r="H268" s="17">
        <f t="shared" si="196"/>
        <v>22</v>
      </c>
      <c r="I268" s="29">
        <f t="shared" si="203"/>
        <v>0</v>
      </c>
      <c r="J268" s="211">
        <f>IFERROR(VLOOKUP(H268,Charges!$T$6:$U$35,2,0)*C268,0)</f>
        <v>0</v>
      </c>
      <c r="K268" s="29">
        <f t="shared" si="204"/>
        <v>0</v>
      </c>
      <c r="L268" s="29">
        <f t="shared" si="205"/>
        <v>0</v>
      </c>
      <c r="M268" s="147">
        <f t="shared" ca="1" si="206"/>
        <v>0</v>
      </c>
      <c r="N268" s="148">
        <f ca="1">IF(AND(Option_SPW="Y",H268&gt;=Lock_In_Period,Z267&gt;SPW_Amount_pa+IF(option="Single",1/5*pr,2*pr),H268&gt;=SPW_Start_Year,H268&lt;=SPW_Start_Year+SPW_Duration-1,age+H268&gt;=Legal_Age),IF(AND(F268=0,SPW_Payout_Freq=1),SPW_Amount_pa,IF(AND(SPW_Payout_Freq=2,MOD(F268,6)=0),SPW_Amount_pa/SPW_Payout_Freq,IF(AND(SPW_Payout_Freq=4,MOD(F268,3)=0),SPW_Amount_pa/SPW_Payout_Freq,IF(SPW_Payout_Freq=12,SPW_Amount_pa/SPW_Payout_Freq,0)))),0)+IFERROR(VLOOKUP(H268,Input!$B$68:$C$74,2,0),0)*(F268=0)*(Option_PW="Y")*(Option_SPW="N")*(age+H268&gt;=Legal_Age)</f>
        <v>0</v>
      </c>
      <c r="O268" s="148">
        <f t="shared" ca="1" si="207"/>
        <v>0</v>
      </c>
      <c r="P268" s="14">
        <f ca="1">(MAX(MAX(sa-CF267*Flag_UL_Type,105%*SUM($I$7:I268))-(AD267+L268-N268)*Flag_UL_Type,0)*B268)</f>
        <v>0</v>
      </c>
      <c r="Q268" s="213">
        <f t="shared" si="208"/>
        <v>0</v>
      </c>
      <c r="R268" s="14">
        <f t="shared" ca="1" si="209"/>
        <v>0</v>
      </c>
      <c r="S268" s="14">
        <f t="shared" ca="1" si="210"/>
        <v>0</v>
      </c>
      <c r="T268" s="14">
        <f>IFERROR(IF(WoP_Flag="Y",IF(fq=1,VLOOKUP(ppt*fq-H268,Charges!$AN$41:$AO$59,2,FALSE),IF(fq=2,VLOOKUP(ppt*fq-G268,Charges!$AP$41:$AQ$79,2,FALSE),VLOOKUP(ppt*fq-D268,Charges!$AR$41:$AS$279,2,FALSE)))*pr/fq,0),0)</f>
        <v>0</v>
      </c>
      <c r="U268" s="14">
        <f t="shared" ca="1" si="211"/>
        <v>0</v>
      </c>
      <c r="V268" s="34">
        <f>ROUND(MIN(IF(H268&gt;=7,Charges!$C$12*(1+Charges!$C$14)^((H268-7+1)),VLOOKUP(H268,Charges!$B$7:$C$12,2,0))*pr,Charges!$C$13)*B268,Round)</f>
        <v>0</v>
      </c>
      <c r="W268" s="14">
        <f t="shared" ca="1" si="212"/>
        <v>0</v>
      </c>
      <c r="X268" s="14">
        <f t="shared" ca="1" si="213"/>
        <v>0</v>
      </c>
      <c r="Y268" s="213">
        <f t="shared" ca="1" si="237"/>
        <v>0</v>
      </c>
      <c r="Z268" s="14">
        <f t="shared" ca="1" si="214"/>
        <v>0</v>
      </c>
      <c r="AA268" s="14">
        <f>IF(AND($H268=pt,$F268=11),SUM($K$7:K268)*VLOOKUP(pt,ROC,2,FALSE),0)</f>
        <v>0</v>
      </c>
      <c r="AB268" s="14">
        <f>IF(AND($H268=pt,$F268=11),SUM($V$7:V268)*VLOOKUP(pt,ROC,2,FALSE),0)</f>
        <v>0</v>
      </c>
      <c r="AC268" s="14">
        <f>IF(AND($H268=pt,$F268=11),SUM($Q$7:Q268)*VLOOKUP(pt,ROC,2,FALSE),0)</f>
        <v>0</v>
      </c>
      <c r="AD268" s="14">
        <f t="shared" ca="1" si="215"/>
        <v>0</v>
      </c>
      <c r="AE268" s="14">
        <f ca="1">(MAX(sa-CF267*Flag_UL_Type,105%*SUM($I$7:I268),Z268)+AU268)*B268</f>
        <v>0</v>
      </c>
      <c r="AF268" s="136"/>
      <c r="AG268" s="18">
        <v>262</v>
      </c>
      <c r="AH268" s="30">
        <f t="shared" ca="1" si="216"/>
        <v>0</v>
      </c>
      <c r="AI268" s="58"/>
      <c r="AJ268" s="50">
        <f>IF(AND(Option_Sys_TopUp&gt;="Y",H268&gt;=sytp,H268&lt;=(dtp+sytp-1),F268=0,H268&lt;=ppt+1),atp,0)+IFERROR(VLOOKUP(H268,Input!$B$55:$C$61,2,0),0)*(F268=0)*(Option_TopUP="Y")*(Option_Sys_TopUp="N")*B268*(pt&gt;=H268+5)</f>
        <v>0</v>
      </c>
      <c r="AK268" s="50">
        <f t="shared" si="217"/>
        <v>0</v>
      </c>
      <c r="AL268" s="50">
        <f t="shared" si="238"/>
        <v>0</v>
      </c>
      <c r="AM268" s="50">
        <f t="shared" ca="1" si="239"/>
        <v>0</v>
      </c>
      <c r="AN268" s="50">
        <f>IF(B268=0,0,AT268*(_rpm1+(1+_emr1)*VLOOKUP(E268,Tab_Mort_Charge,IF(Input!$C$12="M",2,3),0))*(0.001*0.0833)*Flag_Mort_Rider_Charge*(AT268&gt;0))</f>
        <v>0</v>
      </c>
      <c r="AO268" s="50">
        <f t="shared" ca="1" si="218"/>
        <v>0</v>
      </c>
      <c r="AP268" s="50">
        <f t="shared" ca="1" si="197"/>
        <v>0</v>
      </c>
      <c r="AQ268" s="50">
        <f t="shared" ca="1" si="219"/>
        <v>0</v>
      </c>
      <c r="AR268" s="50">
        <f t="shared" ca="1" si="220"/>
        <v>0</v>
      </c>
      <c r="AS268" s="50">
        <f t="shared" si="221"/>
        <v>0</v>
      </c>
      <c r="AT268" s="50">
        <f ca="1">(MAX((MAX(AS268,105%*SUM($AJ$7:AJ268))-AM268*Flag_UL_Type),0)*B268)</f>
        <v>0</v>
      </c>
      <c r="AU268" s="50">
        <f ca="1">(MAX(AS268,AR268,105%*SUM($AJ$7:AJ268))*B268)</f>
        <v>0</v>
      </c>
      <c r="AV268" s="125"/>
      <c r="AW268" s="13"/>
      <c r="AX268" s="13"/>
      <c r="AY268" s="13"/>
      <c r="AZ268" s="13"/>
      <c r="BA268" s="13"/>
      <c r="BG268" s="51">
        <f t="shared" si="222"/>
        <v>0</v>
      </c>
      <c r="BH268" s="51">
        <f t="shared" si="223"/>
        <v>0</v>
      </c>
      <c r="BI268" s="51">
        <f t="shared" ca="1" si="224"/>
        <v>0</v>
      </c>
      <c r="BJ268" s="51">
        <f t="shared" ca="1" si="225"/>
        <v>0</v>
      </c>
      <c r="BK268" s="51">
        <f t="shared" si="226"/>
        <v>0</v>
      </c>
      <c r="BL268" s="51">
        <f t="shared" ca="1" si="227"/>
        <v>0</v>
      </c>
      <c r="BM268" s="51">
        <f t="shared" si="228"/>
        <v>0</v>
      </c>
      <c r="BN268" s="51">
        <f t="shared" si="229"/>
        <v>0</v>
      </c>
      <c r="BO268" s="51">
        <f t="shared" ca="1" si="230"/>
        <v>0</v>
      </c>
      <c r="BP268" s="51">
        <f t="shared" ca="1" si="231"/>
        <v>0</v>
      </c>
      <c r="BQ268" s="120"/>
      <c r="BR268" s="32"/>
      <c r="BS268" s="126"/>
      <c r="BT268" s="16"/>
      <c r="BU268" s="58"/>
      <c r="BW268" s="51">
        <f>IF(Input!$C$13="Offline",VLOOKUP(H268,Charges!$AT$4:$AU$33,2,FALSE)*I268,0)</f>
        <v>0</v>
      </c>
      <c r="BX268" s="51">
        <f t="shared" si="232"/>
        <v>0</v>
      </c>
      <c r="BY268" s="51">
        <f t="shared" si="240"/>
        <v>0</v>
      </c>
      <c r="BZ268" s="151"/>
      <c r="CA268" s="151"/>
      <c r="CB268" s="32"/>
      <c r="CC268" s="16">
        <f ca="1">SUM($N$7:$N268)</f>
        <v>0</v>
      </c>
      <c r="CD268" s="16">
        <f t="shared" ca="1" si="233"/>
        <v>0</v>
      </c>
      <c r="CE268" s="16">
        <f t="shared" ca="1" si="234"/>
        <v>0</v>
      </c>
      <c r="CF268" s="7">
        <f t="shared" ca="1" si="235"/>
        <v>0</v>
      </c>
      <c r="CH268" s="7">
        <f t="shared" ca="1" si="236"/>
        <v>0</v>
      </c>
    </row>
    <row r="269" spans="2:86" s="7" customFormat="1" x14ac:dyDescent="0.2">
      <c r="B269" s="14">
        <f t="shared" si="200"/>
        <v>0</v>
      </c>
      <c r="C269" s="12">
        <f t="shared" si="201"/>
        <v>0</v>
      </c>
      <c r="D269" s="17">
        <f t="shared" si="241"/>
        <v>263</v>
      </c>
      <c r="E269" s="17">
        <f t="shared" ca="1" si="202"/>
        <v>81</v>
      </c>
      <c r="F269" s="12">
        <f t="shared" si="195"/>
        <v>10</v>
      </c>
      <c r="G269" s="12">
        <f t="shared" si="194"/>
        <v>44</v>
      </c>
      <c r="H269" s="17">
        <f t="shared" si="196"/>
        <v>22</v>
      </c>
      <c r="I269" s="29">
        <f t="shared" si="203"/>
        <v>0</v>
      </c>
      <c r="J269" s="211">
        <f>IFERROR(VLOOKUP(H269,Charges!$T$6:$U$35,2,0)*C269,0)</f>
        <v>0</v>
      </c>
      <c r="K269" s="29">
        <f t="shared" si="204"/>
        <v>0</v>
      </c>
      <c r="L269" s="29">
        <f t="shared" si="205"/>
        <v>0</v>
      </c>
      <c r="M269" s="147">
        <f t="shared" ca="1" si="206"/>
        <v>0</v>
      </c>
      <c r="N269" s="148">
        <f ca="1">IF(AND(Option_SPW="Y",H269&gt;=Lock_In_Period,Z268&gt;SPW_Amount_pa+IF(option="Single",1/5*pr,2*pr),H269&gt;=SPW_Start_Year,H269&lt;=SPW_Start_Year+SPW_Duration-1,age+H269&gt;=Legal_Age),IF(AND(F269=0,SPW_Payout_Freq=1),SPW_Amount_pa,IF(AND(SPW_Payout_Freq=2,MOD(F269,6)=0),SPW_Amount_pa/SPW_Payout_Freq,IF(AND(SPW_Payout_Freq=4,MOD(F269,3)=0),SPW_Amount_pa/SPW_Payout_Freq,IF(SPW_Payout_Freq=12,SPW_Amount_pa/SPW_Payout_Freq,0)))),0)+IFERROR(VLOOKUP(H269,Input!$B$68:$C$74,2,0),0)*(F269=0)*(Option_PW="Y")*(Option_SPW="N")*(age+H269&gt;=Legal_Age)</f>
        <v>0</v>
      </c>
      <c r="O269" s="148">
        <f t="shared" ca="1" si="207"/>
        <v>0</v>
      </c>
      <c r="P269" s="14">
        <f ca="1">(MAX(MAX(sa-CF268*Flag_UL_Type,105%*SUM($I$7:I269))-(AD268+L269-N269)*Flag_UL_Type,0)*B269)</f>
        <v>0</v>
      </c>
      <c r="Q269" s="213">
        <f t="shared" si="208"/>
        <v>0</v>
      </c>
      <c r="R269" s="14">
        <f t="shared" ca="1" si="209"/>
        <v>0</v>
      </c>
      <c r="S269" s="14">
        <f t="shared" ca="1" si="210"/>
        <v>0</v>
      </c>
      <c r="T269" s="14">
        <f>IFERROR(IF(WoP_Flag="Y",IF(fq=1,VLOOKUP(ppt*fq-H269,Charges!$AN$41:$AO$59,2,FALSE),IF(fq=2,VLOOKUP(ppt*fq-G269,Charges!$AP$41:$AQ$79,2,FALSE),VLOOKUP(ppt*fq-D269,Charges!$AR$41:$AS$279,2,FALSE)))*pr/fq,0),0)</f>
        <v>0</v>
      </c>
      <c r="U269" s="14">
        <f t="shared" ca="1" si="211"/>
        <v>0</v>
      </c>
      <c r="V269" s="34">
        <f>ROUND(MIN(IF(H269&gt;=7,Charges!$C$12*(1+Charges!$C$14)^((H269-7+1)),VLOOKUP(H269,Charges!$B$7:$C$12,2,0))*pr,Charges!$C$13)*B269,Round)</f>
        <v>0</v>
      </c>
      <c r="W269" s="14">
        <f t="shared" ca="1" si="212"/>
        <v>0</v>
      </c>
      <c r="X269" s="14">
        <f t="shared" ca="1" si="213"/>
        <v>0</v>
      </c>
      <c r="Y269" s="213">
        <f t="shared" ca="1" si="237"/>
        <v>0</v>
      </c>
      <c r="Z269" s="14">
        <f t="shared" ca="1" si="214"/>
        <v>0</v>
      </c>
      <c r="AA269" s="14">
        <f>IF(AND($H269=pt,$F269=11),SUM($K$7:K269)*VLOOKUP(pt,ROC,2,FALSE),0)</f>
        <v>0</v>
      </c>
      <c r="AB269" s="14">
        <f>IF(AND($H269=pt,$F269=11),SUM($V$7:V269)*VLOOKUP(pt,ROC,2,FALSE),0)</f>
        <v>0</v>
      </c>
      <c r="AC269" s="14">
        <f>IF(AND($H269=pt,$F269=11),SUM($Q$7:Q269)*VLOOKUP(pt,ROC,2,FALSE),0)</f>
        <v>0</v>
      </c>
      <c r="AD269" s="14">
        <f t="shared" ca="1" si="215"/>
        <v>0</v>
      </c>
      <c r="AE269" s="14">
        <f ca="1">(MAX(sa-CF268*Flag_UL_Type,105%*SUM($I$7:I269),Z269)+AU269)*B269</f>
        <v>0</v>
      </c>
      <c r="AF269" s="136"/>
      <c r="AG269" s="18">
        <v>263</v>
      </c>
      <c r="AH269" s="30">
        <f t="shared" ca="1" si="216"/>
        <v>0</v>
      </c>
      <c r="AI269" s="58"/>
      <c r="AJ269" s="50">
        <f>IF(AND(Option_Sys_TopUp&gt;="Y",H269&gt;=sytp,H269&lt;=(dtp+sytp-1),F269=0,H269&lt;=ppt+1),atp,0)+IFERROR(VLOOKUP(H269,Input!$B$55:$C$61,2,0),0)*(F269=0)*(Option_TopUP="Y")*(Option_Sys_TopUp="N")*B269*(pt&gt;=H269+5)</f>
        <v>0</v>
      </c>
      <c r="AK269" s="50">
        <f t="shared" si="217"/>
        <v>0</v>
      </c>
      <c r="AL269" s="50">
        <f t="shared" si="238"/>
        <v>0</v>
      </c>
      <c r="AM269" s="50">
        <f t="shared" ca="1" si="239"/>
        <v>0</v>
      </c>
      <c r="AN269" s="50">
        <f>IF(B269=0,0,AT269*(_rpm1+(1+_emr1)*VLOOKUP(E269,Tab_Mort_Charge,IF(Input!$C$12="M",2,3),0))*(0.001*0.0833)*Flag_Mort_Rider_Charge*(AT269&gt;0))</f>
        <v>0</v>
      </c>
      <c r="AO269" s="50">
        <f t="shared" ca="1" si="218"/>
        <v>0</v>
      </c>
      <c r="AP269" s="50">
        <f t="shared" ca="1" si="197"/>
        <v>0</v>
      </c>
      <c r="AQ269" s="50">
        <f t="shared" ca="1" si="219"/>
        <v>0</v>
      </c>
      <c r="AR269" s="50">
        <f t="shared" ca="1" si="220"/>
        <v>0</v>
      </c>
      <c r="AS269" s="50">
        <f t="shared" si="221"/>
        <v>0</v>
      </c>
      <c r="AT269" s="50">
        <f ca="1">(MAX((MAX(AS269,105%*SUM($AJ$7:AJ269))-AM269*Flag_UL_Type),0)*B269)</f>
        <v>0</v>
      </c>
      <c r="AU269" s="50">
        <f ca="1">(MAX(AS269,AR269,105%*SUM($AJ$7:AJ269))*B269)</f>
        <v>0</v>
      </c>
      <c r="AV269" s="125"/>
      <c r="AW269" s="13"/>
      <c r="AX269" s="13"/>
      <c r="AY269" s="13"/>
      <c r="AZ269" s="13"/>
      <c r="BA269" s="13"/>
      <c r="BG269" s="51">
        <f t="shared" si="222"/>
        <v>0</v>
      </c>
      <c r="BH269" s="51">
        <f t="shared" si="223"/>
        <v>0</v>
      </c>
      <c r="BI269" s="51">
        <f t="shared" ca="1" si="224"/>
        <v>0</v>
      </c>
      <c r="BJ269" s="51">
        <f t="shared" ca="1" si="225"/>
        <v>0</v>
      </c>
      <c r="BK269" s="51">
        <f t="shared" si="226"/>
        <v>0</v>
      </c>
      <c r="BL269" s="51">
        <f t="shared" ca="1" si="227"/>
        <v>0</v>
      </c>
      <c r="BM269" s="51">
        <f t="shared" si="228"/>
        <v>0</v>
      </c>
      <c r="BN269" s="51">
        <f t="shared" si="229"/>
        <v>0</v>
      </c>
      <c r="BO269" s="51">
        <f t="shared" ca="1" si="230"/>
        <v>0</v>
      </c>
      <c r="BP269" s="51">
        <f t="shared" ca="1" si="231"/>
        <v>0</v>
      </c>
      <c r="BQ269" s="120"/>
      <c r="BR269" s="32"/>
      <c r="BS269" s="126"/>
      <c r="BT269" s="16"/>
      <c r="BU269" s="58"/>
      <c r="BW269" s="51">
        <f>IF(Input!$C$13="Offline",VLOOKUP(H269,Charges!$AT$4:$AU$33,2,FALSE)*I269,0)</f>
        <v>0</v>
      </c>
      <c r="BX269" s="51">
        <f t="shared" si="232"/>
        <v>0</v>
      </c>
      <c r="BY269" s="51">
        <f t="shared" si="240"/>
        <v>0</v>
      </c>
      <c r="BZ269" s="151"/>
      <c r="CA269" s="151"/>
      <c r="CB269" s="32"/>
      <c r="CC269" s="16">
        <f ca="1">SUM($N$7:$N269)</f>
        <v>0</v>
      </c>
      <c r="CD269" s="16">
        <f t="shared" ca="1" si="233"/>
        <v>0</v>
      </c>
      <c r="CE269" s="16">
        <f t="shared" ca="1" si="234"/>
        <v>0</v>
      </c>
      <c r="CF269" s="7">
        <f t="shared" ca="1" si="235"/>
        <v>0</v>
      </c>
      <c r="CH269" s="7">
        <f t="shared" ca="1" si="236"/>
        <v>0</v>
      </c>
    </row>
    <row r="270" spans="2:86" s="7" customFormat="1" x14ac:dyDescent="0.2">
      <c r="B270" s="14">
        <f t="shared" si="200"/>
        <v>0</v>
      </c>
      <c r="C270" s="12">
        <f t="shared" si="201"/>
        <v>0</v>
      </c>
      <c r="D270" s="17">
        <f t="shared" si="241"/>
        <v>264</v>
      </c>
      <c r="E270" s="17">
        <f t="shared" ca="1" si="202"/>
        <v>81</v>
      </c>
      <c r="F270" s="12">
        <f t="shared" si="195"/>
        <v>11</v>
      </c>
      <c r="G270" s="12">
        <f t="shared" ref="G270:G333" si="242">G264+1</f>
        <v>44</v>
      </c>
      <c r="H270" s="17">
        <f t="shared" si="196"/>
        <v>22</v>
      </c>
      <c r="I270" s="29">
        <f t="shared" si="203"/>
        <v>0</v>
      </c>
      <c r="J270" s="211">
        <f>IFERROR(VLOOKUP(H270,Charges!$T$6:$U$35,2,0)*C270,0)</f>
        <v>0</v>
      </c>
      <c r="K270" s="29">
        <f t="shared" si="204"/>
        <v>0</v>
      </c>
      <c r="L270" s="29">
        <f t="shared" si="205"/>
        <v>0</v>
      </c>
      <c r="M270" s="147">
        <f t="shared" ca="1" si="206"/>
        <v>0</v>
      </c>
      <c r="N270" s="148">
        <f ca="1">IF(AND(Option_SPW="Y",H270&gt;=Lock_In_Period,Z269&gt;SPW_Amount_pa+IF(option="Single",1/5*pr,2*pr),H270&gt;=SPW_Start_Year,H270&lt;=SPW_Start_Year+SPW_Duration-1,age+H270&gt;=Legal_Age),IF(AND(F270=0,SPW_Payout_Freq=1),SPW_Amount_pa,IF(AND(SPW_Payout_Freq=2,MOD(F270,6)=0),SPW_Amount_pa/SPW_Payout_Freq,IF(AND(SPW_Payout_Freq=4,MOD(F270,3)=0),SPW_Amount_pa/SPW_Payout_Freq,IF(SPW_Payout_Freq=12,SPW_Amount_pa/SPW_Payout_Freq,0)))),0)+IFERROR(VLOOKUP(H270,Input!$B$68:$C$74,2,0),0)*(F270=0)*(Option_PW="Y")*(Option_SPW="N")*(age+H270&gt;=Legal_Age)</f>
        <v>0</v>
      </c>
      <c r="O270" s="148">
        <f t="shared" ca="1" si="207"/>
        <v>0</v>
      </c>
      <c r="P270" s="14">
        <f ca="1">(MAX(MAX(sa-CF269*Flag_UL_Type,105%*SUM($I$7:I270))-(AD269+L270-N270)*Flag_UL_Type,0)*B270)</f>
        <v>0</v>
      </c>
      <c r="Q270" s="213">
        <f t="shared" si="208"/>
        <v>0</v>
      </c>
      <c r="R270" s="14">
        <f t="shared" ca="1" si="209"/>
        <v>0</v>
      </c>
      <c r="S270" s="14">
        <f t="shared" ca="1" si="210"/>
        <v>0</v>
      </c>
      <c r="T270" s="14">
        <f>IFERROR(IF(WoP_Flag="Y",IF(fq=1,VLOOKUP(ppt*fq-H270,Charges!$AN$41:$AO$59,2,FALSE),IF(fq=2,VLOOKUP(ppt*fq-G270,Charges!$AP$41:$AQ$79,2,FALSE),VLOOKUP(ppt*fq-D270,Charges!$AR$41:$AS$279,2,FALSE)))*pr/fq,0),0)</f>
        <v>0</v>
      </c>
      <c r="U270" s="14">
        <f t="shared" ca="1" si="211"/>
        <v>0</v>
      </c>
      <c r="V270" s="34">
        <f>ROUND(MIN(IF(H270&gt;=7,Charges!$C$12*(1+Charges!$C$14)^((H270-7+1)),VLOOKUP(H270,Charges!$B$7:$C$12,2,0))*pr,Charges!$C$13)*B270,Round)</f>
        <v>0</v>
      </c>
      <c r="W270" s="14">
        <f t="shared" ca="1" si="212"/>
        <v>0</v>
      </c>
      <c r="X270" s="14">
        <f t="shared" ca="1" si="213"/>
        <v>0</v>
      </c>
      <c r="Y270" s="213">
        <f t="shared" ca="1" si="237"/>
        <v>0</v>
      </c>
      <c r="Z270" s="14">
        <f t="shared" ca="1" si="214"/>
        <v>0</v>
      </c>
      <c r="AA270" s="14">
        <f>IF(AND($H270=pt,$F270=11),SUM($K$7:K270)*VLOOKUP(pt,ROC,2,FALSE),0)</f>
        <v>0</v>
      </c>
      <c r="AB270" s="14">
        <f>IF(AND($H270=pt,$F270=11),SUM($V$7:V270)*VLOOKUP(pt,ROC,2,FALSE),0)</f>
        <v>0</v>
      </c>
      <c r="AC270" s="14">
        <f>IF(AND($H270=pt,$F270=11),SUM($Q$7:Q270)*VLOOKUP(pt,ROC,2,FALSE),0)</f>
        <v>0</v>
      </c>
      <c r="AD270" s="14">
        <f t="shared" ca="1" si="215"/>
        <v>0</v>
      </c>
      <c r="AE270" s="14">
        <f ca="1">(MAX(sa-CF269*Flag_UL_Type,105%*SUM($I$7:I270),Z270)+AU270)*B270</f>
        <v>0</v>
      </c>
      <c r="AF270" s="136"/>
      <c r="AG270" s="18">
        <v>264</v>
      </c>
      <c r="AH270" s="30">
        <f t="shared" ca="1" si="216"/>
        <v>0</v>
      </c>
      <c r="AI270" s="58"/>
      <c r="AJ270" s="50">
        <f>IF(AND(Option_Sys_TopUp&gt;="Y",H270&gt;=sytp,H270&lt;=(dtp+sytp-1),F270=0,H270&lt;=ppt+1),atp,0)+IFERROR(VLOOKUP(H270,Input!$B$55:$C$61,2,0),0)*(F270=0)*(Option_TopUP="Y")*(Option_Sys_TopUp="N")*B270*(pt&gt;=H270+5)</f>
        <v>0</v>
      </c>
      <c r="AK270" s="50">
        <f t="shared" si="217"/>
        <v>0</v>
      </c>
      <c r="AL270" s="50">
        <f t="shared" si="238"/>
        <v>0</v>
      </c>
      <c r="AM270" s="50">
        <f t="shared" ca="1" si="239"/>
        <v>0</v>
      </c>
      <c r="AN270" s="50">
        <f>IF(B270=0,0,AT270*(_rpm1+(1+_emr1)*VLOOKUP(E270,Tab_Mort_Charge,IF(Input!$C$12="M",2,3),0))*(0.001*0.0833)*Flag_Mort_Rider_Charge*(AT270&gt;0))</f>
        <v>0</v>
      </c>
      <c r="AO270" s="50">
        <f t="shared" ca="1" si="218"/>
        <v>0</v>
      </c>
      <c r="AP270" s="50">
        <f t="shared" ca="1" si="197"/>
        <v>0</v>
      </c>
      <c r="AQ270" s="50">
        <f t="shared" ca="1" si="219"/>
        <v>0</v>
      </c>
      <c r="AR270" s="50">
        <f t="shared" ca="1" si="220"/>
        <v>0</v>
      </c>
      <c r="AS270" s="50">
        <f t="shared" si="221"/>
        <v>0</v>
      </c>
      <c r="AT270" s="50">
        <f ca="1">(MAX((MAX(AS270,105%*SUM($AJ$7:AJ270))-AM270*Flag_UL_Type),0)*B270)</f>
        <v>0</v>
      </c>
      <c r="AU270" s="50">
        <f ca="1">(MAX(AS270,AR270,105%*SUM($AJ$7:AJ270))*B270)</f>
        <v>0</v>
      </c>
      <c r="AV270" s="125"/>
      <c r="AW270" s="13"/>
      <c r="AX270" s="13"/>
      <c r="AY270" s="13"/>
      <c r="AZ270" s="13"/>
      <c r="BA270" s="13"/>
      <c r="BG270" s="51">
        <f t="shared" si="222"/>
        <v>0</v>
      </c>
      <c r="BH270" s="51">
        <f t="shared" si="223"/>
        <v>0</v>
      </c>
      <c r="BI270" s="51">
        <f t="shared" ca="1" si="224"/>
        <v>0</v>
      </c>
      <c r="BJ270" s="51">
        <f t="shared" ca="1" si="225"/>
        <v>0</v>
      </c>
      <c r="BK270" s="51">
        <f t="shared" si="226"/>
        <v>0</v>
      </c>
      <c r="BL270" s="51">
        <f t="shared" ca="1" si="227"/>
        <v>0</v>
      </c>
      <c r="BM270" s="51">
        <f t="shared" si="228"/>
        <v>0</v>
      </c>
      <c r="BN270" s="51">
        <f t="shared" si="229"/>
        <v>0</v>
      </c>
      <c r="BO270" s="51">
        <f t="shared" ca="1" si="230"/>
        <v>0</v>
      </c>
      <c r="BP270" s="51">
        <f t="shared" ca="1" si="231"/>
        <v>0</v>
      </c>
      <c r="BQ270" s="120"/>
      <c r="BR270" s="32"/>
      <c r="BS270" s="126"/>
      <c r="BT270" s="16"/>
      <c r="BU270" s="58"/>
      <c r="BW270" s="51">
        <f>IF(Input!$C$13="Offline",VLOOKUP(H270,Charges!$AT$4:$AU$33,2,FALSE)*I270,0)</f>
        <v>0</v>
      </c>
      <c r="BX270" s="51">
        <f t="shared" si="232"/>
        <v>0</v>
      </c>
      <c r="BY270" s="51">
        <f t="shared" si="240"/>
        <v>0</v>
      </c>
      <c r="BZ270" s="151"/>
      <c r="CA270" s="151"/>
      <c r="CB270" s="32"/>
      <c r="CC270" s="16">
        <f ca="1">SUM($N$7:$N270)</f>
        <v>0</v>
      </c>
      <c r="CD270" s="16">
        <f t="shared" ca="1" si="233"/>
        <v>0</v>
      </c>
      <c r="CE270" s="16">
        <f t="shared" ca="1" si="234"/>
        <v>0</v>
      </c>
      <c r="CF270" s="7">
        <f t="shared" ca="1" si="235"/>
        <v>0</v>
      </c>
      <c r="CH270" s="7">
        <f t="shared" ca="1" si="236"/>
        <v>0</v>
      </c>
    </row>
    <row r="271" spans="2:86" s="7" customFormat="1" x14ac:dyDescent="0.2">
      <c r="B271" s="14">
        <f t="shared" si="200"/>
        <v>0</v>
      </c>
      <c r="C271" s="12">
        <f t="shared" si="201"/>
        <v>0</v>
      </c>
      <c r="D271" s="17">
        <f t="shared" si="241"/>
        <v>265</v>
      </c>
      <c r="E271" s="17">
        <f t="shared" ca="1" si="202"/>
        <v>82</v>
      </c>
      <c r="F271" s="12">
        <f t="shared" si="195"/>
        <v>0</v>
      </c>
      <c r="G271" s="12">
        <f t="shared" si="242"/>
        <v>45</v>
      </c>
      <c r="H271" s="17">
        <f t="shared" si="196"/>
        <v>23</v>
      </c>
      <c r="I271" s="29">
        <f t="shared" si="203"/>
        <v>0</v>
      </c>
      <c r="J271" s="211">
        <f>IFERROR(VLOOKUP(H271,Charges!$T$6:$U$35,2,0)*C271,0)</f>
        <v>0</v>
      </c>
      <c r="K271" s="29">
        <f t="shared" si="204"/>
        <v>0</v>
      </c>
      <c r="L271" s="29">
        <f t="shared" si="205"/>
        <v>0</v>
      </c>
      <c r="M271" s="147">
        <f t="shared" ca="1" si="206"/>
        <v>0</v>
      </c>
      <c r="N271" s="148">
        <f ca="1">IF(AND(Option_SPW="Y",H271&gt;=Lock_In_Period,Z270&gt;SPW_Amount_pa+IF(option="Single",1/5*pr,2*pr),H271&gt;=SPW_Start_Year,H271&lt;=SPW_Start_Year+SPW_Duration-1,age+H271&gt;=Legal_Age),IF(AND(F271=0,SPW_Payout_Freq=1),SPW_Amount_pa,IF(AND(SPW_Payout_Freq=2,MOD(F271,6)=0),SPW_Amount_pa/SPW_Payout_Freq,IF(AND(SPW_Payout_Freq=4,MOD(F271,3)=0),SPW_Amount_pa/SPW_Payout_Freq,IF(SPW_Payout_Freq=12,SPW_Amount_pa/SPW_Payout_Freq,0)))),0)+IFERROR(VLOOKUP(H271,Input!$B$68:$C$74,2,0),0)*(F271=0)*(Option_PW="Y")*(Option_SPW="N")*(age+H271&gt;=Legal_Age)</f>
        <v>0</v>
      </c>
      <c r="O271" s="148">
        <f t="shared" ca="1" si="207"/>
        <v>0</v>
      </c>
      <c r="P271" s="14">
        <f ca="1">(MAX(MAX(sa-CF270*Flag_UL_Type,105%*SUM($I$7:I271))-(AD270+L271-N271)*Flag_UL_Type,0)*B271)</f>
        <v>0</v>
      </c>
      <c r="Q271" s="213">
        <f t="shared" si="208"/>
        <v>0</v>
      </c>
      <c r="R271" s="14">
        <f t="shared" ca="1" si="209"/>
        <v>0</v>
      </c>
      <c r="S271" s="14">
        <f t="shared" ca="1" si="210"/>
        <v>0</v>
      </c>
      <c r="T271" s="14">
        <f>IFERROR(IF(WoP_Flag="Y",IF(fq=1,VLOOKUP(ppt*fq-H271,Charges!$AN$41:$AO$59,2,FALSE),IF(fq=2,VLOOKUP(ppt*fq-G271,Charges!$AP$41:$AQ$79,2,FALSE),VLOOKUP(ppt*fq-D271,Charges!$AR$41:$AS$279,2,FALSE)))*pr/fq,0),0)</f>
        <v>0</v>
      </c>
      <c r="U271" s="14">
        <f t="shared" ca="1" si="211"/>
        <v>0</v>
      </c>
      <c r="V271" s="34">
        <f>ROUND(MIN(IF(H271&gt;=7,Charges!$C$12*(1+Charges!$C$14)^((H271-7+1)),VLOOKUP(H271,Charges!$B$7:$C$12,2,0))*pr,Charges!$C$13)*B271,Round)</f>
        <v>0</v>
      </c>
      <c r="W271" s="14">
        <f t="shared" ca="1" si="212"/>
        <v>0</v>
      </c>
      <c r="X271" s="14">
        <f t="shared" ca="1" si="213"/>
        <v>0</v>
      </c>
      <c r="Y271" s="213">
        <f t="shared" ca="1" si="237"/>
        <v>0</v>
      </c>
      <c r="Z271" s="14">
        <f t="shared" ca="1" si="214"/>
        <v>0</v>
      </c>
      <c r="AA271" s="14">
        <f>IF(AND($H271=pt,$F271=11),SUM($K$7:K271)*VLOOKUP(pt,ROC,2,FALSE),0)</f>
        <v>0</v>
      </c>
      <c r="AB271" s="14">
        <f>IF(AND($H271=pt,$F271=11),SUM($V$7:V271)*VLOOKUP(pt,ROC,2,FALSE),0)</f>
        <v>0</v>
      </c>
      <c r="AC271" s="14">
        <f>IF(AND($H271=pt,$F271=11),SUM($Q$7:Q271)*VLOOKUP(pt,ROC,2,FALSE),0)</f>
        <v>0</v>
      </c>
      <c r="AD271" s="14">
        <f t="shared" ca="1" si="215"/>
        <v>0</v>
      </c>
      <c r="AE271" s="14">
        <f ca="1">(MAX(sa-CF270*Flag_UL_Type,105%*SUM($I$7:I271),Z271)+AU271)*B271</f>
        <v>0</v>
      </c>
      <c r="AF271" s="136"/>
      <c r="AG271" s="18">
        <v>265</v>
      </c>
      <c r="AH271" s="30">
        <f t="shared" ca="1" si="216"/>
        <v>0</v>
      </c>
      <c r="AI271" s="58"/>
      <c r="AJ271" s="50">
        <f>IF(AND(Option_Sys_TopUp&gt;="Y",H271&gt;=sytp,H271&lt;=(dtp+sytp-1),F271=0,H271&lt;=ppt+1),atp,0)+IFERROR(VLOOKUP(H271,Input!$B$55:$C$61,2,0),0)*(F271=0)*(Option_TopUP="Y")*(Option_Sys_TopUp="N")*B271*(pt&gt;=H271+5)</f>
        <v>0</v>
      </c>
      <c r="AK271" s="50">
        <f t="shared" si="217"/>
        <v>0</v>
      </c>
      <c r="AL271" s="50">
        <f t="shared" si="238"/>
        <v>0</v>
      </c>
      <c r="AM271" s="50">
        <f t="shared" ca="1" si="239"/>
        <v>0</v>
      </c>
      <c r="AN271" s="50">
        <f>IF(B271=0,0,AT271*(_rpm1+(1+_emr1)*VLOOKUP(E271,Tab_Mort_Charge,IF(Input!$C$12="M",2,3),0))*(0.001*0.0833)*Flag_Mort_Rider_Charge*(AT271&gt;0))</f>
        <v>0</v>
      </c>
      <c r="AO271" s="50">
        <f t="shared" ca="1" si="218"/>
        <v>0</v>
      </c>
      <c r="AP271" s="50">
        <f t="shared" ca="1" si="197"/>
        <v>0</v>
      </c>
      <c r="AQ271" s="50">
        <f t="shared" ca="1" si="219"/>
        <v>0</v>
      </c>
      <c r="AR271" s="50">
        <f t="shared" ca="1" si="220"/>
        <v>0</v>
      </c>
      <c r="AS271" s="50">
        <f t="shared" si="221"/>
        <v>0</v>
      </c>
      <c r="AT271" s="50">
        <f ca="1">(MAX((MAX(AS271,105%*SUM($AJ$7:AJ271))-AM271*Flag_UL_Type),0)*B271)</f>
        <v>0</v>
      </c>
      <c r="AU271" s="50">
        <f ca="1">(MAX(AS271,AR271,105%*SUM($AJ$7:AJ271))*B271)</f>
        <v>0</v>
      </c>
      <c r="AV271" s="125"/>
      <c r="AW271" s="13"/>
      <c r="AX271" s="13"/>
      <c r="AY271" s="13"/>
      <c r="AZ271" s="13"/>
      <c r="BA271" s="13"/>
      <c r="BG271" s="51">
        <f t="shared" si="222"/>
        <v>0</v>
      </c>
      <c r="BH271" s="51">
        <f t="shared" si="223"/>
        <v>0</v>
      </c>
      <c r="BI271" s="51">
        <f t="shared" ca="1" si="224"/>
        <v>0</v>
      </c>
      <c r="BJ271" s="51">
        <f t="shared" ca="1" si="225"/>
        <v>0</v>
      </c>
      <c r="BK271" s="51">
        <f t="shared" si="226"/>
        <v>0</v>
      </c>
      <c r="BL271" s="51">
        <f t="shared" ca="1" si="227"/>
        <v>0</v>
      </c>
      <c r="BM271" s="51">
        <f t="shared" si="228"/>
        <v>0</v>
      </c>
      <c r="BN271" s="51">
        <f t="shared" si="229"/>
        <v>0</v>
      </c>
      <c r="BO271" s="51">
        <f t="shared" ca="1" si="230"/>
        <v>0</v>
      </c>
      <c r="BP271" s="51">
        <f t="shared" ca="1" si="231"/>
        <v>0</v>
      </c>
      <c r="BQ271" s="120"/>
      <c r="BR271" s="32"/>
      <c r="BS271" s="126"/>
      <c r="BT271" s="16"/>
      <c r="BU271" s="58"/>
      <c r="BW271" s="51">
        <f>IF(Input!$C$13="Offline",VLOOKUP(H271,Charges!$AT$4:$AU$33,2,FALSE)*I271,0)</f>
        <v>0</v>
      </c>
      <c r="BX271" s="51">
        <f t="shared" si="232"/>
        <v>0</v>
      </c>
      <c r="BY271" s="51">
        <f t="shared" si="240"/>
        <v>0</v>
      </c>
      <c r="BZ271" s="151"/>
      <c r="CA271" s="151"/>
      <c r="CB271" s="32"/>
      <c r="CC271" s="16">
        <f ca="1">SUM($N$7:$N271)</f>
        <v>0</v>
      </c>
      <c r="CD271" s="16">
        <f t="shared" ca="1" si="233"/>
        <v>0</v>
      </c>
      <c r="CE271" s="16">
        <f t="shared" ca="1" si="234"/>
        <v>0</v>
      </c>
      <c r="CF271" s="7">
        <f t="shared" ca="1" si="235"/>
        <v>0</v>
      </c>
      <c r="CH271" s="7">
        <f t="shared" ca="1" si="236"/>
        <v>0</v>
      </c>
    </row>
    <row r="272" spans="2:86" s="7" customFormat="1" x14ac:dyDescent="0.2">
      <c r="B272" s="14">
        <f t="shared" si="200"/>
        <v>0</v>
      </c>
      <c r="C272" s="12">
        <f t="shared" si="201"/>
        <v>0</v>
      </c>
      <c r="D272" s="17">
        <f t="shared" si="241"/>
        <v>266</v>
      </c>
      <c r="E272" s="17">
        <f t="shared" ca="1" si="202"/>
        <v>82</v>
      </c>
      <c r="F272" s="12">
        <f t="shared" si="195"/>
        <v>1</v>
      </c>
      <c r="G272" s="12">
        <f t="shared" si="242"/>
        <v>45</v>
      </c>
      <c r="H272" s="17">
        <f t="shared" si="196"/>
        <v>23</v>
      </c>
      <c r="I272" s="29">
        <f t="shared" si="203"/>
        <v>0</v>
      </c>
      <c r="J272" s="211">
        <f>IFERROR(VLOOKUP(H272,Charges!$T$6:$U$35,2,0)*C272,0)</f>
        <v>0</v>
      </c>
      <c r="K272" s="29">
        <f t="shared" si="204"/>
        <v>0</v>
      </c>
      <c r="L272" s="29">
        <f t="shared" si="205"/>
        <v>0</v>
      </c>
      <c r="M272" s="147">
        <f t="shared" ca="1" si="206"/>
        <v>0</v>
      </c>
      <c r="N272" s="148">
        <f ca="1">IF(AND(Option_SPW="Y",H272&gt;=Lock_In_Period,Z271&gt;SPW_Amount_pa+IF(option="Single",1/5*pr,2*pr),H272&gt;=SPW_Start_Year,H272&lt;=SPW_Start_Year+SPW_Duration-1,age+H272&gt;=Legal_Age),IF(AND(F272=0,SPW_Payout_Freq=1),SPW_Amount_pa,IF(AND(SPW_Payout_Freq=2,MOD(F272,6)=0),SPW_Amount_pa/SPW_Payout_Freq,IF(AND(SPW_Payout_Freq=4,MOD(F272,3)=0),SPW_Amount_pa/SPW_Payout_Freq,IF(SPW_Payout_Freq=12,SPW_Amount_pa/SPW_Payout_Freq,0)))),0)+IFERROR(VLOOKUP(H272,Input!$B$68:$C$74,2,0),0)*(F272=0)*(Option_PW="Y")*(Option_SPW="N")*(age+H272&gt;=Legal_Age)</f>
        <v>0</v>
      </c>
      <c r="O272" s="148">
        <f t="shared" ca="1" si="207"/>
        <v>0</v>
      </c>
      <c r="P272" s="14">
        <f ca="1">(MAX(MAX(sa-CF271*Flag_UL_Type,105%*SUM($I$7:I272))-(AD271+L272-N272)*Flag_UL_Type,0)*B272)</f>
        <v>0</v>
      </c>
      <c r="Q272" s="213">
        <f t="shared" si="208"/>
        <v>0</v>
      </c>
      <c r="R272" s="14">
        <f t="shared" ca="1" si="209"/>
        <v>0</v>
      </c>
      <c r="S272" s="14">
        <f t="shared" ca="1" si="210"/>
        <v>0</v>
      </c>
      <c r="T272" s="14">
        <f>IFERROR(IF(WoP_Flag="Y",IF(fq=1,VLOOKUP(ppt*fq-H272,Charges!$AN$41:$AO$59,2,FALSE),IF(fq=2,VLOOKUP(ppt*fq-G272,Charges!$AP$41:$AQ$79,2,FALSE),VLOOKUP(ppt*fq-D272,Charges!$AR$41:$AS$279,2,FALSE)))*pr/fq,0),0)</f>
        <v>0</v>
      </c>
      <c r="U272" s="14">
        <f t="shared" ca="1" si="211"/>
        <v>0</v>
      </c>
      <c r="V272" s="34">
        <f>ROUND(MIN(IF(H272&gt;=7,Charges!$C$12*(1+Charges!$C$14)^((H272-7+1)),VLOOKUP(H272,Charges!$B$7:$C$12,2,0))*pr,Charges!$C$13)*B272,Round)</f>
        <v>0</v>
      </c>
      <c r="W272" s="14">
        <f t="shared" ca="1" si="212"/>
        <v>0</v>
      </c>
      <c r="X272" s="14">
        <f t="shared" ca="1" si="213"/>
        <v>0</v>
      </c>
      <c r="Y272" s="213">
        <f t="shared" ca="1" si="237"/>
        <v>0</v>
      </c>
      <c r="Z272" s="14">
        <f t="shared" ca="1" si="214"/>
        <v>0</v>
      </c>
      <c r="AA272" s="14">
        <f>IF(AND($H272=pt,$F272=11),SUM($K$7:K272)*VLOOKUP(pt,ROC,2,FALSE),0)</f>
        <v>0</v>
      </c>
      <c r="AB272" s="14">
        <f>IF(AND($H272=pt,$F272=11),SUM($V$7:V272)*VLOOKUP(pt,ROC,2,FALSE),0)</f>
        <v>0</v>
      </c>
      <c r="AC272" s="14">
        <f>IF(AND($H272=pt,$F272=11),SUM($Q$7:Q272)*VLOOKUP(pt,ROC,2,FALSE),0)</f>
        <v>0</v>
      </c>
      <c r="AD272" s="14">
        <f t="shared" ca="1" si="215"/>
        <v>0</v>
      </c>
      <c r="AE272" s="14">
        <f ca="1">(MAX(sa-CF271*Flag_UL_Type,105%*SUM($I$7:I272),Z272)+AU272)*B272</f>
        <v>0</v>
      </c>
      <c r="AF272" s="136"/>
      <c r="AG272" s="18">
        <v>266</v>
      </c>
      <c r="AH272" s="30">
        <f t="shared" ca="1" si="216"/>
        <v>0</v>
      </c>
      <c r="AI272" s="58"/>
      <c r="AJ272" s="50">
        <f>IF(AND(Option_Sys_TopUp&gt;="Y",H272&gt;=sytp,H272&lt;=(dtp+sytp-1),F272=0,H272&lt;=ppt+1),atp,0)+IFERROR(VLOOKUP(H272,Input!$B$55:$C$61,2,0),0)*(F272=0)*(Option_TopUP="Y")*(Option_Sys_TopUp="N")*B272*(pt&gt;=H272+5)</f>
        <v>0</v>
      </c>
      <c r="AK272" s="50">
        <f t="shared" si="217"/>
        <v>0</v>
      </c>
      <c r="AL272" s="50">
        <f t="shared" si="238"/>
        <v>0</v>
      </c>
      <c r="AM272" s="50">
        <f t="shared" ca="1" si="239"/>
        <v>0</v>
      </c>
      <c r="AN272" s="50">
        <f>IF(B272=0,0,AT272*(_rpm1+(1+_emr1)*VLOOKUP(E272,Tab_Mort_Charge,IF(Input!$C$12="M",2,3),0))*(0.001*0.0833)*Flag_Mort_Rider_Charge*(AT272&gt;0))</f>
        <v>0</v>
      </c>
      <c r="AO272" s="50">
        <f t="shared" ca="1" si="218"/>
        <v>0</v>
      </c>
      <c r="AP272" s="50">
        <f t="shared" ca="1" si="197"/>
        <v>0</v>
      </c>
      <c r="AQ272" s="50">
        <f t="shared" ca="1" si="219"/>
        <v>0</v>
      </c>
      <c r="AR272" s="50">
        <f t="shared" ca="1" si="220"/>
        <v>0</v>
      </c>
      <c r="AS272" s="50">
        <f t="shared" si="221"/>
        <v>0</v>
      </c>
      <c r="AT272" s="50">
        <f ca="1">(MAX((MAX(AS272,105%*SUM($AJ$7:AJ272))-AM272*Flag_UL_Type),0)*B272)</f>
        <v>0</v>
      </c>
      <c r="AU272" s="50">
        <f ca="1">(MAX(AS272,AR272,105%*SUM($AJ$7:AJ272))*B272)</f>
        <v>0</v>
      </c>
      <c r="AV272" s="125"/>
      <c r="AW272" s="13"/>
      <c r="AX272" s="13"/>
      <c r="AY272" s="13"/>
      <c r="AZ272" s="13"/>
      <c r="BA272" s="13"/>
      <c r="BG272" s="51">
        <f t="shared" si="222"/>
        <v>0</v>
      </c>
      <c r="BH272" s="51">
        <f t="shared" si="223"/>
        <v>0</v>
      </c>
      <c r="BI272" s="51">
        <f t="shared" ca="1" si="224"/>
        <v>0</v>
      </c>
      <c r="BJ272" s="51">
        <f t="shared" ca="1" si="225"/>
        <v>0</v>
      </c>
      <c r="BK272" s="51">
        <f t="shared" si="226"/>
        <v>0</v>
      </c>
      <c r="BL272" s="51">
        <f t="shared" ca="1" si="227"/>
        <v>0</v>
      </c>
      <c r="BM272" s="51">
        <f t="shared" si="228"/>
        <v>0</v>
      </c>
      <c r="BN272" s="51">
        <f t="shared" si="229"/>
        <v>0</v>
      </c>
      <c r="BO272" s="51">
        <f t="shared" ca="1" si="230"/>
        <v>0</v>
      </c>
      <c r="BP272" s="51">
        <f t="shared" ca="1" si="231"/>
        <v>0</v>
      </c>
      <c r="BQ272" s="120"/>
      <c r="BR272" s="32"/>
      <c r="BS272" s="126"/>
      <c r="BT272" s="16"/>
      <c r="BU272" s="58"/>
      <c r="BW272" s="51">
        <f>IF(Input!$C$13="Offline",VLOOKUP(H272,Charges!$AT$4:$AU$33,2,FALSE)*I272,0)</f>
        <v>0</v>
      </c>
      <c r="BX272" s="51">
        <f t="shared" si="232"/>
        <v>0</v>
      </c>
      <c r="BY272" s="51">
        <f t="shared" si="240"/>
        <v>0</v>
      </c>
      <c r="BZ272" s="151"/>
      <c r="CA272" s="151"/>
      <c r="CB272" s="32"/>
      <c r="CC272" s="16">
        <f ca="1">SUM($N$7:$N272)</f>
        <v>0</v>
      </c>
      <c r="CD272" s="16">
        <f t="shared" ca="1" si="233"/>
        <v>0</v>
      </c>
      <c r="CE272" s="16">
        <f t="shared" ca="1" si="234"/>
        <v>0</v>
      </c>
      <c r="CF272" s="7">
        <f t="shared" ca="1" si="235"/>
        <v>0</v>
      </c>
      <c r="CH272" s="7">
        <f t="shared" ca="1" si="236"/>
        <v>0</v>
      </c>
    </row>
    <row r="273" spans="2:86" s="7" customFormat="1" x14ac:dyDescent="0.2">
      <c r="B273" s="14">
        <f t="shared" si="200"/>
        <v>0</v>
      </c>
      <c r="C273" s="12">
        <f t="shared" si="201"/>
        <v>0</v>
      </c>
      <c r="D273" s="17">
        <f t="shared" si="241"/>
        <v>267</v>
      </c>
      <c r="E273" s="17">
        <f t="shared" ca="1" si="202"/>
        <v>82</v>
      </c>
      <c r="F273" s="12">
        <f t="shared" si="195"/>
        <v>2</v>
      </c>
      <c r="G273" s="12">
        <f t="shared" si="242"/>
        <v>45</v>
      </c>
      <c r="H273" s="17">
        <f t="shared" si="196"/>
        <v>23</v>
      </c>
      <c r="I273" s="29">
        <f t="shared" si="203"/>
        <v>0</v>
      </c>
      <c r="J273" s="211">
        <f>IFERROR(VLOOKUP(H273,Charges!$T$6:$U$35,2,0)*C273,0)</f>
        <v>0</v>
      </c>
      <c r="K273" s="29">
        <f t="shared" si="204"/>
        <v>0</v>
      </c>
      <c r="L273" s="29">
        <f t="shared" si="205"/>
        <v>0</v>
      </c>
      <c r="M273" s="147">
        <f t="shared" ca="1" si="206"/>
        <v>0</v>
      </c>
      <c r="N273" s="148">
        <f ca="1">IF(AND(Option_SPW="Y",H273&gt;=Lock_In_Period,Z272&gt;SPW_Amount_pa+IF(option="Single",1/5*pr,2*pr),H273&gt;=SPW_Start_Year,H273&lt;=SPW_Start_Year+SPW_Duration-1,age+H273&gt;=Legal_Age),IF(AND(F273=0,SPW_Payout_Freq=1),SPW_Amount_pa,IF(AND(SPW_Payout_Freq=2,MOD(F273,6)=0),SPW_Amount_pa/SPW_Payout_Freq,IF(AND(SPW_Payout_Freq=4,MOD(F273,3)=0),SPW_Amount_pa/SPW_Payout_Freq,IF(SPW_Payout_Freq=12,SPW_Amount_pa/SPW_Payout_Freq,0)))),0)+IFERROR(VLOOKUP(H273,Input!$B$68:$C$74,2,0),0)*(F273=0)*(Option_PW="Y")*(Option_SPW="N")*(age+H273&gt;=Legal_Age)</f>
        <v>0</v>
      </c>
      <c r="O273" s="148">
        <f t="shared" ca="1" si="207"/>
        <v>0</v>
      </c>
      <c r="P273" s="14">
        <f ca="1">(MAX(MAX(sa-CF272*Flag_UL_Type,105%*SUM($I$7:I273))-(AD272+L273-N273)*Flag_UL_Type,0)*B273)</f>
        <v>0</v>
      </c>
      <c r="Q273" s="213">
        <f t="shared" si="208"/>
        <v>0</v>
      </c>
      <c r="R273" s="14">
        <f t="shared" ca="1" si="209"/>
        <v>0</v>
      </c>
      <c r="S273" s="14">
        <f t="shared" ca="1" si="210"/>
        <v>0</v>
      </c>
      <c r="T273" s="14">
        <f>IFERROR(IF(WoP_Flag="Y",IF(fq=1,VLOOKUP(ppt*fq-H273,Charges!$AN$41:$AO$59,2,FALSE),IF(fq=2,VLOOKUP(ppt*fq-G273,Charges!$AP$41:$AQ$79,2,FALSE),VLOOKUP(ppt*fq-D273,Charges!$AR$41:$AS$279,2,FALSE)))*pr/fq,0),0)</f>
        <v>0</v>
      </c>
      <c r="U273" s="14">
        <f t="shared" ca="1" si="211"/>
        <v>0</v>
      </c>
      <c r="V273" s="34">
        <f>ROUND(MIN(IF(H273&gt;=7,Charges!$C$12*(1+Charges!$C$14)^((H273-7+1)),VLOOKUP(H273,Charges!$B$7:$C$12,2,0))*pr,Charges!$C$13)*B273,Round)</f>
        <v>0</v>
      </c>
      <c r="W273" s="14">
        <f t="shared" ca="1" si="212"/>
        <v>0</v>
      </c>
      <c r="X273" s="14">
        <f t="shared" ca="1" si="213"/>
        <v>0</v>
      </c>
      <c r="Y273" s="213">
        <f t="shared" ca="1" si="237"/>
        <v>0</v>
      </c>
      <c r="Z273" s="14">
        <f t="shared" ca="1" si="214"/>
        <v>0</v>
      </c>
      <c r="AA273" s="14">
        <f>IF(AND($H273=pt,$F273=11),SUM($K$7:K273)*VLOOKUP(pt,ROC,2,FALSE),0)</f>
        <v>0</v>
      </c>
      <c r="AB273" s="14">
        <f>IF(AND($H273=pt,$F273=11),SUM($V$7:V273)*VLOOKUP(pt,ROC,2,FALSE),0)</f>
        <v>0</v>
      </c>
      <c r="AC273" s="14">
        <f>IF(AND($H273=pt,$F273=11),SUM($Q$7:Q273)*VLOOKUP(pt,ROC,2,FALSE),0)</f>
        <v>0</v>
      </c>
      <c r="AD273" s="14">
        <f t="shared" ca="1" si="215"/>
        <v>0</v>
      </c>
      <c r="AE273" s="14">
        <f ca="1">(MAX(sa-CF272*Flag_UL_Type,105%*SUM($I$7:I273),Z273)+AU273)*B273</f>
        <v>0</v>
      </c>
      <c r="AF273" s="136"/>
      <c r="AG273" s="18">
        <v>267</v>
      </c>
      <c r="AH273" s="30">
        <f t="shared" ca="1" si="216"/>
        <v>0</v>
      </c>
      <c r="AI273" s="58"/>
      <c r="AJ273" s="50">
        <f>IF(AND(Option_Sys_TopUp&gt;="Y",H273&gt;=sytp,H273&lt;=(dtp+sytp-1),F273=0,H273&lt;=ppt+1),atp,0)+IFERROR(VLOOKUP(H273,Input!$B$55:$C$61,2,0),0)*(F273=0)*(Option_TopUP="Y")*(Option_Sys_TopUp="N")*B273*(pt&gt;=H273+5)</f>
        <v>0</v>
      </c>
      <c r="AK273" s="50">
        <f t="shared" si="217"/>
        <v>0</v>
      </c>
      <c r="AL273" s="50">
        <f t="shared" si="238"/>
        <v>0</v>
      </c>
      <c r="AM273" s="50">
        <f t="shared" ca="1" si="239"/>
        <v>0</v>
      </c>
      <c r="AN273" s="50">
        <f>IF(B273=0,0,AT273*(_rpm1+(1+_emr1)*VLOOKUP(E273,Tab_Mort_Charge,IF(Input!$C$12="M",2,3),0))*(0.001*0.0833)*Flag_Mort_Rider_Charge*(AT273&gt;0))</f>
        <v>0</v>
      </c>
      <c r="AO273" s="50">
        <f t="shared" ca="1" si="218"/>
        <v>0</v>
      </c>
      <c r="AP273" s="50">
        <f t="shared" ca="1" si="197"/>
        <v>0</v>
      </c>
      <c r="AQ273" s="50">
        <f t="shared" ca="1" si="219"/>
        <v>0</v>
      </c>
      <c r="AR273" s="50">
        <f t="shared" ca="1" si="220"/>
        <v>0</v>
      </c>
      <c r="AS273" s="50">
        <f t="shared" si="221"/>
        <v>0</v>
      </c>
      <c r="AT273" s="50">
        <f ca="1">(MAX((MAX(AS273,105%*SUM($AJ$7:AJ273))-AM273*Flag_UL_Type),0)*B273)</f>
        <v>0</v>
      </c>
      <c r="AU273" s="50">
        <f ca="1">(MAX(AS273,AR273,105%*SUM($AJ$7:AJ273))*B273)</f>
        <v>0</v>
      </c>
      <c r="AV273" s="125"/>
      <c r="AW273" s="13"/>
      <c r="AX273" s="13"/>
      <c r="AY273" s="13"/>
      <c r="AZ273" s="13"/>
      <c r="BA273" s="13"/>
      <c r="BG273" s="51">
        <f t="shared" si="222"/>
        <v>0</v>
      </c>
      <c r="BH273" s="51">
        <f t="shared" si="223"/>
        <v>0</v>
      </c>
      <c r="BI273" s="51">
        <f t="shared" ca="1" si="224"/>
        <v>0</v>
      </c>
      <c r="BJ273" s="51">
        <f t="shared" ca="1" si="225"/>
        <v>0</v>
      </c>
      <c r="BK273" s="51">
        <f t="shared" si="226"/>
        <v>0</v>
      </c>
      <c r="BL273" s="51">
        <f t="shared" ca="1" si="227"/>
        <v>0</v>
      </c>
      <c r="BM273" s="51">
        <f t="shared" si="228"/>
        <v>0</v>
      </c>
      <c r="BN273" s="51">
        <f t="shared" si="229"/>
        <v>0</v>
      </c>
      <c r="BO273" s="51">
        <f t="shared" ca="1" si="230"/>
        <v>0</v>
      </c>
      <c r="BP273" s="51">
        <f t="shared" ca="1" si="231"/>
        <v>0</v>
      </c>
      <c r="BQ273" s="120"/>
      <c r="BR273" s="32"/>
      <c r="BS273" s="126"/>
      <c r="BT273" s="16"/>
      <c r="BU273" s="58"/>
      <c r="BW273" s="51">
        <f>IF(Input!$C$13="Offline",VLOOKUP(H273,Charges!$AT$4:$AU$33,2,FALSE)*I273,0)</f>
        <v>0</v>
      </c>
      <c r="BX273" s="51">
        <f t="shared" si="232"/>
        <v>0</v>
      </c>
      <c r="BY273" s="51">
        <f t="shared" si="240"/>
        <v>0</v>
      </c>
      <c r="BZ273" s="151"/>
      <c r="CA273" s="151"/>
      <c r="CB273" s="32"/>
      <c r="CC273" s="16">
        <f ca="1">SUM($N$7:$N273)</f>
        <v>0</v>
      </c>
      <c r="CD273" s="16">
        <f t="shared" ca="1" si="233"/>
        <v>0</v>
      </c>
      <c r="CE273" s="16">
        <f t="shared" ca="1" si="234"/>
        <v>0</v>
      </c>
      <c r="CF273" s="7">
        <f t="shared" ca="1" si="235"/>
        <v>0</v>
      </c>
      <c r="CH273" s="7">
        <f t="shared" ca="1" si="236"/>
        <v>0</v>
      </c>
    </row>
    <row r="274" spans="2:86" s="7" customFormat="1" x14ac:dyDescent="0.2">
      <c r="B274" s="14">
        <f t="shared" si="200"/>
        <v>0</v>
      </c>
      <c r="C274" s="12">
        <f t="shared" si="201"/>
        <v>0</v>
      </c>
      <c r="D274" s="17">
        <f t="shared" si="241"/>
        <v>268</v>
      </c>
      <c r="E274" s="17">
        <f t="shared" ca="1" si="202"/>
        <v>82</v>
      </c>
      <c r="F274" s="12">
        <f t="shared" si="195"/>
        <v>3</v>
      </c>
      <c r="G274" s="12">
        <f t="shared" si="242"/>
        <v>45</v>
      </c>
      <c r="H274" s="17">
        <f t="shared" si="196"/>
        <v>23</v>
      </c>
      <c r="I274" s="29">
        <f t="shared" si="203"/>
        <v>0</v>
      </c>
      <c r="J274" s="211">
        <f>IFERROR(VLOOKUP(H274,Charges!$T$6:$U$35,2,0)*C274,0)</f>
        <v>0</v>
      </c>
      <c r="K274" s="29">
        <f t="shared" si="204"/>
        <v>0</v>
      </c>
      <c r="L274" s="29">
        <f t="shared" si="205"/>
        <v>0</v>
      </c>
      <c r="M274" s="147">
        <f t="shared" ca="1" si="206"/>
        <v>0</v>
      </c>
      <c r="N274" s="148">
        <f ca="1">IF(AND(Option_SPW="Y",H274&gt;=Lock_In_Period,Z273&gt;SPW_Amount_pa+IF(option="Single",1/5*pr,2*pr),H274&gt;=SPW_Start_Year,H274&lt;=SPW_Start_Year+SPW_Duration-1,age+H274&gt;=Legal_Age),IF(AND(F274=0,SPW_Payout_Freq=1),SPW_Amount_pa,IF(AND(SPW_Payout_Freq=2,MOD(F274,6)=0),SPW_Amount_pa/SPW_Payout_Freq,IF(AND(SPW_Payout_Freq=4,MOD(F274,3)=0),SPW_Amount_pa/SPW_Payout_Freq,IF(SPW_Payout_Freq=12,SPW_Amount_pa/SPW_Payout_Freq,0)))),0)+IFERROR(VLOOKUP(H274,Input!$B$68:$C$74,2,0),0)*(F274=0)*(Option_PW="Y")*(Option_SPW="N")*(age+H274&gt;=Legal_Age)</f>
        <v>0</v>
      </c>
      <c r="O274" s="148">
        <f t="shared" ca="1" si="207"/>
        <v>0</v>
      </c>
      <c r="P274" s="14">
        <f ca="1">(MAX(MAX(sa-CF273*Flag_UL_Type,105%*SUM($I$7:I274))-(AD273+L274-N274)*Flag_UL_Type,0)*B274)</f>
        <v>0</v>
      </c>
      <c r="Q274" s="213">
        <f t="shared" si="208"/>
        <v>0</v>
      </c>
      <c r="R274" s="14">
        <f t="shared" ca="1" si="209"/>
        <v>0</v>
      </c>
      <c r="S274" s="14">
        <f t="shared" ca="1" si="210"/>
        <v>0</v>
      </c>
      <c r="T274" s="14">
        <f>IFERROR(IF(WoP_Flag="Y",IF(fq=1,VLOOKUP(ppt*fq-H274,Charges!$AN$41:$AO$59,2,FALSE),IF(fq=2,VLOOKUP(ppt*fq-G274,Charges!$AP$41:$AQ$79,2,FALSE),VLOOKUP(ppt*fq-D274,Charges!$AR$41:$AS$279,2,FALSE)))*pr/fq,0),0)</f>
        <v>0</v>
      </c>
      <c r="U274" s="14">
        <f t="shared" ca="1" si="211"/>
        <v>0</v>
      </c>
      <c r="V274" s="34">
        <f>ROUND(MIN(IF(H274&gt;=7,Charges!$C$12*(1+Charges!$C$14)^((H274-7+1)),VLOOKUP(H274,Charges!$B$7:$C$12,2,0))*pr,Charges!$C$13)*B274,Round)</f>
        <v>0</v>
      </c>
      <c r="W274" s="14">
        <f t="shared" ca="1" si="212"/>
        <v>0</v>
      </c>
      <c r="X274" s="14">
        <f t="shared" ca="1" si="213"/>
        <v>0</v>
      </c>
      <c r="Y274" s="213">
        <f t="shared" ca="1" si="237"/>
        <v>0</v>
      </c>
      <c r="Z274" s="14">
        <f t="shared" ca="1" si="214"/>
        <v>0</v>
      </c>
      <c r="AA274" s="14">
        <f>IF(AND($H274=pt,$F274=11),SUM($K$7:K274)*VLOOKUP(pt,ROC,2,FALSE),0)</f>
        <v>0</v>
      </c>
      <c r="AB274" s="14">
        <f>IF(AND($H274=pt,$F274=11),SUM($V$7:V274)*VLOOKUP(pt,ROC,2,FALSE),0)</f>
        <v>0</v>
      </c>
      <c r="AC274" s="14">
        <f>IF(AND($H274=pt,$F274=11),SUM($Q$7:Q274)*VLOOKUP(pt,ROC,2,FALSE),0)</f>
        <v>0</v>
      </c>
      <c r="AD274" s="14">
        <f t="shared" ca="1" si="215"/>
        <v>0</v>
      </c>
      <c r="AE274" s="14">
        <f ca="1">(MAX(sa-CF273*Flag_UL_Type,105%*SUM($I$7:I274),Z274)+AU274)*B274</f>
        <v>0</v>
      </c>
      <c r="AF274" s="136"/>
      <c r="AG274" s="18">
        <v>268</v>
      </c>
      <c r="AH274" s="30">
        <f t="shared" ca="1" si="216"/>
        <v>0</v>
      </c>
      <c r="AI274" s="58"/>
      <c r="AJ274" s="50">
        <f>IF(AND(Option_Sys_TopUp&gt;="Y",H274&gt;=sytp,H274&lt;=(dtp+sytp-1),F274=0,H274&lt;=ppt+1),atp,0)+IFERROR(VLOOKUP(H274,Input!$B$55:$C$61,2,0),0)*(F274=0)*(Option_TopUP="Y")*(Option_Sys_TopUp="N")*B274*(pt&gt;=H274+5)</f>
        <v>0</v>
      </c>
      <c r="AK274" s="50">
        <f t="shared" si="217"/>
        <v>0</v>
      </c>
      <c r="AL274" s="50">
        <f t="shared" si="238"/>
        <v>0</v>
      </c>
      <c r="AM274" s="50">
        <f t="shared" ca="1" si="239"/>
        <v>0</v>
      </c>
      <c r="AN274" s="50">
        <f>IF(B274=0,0,AT274*(_rpm1+(1+_emr1)*VLOOKUP(E274,Tab_Mort_Charge,IF(Input!$C$12="M",2,3),0))*(0.001*0.0833)*Flag_Mort_Rider_Charge*(AT274&gt;0))</f>
        <v>0</v>
      </c>
      <c r="AO274" s="50">
        <f t="shared" ca="1" si="218"/>
        <v>0</v>
      </c>
      <c r="AP274" s="50">
        <f t="shared" ca="1" si="197"/>
        <v>0</v>
      </c>
      <c r="AQ274" s="50">
        <f t="shared" ca="1" si="219"/>
        <v>0</v>
      </c>
      <c r="AR274" s="50">
        <f t="shared" ca="1" si="220"/>
        <v>0</v>
      </c>
      <c r="AS274" s="50">
        <f t="shared" si="221"/>
        <v>0</v>
      </c>
      <c r="AT274" s="50">
        <f ca="1">(MAX((MAX(AS274,105%*SUM($AJ$7:AJ274))-AM274*Flag_UL_Type),0)*B274)</f>
        <v>0</v>
      </c>
      <c r="AU274" s="50">
        <f ca="1">(MAX(AS274,AR274,105%*SUM($AJ$7:AJ274))*B274)</f>
        <v>0</v>
      </c>
      <c r="AV274" s="125"/>
      <c r="AW274" s="13"/>
      <c r="AX274" s="13"/>
      <c r="AY274" s="13"/>
      <c r="AZ274" s="13"/>
      <c r="BA274" s="13"/>
      <c r="BG274" s="51">
        <f t="shared" si="222"/>
        <v>0</v>
      </c>
      <c r="BH274" s="51">
        <f t="shared" si="223"/>
        <v>0</v>
      </c>
      <c r="BI274" s="51">
        <f t="shared" ca="1" si="224"/>
        <v>0</v>
      </c>
      <c r="BJ274" s="51">
        <f t="shared" ca="1" si="225"/>
        <v>0</v>
      </c>
      <c r="BK274" s="51">
        <f t="shared" si="226"/>
        <v>0</v>
      </c>
      <c r="BL274" s="51">
        <f t="shared" ca="1" si="227"/>
        <v>0</v>
      </c>
      <c r="BM274" s="51">
        <f t="shared" si="228"/>
        <v>0</v>
      </c>
      <c r="BN274" s="51">
        <f t="shared" si="229"/>
        <v>0</v>
      </c>
      <c r="BO274" s="51">
        <f t="shared" ca="1" si="230"/>
        <v>0</v>
      </c>
      <c r="BP274" s="51">
        <f t="shared" ca="1" si="231"/>
        <v>0</v>
      </c>
      <c r="BQ274" s="120"/>
      <c r="BR274" s="32"/>
      <c r="BS274" s="126"/>
      <c r="BT274" s="16"/>
      <c r="BU274" s="58"/>
      <c r="BW274" s="51">
        <f>IF(Input!$C$13="Offline",VLOOKUP(H274,Charges!$AT$4:$AU$33,2,FALSE)*I274,0)</f>
        <v>0</v>
      </c>
      <c r="BX274" s="51">
        <f t="shared" si="232"/>
        <v>0</v>
      </c>
      <c r="BY274" s="51">
        <f t="shared" si="240"/>
        <v>0</v>
      </c>
      <c r="BZ274" s="151"/>
      <c r="CA274" s="151"/>
      <c r="CB274" s="32"/>
      <c r="CC274" s="16">
        <f ca="1">SUM($N$7:$N274)</f>
        <v>0</v>
      </c>
      <c r="CD274" s="16">
        <f t="shared" ca="1" si="233"/>
        <v>0</v>
      </c>
      <c r="CE274" s="16">
        <f t="shared" ca="1" si="234"/>
        <v>0</v>
      </c>
      <c r="CF274" s="7">
        <f t="shared" ca="1" si="235"/>
        <v>0</v>
      </c>
      <c r="CH274" s="7">
        <f t="shared" ca="1" si="236"/>
        <v>0</v>
      </c>
    </row>
    <row r="275" spans="2:86" s="7" customFormat="1" x14ac:dyDescent="0.2">
      <c r="B275" s="14">
        <f t="shared" si="200"/>
        <v>0</v>
      </c>
      <c r="C275" s="12">
        <f t="shared" si="201"/>
        <v>0</v>
      </c>
      <c r="D275" s="17">
        <f t="shared" si="241"/>
        <v>269</v>
      </c>
      <c r="E275" s="17">
        <f t="shared" ca="1" si="202"/>
        <v>82</v>
      </c>
      <c r="F275" s="12">
        <f t="shared" si="195"/>
        <v>4</v>
      </c>
      <c r="G275" s="12">
        <f t="shared" si="242"/>
        <v>45</v>
      </c>
      <c r="H275" s="17">
        <f t="shared" si="196"/>
        <v>23</v>
      </c>
      <c r="I275" s="29">
        <f t="shared" si="203"/>
        <v>0</v>
      </c>
      <c r="J275" s="211">
        <f>IFERROR(VLOOKUP(H275,Charges!$T$6:$U$35,2,0)*C275,0)</f>
        <v>0</v>
      </c>
      <c r="K275" s="29">
        <f t="shared" si="204"/>
        <v>0</v>
      </c>
      <c r="L275" s="29">
        <f t="shared" si="205"/>
        <v>0</v>
      </c>
      <c r="M275" s="147">
        <f t="shared" ca="1" si="206"/>
        <v>0</v>
      </c>
      <c r="N275" s="148">
        <f ca="1">IF(AND(Option_SPW="Y",H275&gt;=Lock_In_Period,Z274&gt;SPW_Amount_pa+IF(option="Single",1/5*pr,2*pr),H275&gt;=SPW_Start_Year,H275&lt;=SPW_Start_Year+SPW_Duration-1,age+H275&gt;=Legal_Age),IF(AND(F275=0,SPW_Payout_Freq=1),SPW_Amount_pa,IF(AND(SPW_Payout_Freq=2,MOD(F275,6)=0),SPW_Amount_pa/SPW_Payout_Freq,IF(AND(SPW_Payout_Freq=4,MOD(F275,3)=0),SPW_Amount_pa/SPW_Payout_Freq,IF(SPW_Payout_Freq=12,SPW_Amount_pa/SPW_Payout_Freq,0)))),0)+IFERROR(VLOOKUP(H275,Input!$B$68:$C$74,2,0),0)*(F275=0)*(Option_PW="Y")*(Option_SPW="N")*(age+H275&gt;=Legal_Age)</f>
        <v>0</v>
      </c>
      <c r="O275" s="148">
        <f t="shared" ca="1" si="207"/>
        <v>0</v>
      </c>
      <c r="P275" s="14">
        <f ca="1">(MAX(MAX(sa-CF274*Flag_UL_Type,105%*SUM($I$7:I275))-(AD274+L275-N275)*Flag_UL_Type,0)*B275)</f>
        <v>0</v>
      </c>
      <c r="Q275" s="213">
        <f t="shared" si="208"/>
        <v>0</v>
      </c>
      <c r="R275" s="14">
        <f t="shared" ca="1" si="209"/>
        <v>0</v>
      </c>
      <c r="S275" s="14">
        <f t="shared" ca="1" si="210"/>
        <v>0</v>
      </c>
      <c r="T275" s="14">
        <f>IFERROR(IF(WoP_Flag="Y",IF(fq=1,VLOOKUP(ppt*fq-H275,Charges!$AN$41:$AO$59,2,FALSE),IF(fq=2,VLOOKUP(ppt*fq-G275,Charges!$AP$41:$AQ$79,2,FALSE),VLOOKUP(ppt*fq-D275,Charges!$AR$41:$AS$279,2,FALSE)))*pr/fq,0),0)</f>
        <v>0</v>
      </c>
      <c r="U275" s="14">
        <f t="shared" ca="1" si="211"/>
        <v>0</v>
      </c>
      <c r="V275" s="34">
        <f>ROUND(MIN(IF(H275&gt;=7,Charges!$C$12*(1+Charges!$C$14)^((H275-7+1)),VLOOKUP(H275,Charges!$B$7:$C$12,2,0))*pr,Charges!$C$13)*B275,Round)</f>
        <v>0</v>
      </c>
      <c r="W275" s="14">
        <f t="shared" ca="1" si="212"/>
        <v>0</v>
      </c>
      <c r="X275" s="14">
        <f t="shared" ca="1" si="213"/>
        <v>0</v>
      </c>
      <c r="Y275" s="213">
        <f t="shared" ca="1" si="237"/>
        <v>0</v>
      </c>
      <c r="Z275" s="14">
        <f t="shared" ca="1" si="214"/>
        <v>0</v>
      </c>
      <c r="AA275" s="14">
        <f>IF(AND($H275=pt,$F275=11),SUM($K$7:K275)*VLOOKUP(pt,ROC,2,FALSE),0)</f>
        <v>0</v>
      </c>
      <c r="AB275" s="14">
        <f>IF(AND($H275=pt,$F275=11),SUM($V$7:V275)*VLOOKUP(pt,ROC,2,FALSE),0)</f>
        <v>0</v>
      </c>
      <c r="AC275" s="14">
        <f>IF(AND($H275=pt,$F275=11),SUM($Q$7:Q275)*VLOOKUP(pt,ROC,2,FALSE),0)</f>
        <v>0</v>
      </c>
      <c r="AD275" s="14">
        <f t="shared" ca="1" si="215"/>
        <v>0</v>
      </c>
      <c r="AE275" s="14">
        <f ca="1">(MAX(sa-CF274*Flag_UL_Type,105%*SUM($I$7:I275),Z275)+AU275)*B275</f>
        <v>0</v>
      </c>
      <c r="AF275" s="136"/>
      <c r="AG275" s="18">
        <v>269</v>
      </c>
      <c r="AH275" s="30">
        <f t="shared" ca="1" si="216"/>
        <v>0</v>
      </c>
      <c r="AI275" s="58"/>
      <c r="AJ275" s="50">
        <f>IF(AND(Option_Sys_TopUp&gt;="Y",H275&gt;=sytp,H275&lt;=(dtp+sytp-1),F275=0,H275&lt;=ppt+1),atp,0)+IFERROR(VLOOKUP(H275,Input!$B$55:$C$61,2,0),0)*(F275=0)*(Option_TopUP="Y")*(Option_Sys_TopUp="N")*B275*(pt&gt;=H275+5)</f>
        <v>0</v>
      </c>
      <c r="AK275" s="50">
        <f t="shared" si="217"/>
        <v>0</v>
      </c>
      <c r="AL275" s="50">
        <f t="shared" si="238"/>
        <v>0</v>
      </c>
      <c r="AM275" s="50">
        <f t="shared" ca="1" si="239"/>
        <v>0</v>
      </c>
      <c r="AN275" s="50">
        <f>IF(B275=0,0,AT275*(_rpm1+(1+_emr1)*VLOOKUP(E275,Tab_Mort_Charge,IF(Input!$C$12="M",2,3),0))*(0.001*0.0833)*Flag_Mort_Rider_Charge*(AT275&gt;0))</f>
        <v>0</v>
      </c>
      <c r="AO275" s="50">
        <f t="shared" ca="1" si="218"/>
        <v>0</v>
      </c>
      <c r="AP275" s="50">
        <f t="shared" ca="1" si="197"/>
        <v>0</v>
      </c>
      <c r="AQ275" s="50">
        <f t="shared" ca="1" si="219"/>
        <v>0</v>
      </c>
      <c r="AR275" s="50">
        <f t="shared" ca="1" si="220"/>
        <v>0</v>
      </c>
      <c r="AS275" s="50">
        <f t="shared" si="221"/>
        <v>0</v>
      </c>
      <c r="AT275" s="50">
        <f ca="1">(MAX((MAX(AS275,105%*SUM($AJ$7:AJ275))-AM275*Flag_UL_Type),0)*B275)</f>
        <v>0</v>
      </c>
      <c r="AU275" s="50">
        <f ca="1">(MAX(AS275,AR275,105%*SUM($AJ$7:AJ275))*B275)</f>
        <v>0</v>
      </c>
      <c r="AV275" s="125"/>
      <c r="AW275" s="13"/>
      <c r="AX275" s="13"/>
      <c r="AY275" s="13"/>
      <c r="AZ275" s="13"/>
      <c r="BA275" s="13"/>
      <c r="BG275" s="51">
        <f t="shared" si="222"/>
        <v>0</v>
      </c>
      <c r="BH275" s="51">
        <f t="shared" si="223"/>
        <v>0</v>
      </c>
      <c r="BI275" s="51">
        <f t="shared" ca="1" si="224"/>
        <v>0</v>
      </c>
      <c r="BJ275" s="51">
        <f t="shared" ca="1" si="225"/>
        <v>0</v>
      </c>
      <c r="BK275" s="51">
        <f t="shared" si="226"/>
        <v>0</v>
      </c>
      <c r="BL275" s="51">
        <f t="shared" ca="1" si="227"/>
        <v>0</v>
      </c>
      <c r="BM275" s="51">
        <f t="shared" si="228"/>
        <v>0</v>
      </c>
      <c r="BN275" s="51">
        <f t="shared" si="229"/>
        <v>0</v>
      </c>
      <c r="BO275" s="51">
        <f t="shared" ca="1" si="230"/>
        <v>0</v>
      </c>
      <c r="BP275" s="51">
        <f t="shared" ca="1" si="231"/>
        <v>0</v>
      </c>
      <c r="BQ275" s="120"/>
      <c r="BR275" s="32"/>
      <c r="BS275" s="126"/>
      <c r="BT275" s="16"/>
      <c r="BU275" s="58"/>
      <c r="BW275" s="51">
        <f>IF(Input!$C$13="Offline",VLOOKUP(H275,Charges!$AT$4:$AU$33,2,FALSE)*I275,0)</f>
        <v>0</v>
      </c>
      <c r="BX275" s="51">
        <f t="shared" si="232"/>
        <v>0</v>
      </c>
      <c r="BY275" s="51">
        <f t="shared" si="240"/>
        <v>0</v>
      </c>
      <c r="BZ275" s="151"/>
      <c r="CA275" s="151"/>
      <c r="CB275" s="32"/>
      <c r="CC275" s="16">
        <f ca="1">SUM($N$7:$N275)</f>
        <v>0</v>
      </c>
      <c r="CD275" s="16">
        <f t="shared" ca="1" si="233"/>
        <v>0</v>
      </c>
      <c r="CE275" s="16">
        <f t="shared" ca="1" si="234"/>
        <v>0</v>
      </c>
      <c r="CF275" s="7">
        <f t="shared" ca="1" si="235"/>
        <v>0</v>
      </c>
      <c r="CH275" s="7">
        <f t="shared" ca="1" si="236"/>
        <v>0</v>
      </c>
    </row>
    <row r="276" spans="2:86" s="7" customFormat="1" x14ac:dyDescent="0.2">
      <c r="B276" s="14">
        <f t="shared" si="200"/>
        <v>0</v>
      </c>
      <c r="C276" s="12">
        <f t="shared" si="201"/>
        <v>0</v>
      </c>
      <c r="D276" s="17">
        <f t="shared" si="241"/>
        <v>270</v>
      </c>
      <c r="E276" s="17">
        <f t="shared" ca="1" si="202"/>
        <v>82</v>
      </c>
      <c r="F276" s="12">
        <f t="shared" ref="F276:F339" si="243">F264</f>
        <v>5</v>
      </c>
      <c r="G276" s="12">
        <f t="shared" si="242"/>
        <v>45</v>
      </c>
      <c r="H276" s="17">
        <f t="shared" ref="H276:H339" si="244">+H264+1</f>
        <v>23</v>
      </c>
      <c r="I276" s="29">
        <f t="shared" si="203"/>
        <v>0</v>
      </c>
      <c r="J276" s="211">
        <f>IFERROR(VLOOKUP(H276,Charges!$T$6:$U$35,2,0)*C276,0)</f>
        <v>0</v>
      </c>
      <c r="K276" s="29">
        <f t="shared" si="204"/>
        <v>0</v>
      </c>
      <c r="L276" s="29">
        <f t="shared" si="205"/>
        <v>0</v>
      </c>
      <c r="M276" s="147">
        <f t="shared" ca="1" si="206"/>
        <v>0</v>
      </c>
      <c r="N276" s="148">
        <f ca="1">IF(AND(Option_SPW="Y",H276&gt;=Lock_In_Period,Z275&gt;SPW_Amount_pa+IF(option="Single",1/5*pr,2*pr),H276&gt;=SPW_Start_Year,H276&lt;=SPW_Start_Year+SPW_Duration-1,age+H276&gt;=Legal_Age),IF(AND(F276=0,SPW_Payout_Freq=1),SPW_Amount_pa,IF(AND(SPW_Payout_Freq=2,MOD(F276,6)=0),SPW_Amount_pa/SPW_Payout_Freq,IF(AND(SPW_Payout_Freq=4,MOD(F276,3)=0),SPW_Amount_pa/SPW_Payout_Freq,IF(SPW_Payout_Freq=12,SPW_Amount_pa/SPW_Payout_Freq,0)))),0)+IFERROR(VLOOKUP(H276,Input!$B$68:$C$74,2,0),0)*(F276=0)*(Option_PW="Y")*(Option_SPW="N")*(age+H276&gt;=Legal_Age)</f>
        <v>0</v>
      </c>
      <c r="O276" s="148">
        <f t="shared" ca="1" si="207"/>
        <v>0</v>
      </c>
      <c r="P276" s="14">
        <f ca="1">(MAX(MAX(sa-CF275*Flag_UL_Type,105%*SUM($I$7:I276))-(AD275+L276-N276)*Flag_UL_Type,0)*B276)</f>
        <v>0</v>
      </c>
      <c r="Q276" s="213">
        <f t="shared" si="208"/>
        <v>0</v>
      </c>
      <c r="R276" s="14">
        <f t="shared" ca="1" si="209"/>
        <v>0</v>
      </c>
      <c r="S276" s="14">
        <f t="shared" ca="1" si="210"/>
        <v>0</v>
      </c>
      <c r="T276" s="14">
        <f>IFERROR(IF(WoP_Flag="Y",IF(fq=1,VLOOKUP(ppt*fq-H276,Charges!$AN$41:$AO$59,2,FALSE),IF(fq=2,VLOOKUP(ppt*fq-G276,Charges!$AP$41:$AQ$79,2,FALSE),VLOOKUP(ppt*fq-D276,Charges!$AR$41:$AS$279,2,FALSE)))*pr/fq,0),0)</f>
        <v>0</v>
      </c>
      <c r="U276" s="14">
        <f t="shared" ca="1" si="211"/>
        <v>0</v>
      </c>
      <c r="V276" s="34">
        <f>ROUND(MIN(IF(H276&gt;=7,Charges!$C$12*(1+Charges!$C$14)^((H276-7+1)),VLOOKUP(H276,Charges!$B$7:$C$12,2,0))*pr,Charges!$C$13)*B276,Round)</f>
        <v>0</v>
      </c>
      <c r="W276" s="14">
        <f t="shared" ca="1" si="212"/>
        <v>0</v>
      </c>
      <c r="X276" s="14">
        <f t="shared" ca="1" si="213"/>
        <v>0</v>
      </c>
      <c r="Y276" s="213">
        <f t="shared" ca="1" si="237"/>
        <v>0</v>
      </c>
      <c r="Z276" s="14">
        <f t="shared" ca="1" si="214"/>
        <v>0</v>
      </c>
      <c r="AA276" s="14">
        <f>IF(AND($H276=pt,$F276=11),SUM($K$7:K276)*VLOOKUP(pt,ROC,2,FALSE),0)</f>
        <v>0</v>
      </c>
      <c r="AB276" s="14">
        <f>IF(AND($H276=pt,$F276=11),SUM($V$7:V276)*VLOOKUP(pt,ROC,2,FALSE),0)</f>
        <v>0</v>
      </c>
      <c r="AC276" s="14">
        <f>IF(AND($H276=pt,$F276=11),SUM($Q$7:Q276)*VLOOKUP(pt,ROC,2,FALSE),0)</f>
        <v>0</v>
      </c>
      <c r="AD276" s="14">
        <f t="shared" ca="1" si="215"/>
        <v>0</v>
      </c>
      <c r="AE276" s="14">
        <f ca="1">(MAX(sa-CF275*Flag_UL_Type,105%*SUM($I$7:I276),Z276)+AU276)*B276</f>
        <v>0</v>
      </c>
      <c r="AF276" s="136"/>
      <c r="AG276" s="18">
        <v>270</v>
      </c>
      <c r="AH276" s="30">
        <f t="shared" ca="1" si="216"/>
        <v>0</v>
      </c>
      <c r="AI276" s="58"/>
      <c r="AJ276" s="50">
        <f>IF(AND(Option_Sys_TopUp&gt;="Y",H276&gt;=sytp,H276&lt;=(dtp+sytp-1),F276=0,H276&lt;=ppt+1),atp,0)+IFERROR(VLOOKUP(H276,Input!$B$55:$C$61,2,0),0)*(F276=0)*(Option_TopUP="Y")*(Option_Sys_TopUp="N")*B276*(pt&gt;=H276+5)</f>
        <v>0</v>
      </c>
      <c r="AK276" s="50">
        <f t="shared" si="217"/>
        <v>0</v>
      </c>
      <c r="AL276" s="50">
        <f t="shared" si="238"/>
        <v>0</v>
      </c>
      <c r="AM276" s="50">
        <f t="shared" ca="1" si="239"/>
        <v>0</v>
      </c>
      <c r="AN276" s="50">
        <f>IF(B276=0,0,AT276*(_rpm1+(1+_emr1)*VLOOKUP(E276,Tab_Mort_Charge,IF(Input!$C$12="M",2,3),0))*(0.001*0.0833)*Flag_Mort_Rider_Charge*(AT276&gt;0))</f>
        <v>0</v>
      </c>
      <c r="AO276" s="50">
        <f t="shared" ca="1" si="218"/>
        <v>0</v>
      </c>
      <c r="AP276" s="50">
        <f t="shared" ca="1" si="197"/>
        <v>0</v>
      </c>
      <c r="AQ276" s="50">
        <f t="shared" ca="1" si="219"/>
        <v>0</v>
      </c>
      <c r="AR276" s="50">
        <f t="shared" ca="1" si="220"/>
        <v>0</v>
      </c>
      <c r="AS276" s="50">
        <f t="shared" si="221"/>
        <v>0</v>
      </c>
      <c r="AT276" s="50">
        <f ca="1">(MAX((MAX(AS276,105%*SUM($AJ$7:AJ276))-AM276*Flag_UL_Type),0)*B276)</f>
        <v>0</v>
      </c>
      <c r="AU276" s="50">
        <f ca="1">(MAX(AS276,AR276,105%*SUM($AJ$7:AJ276))*B276)</f>
        <v>0</v>
      </c>
      <c r="AV276" s="125"/>
      <c r="AW276" s="13"/>
      <c r="AX276" s="13"/>
      <c r="AY276" s="13"/>
      <c r="AZ276" s="13"/>
      <c r="BA276" s="13"/>
      <c r="BG276" s="51">
        <f t="shared" si="222"/>
        <v>0</v>
      </c>
      <c r="BH276" s="51">
        <f t="shared" si="223"/>
        <v>0</v>
      </c>
      <c r="BI276" s="51">
        <f t="shared" ca="1" si="224"/>
        <v>0</v>
      </c>
      <c r="BJ276" s="51">
        <f t="shared" ca="1" si="225"/>
        <v>0</v>
      </c>
      <c r="BK276" s="51">
        <f t="shared" si="226"/>
        <v>0</v>
      </c>
      <c r="BL276" s="51">
        <f t="shared" ca="1" si="227"/>
        <v>0</v>
      </c>
      <c r="BM276" s="51">
        <f t="shared" si="228"/>
        <v>0</v>
      </c>
      <c r="BN276" s="51">
        <f t="shared" si="229"/>
        <v>0</v>
      </c>
      <c r="BO276" s="51">
        <f t="shared" ca="1" si="230"/>
        <v>0</v>
      </c>
      <c r="BP276" s="51">
        <f t="shared" ca="1" si="231"/>
        <v>0</v>
      </c>
      <c r="BQ276" s="120"/>
      <c r="BR276" s="32"/>
      <c r="BS276" s="126"/>
      <c r="BT276" s="16"/>
      <c r="BU276" s="58"/>
      <c r="BW276" s="51">
        <f>IF(Input!$C$13="Offline",VLOOKUP(H276,Charges!$AT$4:$AU$33,2,FALSE)*I276,0)</f>
        <v>0</v>
      </c>
      <c r="BX276" s="51">
        <f t="shared" si="232"/>
        <v>0</v>
      </c>
      <c r="BY276" s="51">
        <f t="shared" si="240"/>
        <v>0</v>
      </c>
      <c r="BZ276" s="151"/>
      <c r="CA276" s="151"/>
      <c r="CB276" s="32"/>
      <c r="CC276" s="16">
        <f ca="1">SUM($N$7:$N276)</f>
        <v>0</v>
      </c>
      <c r="CD276" s="16">
        <f t="shared" ca="1" si="233"/>
        <v>0</v>
      </c>
      <c r="CE276" s="16">
        <f t="shared" ca="1" si="234"/>
        <v>0</v>
      </c>
      <c r="CF276" s="7">
        <f t="shared" ca="1" si="235"/>
        <v>0</v>
      </c>
      <c r="CH276" s="7">
        <f t="shared" ca="1" si="236"/>
        <v>0</v>
      </c>
    </row>
    <row r="277" spans="2:86" s="7" customFormat="1" x14ac:dyDescent="0.2">
      <c r="B277" s="14">
        <f t="shared" si="200"/>
        <v>0</v>
      </c>
      <c r="C277" s="12">
        <f t="shared" si="201"/>
        <v>0</v>
      </c>
      <c r="D277" s="17">
        <f t="shared" si="241"/>
        <v>271</v>
      </c>
      <c r="E277" s="17">
        <f t="shared" ca="1" si="202"/>
        <v>82</v>
      </c>
      <c r="F277" s="12">
        <f t="shared" si="243"/>
        <v>6</v>
      </c>
      <c r="G277" s="12">
        <f t="shared" si="242"/>
        <v>46</v>
      </c>
      <c r="H277" s="17">
        <f t="shared" si="244"/>
        <v>23</v>
      </c>
      <c r="I277" s="29">
        <f t="shared" si="203"/>
        <v>0</v>
      </c>
      <c r="J277" s="211">
        <f>IFERROR(VLOOKUP(H277,Charges!$T$6:$U$35,2,0)*C277,0)</f>
        <v>0</v>
      </c>
      <c r="K277" s="29">
        <f t="shared" si="204"/>
        <v>0</v>
      </c>
      <c r="L277" s="29">
        <f t="shared" si="205"/>
        <v>0</v>
      </c>
      <c r="M277" s="147">
        <f t="shared" ca="1" si="206"/>
        <v>0</v>
      </c>
      <c r="N277" s="148">
        <f ca="1">IF(AND(Option_SPW="Y",H277&gt;=Lock_In_Period,Z276&gt;SPW_Amount_pa+IF(option="Single",1/5*pr,2*pr),H277&gt;=SPW_Start_Year,H277&lt;=SPW_Start_Year+SPW_Duration-1,age+H277&gt;=Legal_Age),IF(AND(F277=0,SPW_Payout_Freq=1),SPW_Amount_pa,IF(AND(SPW_Payout_Freq=2,MOD(F277,6)=0),SPW_Amount_pa/SPW_Payout_Freq,IF(AND(SPW_Payout_Freq=4,MOD(F277,3)=0),SPW_Amount_pa/SPW_Payout_Freq,IF(SPW_Payout_Freq=12,SPW_Amount_pa/SPW_Payout_Freq,0)))),0)+IFERROR(VLOOKUP(H277,Input!$B$68:$C$74,2,0),0)*(F277=0)*(Option_PW="Y")*(Option_SPW="N")*(age+H277&gt;=Legal_Age)</f>
        <v>0</v>
      </c>
      <c r="O277" s="148">
        <f t="shared" ca="1" si="207"/>
        <v>0</v>
      </c>
      <c r="P277" s="14">
        <f ca="1">(MAX(MAX(sa-CF276*Flag_UL_Type,105%*SUM($I$7:I277))-(AD276+L277-N277)*Flag_UL_Type,0)*B277)</f>
        <v>0</v>
      </c>
      <c r="Q277" s="213">
        <f t="shared" si="208"/>
        <v>0</v>
      </c>
      <c r="R277" s="14">
        <f t="shared" ca="1" si="209"/>
        <v>0</v>
      </c>
      <c r="S277" s="14">
        <f t="shared" ca="1" si="210"/>
        <v>0</v>
      </c>
      <c r="T277" s="14">
        <f>IFERROR(IF(WoP_Flag="Y",IF(fq=1,VLOOKUP(ppt*fq-H277,Charges!$AN$41:$AO$59,2,FALSE),IF(fq=2,VLOOKUP(ppt*fq-G277,Charges!$AP$41:$AQ$79,2,FALSE),VLOOKUP(ppt*fq-D277,Charges!$AR$41:$AS$279,2,FALSE)))*pr/fq,0),0)</f>
        <v>0</v>
      </c>
      <c r="U277" s="14">
        <f t="shared" ca="1" si="211"/>
        <v>0</v>
      </c>
      <c r="V277" s="34">
        <f>ROUND(MIN(IF(H277&gt;=7,Charges!$C$12*(1+Charges!$C$14)^((H277-7+1)),VLOOKUP(H277,Charges!$B$7:$C$12,2,0))*pr,Charges!$C$13)*B277,Round)</f>
        <v>0</v>
      </c>
      <c r="W277" s="14">
        <f t="shared" ca="1" si="212"/>
        <v>0</v>
      </c>
      <c r="X277" s="14">
        <f t="shared" ca="1" si="213"/>
        <v>0</v>
      </c>
      <c r="Y277" s="213">
        <f t="shared" ca="1" si="237"/>
        <v>0</v>
      </c>
      <c r="Z277" s="14">
        <f t="shared" ca="1" si="214"/>
        <v>0</v>
      </c>
      <c r="AA277" s="14">
        <f>IF(AND($H277=pt,$F277=11),SUM($K$7:K277)*VLOOKUP(pt,ROC,2,FALSE),0)</f>
        <v>0</v>
      </c>
      <c r="AB277" s="14">
        <f>IF(AND($H277=pt,$F277=11),SUM($V$7:V277)*VLOOKUP(pt,ROC,2,FALSE),0)</f>
        <v>0</v>
      </c>
      <c r="AC277" s="14">
        <f>IF(AND($H277=pt,$F277=11),SUM($Q$7:Q277)*VLOOKUP(pt,ROC,2,FALSE),0)</f>
        <v>0</v>
      </c>
      <c r="AD277" s="14">
        <f t="shared" ca="1" si="215"/>
        <v>0</v>
      </c>
      <c r="AE277" s="14">
        <f ca="1">(MAX(sa-CF276*Flag_UL_Type,105%*SUM($I$7:I277),Z277)+AU277)*B277</f>
        <v>0</v>
      </c>
      <c r="AF277" s="136"/>
      <c r="AG277" s="18">
        <v>271</v>
      </c>
      <c r="AH277" s="30">
        <f t="shared" ca="1" si="216"/>
        <v>0</v>
      </c>
      <c r="AI277" s="58"/>
      <c r="AJ277" s="50">
        <f>IF(AND(Option_Sys_TopUp&gt;="Y",H277&gt;=sytp,H277&lt;=(dtp+sytp-1),F277=0,H277&lt;=ppt+1),atp,0)+IFERROR(VLOOKUP(H277,Input!$B$55:$C$61,2,0),0)*(F277=0)*(Option_TopUP="Y")*(Option_Sys_TopUp="N")*B277*(pt&gt;=H277+5)</f>
        <v>0</v>
      </c>
      <c r="AK277" s="50">
        <f t="shared" si="217"/>
        <v>0</v>
      </c>
      <c r="AL277" s="50">
        <f t="shared" si="238"/>
        <v>0</v>
      </c>
      <c r="AM277" s="50">
        <f t="shared" ca="1" si="239"/>
        <v>0</v>
      </c>
      <c r="AN277" s="50">
        <f>IF(B277=0,0,AT277*(_rpm1+(1+_emr1)*VLOOKUP(E277,Tab_Mort_Charge,IF(Input!$C$12="M",2,3),0))*(0.001*0.0833)*Flag_Mort_Rider_Charge*(AT277&gt;0))</f>
        <v>0</v>
      </c>
      <c r="AO277" s="50">
        <f t="shared" ca="1" si="218"/>
        <v>0</v>
      </c>
      <c r="AP277" s="50">
        <f t="shared" ca="1" si="197"/>
        <v>0</v>
      </c>
      <c r="AQ277" s="50">
        <f t="shared" ca="1" si="219"/>
        <v>0</v>
      </c>
      <c r="AR277" s="50">
        <f t="shared" ca="1" si="220"/>
        <v>0</v>
      </c>
      <c r="AS277" s="50">
        <f t="shared" si="221"/>
        <v>0</v>
      </c>
      <c r="AT277" s="50">
        <f ca="1">(MAX((MAX(AS277,105%*SUM($AJ$7:AJ277))-AM277*Flag_UL_Type),0)*B277)</f>
        <v>0</v>
      </c>
      <c r="AU277" s="50">
        <f ca="1">(MAX(AS277,AR277,105%*SUM($AJ$7:AJ277))*B277)</f>
        <v>0</v>
      </c>
      <c r="AV277" s="125"/>
      <c r="AW277" s="13"/>
      <c r="AX277" s="13"/>
      <c r="AY277" s="13"/>
      <c r="AZ277" s="13"/>
      <c r="BA277" s="13"/>
      <c r="BG277" s="51">
        <f t="shared" si="222"/>
        <v>0</v>
      </c>
      <c r="BH277" s="51">
        <f t="shared" si="223"/>
        <v>0</v>
      </c>
      <c r="BI277" s="51">
        <f t="shared" ca="1" si="224"/>
        <v>0</v>
      </c>
      <c r="BJ277" s="51">
        <f t="shared" ca="1" si="225"/>
        <v>0</v>
      </c>
      <c r="BK277" s="51">
        <f t="shared" si="226"/>
        <v>0</v>
      </c>
      <c r="BL277" s="51">
        <f t="shared" ca="1" si="227"/>
        <v>0</v>
      </c>
      <c r="BM277" s="51">
        <f t="shared" si="228"/>
        <v>0</v>
      </c>
      <c r="BN277" s="51">
        <f t="shared" si="229"/>
        <v>0</v>
      </c>
      <c r="BO277" s="51">
        <f t="shared" ca="1" si="230"/>
        <v>0</v>
      </c>
      <c r="BP277" s="51">
        <f t="shared" ca="1" si="231"/>
        <v>0</v>
      </c>
      <c r="BQ277" s="120"/>
      <c r="BR277" s="32"/>
      <c r="BS277" s="126"/>
      <c r="BT277" s="16"/>
      <c r="BU277" s="58"/>
      <c r="BW277" s="51">
        <f>IF(Input!$C$13="Offline",VLOOKUP(H277,Charges!$AT$4:$AU$33,2,FALSE)*I277,0)</f>
        <v>0</v>
      </c>
      <c r="BX277" s="51">
        <f t="shared" si="232"/>
        <v>0</v>
      </c>
      <c r="BY277" s="51">
        <f t="shared" si="240"/>
        <v>0</v>
      </c>
      <c r="BZ277" s="151"/>
      <c r="CA277" s="151"/>
      <c r="CB277" s="32"/>
      <c r="CC277" s="16">
        <f ca="1">SUM($N$7:$N277)</f>
        <v>0</v>
      </c>
      <c r="CD277" s="16">
        <f t="shared" ca="1" si="233"/>
        <v>0</v>
      </c>
      <c r="CE277" s="16">
        <f t="shared" ca="1" si="234"/>
        <v>0</v>
      </c>
      <c r="CF277" s="7">
        <f t="shared" ca="1" si="235"/>
        <v>0</v>
      </c>
      <c r="CH277" s="7">
        <f t="shared" ca="1" si="236"/>
        <v>0</v>
      </c>
    </row>
    <row r="278" spans="2:86" s="7" customFormat="1" x14ac:dyDescent="0.2">
      <c r="B278" s="14">
        <f t="shared" si="200"/>
        <v>0</v>
      </c>
      <c r="C278" s="12">
        <f t="shared" si="201"/>
        <v>0</v>
      </c>
      <c r="D278" s="17">
        <f t="shared" si="241"/>
        <v>272</v>
      </c>
      <c r="E278" s="17">
        <f t="shared" ca="1" si="202"/>
        <v>82</v>
      </c>
      <c r="F278" s="12">
        <f t="shared" si="243"/>
        <v>7</v>
      </c>
      <c r="G278" s="12">
        <f t="shared" si="242"/>
        <v>46</v>
      </c>
      <c r="H278" s="17">
        <f t="shared" si="244"/>
        <v>23</v>
      </c>
      <c r="I278" s="29">
        <f t="shared" si="203"/>
        <v>0</v>
      </c>
      <c r="J278" s="211">
        <f>IFERROR(VLOOKUP(H278,Charges!$T$6:$U$35,2,0)*C278,0)</f>
        <v>0</v>
      </c>
      <c r="K278" s="29">
        <f t="shared" si="204"/>
        <v>0</v>
      </c>
      <c r="L278" s="29">
        <f t="shared" si="205"/>
        <v>0</v>
      </c>
      <c r="M278" s="147">
        <f t="shared" ca="1" si="206"/>
        <v>0</v>
      </c>
      <c r="N278" s="148">
        <f ca="1">IF(AND(Option_SPW="Y",H278&gt;=Lock_In_Period,Z277&gt;SPW_Amount_pa+IF(option="Single",1/5*pr,2*pr),H278&gt;=SPW_Start_Year,H278&lt;=SPW_Start_Year+SPW_Duration-1,age+H278&gt;=Legal_Age),IF(AND(F278=0,SPW_Payout_Freq=1),SPW_Amount_pa,IF(AND(SPW_Payout_Freq=2,MOD(F278,6)=0),SPW_Amount_pa/SPW_Payout_Freq,IF(AND(SPW_Payout_Freq=4,MOD(F278,3)=0),SPW_Amount_pa/SPW_Payout_Freq,IF(SPW_Payout_Freq=12,SPW_Amount_pa/SPW_Payout_Freq,0)))),0)+IFERROR(VLOOKUP(H278,Input!$B$68:$C$74,2,0),0)*(F278=0)*(Option_PW="Y")*(Option_SPW="N")*(age+H278&gt;=Legal_Age)</f>
        <v>0</v>
      </c>
      <c r="O278" s="148">
        <f t="shared" ca="1" si="207"/>
        <v>0</v>
      </c>
      <c r="P278" s="14">
        <f ca="1">(MAX(MAX(sa-CF277*Flag_UL_Type,105%*SUM($I$7:I278))-(AD277+L278-N278)*Flag_UL_Type,0)*B278)</f>
        <v>0</v>
      </c>
      <c r="Q278" s="213">
        <f t="shared" si="208"/>
        <v>0</v>
      </c>
      <c r="R278" s="14">
        <f t="shared" ca="1" si="209"/>
        <v>0</v>
      </c>
      <c r="S278" s="14">
        <f t="shared" ca="1" si="210"/>
        <v>0</v>
      </c>
      <c r="T278" s="14">
        <f>IFERROR(IF(WoP_Flag="Y",IF(fq=1,VLOOKUP(ppt*fq-H278,Charges!$AN$41:$AO$59,2,FALSE),IF(fq=2,VLOOKUP(ppt*fq-G278,Charges!$AP$41:$AQ$79,2,FALSE),VLOOKUP(ppt*fq-D278,Charges!$AR$41:$AS$279,2,FALSE)))*pr/fq,0),0)</f>
        <v>0</v>
      </c>
      <c r="U278" s="14">
        <f t="shared" ca="1" si="211"/>
        <v>0</v>
      </c>
      <c r="V278" s="34">
        <f>ROUND(MIN(IF(H278&gt;=7,Charges!$C$12*(1+Charges!$C$14)^((H278-7+1)),VLOOKUP(H278,Charges!$B$7:$C$12,2,0))*pr,Charges!$C$13)*B278,Round)</f>
        <v>0</v>
      </c>
      <c r="W278" s="14">
        <f t="shared" ca="1" si="212"/>
        <v>0</v>
      </c>
      <c r="X278" s="14">
        <f t="shared" ca="1" si="213"/>
        <v>0</v>
      </c>
      <c r="Y278" s="213">
        <f t="shared" ca="1" si="237"/>
        <v>0</v>
      </c>
      <c r="Z278" s="14">
        <f t="shared" ca="1" si="214"/>
        <v>0</v>
      </c>
      <c r="AA278" s="14">
        <f>IF(AND($H278=pt,$F278=11),SUM($K$7:K278)*VLOOKUP(pt,ROC,2,FALSE),0)</f>
        <v>0</v>
      </c>
      <c r="AB278" s="14">
        <f>IF(AND($H278=pt,$F278=11),SUM($V$7:V278)*VLOOKUP(pt,ROC,2,FALSE),0)</f>
        <v>0</v>
      </c>
      <c r="AC278" s="14">
        <f>IF(AND($H278=pt,$F278=11),SUM($Q$7:Q278)*VLOOKUP(pt,ROC,2,FALSE),0)</f>
        <v>0</v>
      </c>
      <c r="AD278" s="14">
        <f t="shared" ca="1" si="215"/>
        <v>0</v>
      </c>
      <c r="AE278" s="14">
        <f ca="1">(MAX(sa-CF277*Flag_UL_Type,105%*SUM($I$7:I278),Z278)+AU278)*B278</f>
        <v>0</v>
      </c>
      <c r="AF278" s="136"/>
      <c r="AG278" s="18">
        <v>272</v>
      </c>
      <c r="AH278" s="30">
        <f t="shared" ca="1" si="216"/>
        <v>0</v>
      </c>
      <c r="AI278" s="58"/>
      <c r="AJ278" s="50">
        <f>IF(AND(Option_Sys_TopUp&gt;="Y",H278&gt;=sytp,H278&lt;=(dtp+sytp-1),F278=0,H278&lt;=ppt+1),atp,0)+IFERROR(VLOOKUP(H278,Input!$B$55:$C$61,2,0),0)*(F278=0)*(Option_TopUP="Y")*(Option_Sys_TopUp="N")*B278*(pt&gt;=H278+5)</f>
        <v>0</v>
      </c>
      <c r="AK278" s="50">
        <f t="shared" si="217"/>
        <v>0</v>
      </c>
      <c r="AL278" s="50">
        <f t="shared" si="238"/>
        <v>0</v>
      </c>
      <c r="AM278" s="50">
        <f t="shared" ca="1" si="239"/>
        <v>0</v>
      </c>
      <c r="AN278" s="50">
        <f>IF(B278=0,0,AT278*(_rpm1+(1+_emr1)*VLOOKUP(E278,Tab_Mort_Charge,IF(Input!$C$12="M",2,3),0))*(0.001*0.0833)*Flag_Mort_Rider_Charge*(AT278&gt;0))</f>
        <v>0</v>
      </c>
      <c r="AO278" s="50">
        <f t="shared" ca="1" si="218"/>
        <v>0</v>
      </c>
      <c r="AP278" s="50">
        <f t="shared" ca="1" si="197"/>
        <v>0</v>
      </c>
      <c r="AQ278" s="50">
        <f t="shared" ca="1" si="219"/>
        <v>0</v>
      </c>
      <c r="AR278" s="50">
        <f t="shared" ca="1" si="220"/>
        <v>0</v>
      </c>
      <c r="AS278" s="50">
        <f t="shared" si="221"/>
        <v>0</v>
      </c>
      <c r="AT278" s="50">
        <f ca="1">(MAX((MAX(AS278,105%*SUM($AJ$7:AJ278))-AM278*Flag_UL_Type),0)*B278)</f>
        <v>0</v>
      </c>
      <c r="AU278" s="50">
        <f ca="1">(MAX(AS278,AR278,105%*SUM($AJ$7:AJ278))*B278)</f>
        <v>0</v>
      </c>
      <c r="AV278" s="125"/>
      <c r="AW278" s="13"/>
      <c r="AX278" s="13"/>
      <c r="AY278" s="13"/>
      <c r="AZ278" s="13"/>
      <c r="BA278" s="13"/>
      <c r="BG278" s="51">
        <f t="shared" si="222"/>
        <v>0</v>
      </c>
      <c r="BH278" s="51">
        <f t="shared" si="223"/>
        <v>0</v>
      </c>
      <c r="BI278" s="51">
        <f t="shared" ca="1" si="224"/>
        <v>0</v>
      </c>
      <c r="BJ278" s="51">
        <f t="shared" ca="1" si="225"/>
        <v>0</v>
      </c>
      <c r="BK278" s="51">
        <f t="shared" si="226"/>
        <v>0</v>
      </c>
      <c r="BL278" s="51">
        <f t="shared" ca="1" si="227"/>
        <v>0</v>
      </c>
      <c r="BM278" s="51">
        <f t="shared" si="228"/>
        <v>0</v>
      </c>
      <c r="BN278" s="51">
        <f t="shared" si="229"/>
        <v>0</v>
      </c>
      <c r="BO278" s="51">
        <f t="shared" ca="1" si="230"/>
        <v>0</v>
      </c>
      <c r="BP278" s="51">
        <f t="shared" ca="1" si="231"/>
        <v>0</v>
      </c>
      <c r="BQ278" s="120"/>
      <c r="BR278" s="32"/>
      <c r="BS278" s="126"/>
      <c r="BT278" s="16"/>
      <c r="BU278" s="58"/>
      <c r="BW278" s="51">
        <f>IF(Input!$C$13="Offline",VLOOKUP(H278,Charges!$AT$4:$AU$33,2,FALSE)*I278,0)</f>
        <v>0</v>
      </c>
      <c r="BX278" s="51">
        <f t="shared" si="232"/>
        <v>0</v>
      </c>
      <c r="BY278" s="51">
        <f t="shared" si="240"/>
        <v>0</v>
      </c>
      <c r="BZ278" s="151"/>
      <c r="CA278" s="151"/>
      <c r="CB278" s="32"/>
      <c r="CC278" s="16">
        <f ca="1">SUM($N$7:$N278)</f>
        <v>0</v>
      </c>
      <c r="CD278" s="16">
        <f t="shared" ca="1" si="233"/>
        <v>0</v>
      </c>
      <c r="CE278" s="16">
        <f t="shared" ca="1" si="234"/>
        <v>0</v>
      </c>
      <c r="CF278" s="7">
        <f t="shared" ca="1" si="235"/>
        <v>0</v>
      </c>
      <c r="CH278" s="7">
        <f t="shared" ca="1" si="236"/>
        <v>0</v>
      </c>
    </row>
    <row r="279" spans="2:86" s="7" customFormat="1" x14ac:dyDescent="0.2">
      <c r="B279" s="14">
        <f t="shared" si="200"/>
        <v>0</v>
      </c>
      <c r="C279" s="12">
        <f t="shared" si="201"/>
        <v>0</v>
      </c>
      <c r="D279" s="17">
        <f t="shared" si="241"/>
        <v>273</v>
      </c>
      <c r="E279" s="17">
        <f t="shared" ca="1" si="202"/>
        <v>82</v>
      </c>
      <c r="F279" s="12">
        <f t="shared" si="243"/>
        <v>8</v>
      </c>
      <c r="G279" s="12">
        <f t="shared" si="242"/>
        <v>46</v>
      </c>
      <c r="H279" s="17">
        <f t="shared" si="244"/>
        <v>23</v>
      </c>
      <c r="I279" s="29">
        <f t="shared" si="203"/>
        <v>0</v>
      </c>
      <c r="J279" s="211">
        <f>IFERROR(VLOOKUP(H279,Charges!$T$6:$U$35,2,0)*C279,0)</f>
        <v>0</v>
      </c>
      <c r="K279" s="29">
        <f t="shared" si="204"/>
        <v>0</v>
      </c>
      <c r="L279" s="29">
        <f t="shared" si="205"/>
        <v>0</v>
      </c>
      <c r="M279" s="147">
        <f t="shared" ca="1" si="206"/>
        <v>0</v>
      </c>
      <c r="N279" s="148">
        <f ca="1">IF(AND(Option_SPW="Y",H279&gt;=Lock_In_Period,Z278&gt;SPW_Amount_pa+IF(option="Single",1/5*pr,2*pr),H279&gt;=SPW_Start_Year,H279&lt;=SPW_Start_Year+SPW_Duration-1,age+H279&gt;=Legal_Age),IF(AND(F279=0,SPW_Payout_Freq=1),SPW_Amount_pa,IF(AND(SPW_Payout_Freq=2,MOD(F279,6)=0),SPW_Amount_pa/SPW_Payout_Freq,IF(AND(SPW_Payout_Freq=4,MOD(F279,3)=0),SPW_Amount_pa/SPW_Payout_Freq,IF(SPW_Payout_Freq=12,SPW_Amount_pa/SPW_Payout_Freq,0)))),0)+IFERROR(VLOOKUP(H279,Input!$B$68:$C$74,2,0),0)*(F279=0)*(Option_PW="Y")*(Option_SPW="N")*(age+H279&gt;=Legal_Age)</f>
        <v>0</v>
      </c>
      <c r="O279" s="148">
        <f t="shared" ca="1" si="207"/>
        <v>0</v>
      </c>
      <c r="P279" s="14">
        <f ca="1">(MAX(MAX(sa-CF278*Flag_UL_Type,105%*SUM($I$7:I279))-(AD278+L279-N279)*Flag_UL_Type,0)*B279)</f>
        <v>0</v>
      </c>
      <c r="Q279" s="213">
        <f t="shared" si="208"/>
        <v>0</v>
      </c>
      <c r="R279" s="14">
        <f t="shared" ca="1" si="209"/>
        <v>0</v>
      </c>
      <c r="S279" s="14">
        <f t="shared" ca="1" si="210"/>
        <v>0</v>
      </c>
      <c r="T279" s="14">
        <f>IFERROR(IF(WoP_Flag="Y",IF(fq=1,VLOOKUP(ppt*fq-H279,Charges!$AN$41:$AO$59,2,FALSE),IF(fq=2,VLOOKUP(ppt*fq-G279,Charges!$AP$41:$AQ$79,2,FALSE),VLOOKUP(ppt*fq-D279,Charges!$AR$41:$AS$279,2,FALSE)))*pr/fq,0),0)</f>
        <v>0</v>
      </c>
      <c r="U279" s="14">
        <f t="shared" ca="1" si="211"/>
        <v>0</v>
      </c>
      <c r="V279" s="34">
        <f>ROUND(MIN(IF(H279&gt;=7,Charges!$C$12*(1+Charges!$C$14)^((H279-7+1)),VLOOKUP(H279,Charges!$B$7:$C$12,2,0))*pr,Charges!$C$13)*B279,Round)</f>
        <v>0</v>
      </c>
      <c r="W279" s="14">
        <f t="shared" ca="1" si="212"/>
        <v>0</v>
      </c>
      <c r="X279" s="14">
        <f t="shared" ca="1" si="213"/>
        <v>0</v>
      </c>
      <c r="Y279" s="213">
        <f t="shared" ca="1" si="237"/>
        <v>0</v>
      </c>
      <c r="Z279" s="14">
        <f t="shared" ca="1" si="214"/>
        <v>0</v>
      </c>
      <c r="AA279" s="14">
        <f>IF(AND($H279=pt,$F279=11),SUM($K$7:K279)*VLOOKUP(pt,ROC,2,FALSE),0)</f>
        <v>0</v>
      </c>
      <c r="AB279" s="14">
        <f>IF(AND($H279=pt,$F279=11),SUM($V$7:V279)*VLOOKUP(pt,ROC,2,FALSE),0)</f>
        <v>0</v>
      </c>
      <c r="AC279" s="14">
        <f>IF(AND($H279=pt,$F279=11),SUM($Q$7:Q279)*VLOOKUP(pt,ROC,2,FALSE),0)</f>
        <v>0</v>
      </c>
      <c r="AD279" s="14">
        <f t="shared" ca="1" si="215"/>
        <v>0</v>
      </c>
      <c r="AE279" s="14">
        <f ca="1">(MAX(sa-CF278*Flag_UL_Type,105%*SUM($I$7:I279),Z279)+AU279)*B279</f>
        <v>0</v>
      </c>
      <c r="AF279" s="136"/>
      <c r="AG279" s="18">
        <v>273</v>
      </c>
      <c r="AH279" s="30">
        <f t="shared" ca="1" si="216"/>
        <v>0</v>
      </c>
      <c r="AI279" s="58"/>
      <c r="AJ279" s="50">
        <f>IF(AND(Option_Sys_TopUp&gt;="Y",H279&gt;=sytp,H279&lt;=(dtp+sytp-1),F279=0,H279&lt;=ppt+1),atp,0)+IFERROR(VLOOKUP(H279,Input!$B$55:$C$61,2,0),0)*(F279=0)*(Option_TopUP="Y")*(Option_Sys_TopUp="N")*B279*(pt&gt;=H279+5)</f>
        <v>0</v>
      </c>
      <c r="AK279" s="50">
        <f t="shared" si="217"/>
        <v>0</v>
      </c>
      <c r="AL279" s="50">
        <f t="shared" si="238"/>
        <v>0</v>
      </c>
      <c r="AM279" s="50">
        <f t="shared" ca="1" si="239"/>
        <v>0</v>
      </c>
      <c r="AN279" s="50">
        <f>IF(B279=0,0,AT279*(_rpm1+(1+_emr1)*VLOOKUP(E279,Tab_Mort_Charge,IF(Input!$C$12="M",2,3),0))*(0.001*0.0833)*Flag_Mort_Rider_Charge*(AT279&gt;0))</f>
        <v>0</v>
      </c>
      <c r="AO279" s="50">
        <f t="shared" ca="1" si="218"/>
        <v>0</v>
      </c>
      <c r="AP279" s="50">
        <f t="shared" ca="1" si="197"/>
        <v>0</v>
      </c>
      <c r="AQ279" s="50">
        <f t="shared" ca="1" si="219"/>
        <v>0</v>
      </c>
      <c r="AR279" s="50">
        <f t="shared" ca="1" si="220"/>
        <v>0</v>
      </c>
      <c r="AS279" s="50">
        <f t="shared" si="221"/>
        <v>0</v>
      </c>
      <c r="AT279" s="50">
        <f ca="1">(MAX((MAX(AS279,105%*SUM($AJ$7:AJ279))-AM279*Flag_UL_Type),0)*B279)</f>
        <v>0</v>
      </c>
      <c r="AU279" s="50">
        <f ca="1">(MAX(AS279,AR279,105%*SUM($AJ$7:AJ279))*B279)</f>
        <v>0</v>
      </c>
      <c r="AV279" s="125"/>
      <c r="AW279" s="13"/>
      <c r="AX279" s="13"/>
      <c r="AY279" s="13"/>
      <c r="AZ279" s="13"/>
      <c r="BA279" s="13"/>
      <c r="BG279" s="51">
        <f t="shared" si="222"/>
        <v>0</v>
      </c>
      <c r="BH279" s="51">
        <f t="shared" si="223"/>
        <v>0</v>
      </c>
      <c r="BI279" s="51">
        <f t="shared" ca="1" si="224"/>
        <v>0</v>
      </c>
      <c r="BJ279" s="51">
        <f t="shared" ca="1" si="225"/>
        <v>0</v>
      </c>
      <c r="BK279" s="51">
        <f t="shared" si="226"/>
        <v>0</v>
      </c>
      <c r="BL279" s="51">
        <f t="shared" ca="1" si="227"/>
        <v>0</v>
      </c>
      <c r="BM279" s="51">
        <f t="shared" si="228"/>
        <v>0</v>
      </c>
      <c r="BN279" s="51">
        <f t="shared" si="229"/>
        <v>0</v>
      </c>
      <c r="BO279" s="51">
        <f t="shared" ca="1" si="230"/>
        <v>0</v>
      </c>
      <c r="BP279" s="51">
        <f t="shared" ca="1" si="231"/>
        <v>0</v>
      </c>
      <c r="BQ279" s="120"/>
      <c r="BR279" s="32"/>
      <c r="BS279" s="126"/>
      <c r="BT279" s="16"/>
      <c r="BU279" s="58"/>
      <c r="BW279" s="51">
        <f>IF(Input!$C$13="Offline",VLOOKUP(H279,Charges!$AT$4:$AU$33,2,FALSE)*I279,0)</f>
        <v>0</v>
      </c>
      <c r="BX279" s="51">
        <f t="shared" si="232"/>
        <v>0</v>
      </c>
      <c r="BY279" s="51">
        <f t="shared" si="240"/>
        <v>0</v>
      </c>
      <c r="BZ279" s="151"/>
      <c r="CA279" s="151"/>
      <c r="CB279" s="32"/>
      <c r="CC279" s="16">
        <f ca="1">SUM($N$7:$N279)</f>
        <v>0</v>
      </c>
      <c r="CD279" s="16">
        <f t="shared" ca="1" si="233"/>
        <v>0</v>
      </c>
      <c r="CE279" s="16">
        <f t="shared" ca="1" si="234"/>
        <v>0</v>
      </c>
      <c r="CF279" s="7">
        <f t="shared" ca="1" si="235"/>
        <v>0</v>
      </c>
      <c r="CH279" s="7">
        <f t="shared" ca="1" si="236"/>
        <v>0</v>
      </c>
    </row>
    <row r="280" spans="2:86" s="7" customFormat="1" x14ac:dyDescent="0.2">
      <c r="B280" s="14">
        <f t="shared" si="200"/>
        <v>0</v>
      </c>
      <c r="C280" s="12">
        <f t="shared" si="201"/>
        <v>0</v>
      </c>
      <c r="D280" s="17">
        <f t="shared" si="241"/>
        <v>274</v>
      </c>
      <c r="E280" s="17">
        <f t="shared" ca="1" si="202"/>
        <v>82</v>
      </c>
      <c r="F280" s="12">
        <f t="shared" si="243"/>
        <v>9</v>
      </c>
      <c r="G280" s="12">
        <f t="shared" si="242"/>
        <v>46</v>
      </c>
      <c r="H280" s="17">
        <f t="shared" si="244"/>
        <v>23</v>
      </c>
      <c r="I280" s="29">
        <f t="shared" si="203"/>
        <v>0</v>
      </c>
      <c r="J280" s="211">
        <f>IFERROR(VLOOKUP(H280,Charges!$T$6:$U$35,2,0)*C280,0)</f>
        <v>0</v>
      </c>
      <c r="K280" s="29">
        <f t="shared" si="204"/>
        <v>0</v>
      </c>
      <c r="L280" s="29">
        <f t="shared" si="205"/>
        <v>0</v>
      </c>
      <c r="M280" s="147">
        <f t="shared" ca="1" si="206"/>
        <v>0</v>
      </c>
      <c r="N280" s="148">
        <f ca="1">IF(AND(Option_SPW="Y",H280&gt;=Lock_In_Period,Z279&gt;SPW_Amount_pa+IF(option="Single",1/5*pr,2*pr),H280&gt;=SPW_Start_Year,H280&lt;=SPW_Start_Year+SPW_Duration-1,age+H280&gt;=Legal_Age),IF(AND(F280=0,SPW_Payout_Freq=1),SPW_Amount_pa,IF(AND(SPW_Payout_Freq=2,MOD(F280,6)=0),SPW_Amount_pa/SPW_Payout_Freq,IF(AND(SPW_Payout_Freq=4,MOD(F280,3)=0),SPW_Amount_pa/SPW_Payout_Freq,IF(SPW_Payout_Freq=12,SPW_Amount_pa/SPW_Payout_Freq,0)))),0)+IFERROR(VLOOKUP(H280,Input!$B$68:$C$74,2,0),0)*(F280=0)*(Option_PW="Y")*(Option_SPW="N")*(age+H280&gt;=Legal_Age)</f>
        <v>0</v>
      </c>
      <c r="O280" s="148">
        <f t="shared" ca="1" si="207"/>
        <v>0</v>
      </c>
      <c r="P280" s="14">
        <f ca="1">(MAX(MAX(sa-CF279*Flag_UL_Type,105%*SUM($I$7:I280))-(AD279+L280-N280)*Flag_UL_Type,0)*B280)</f>
        <v>0</v>
      </c>
      <c r="Q280" s="213">
        <f t="shared" si="208"/>
        <v>0</v>
      </c>
      <c r="R280" s="14">
        <f t="shared" ca="1" si="209"/>
        <v>0</v>
      </c>
      <c r="S280" s="14">
        <f t="shared" ca="1" si="210"/>
        <v>0</v>
      </c>
      <c r="T280" s="14">
        <f>IFERROR(IF(WoP_Flag="Y",IF(fq=1,VLOOKUP(ppt*fq-H280,Charges!$AN$41:$AO$59,2,FALSE),IF(fq=2,VLOOKUP(ppt*fq-G280,Charges!$AP$41:$AQ$79,2,FALSE),VLOOKUP(ppt*fq-D280,Charges!$AR$41:$AS$279,2,FALSE)))*pr/fq,0),0)</f>
        <v>0</v>
      </c>
      <c r="U280" s="14">
        <f t="shared" ca="1" si="211"/>
        <v>0</v>
      </c>
      <c r="V280" s="34">
        <f>ROUND(MIN(IF(H280&gt;=7,Charges!$C$12*(1+Charges!$C$14)^((H280-7+1)),VLOOKUP(H280,Charges!$B$7:$C$12,2,0))*pr,Charges!$C$13)*B280,Round)</f>
        <v>0</v>
      </c>
      <c r="W280" s="14">
        <f t="shared" ca="1" si="212"/>
        <v>0</v>
      </c>
      <c r="X280" s="14">
        <f t="shared" ca="1" si="213"/>
        <v>0</v>
      </c>
      <c r="Y280" s="213">
        <f t="shared" ca="1" si="237"/>
        <v>0</v>
      </c>
      <c r="Z280" s="14">
        <f t="shared" ca="1" si="214"/>
        <v>0</v>
      </c>
      <c r="AA280" s="14">
        <f>IF(AND($H280=pt,$F280=11),SUM($K$7:K280)*VLOOKUP(pt,ROC,2,FALSE),0)</f>
        <v>0</v>
      </c>
      <c r="AB280" s="14">
        <f>IF(AND($H280=pt,$F280=11),SUM($V$7:V280)*VLOOKUP(pt,ROC,2,FALSE),0)</f>
        <v>0</v>
      </c>
      <c r="AC280" s="14">
        <f>IF(AND($H280=pt,$F280=11),SUM($Q$7:Q280)*VLOOKUP(pt,ROC,2,FALSE),0)</f>
        <v>0</v>
      </c>
      <c r="AD280" s="14">
        <f t="shared" ca="1" si="215"/>
        <v>0</v>
      </c>
      <c r="AE280" s="14">
        <f ca="1">(MAX(sa-CF279*Flag_UL_Type,105%*SUM($I$7:I280),Z280)+AU280)*B280</f>
        <v>0</v>
      </c>
      <c r="AF280" s="136"/>
      <c r="AG280" s="18">
        <v>274</v>
      </c>
      <c r="AH280" s="30">
        <f t="shared" ca="1" si="216"/>
        <v>0</v>
      </c>
      <c r="AI280" s="58"/>
      <c r="AJ280" s="50">
        <f>IF(AND(Option_Sys_TopUp&gt;="Y",H280&gt;=sytp,H280&lt;=(dtp+sytp-1),F280=0,H280&lt;=ppt+1),atp,0)+IFERROR(VLOOKUP(H280,Input!$B$55:$C$61,2,0),0)*(F280=0)*(Option_TopUP="Y")*(Option_Sys_TopUp="N")*B280*(pt&gt;=H280+5)</f>
        <v>0</v>
      </c>
      <c r="AK280" s="50">
        <f t="shared" si="217"/>
        <v>0</v>
      </c>
      <c r="AL280" s="50">
        <f t="shared" si="238"/>
        <v>0</v>
      </c>
      <c r="AM280" s="50">
        <f t="shared" ca="1" si="239"/>
        <v>0</v>
      </c>
      <c r="AN280" s="50">
        <f>IF(B280=0,0,AT280*(_rpm1+(1+_emr1)*VLOOKUP(E280,Tab_Mort_Charge,IF(Input!$C$12="M",2,3),0))*(0.001*0.0833)*Flag_Mort_Rider_Charge*(AT280&gt;0))</f>
        <v>0</v>
      </c>
      <c r="AO280" s="50">
        <f t="shared" ca="1" si="218"/>
        <v>0</v>
      </c>
      <c r="AP280" s="50">
        <f t="shared" ca="1" si="197"/>
        <v>0</v>
      </c>
      <c r="AQ280" s="50">
        <f t="shared" ca="1" si="219"/>
        <v>0</v>
      </c>
      <c r="AR280" s="50">
        <f t="shared" ca="1" si="220"/>
        <v>0</v>
      </c>
      <c r="AS280" s="50">
        <f t="shared" si="221"/>
        <v>0</v>
      </c>
      <c r="AT280" s="50">
        <f ca="1">(MAX((MAX(AS280,105%*SUM($AJ$7:AJ280))-AM280*Flag_UL_Type),0)*B280)</f>
        <v>0</v>
      </c>
      <c r="AU280" s="50">
        <f ca="1">(MAX(AS280,AR280,105%*SUM($AJ$7:AJ280))*B280)</f>
        <v>0</v>
      </c>
      <c r="AV280" s="125"/>
      <c r="AW280" s="13"/>
      <c r="AX280" s="13"/>
      <c r="AY280" s="13"/>
      <c r="AZ280" s="13"/>
      <c r="BA280" s="13"/>
      <c r="BG280" s="51">
        <f t="shared" si="222"/>
        <v>0</v>
      </c>
      <c r="BH280" s="51">
        <f t="shared" si="223"/>
        <v>0</v>
      </c>
      <c r="BI280" s="51">
        <f t="shared" ca="1" si="224"/>
        <v>0</v>
      </c>
      <c r="BJ280" s="51">
        <f t="shared" ca="1" si="225"/>
        <v>0</v>
      </c>
      <c r="BK280" s="51">
        <f t="shared" si="226"/>
        <v>0</v>
      </c>
      <c r="BL280" s="51">
        <f t="shared" ca="1" si="227"/>
        <v>0</v>
      </c>
      <c r="BM280" s="51">
        <f t="shared" si="228"/>
        <v>0</v>
      </c>
      <c r="BN280" s="51">
        <f t="shared" si="229"/>
        <v>0</v>
      </c>
      <c r="BO280" s="51">
        <f t="shared" ca="1" si="230"/>
        <v>0</v>
      </c>
      <c r="BP280" s="51">
        <f t="shared" ca="1" si="231"/>
        <v>0</v>
      </c>
      <c r="BQ280" s="120"/>
      <c r="BR280" s="32"/>
      <c r="BS280" s="126"/>
      <c r="BT280" s="16"/>
      <c r="BU280" s="58"/>
      <c r="BW280" s="51">
        <f>IF(Input!$C$13="Offline",VLOOKUP(H280,Charges!$AT$4:$AU$33,2,FALSE)*I280,0)</f>
        <v>0</v>
      </c>
      <c r="BX280" s="51">
        <f t="shared" si="232"/>
        <v>0</v>
      </c>
      <c r="BY280" s="51">
        <f t="shared" si="240"/>
        <v>0</v>
      </c>
      <c r="BZ280" s="151"/>
      <c r="CA280" s="151"/>
      <c r="CB280" s="32"/>
      <c r="CC280" s="16">
        <f ca="1">SUM($N$7:$N280)</f>
        <v>0</v>
      </c>
      <c r="CD280" s="16">
        <f t="shared" ca="1" si="233"/>
        <v>0</v>
      </c>
      <c r="CE280" s="16">
        <f t="shared" ca="1" si="234"/>
        <v>0</v>
      </c>
      <c r="CF280" s="7">
        <f t="shared" ca="1" si="235"/>
        <v>0</v>
      </c>
      <c r="CH280" s="7">
        <f t="shared" ca="1" si="236"/>
        <v>0</v>
      </c>
    </row>
    <row r="281" spans="2:86" s="7" customFormat="1" x14ac:dyDescent="0.2">
      <c r="B281" s="14">
        <f t="shared" si="200"/>
        <v>0</v>
      </c>
      <c r="C281" s="12">
        <f t="shared" si="201"/>
        <v>0</v>
      </c>
      <c r="D281" s="17">
        <f t="shared" si="241"/>
        <v>275</v>
      </c>
      <c r="E281" s="17">
        <f t="shared" ca="1" si="202"/>
        <v>82</v>
      </c>
      <c r="F281" s="12">
        <f t="shared" si="243"/>
        <v>10</v>
      </c>
      <c r="G281" s="12">
        <f t="shared" si="242"/>
        <v>46</v>
      </c>
      <c r="H281" s="17">
        <f t="shared" si="244"/>
        <v>23</v>
      </c>
      <c r="I281" s="29">
        <f t="shared" si="203"/>
        <v>0</v>
      </c>
      <c r="J281" s="211">
        <f>IFERROR(VLOOKUP(H281,Charges!$T$6:$U$35,2,0)*C281,0)</f>
        <v>0</v>
      </c>
      <c r="K281" s="29">
        <f t="shared" si="204"/>
        <v>0</v>
      </c>
      <c r="L281" s="29">
        <f t="shared" si="205"/>
        <v>0</v>
      </c>
      <c r="M281" s="147">
        <f t="shared" ca="1" si="206"/>
        <v>0</v>
      </c>
      <c r="N281" s="148">
        <f ca="1">IF(AND(Option_SPW="Y",H281&gt;=Lock_In_Period,Z280&gt;SPW_Amount_pa+IF(option="Single",1/5*pr,2*pr),H281&gt;=SPW_Start_Year,H281&lt;=SPW_Start_Year+SPW_Duration-1,age+H281&gt;=Legal_Age),IF(AND(F281=0,SPW_Payout_Freq=1),SPW_Amount_pa,IF(AND(SPW_Payout_Freq=2,MOD(F281,6)=0),SPW_Amount_pa/SPW_Payout_Freq,IF(AND(SPW_Payout_Freq=4,MOD(F281,3)=0),SPW_Amount_pa/SPW_Payout_Freq,IF(SPW_Payout_Freq=12,SPW_Amount_pa/SPW_Payout_Freq,0)))),0)+IFERROR(VLOOKUP(H281,Input!$B$68:$C$74,2,0),0)*(F281=0)*(Option_PW="Y")*(Option_SPW="N")*(age+H281&gt;=Legal_Age)</f>
        <v>0</v>
      </c>
      <c r="O281" s="148">
        <f t="shared" ca="1" si="207"/>
        <v>0</v>
      </c>
      <c r="P281" s="14">
        <f ca="1">(MAX(MAX(sa-CF280*Flag_UL_Type,105%*SUM($I$7:I281))-(AD280+L281-N281)*Flag_UL_Type,0)*B281)</f>
        <v>0</v>
      </c>
      <c r="Q281" s="213">
        <f t="shared" si="208"/>
        <v>0</v>
      </c>
      <c r="R281" s="14">
        <f t="shared" ca="1" si="209"/>
        <v>0</v>
      </c>
      <c r="S281" s="14">
        <f t="shared" ca="1" si="210"/>
        <v>0</v>
      </c>
      <c r="T281" s="14">
        <f>IFERROR(IF(WoP_Flag="Y",IF(fq=1,VLOOKUP(ppt*fq-H281,Charges!$AN$41:$AO$59,2,FALSE),IF(fq=2,VLOOKUP(ppt*fq-G281,Charges!$AP$41:$AQ$79,2,FALSE),VLOOKUP(ppt*fq-D281,Charges!$AR$41:$AS$279,2,FALSE)))*pr/fq,0),0)</f>
        <v>0</v>
      </c>
      <c r="U281" s="14">
        <f t="shared" ca="1" si="211"/>
        <v>0</v>
      </c>
      <c r="V281" s="34">
        <f>ROUND(MIN(IF(H281&gt;=7,Charges!$C$12*(1+Charges!$C$14)^((H281-7+1)),VLOOKUP(H281,Charges!$B$7:$C$12,2,0))*pr,Charges!$C$13)*B281,Round)</f>
        <v>0</v>
      </c>
      <c r="W281" s="14">
        <f t="shared" ca="1" si="212"/>
        <v>0</v>
      </c>
      <c r="X281" s="14">
        <f t="shared" ca="1" si="213"/>
        <v>0</v>
      </c>
      <c r="Y281" s="213">
        <f t="shared" ca="1" si="237"/>
        <v>0</v>
      </c>
      <c r="Z281" s="14">
        <f t="shared" ca="1" si="214"/>
        <v>0</v>
      </c>
      <c r="AA281" s="14">
        <f>IF(AND($H281=pt,$F281=11),SUM($K$7:K281)*VLOOKUP(pt,ROC,2,FALSE),0)</f>
        <v>0</v>
      </c>
      <c r="AB281" s="14">
        <f>IF(AND($H281=pt,$F281=11),SUM($V$7:V281)*VLOOKUP(pt,ROC,2,FALSE),0)</f>
        <v>0</v>
      </c>
      <c r="AC281" s="14">
        <f>IF(AND($H281=pt,$F281=11),SUM($Q$7:Q281)*VLOOKUP(pt,ROC,2,FALSE),0)</f>
        <v>0</v>
      </c>
      <c r="AD281" s="14">
        <f t="shared" ca="1" si="215"/>
        <v>0</v>
      </c>
      <c r="AE281" s="14">
        <f ca="1">(MAX(sa-CF280*Flag_UL_Type,105%*SUM($I$7:I281),Z281)+AU281)*B281</f>
        <v>0</v>
      </c>
      <c r="AF281" s="136"/>
      <c r="AG281" s="18">
        <v>275</v>
      </c>
      <c r="AH281" s="30">
        <f t="shared" ca="1" si="216"/>
        <v>0</v>
      </c>
      <c r="AI281" s="58"/>
      <c r="AJ281" s="50">
        <f>IF(AND(Option_Sys_TopUp&gt;="Y",H281&gt;=sytp,H281&lt;=(dtp+sytp-1),F281=0,H281&lt;=ppt+1),atp,0)+IFERROR(VLOOKUP(H281,Input!$B$55:$C$61,2,0),0)*(F281=0)*(Option_TopUP="Y")*(Option_Sys_TopUp="N")*B281*(pt&gt;=H281+5)</f>
        <v>0</v>
      </c>
      <c r="AK281" s="50">
        <f t="shared" si="217"/>
        <v>0</v>
      </c>
      <c r="AL281" s="50">
        <f t="shared" si="238"/>
        <v>0</v>
      </c>
      <c r="AM281" s="50">
        <f t="shared" ca="1" si="239"/>
        <v>0</v>
      </c>
      <c r="AN281" s="50">
        <f>IF(B281=0,0,AT281*(_rpm1+(1+_emr1)*VLOOKUP(E281,Tab_Mort_Charge,IF(Input!$C$12="M",2,3),0))*(0.001*0.0833)*Flag_Mort_Rider_Charge*(AT281&gt;0))</f>
        <v>0</v>
      </c>
      <c r="AO281" s="50">
        <f t="shared" ca="1" si="218"/>
        <v>0</v>
      </c>
      <c r="AP281" s="50">
        <f t="shared" ca="1" si="197"/>
        <v>0</v>
      </c>
      <c r="AQ281" s="50">
        <f t="shared" ca="1" si="219"/>
        <v>0</v>
      </c>
      <c r="AR281" s="50">
        <f t="shared" ca="1" si="220"/>
        <v>0</v>
      </c>
      <c r="AS281" s="50">
        <f t="shared" si="221"/>
        <v>0</v>
      </c>
      <c r="AT281" s="50">
        <f ca="1">(MAX((MAX(AS281,105%*SUM($AJ$7:AJ281))-AM281*Flag_UL_Type),0)*B281)</f>
        <v>0</v>
      </c>
      <c r="AU281" s="50">
        <f ca="1">(MAX(AS281,AR281,105%*SUM($AJ$7:AJ281))*B281)</f>
        <v>0</v>
      </c>
      <c r="AV281" s="125"/>
      <c r="AW281" s="13"/>
      <c r="AX281" s="13"/>
      <c r="AY281" s="13"/>
      <c r="AZ281" s="13"/>
      <c r="BA281" s="13"/>
      <c r="BG281" s="51">
        <f t="shared" si="222"/>
        <v>0</v>
      </c>
      <c r="BH281" s="51">
        <f t="shared" si="223"/>
        <v>0</v>
      </c>
      <c r="BI281" s="51">
        <f t="shared" ca="1" si="224"/>
        <v>0</v>
      </c>
      <c r="BJ281" s="51">
        <f t="shared" ca="1" si="225"/>
        <v>0</v>
      </c>
      <c r="BK281" s="51">
        <f t="shared" si="226"/>
        <v>0</v>
      </c>
      <c r="BL281" s="51">
        <f t="shared" ca="1" si="227"/>
        <v>0</v>
      </c>
      <c r="BM281" s="51">
        <f t="shared" si="228"/>
        <v>0</v>
      </c>
      <c r="BN281" s="51">
        <f t="shared" si="229"/>
        <v>0</v>
      </c>
      <c r="BO281" s="51">
        <f t="shared" ca="1" si="230"/>
        <v>0</v>
      </c>
      <c r="BP281" s="51">
        <f t="shared" ca="1" si="231"/>
        <v>0</v>
      </c>
      <c r="BQ281" s="120"/>
      <c r="BR281" s="32"/>
      <c r="BS281" s="126"/>
      <c r="BT281" s="16"/>
      <c r="BU281" s="58"/>
      <c r="BW281" s="51">
        <f>IF(Input!$C$13="Offline",VLOOKUP(H281,Charges!$AT$4:$AU$33,2,FALSE)*I281,0)</f>
        <v>0</v>
      </c>
      <c r="BX281" s="51">
        <f t="shared" si="232"/>
        <v>0</v>
      </c>
      <c r="BY281" s="51">
        <f t="shared" si="240"/>
        <v>0</v>
      </c>
      <c r="BZ281" s="151"/>
      <c r="CA281" s="151"/>
      <c r="CB281" s="32"/>
      <c r="CC281" s="16">
        <f ca="1">SUM($N$7:$N281)</f>
        <v>0</v>
      </c>
      <c r="CD281" s="16">
        <f t="shared" ca="1" si="233"/>
        <v>0</v>
      </c>
      <c r="CE281" s="16">
        <f t="shared" ca="1" si="234"/>
        <v>0</v>
      </c>
      <c r="CF281" s="7">
        <f t="shared" ca="1" si="235"/>
        <v>0</v>
      </c>
      <c r="CH281" s="7">
        <f t="shared" ca="1" si="236"/>
        <v>0</v>
      </c>
    </row>
    <row r="282" spans="2:86" s="7" customFormat="1" x14ac:dyDescent="0.2">
      <c r="B282" s="14">
        <f t="shared" si="200"/>
        <v>0</v>
      </c>
      <c r="C282" s="12">
        <f t="shared" si="201"/>
        <v>0</v>
      </c>
      <c r="D282" s="17">
        <f t="shared" si="241"/>
        <v>276</v>
      </c>
      <c r="E282" s="17">
        <f t="shared" ca="1" si="202"/>
        <v>82</v>
      </c>
      <c r="F282" s="12">
        <f t="shared" si="243"/>
        <v>11</v>
      </c>
      <c r="G282" s="12">
        <f t="shared" si="242"/>
        <v>46</v>
      </c>
      <c r="H282" s="17">
        <f t="shared" si="244"/>
        <v>23</v>
      </c>
      <c r="I282" s="29">
        <f t="shared" si="203"/>
        <v>0</v>
      </c>
      <c r="J282" s="211">
        <f>IFERROR(VLOOKUP(H282,Charges!$T$6:$U$35,2,0)*C282,0)</f>
        <v>0</v>
      </c>
      <c r="K282" s="29">
        <f t="shared" si="204"/>
        <v>0</v>
      </c>
      <c r="L282" s="29">
        <f t="shared" si="205"/>
        <v>0</v>
      </c>
      <c r="M282" s="147">
        <f t="shared" ca="1" si="206"/>
        <v>0</v>
      </c>
      <c r="N282" s="148">
        <f ca="1">IF(AND(Option_SPW="Y",H282&gt;=Lock_In_Period,Z281&gt;SPW_Amount_pa+IF(option="Single",1/5*pr,2*pr),H282&gt;=SPW_Start_Year,H282&lt;=SPW_Start_Year+SPW_Duration-1,age+H282&gt;=Legal_Age),IF(AND(F282=0,SPW_Payout_Freq=1),SPW_Amount_pa,IF(AND(SPW_Payout_Freq=2,MOD(F282,6)=0),SPW_Amount_pa/SPW_Payout_Freq,IF(AND(SPW_Payout_Freq=4,MOD(F282,3)=0),SPW_Amount_pa/SPW_Payout_Freq,IF(SPW_Payout_Freq=12,SPW_Amount_pa/SPW_Payout_Freq,0)))),0)+IFERROR(VLOOKUP(H282,Input!$B$68:$C$74,2,0),0)*(F282=0)*(Option_PW="Y")*(Option_SPW="N")*(age+H282&gt;=Legal_Age)</f>
        <v>0</v>
      </c>
      <c r="O282" s="148">
        <f t="shared" ca="1" si="207"/>
        <v>0</v>
      </c>
      <c r="P282" s="14">
        <f ca="1">(MAX(MAX(sa-CF281*Flag_UL_Type,105%*SUM($I$7:I282))-(AD281+L282-N282)*Flag_UL_Type,0)*B282)</f>
        <v>0</v>
      </c>
      <c r="Q282" s="213">
        <f t="shared" si="208"/>
        <v>0</v>
      </c>
      <c r="R282" s="14">
        <f t="shared" ca="1" si="209"/>
        <v>0</v>
      </c>
      <c r="S282" s="14">
        <f t="shared" ca="1" si="210"/>
        <v>0</v>
      </c>
      <c r="T282" s="14">
        <f>IFERROR(IF(WoP_Flag="Y",IF(fq=1,VLOOKUP(ppt*fq-H282,Charges!$AN$41:$AO$59,2,FALSE),IF(fq=2,VLOOKUP(ppt*fq-G282,Charges!$AP$41:$AQ$79,2,FALSE),VLOOKUP(ppt*fq-D282,Charges!$AR$41:$AS$279,2,FALSE)))*pr/fq,0),0)</f>
        <v>0</v>
      </c>
      <c r="U282" s="14">
        <f t="shared" ca="1" si="211"/>
        <v>0</v>
      </c>
      <c r="V282" s="34">
        <f>ROUND(MIN(IF(H282&gt;=7,Charges!$C$12*(1+Charges!$C$14)^((H282-7+1)),VLOOKUP(H282,Charges!$B$7:$C$12,2,0))*pr,Charges!$C$13)*B282,Round)</f>
        <v>0</v>
      </c>
      <c r="W282" s="14">
        <f t="shared" ca="1" si="212"/>
        <v>0</v>
      </c>
      <c r="X282" s="14">
        <f t="shared" ca="1" si="213"/>
        <v>0</v>
      </c>
      <c r="Y282" s="213">
        <f t="shared" ca="1" si="237"/>
        <v>0</v>
      </c>
      <c r="Z282" s="14">
        <f t="shared" ca="1" si="214"/>
        <v>0</v>
      </c>
      <c r="AA282" s="14">
        <f>IF(AND($H282=pt,$F282=11),SUM($K$7:K282)*VLOOKUP(pt,ROC,2,FALSE),0)</f>
        <v>0</v>
      </c>
      <c r="AB282" s="14">
        <f>IF(AND($H282=pt,$F282=11),SUM($V$7:V282)*VLOOKUP(pt,ROC,2,FALSE),0)</f>
        <v>0</v>
      </c>
      <c r="AC282" s="14">
        <f>IF(AND($H282=pt,$F282=11),SUM($Q$7:Q282)*VLOOKUP(pt,ROC,2,FALSE),0)</f>
        <v>0</v>
      </c>
      <c r="AD282" s="14">
        <f t="shared" ca="1" si="215"/>
        <v>0</v>
      </c>
      <c r="AE282" s="14">
        <f ca="1">(MAX(sa-CF281*Flag_UL_Type,105%*SUM($I$7:I282),Z282)+AU282)*B282</f>
        <v>0</v>
      </c>
      <c r="AF282" s="136"/>
      <c r="AG282" s="18">
        <v>276</v>
      </c>
      <c r="AH282" s="30">
        <f t="shared" ca="1" si="216"/>
        <v>0</v>
      </c>
      <c r="AI282" s="58"/>
      <c r="AJ282" s="50">
        <f>IF(AND(Option_Sys_TopUp&gt;="Y",H282&gt;=sytp,H282&lt;=(dtp+sytp-1),F282=0,H282&lt;=ppt+1),atp,0)+IFERROR(VLOOKUP(H282,Input!$B$55:$C$61,2,0),0)*(F282=0)*(Option_TopUP="Y")*(Option_Sys_TopUp="N")*B282*(pt&gt;=H282+5)</f>
        <v>0</v>
      </c>
      <c r="AK282" s="50">
        <f t="shared" si="217"/>
        <v>0</v>
      </c>
      <c r="AL282" s="50">
        <f t="shared" si="238"/>
        <v>0</v>
      </c>
      <c r="AM282" s="50">
        <f t="shared" ca="1" si="239"/>
        <v>0</v>
      </c>
      <c r="AN282" s="50">
        <f>IF(B282=0,0,AT282*(_rpm1+(1+_emr1)*VLOOKUP(E282,Tab_Mort_Charge,IF(Input!$C$12="M",2,3),0))*(0.001*0.0833)*Flag_Mort_Rider_Charge*(AT282&gt;0))</f>
        <v>0</v>
      </c>
      <c r="AO282" s="50">
        <f t="shared" ca="1" si="218"/>
        <v>0</v>
      </c>
      <c r="AP282" s="50">
        <f t="shared" ca="1" si="197"/>
        <v>0</v>
      </c>
      <c r="AQ282" s="50">
        <f t="shared" ca="1" si="219"/>
        <v>0</v>
      </c>
      <c r="AR282" s="50">
        <f t="shared" ca="1" si="220"/>
        <v>0</v>
      </c>
      <c r="AS282" s="50">
        <f t="shared" si="221"/>
        <v>0</v>
      </c>
      <c r="AT282" s="50">
        <f ca="1">(MAX((MAX(AS282,105%*SUM($AJ$7:AJ282))-AM282*Flag_UL_Type),0)*B282)</f>
        <v>0</v>
      </c>
      <c r="AU282" s="50">
        <f ca="1">(MAX(AS282,AR282,105%*SUM($AJ$7:AJ282))*B282)</f>
        <v>0</v>
      </c>
      <c r="AV282" s="125"/>
      <c r="AW282" s="13"/>
      <c r="AX282" s="13"/>
      <c r="AY282" s="13"/>
      <c r="AZ282" s="13"/>
      <c r="BA282" s="13"/>
      <c r="BG282" s="51">
        <f t="shared" si="222"/>
        <v>0</v>
      </c>
      <c r="BH282" s="51">
        <f t="shared" si="223"/>
        <v>0</v>
      </c>
      <c r="BI282" s="51">
        <f t="shared" ca="1" si="224"/>
        <v>0</v>
      </c>
      <c r="BJ282" s="51">
        <f t="shared" ca="1" si="225"/>
        <v>0</v>
      </c>
      <c r="BK282" s="51">
        <f t="shared" si="226"/>
        <v>0</v>
      </c>
      <c r="BL282" s="51">
        <f t="shared" ca="1" si="227"/>
        <v>0</v>
      </c>
      <c r="BM282" s="51">
        <f t="shared" si="228"/>
        <v>0</v>
      </c>
      <c r="BN282" s="51">
        <f t="shared" si="229"/>
        <v>0</v>
      </c>
      <c r="BO282" s="51">
        <f t="shared" ca="1" si="230"/>
        <v>0</v>
      </c>
      <c r="BP282" s="51">
        <f t="shared" ca="1" si="231"/>
        <v>0</v>
      </c>
      <c r="BQ282" s="120"/>
      <c r="BR282" s="32"/>
      <c r="BS282" s="126"/>
      <c r="BT282" s="16"/>
      <c r="BU282" s="58"/>
      <c r="BW282" s="51">
        <f>IF(Input!$C$13="Offline",VLOOKUP(H282,Charges!$AT$4:$AU$33,2,FALSE)*I282,0)</f>
        <v>0</v>
      </c>
      <c r="BX282" s="51">
        <f t="shared" si="232"/>
        <v>0</v>
      </c>
      <c r="BY282" s="51">
        <f t="shared" si="240"/>
        <v>0</v>
      </c>
      <c r="BZ282" s="151"/>
      <c r="CA282" s="151"/>
      <c r="CB282" s="32"/>
      <c r="CC282" s="16">
        <f ca="1">SUM($N$7:$N282)</f>
        <v>0</v>
      </c>
      <c r="CD282" s="16">
        <f t="shared" ca="1" si="233"/>
        <v>0</v>
      </c>
      <c r="CE282" s="16">
        <f t="shared" ca="1" si="234"/>
        <v>0</v>
      </c>
      <c r="CF282" s="7">
        <f t="shared" ca="1" si="235"/>
        <v>0</v>
      </c>
      <c r="CH282" s="7">
        <f t="shared" ca="1" si="236"/>
        <v>0</v>
      </c>
    </row>
    <row r="283" spans="2:86" s="7" customFormat="1" x14ac:dyDescent="0.2">
      <c r="B283" s="14">
        <f t="shared" si="200"/>
        <v>0</v>
      </c>
      <c r="C283" s="12">
        <f t="shared" si="201"/>
        <v>0</v>
      </c>
      <c r="D283" s="17">
        <f t="shared" si="241"/>
        <v>277</v>
      </c>
      <c r="E283" s="17">
        <f t="shared" ca="1" si="202"/>
        <v>83</v>
      </c>
      <c r="F283" s="12">
        <f t="shared" si="243"/>
        <v>0</v>
      </c>
      <c r="G283" s="12">
        <f t="shared" si="242"/>
        <v>47</v>
      </c>
      <c r="H283" s="17">
        <f t="shared" si="244"/>
        <v>24</v>
      </c>
      <c r="I283" s="29">
        <f t="shared" si="203"/>
        <v>0</v>
      </c>
      <c r="J283" s="211">
        <f>IFERROR(VLOOKUP(H283,Charges!$T$6:$U$35,2,0)*C283,0)</f>
        <v>0</v>
      </c>
      <c r="K283" s="29">
        <f t="shared" si="204"/>
        <v>0</v>
      </c>
      <c r="L283" s="29">
        <f t="shared" si="205"/>
        <v>0</v>
      </c>
      <c r="M283" s="147">
        <f t="shared" ca="1" si="206"/>
        <v>0</v>
      </c>
      <c r="N283" s="148">
        <f ca="1">IF(AND(Option_SPW="Y",H283&gt;=Lock_In_Period,Z282&gt;SPW_Amount_pa+IF(option="Single",1/5*pr,2*pr),H283&gt;=SPW_Start_Year,H283&lt;=SPW_Start_Year+SPW_Duration-1,age+H283&gt;=Legal_Age),IF(AND(F283=0,SPW_Payout_Freq=1),SPW_Amount_pa,IF(AND(SPW_Payout_Freq=2,MOD(F283,6)=0),SPW_Amount_pa/SPW_Payout_Freq,IF(AND(SPW_Payout_Freq=4,MOD(F283,3)=0),SPW_Amount_pa/SPW_Payout_Freq,IF(SPW_Payout_Freq=12,SPW_Amount_pa/SPW_Payout_Freq,0)))),0)+IFERROR(VLOOKUP(H283,Input!$B$68:$C$74,2,0),0)*(F283=0)*(Option_PW="Y")*(Option_SPW="N")*(age+H283&gt;=Legal_Age)</f>
        <v>0</v>
      </c>
      <c r="O283" s="148">
        <f t="shared" ca="1" si="207"/>
        <v>0</v>
      </c>
      <c r="P283" s="14">
        <f ca="1">(MAX(MAX(sa-CF282*Flag_UL_Type,105%*SUM($I$7:I283))-(AD282+L283-N283)*Flag_UL_Type,0)*B283)</f>
        <v>0</v>
      </c>
      <c r="Q283" s="213">
        <f t="shared" si="208"/>
        <v>0</v>
      </c>
      <c r="R283" s="14">
        <f t="shared" ca="1" si="209"/>
        <v>0</v>
      </c>
      <c r="S283" s="14">
        <f t="shared" ca="1" si="210"/>
        <v>0</v>
      </c>
      <c r="T283" s="14">
        <f>IFERROR(IF(WoP_Flag="Y",IF(fq=1,VLOOKUP(ppt*fq-H283,Charges!$AN$41:$AO$59,2,FALSE),IF(fq=2,VLOOKUP(ppt*fq-G283,Charges!$AP$41:$AQ$79,2,FALSE),VLOOKUP(ppt*fq-D283,Charges!$AR$41:$AS$279,2,FALSE)))*pr/fq,0),0)</f>
        <v>0</v>
      </c>
      <c r="U283" s="14">
        <f t="shared" ca="1" si="211"/>
        <v>0</v>
      </c>
      <c r="V283" s="34">
        <f>ROUND(MIN(IF(H283&gt;=7,Charges!$C$12*(1+Charges!$C$14)^((H283-7+1)),VLOOKUP(H283,Charges!$B$7:$C$12,2,0))*pr,Charges!$C$13)*B283,Round)</f>
        <v>0</v>
      </c>
      <c r="W283" s="14">
        <f t="shared" ca="1" si="212"/>
        <v>0</v>
      </c>
      <c r="X283" s="14">
        <f t="shared" ca="1" si="213"/>
        <v>0</v>
      </c>
      <c r="Y283" s="213">
        <f t="shared" ca="1" si="237"/>
        <v>0</v>
      </c>
      <c r="Z283" s="14">
        <f t="shared" ca="1" si="214"/>
        <v>0</v>
      </c>
      <c r="AA283" s="14">
        <f>IF(AND($H283=pt,$F283=11),SUM($K$7:K283)*VLOOKUP(pt,ROC,2,FALSE),0)</f>
        <v>0</v>
      </c>
      <c r="AB283" s="14">
        <f>IF(AND($H283=pt,$F283=11),SUM($V$7:V283)*VLOOKUP(pt,ROC,2,FALSE),0)</f>
        <v>0</v>
      </c>
      <c r="AC283" s="14">
        <f>IF(AND($H283=pt,$F283=11),SUM($Q$7:Q283)*VLOOKUP(pt,ROC,2,FALSE),0)</f>
        <v>0</v>
      </c>
      <c r="AD283" s="14">
        <f t="shared" ca="1" si="215"/>
        <v>0</v>
      </c>
      <c r="AE283" s="14">
        <f ca="1">(MAX(sa-CF282*Flag_UL_Type,105%*SUM($I$7:I283),Z283)+AU283)*B283</f>
        <v>0</v>
      </c>
      <c r="AF283" s="136"/>
      <c r="AG283" s="18">
        <v>277</v>
      </c>
      <c r="AH283" s="30">
        <f t="shared" ca="1" si="216"/>
        <v>0</v>
      </c>
      <c r="AI283" s="58"/>
      <c r="AJ283" s="50">
        <f>IF(AND(Option_Sys_TopUp&gt;="Y",H283&gt;=sytp,H283&lt;=(dtp+sytp-1),F283=0,H283&lt;=ppt+1),atp,0)+IFERROR(VLOOKUP(H283,Input!$B$55:$C$61,2,0),0)*(F283=0)*(Option_TopUP="Y")*(Option_Sys_TopUp="N")*B283*(pt&gt;=H283+5)</f>
        <v>0</v>
      </c>
      <c r="AK283" s="50">
        <f t="shared" si="217"/>
        <v>0</v>
      </c>
      <c r="AL283" s="50">
        <f t="shared" si="238"/>
        <v>0</v>
      </c>
      <c r="AM283" s="50">
        <f t="shared" ca="1" si="239"/>
        <v>0</v>
      </c>
      <c r="AN283" s="50">
        <f>IF(B283=0,0,AT283*(_rpm1+(1+_emr1)*VLOOKUP(E283,Tab_Mort_Charge,IF(Input!$C$12="M",2,3),0))*(0.001*0.0833)*Flag_Mort_Rider_Charge*(AT283&gt;0))</f>
        <v>0</v>
      </c>
      <c r="AO283" s="50">
        <f t="shared" ca="1" si="218"/>
        <v>0</v>
      </c>
      <c r="AP283" s="50">
        <f t="shared" ref="AP283:AP346" ca="1" si="245">AO283*(1+$F$3)*B283</f>
        <v>0</v>
      </c>
      <c r="AQ283" s="50">
        <f t="shared" ca="1" si="219"/>
        <v>0</v>
      </c>
      <c r="AR283" s="50">
        <f t="shared" ca="1" si="220"/>
        <v>0</v>
      </c>
      <c r="AS283" s="50">
        <f t="shared" si="221"/>
        <v>0</v>
      </c>
      <c r="AT283" s="50">
        <f ca="1">(MAX((MAX(AS283,105%*SUM($AJ$7:AJ283))-AM283*Flag_UL_Type),0)*B283)</f>
        <v>0</v>
      </c>
      <c r="AU283" s="50">
        <f ca="1">(MAX(AS283,AR283,105%*SUM($AJ$7:AJ283))*B283)</f>
        <v>0</v>
      </c>
      <c r="AV283" s="125"/>
      <c r="AW283" s="13"/>
      <c r="AX283" s="13"/>
      <c r="AY283" s="13"/>
      <c r="AZ283" s="13"/>
      <c r="BA283" s="13"/>
      <c r="BG283" s="51">
        <f t="shared" si="222"/>
        <v>0</v>
      </c>
      <c r="BH283" s="51">
        <f t="shared" si="223"/>
        <v>0</v>
      </c>
      <c r="BI283" s="51">
        <f t="shared" ca="1" si="224"/>
        <v>0</v>
      </c>
      <c r="BJ283" s="51">
        <f t="shared" ca="1" si="225"/>
        <v>0</v>
      </c>
      <c r="BK283" s="51">
        <f t="shared" si="226"/>
        <v>0</v>
      </c>
      <c r="BL283" s="51">
        <f t="shared" ca="1" si="227"/>
        <v>0</v>
      </c>
      <c r="BM283" s="51">
        <f t="shared" si="228"/>
        <v>0</v>
      </c>
      <c r="BN283" s="51">
        <f t="shared" si="229"/>
        <v>0</v>
      </c>
      <c r="BO283" s="51">
        <f t="shared" ca="1" si="230"/>
        <v>0</v>
      </c>
      <c r="BP283" s="51">
        <f t="shared" ca="1" si="231"/>
        <v>0</v>
      </c>
      <c r="BQ283" s="120"/>
      <c r="BR283" s="32"/>
      <c r="BS283" s="126"/>
      <c r="BT283" s="16"/>
      <c r="BU283" s="58"/>
      <c r="BW283" s="51">
        <f>IF(Input!$C$13="Offline",VLOOKUP(H283,Charges!$AT$4:$AU$33,2,FALSE)*I283,0)</f>
        <v>0</v>
      </c>
      <c r="BX283" s="51">
        <f t="shared" si="232"/>
        <v>0</v>
      </c>
      <c r="BY283" s="51">
        <f t="shared" si="240"/>
        <v>0</v>
      </c>
      <c r="BZ283" s="151"/>
      <c r="CA283" s="151"/>
      <c r="CB283" s="32"/>
      <c r="CC283" s="16">
        <f ca="1">SUM($N$7:$N283)</f>
        <v>0</v>
      </c>
      <c r="CD283" s="16">
        <f t="shared" ca="1" si="233"/>
        <v>0</v>
      </c>
      <c r="CE283" s="16">
        <f t="shared" ca="1" si="234"/>
        <v>0</v>
      </c>
      <c r="CF283" s="7">
        <f t="shared" ca="1" si="235"/>
        <v>0</v>
      </c>
      <c r="CH283" s="7">
        <f t="shared" ca="1" si="236"/>
        <v>0</v>
      </c>
    </row>
    <row r="284" spans="2:86" s="7" customFormat="1" x14ac:dyDescent="0.2">
      <c r="B284" s="14">
        <f t="shared" si="200"/>
        <v>0</v>
      </c>
      <c r="C284" s="12">
        <f t="shared" si="201"/>
        <v>0</v>
      </c>
      <c r="D284" s="17">
        <f t="shared" si="241"/>
        <v>278</v>
      </c>
      <c r="E284" s="17">
        <f t="shared" ca="1" si="202"/>
        <v>83</v>
      </c>
      <c r="F284" s="12">
        <f t="shared" si="243"/>
        <v>1</v>
      </c>
      <c r="G284" s="12">
        <f t="shared" si="242"/>
        <v>47</v>
      </c>
      <c r="H284" s="17">
        <f t="shared" si="244"/>
        <v>24</v>
      </c>
      <c r="I284" s="29">
        <f t="shared" si="203"/>
        <v>0</v>
      </c>
      <c r="J284" s="211">
        <f>IFERROR(VLOOKUP(H284,Charges!$T$6:$U$35,2,0)*C284,0)</f>
        <v>0</v>
      </c>
      <c r="K284" s="29">
        <f t="shared" si="204"/>
        <v>0</v>
      </c>
      <c r="L284" s="29">
        <f t="shared" si="205"/>
        <v>0</v>
      </c>
      <c r="M284" s="147">
        <f t="shared" ca="1" si="206"/>
        <v>0</v>
      </c>
      <c r="N284" s="148">
        <f ca="1">IF(AND(Option_SPW="Y",H284&gt;=Lock_In_Period,Z283&gt;SPW_Amount_pa+IF(option="Single",1/5*pr,2*pr),H284&gt;=SPW_Start_Year,H284&lt;=SPW_Start_Year+SPW_Duration-1,age+H284&gt;=Legal_Age),IF(AND(F284=0,SPW_Payout_Freq=1),SPW_Amount_pa,IF(AND(SPW_Payout_Freq=2,MOD(F284,6)=0),SPW_Amount_pa/SPW_Payout_Freq,IF(AND(SPW_Payout_Freq=4,MOD(F284,3)=0),SPW_Amount_pa/SPW_Payout_Freq,IF(SPW_Payout_Freq=12,SPW_Amount_pa/SPW_Payout_Freq,0)))),0)+IFERROR(VLOOKUP(H284,Input!$B$68:$C$74,2,0),0)*(F284=0)*(Option_PW="Y")*(Option_SPW="N")*(age+H284&gt;=Legal_Age)</f>
        <v>0</v>
      </c>
      <c r="O284" s="148">
        <f t="shared" ca="1" si="207"/>
        <v>0</v>
      </c>
      <c r="P284" s="14">
        <f ca="1">(MAX(MAX(sa-CF283*Flag_UL_Type,105%*SUM($I$7:I284))-(AD283+L284-N284)*Flag_UL_Type,0)*B284)</f>
        <v>0</v>
      </c>
      <c r="Q284" s="213">
        <f t="shared" si="208"/>
        <v>0</v>
      </c>
      <c r="R284" s="14">
        <f t="shared" ca="1" si="209"/>
        <v>0</v>
      </c>
      <c r="S284" s="14">
        <f t="shared" ca="1" si="210"/>
        <v>0</v>
      </c>
      <c r="T284" s="14">
        <f>IFERROR(IF(WoP_Flag="Y",IF(fq=1,VLOOKUP(ppt*fq-H284,Charges!$AN$41:$AO$59,2,FALSE),IF(fq=2,VLOOKUP(ppt*fq-G284,Charges!$AP$41:$AQ$79,2,FALSE),VLOOKUP(ppt*fq-D284,Charges!$AR$41:$AS$279,2,FALSE)))*pr/fq,0),0)</f>
        <v>0</v>
      </c>
      <c r="U284" s="14">
        <f t="shared" ca="1" si="211"/>
        <v>0</v>
      </c>
      <c r="V284" s="34">
        <f>ROUND(MIN(IF(H284&gt;=7,Charges!$C$12*(1+Charges!$C$14)^((H284-7+1)),VLOOKUP(H284,Charges!$B$7:$C$12,2,0))*pr,Charges!$C$13)*B284,Round)</f>
        <v>0</v>
      </c>
      <c r="W284" s="14">
        <f t="shared" ca="1" si="212"/>
        <v>0</v>
      </c>
      <c r="X284" s="14">
        <f t="shared" ca="1" si="213"/>
        <v>0</v>
      </c>
      <c r="Y284" s="213">
        <f t="shared" ca="1" si="237"/>
        <v>0</v>
      </c>
      <c r="Z284" s="14">
        <f t="shared" ca="1" si="214"/>
        <v>0</v>
      </c>
      <c r="AA284" s="14">
        <f>IF(AND($H284=pt,$F284=11),SUM($K$7:K284)*VLOOKUP(pt,ROC,2,FALSE),0)</f>
        <v>0</v>
      </c>
      <c r="AB284" s="14">
        <f>IF(AND($H284=pt,$F284=11),SUM($V$7:V284)*VLOOKUP(pt,ROC,2,FALSE),0)</f>
        <v>0</v>
      </c>
      <c r="AC284" s="14">
        <f>IF(AND($H284=pt,$F284=11),SUM($Q$7:Q284)*VLOOKUP(pt,ROC,2,FALSE),0)</f>
        <v>0</v>
      </c>
      <c r="AD284" s="14">
        <f t="shared" ca="1" si="215"/>
        <v>0</v>
      </c>
      <c r="AE284" s="14">
        <f ca="1">(MAX(sa-CF283*Flag_UL_Type,105%*SUM($I$7:I284),Z284)+AU284)*B284</f>
        <v>0</v>
      </c>
      <c r="AF284" s="136"/>
      <c r="AG284" s="18">
        <v>278</v>
      </c>
      <c r="AH284" s="30">
        <f t="shared" ca="1" si="216"/>
        <v>0</v>
      </c>
      <c r="AI284" s="58"/>
      <c r="AJ284" s="50">
        <f>IF(AND(Option_Sys_TopUp&gt;="Y",H284&gt;=sytp,H284&lt;=(dtp+sytp-1),F284=0,H284&lt;=ppt+1),atp,0)+IFERROR(VLOOKUP(H284,Input!$B$55:$C$61,2,0),0)*(F284=0)*(Option_TopUP="Y")*(Option_Sys_TopUp="N")*B284*(pt&gt;=H284+5)</f>
        <v>0</v>
      </c>
      <c r="AK284" s="50">
        <f t="shared" si="217"/>
        <v>0</v>
      </c>
      <c r="AL284" s="50">
        <f t="shared" si="238"/>
        <v>0</v>
      </c>
      <c r="AM284" s="50">
        <f t="shared" ca="1" si="239"/>
        <v>0</v>
      </c>
      <c r="AN284" s="50">
        <f>IF(B284=0,0,AT284*(_rpm1+(1+_emr1)*VLOOKUP(E284,Tab_Mort_Charge,IF(Input!$C$12="M",2,3),0))*(0.001*0.0833)*Flag_Mort_Rider_Charge*(AT284&gt;0))</f>
        <v>0</v>
      </c>
      <c r="AO284" s="50">
        <f t="shared" ca="1" si="218"/>
        <v>0</v>
      </c>
      <c r="AP284" s="50">
        <f t="shared" ca="1" si="245"/>
        <v>0</v>
      </c>
      <c r="AQ284" s="50">
        <f t="shared" ca="1" si="219"/>
        <v>0</v>
      </c>
      <c r="AR284" s="50">
        <f t="shared" ca="1" si="220"/>
        <v>0</v>
      </c>
      <c r="AS284" s="50">
        <f t="shared" si="221"/>
        <v>0</v>
      </c>
      <c r="AT284" s="50">
        <f ca="1">(MAX((MAX(AS284,105%*SUM($AJ$7:AJ284))-AM284*Flag_UL_Type),0)*B284)</f>
        <v>0</v>
      </c>
      <c r="AU284" s="50">
        <f ca="1">(MAX(AS284,AR284,105%*SUM($AJ$7:AJ284))*B284)</f>
        <v>0</v>
      </c>
      <c r="AV284" s="125"/>
      <c r="AW284" s="13"/>
      <c r="AX284" s="13"/>
      <c r="AY284" s="13"/>
      <c r="AZ284" s="13"/>
      <c r="BA284" s="13"/>
      <c r="BG284" s="51">
        <f t="shared" si="222"/>
        <v>0</v>
      </c>
      <c r="BH284" s="51">
        <f t="shared" si="223"/>
        <v>0</v>
      </c>
      <c r="BI284" s="51">
        <f t="shared" ca="1" si="224"/>
        <v>0</v>
      </c>
      <c r="BJ284" s="51">
        <f t="shared" ca="1" si="225"/>
        <v>0</v>
      </c>
      <c r="BK284" s="51">
        <f t="shared" si="226"/>
        <v>0</v>
      </c>
      <c r="BL284" s="51">
        <f t="shared" ca="1" si="227"/>
        <v>0</v>
      </c>
      <c r="BM284" s="51">
        <f t="shared" si="228"/>
        <v>0</v>
      </c>
      <c r="BN284" s="51">
        <f t="shared" si="229"/>
        <v>0</v>
      </c>
      <c r="BO284" s="51">
        <f t="shared" ca="1" si="230"/>
        <v>0</v>
      </c>
      <c r="BP284" s="51">
        <f t="shared" ca="1" si="231"/>
        <v>0</v>
      </c>
      <c r="BQ284" s="120"/>
      <c r="BR284" s="32"/>
      <c r="BS284" s="126"/>
      <c r="BT284" s="16"/>
      <c r="BU284" s="58"/>
      <c r="BW284" s="51">
        <f>IF(Input!$C$13="Offline",VLOOKUP(H284,Charges!$AT$4:$AU$33,2,FALSE)*I284,0)</f>
        <v>0</v>
      </c>
      <c r="BX284" s="51">
        <f t="shared" si="232"/>
        <v>0</v>
      </c>
      <c r="BY284" s="51">
        <f t="shared" si="240"/>
        <v>0</v>
      </c>
      <c r="BZ284" s="151"/>
      <c r="CA284" s="151"/>
      <c r="CB284" s="32"/>
      <c r="CC284" s="16">
        <f ca="1">SUM($N$7:$N284)</f>
        <v>0</v>
      </c>
      <c r="CD284" s="16">
        <f t="shared" ca="1" si="233"/>
        <v>0</v>
      </c>
      <c r="CE284" s="16">
        <f t="shared" ca="1" si="234"/>
        <v>0</v>
      </c>
      <c r="CF284" s="7">
        <f t="shared" ca="1" si="235"/>
        <v>0</v>
      </c>
      <c r="CH284" s="7">
        <f t="shared" ca="1" si="236"/>
        <v>0</v>
      </c>
    </row>
    <row r="285" spans="2:86" s="7" customFormat="1" x14ac:dyDescent="0.2">
      <c r="B285" s="14">
        <f t="shared" si="200"/>
        <v>0</v>
      </c>
      <c r="C285" s="12">
        <f t="shared" si="201"/>
        <v>0</v>
      </c>
      <c r="D285" s="17">
        <f t="shared" si="241"/>
        <v>279</v>
      </c>
      <c r="E285" s="17">
        <f t="shared" ca="1" si="202"/>
        <v>83</v>
      </c>
      <c r="F285" s="12">
        <f t="shared" si="243"/>
        <v>2</v>
      </c>
      <c r="G285" s="12">
        <f t="shared" si="242"/>
        <v>47</v>
      </c>
      <c r="H285" s="17">
        <f t="shared" si="244"/>
        <v>24</v>
      </c>
      <c r="I285" s="29">
        <f t="shared" si="203"/>
        <v>0</v>
      </c>
      <c r="J285" s="211">
        <f>IFERROR(VLOOKUP(H285,Charges!$T$6:$U$35,2,0)*C285,0)</f>
        <v>0</v>
      </c>
      <c r="K285" s="29">
        <f t="shared" si="204"/>
        <v>0</v>
      </c>
      <c r="L285" s="29">
        <f t="shared" si="205"/>
        <v>0</v>
      </c>
      <c r="M285" s="147">
        <f t="shared" ca="1" si="206"/>
        <v>0</v>
      </c>
      <c r="N285" s="148">
        <f ca="1">IF(AND(Option_SPW="Y",H285&gt;=Lock_In_Period,Z284&gt;SPW_Amount_pa+IF(option="Single",1/5*pr,2*pr),H285&gt;=SPW_Start_Year,H285&lt;=SPW_Start_Year+SPW_Duration-1,age+H285&gt;=Legal_Age),IF(AND(F285=0,SPW_Payout_Freq=1),SPW_Amount_pa,IF(AND(SPW_Payout_Freq=2,MOD(F285,6)=0),SPW_Amount_pa/SPW_Payout_Freq,IF(AND(SPW_Payout_Freq=4,MOD(F285,3)=0),SPW_Amount_pa/SPW_Payout_Freq,IF(SPW_Payout_Freq=12,SPW_Amount_pa/SPW_Payout_Freq,0)))),0)+IFERROR(VLOOKUP(H285,Input!$B$68:$C$74,2,0),0)*(F285=0)*(Option_PW="Y")*(Option_SPW="N")*(age+H285&gt;=Legal_Age)</f>
        <v>0</v>
      </c>
      <c r="O285" s="148">
        <f t="shared" ca="1" si="207"/>
        <v>0</v>
      </c>
      <c r="P285" s="14">
        <f ca="1">(MAX(MAX(sa-CF284*Flag_UL_Type,105%*SUM($I$7:I285))-(AD284+L285-N285)*Flag_UL_Type,0)*B285)</f>
        <v>0</v>
      </c>
      <c r="Q285" s="213">
        <f t="shared" si="208"/>
        <v>0</v>
      </c>
      <c r="R285" s="14">
        <f t="shared" ca="1" si="209"/>
        <v>0</v>
      </c>
      <c r="S285" s="14">
        <f t="shared" ca="1" si="210"/>
        <v>0</v>
      </c>
      <c r="T285" s="14">
        <f>IFERROR(IF(WoP_Flag="Y",IF(fq=1,VLOOKUP(ppt*fq-H285,Charges!$AN$41:$AO$59,2,FALSE),IF(fq=2,VLOOKUP(ppt*fq-G285,Charges!$AP$41:$AQ$79,2,FALSE),VLOOKUP(ppt*fq-D285,Charges!$AR$41:$AS$279,2,FALSE)))*pr/fq,0),0)</f>
        <v>0</v>
      </c>
      <c r="U285" s="14">
        <f t="shared" ca="1" si="211"/>
        <v>0</v>
      </c>
      <c r="V285" s="34">
        <f>ROUND(MIN(IF(H285&gt;=7,Charges!$C$12*(1+Charges!$C$14)^((H285-7+1)),VLOOKUP(H285,Charges!$B$7:$C$12,2,0))*pr,Charges!$C$13)*B285,Round)</f>
        <v>0</v>
      </c>
      <c r="W285" s="14">
        <f t="shared" ca="1" si="212"/>
        <v>0</v>
      </c>
      <c r="X285" s="14">
        <f t="shared" ca="1" si="213"/>
        <v>0</v>
      </c>
      <c r="Y285" s="213">
        <f t="shared" ca="1" si="237"/>
        <v>0</v>
      </c>
      <c r="Z285" s="14">
        <f t="shared" ca="1" si="214"/>
        <v>0</v>
      </c>
      <c r="AA285" s="14">
        <f>IF(AND($H285=pt,$F285=11),SUM($K$7:K285)*VLOOKUP(pt,ROC,2,FALSE),0)</f>
        <v>0</v>
      </c>
      <c r="AB285" s="14">
        <f>IF(AND($H285=pt,$F285=11),SUM($V$7:V285)*VLOOKUP(pt,ROC,2,FALSE),0)</f>
        <v>0</v>
      </c>
      <c r="AC285" s="14">
        <f>IF(AND($H285=pt,$F285=11),SUM($Q$7:Q285)*VLOOKUP(pt,ROC,2,FALSE),0)</f>
        <v>0</v>
      </c>
      <c r="AD285" s="14">
        <f t="shared" ca="1" si="215"/>
        <v>0</v>
      </c>
      <c r="AE285" s="14">
        <f ca="1">(MAX(sa-CF284*Flag_UL_Type,105%*SUM($I$7:I285),Z285)+AU285)*B285</f>
        <v>0</v>
      </c>
      <c r="AF285" s="136"/>
      <c r="AG285" s="18">
        <v>279</v>
      </c>
      <c r="AH285" s="30">
        <f t="shared" ca="1" si="216"/>
        <v>0</v>
      </c>
      <c r="AI285" s="58"/>
      <c r="AJ285" s="50">
        <f>IF(AND(Option_Sys_TopUp&gt;="Y",H285&gt;=sytp,H285&lt;=(dtp+sytp-1),F285=0,H285&lt;=ppt+1),atp,0)+IFERROR(VLOOKUP(H285,Input!$B$55:$C$61,2,0),0)*(F285=0)*(Option_TopUP="Y")*(Option_Sys_TopUp="N")*B285*(pt&gt;=H285+5)</f>
        <v>0</v>
      </c>
      <c r="AK285" s="50">
        <f t="shared" si="217"/>
        <v>0</v>
      </c>
      <c r="AL285" s="50">
        <f t="shared" si="238"/>
        <v>0</v>
      </c>
      <c r="AM285" s="50">
        <f t="shared" ca="1" si="239"/>
        <v>0</v>
      </c>
      <c r="AN285" s="50">
        <f>IF(B285=0,0,AT285*(_rpm1+(1+_emr1)*VLOOKUP(E285,Tab_Mort_Charge,IF(Input!$C$12="M",2,3),0))*(0.001*0.0833)*Flag_Mort_Rider_Charge*(AT285&gt;0))</f>
        <v>0</v>
      </c>
      <c r="AO285" s="50">
        <f t="shared" ca="1" si="218"/>
        <v>0</v>
      </c>
      <c r="AP285" s="50">
        <f t="shared" ca="1" si="245"/>
        <v>0</v>
      </c>
      <c r="AQ285" s="50">
        <f t="shared" ca="1" si="219"/>
        <v>0</v>
      </c>
      <c r="AR285" s="50">
        <f t="shared" ca="1" si="220"/>
        <v>0</v>
      </c>
      <c r="AS285" s="50">
        <f t="shared" si="221"/>
        <v>0</v>
      </c>
      <c r="AT285" s="50">
        <f ca="1">(MAX((MAX(AS285,105%*SUM($AJ$7:AJ285))-AM285*Flag_UL_Type),0)*B285)</f>
        <v>0</v>
      </c>
      <c r="AU285" s="50">
        <f ca="1">(MAX(AS285,AR285,105%*SUM($AJ$7:AJ285))*B285)</f>
        <v>0</v>
      </c>
      <c r="AV285" s="125"/>
      <c r="AW285" s="13"/>
      <c r="AX285" s="13"/>
      <c r="AY285" s="13"/>
      <c r="AZ285" s="13"/>
      <c r="BA285" s="13"/>
      <c r="BG285" s="51">
        <f t="shared" si="222"/>
        <v>0</v>
      </c>
      <c r="BH285" s="51">
        <f t="shared" si="223"/>
        <v>0</v>
      </c>
      <c r="BI285" s="51">
        <f t="shared" ca="1" si="224"/>
        <v>0</v>
      </c>
      <c r="BJ285" s="51">
        <f t="shared" ca="1" si="225"/>
        <v>0</v>
      </c>
      <c r="BK285" s="51">
        <f t="shared" si="226"/>
        <v>0</v>
      </c>
      <c r="BL285" s="51">
        <f t="shared" ca="1" si="227"/>
        <v>0</v>
      </c>
      <c r="BM285" s="51">
        <f t="shared" si="228"/>
        <v>0</v>
      </c>
      <c r="BN285" s="51">
        <f t="shared" si="229"/>
        <v>0</v>
      </c>
      <c r="BO285" s="51">
        <f t="shared" ca="1" si="230"/>
        <v>0</v>
      </c>
      <c r="BP285" s="51">
        <f t="shared" ca="1" si="231"/>
        <v>0</v>
      </c>
      <c r="BQ285" s="120"/>
      <c r="BR285" s="32"/>
      <c r="BS285" s="126"/>
      <c r="BT285" s="16"/>
      <c r="BU285" s="58"/>
      <c r="BW285" s="51">
        <f>IF(Input!$C$13="Offline",VLOOKUP(H285,Charges!$AT$4:$AU$33,2,FALSE)*I285,0)</f>
        <v>0</v>
      </c>
      <c r="BX285" s="51">
        <f t="shared" si="232"/>
        <v>0</v>
      </c>
      <c r="BY285" s="51">
        <f t="shared" si="240"/>
        <v>0</v>
      </c>
      <c r="BZ285" s="151"/>
      <c r="CA285" s="151"/>
      <c r="CB285" s="32"/>
      <c r="CC285" s="16">
        <f ca="1">SUM($N$7:$N285)</f>
        <v>0</v>
      </c>
      <c r="CD285" s="16">
        <f t="shared" ca="1" si="233"/>
        <v>0</v>
      </c>
      <c r="CE285" s="16">
        <f t="shared" ca="1" si="234"/>
        <v>0</v>
      </c>
      <c r="CF285" s="7">
        <f t="shared" ca="1" si="235"/>
        <v>0</v>
      </c>
      <c r="CH285" s="7">
        <f t="shared" ca="1" si="236"/>
        <v>0</v>
      </c>
    </row>
    <row r="286" spans="2:86" s="7" customFormat="1" x14ac:dyDescent="0.2">
      <c r="B286" s="14">
        <f t="shared" si="200"/>
        <v>0</v>
      </c>
      <c r="C286" s="12">
        <f t="shared" si="201"/>
        <v>0</v>
      </c>
      <c r="D286" s="17">
        <f t="shared" si="241"/>
        <v>280</v>
      </c>
      <c r="E286" s="17">
        <f t="shared" ca="1" si="202"/>
        <v>83</v>
      </c>
      <c r="F286" s="12">
        <f t="shared" si="243"/>
        <v>3</v>
      </c>
      <c r="G286" s="12">
        <f t="shared" si="242"/>
        <v>47</v>
      </c>
      <c r="H286" s="17">
        <f t="shared" si="244"/>
        <v>24</v>
      </c>
      <c r="I286" s="29">
        <f t="shared" si="203"/>
        <v>0</v>
      </c>
      <c r="J286" s="211">
        <f>IFERROR(VLOOKUP(H286,Charges!$T$6:$U$35,2,0)*C286,0)</f>
        <v>0</v>
      </c>
      <c r="K286" s="29">
        <f t="shared" si="204"/>
        <v>0</v>
      </c>
      <c r="L286" s="29">
        <f t="shared" si="205"/>
        <v>0</v>
      </c>
      <c r="M286" s="147">
        <f t="shared" ca="1" si="206"/>
        <v>0</v>
      </c>
      <c r="N286" s="148">
        <f ca="1">IF(AND(Option_SPW="Y",H286&gt;=Lock_In_Period,Z285&gt;SPW_Amount_pa+IF(option="Single",1/5*pr,2*pr),H286&gt;=SPW_Start_Year,H286&lt;=SPW_Start_Year+SPW_Duration-1,age+H286&gt;=Legal_Age),IF(AND(F286=0,SPW_Payout_Freq=1),SPW_Amount_pa,IF(AND(SPW_Payout_Freq=2,MOD(F286,6)=0),SPW_Amount_pa/SPW_Payout_Freq,IF(AND(SPW_Payout_Freq=4,MOD(F286,3)=0),SPW_Amount_pa/SPW_Payout_Freq,IF(SPW_Payout_Freq=12,SPW_Amount_pa/SPW_Payout_Freq,0)))),0)+IFERROR(VLOOKUP(H286,Input!$B$68:$C$74,2,0),0)*(F286=0)*(Option_PW="Y")*(Option_SPW="N")*(age+H286&gt;=Legal_Age)</f>
        <v>0</v>
      </c>
      <c r="O286" s="148">
        <f t="shared" ca="1" si="207"/>
        <v>0</v>
      </c>
      <c r="P286" s="14">
        <f ca="1">(MAX(MAX(sa-CF285*Flag_UL_Type,105%*SUM($I$7:I286))-(AD285+L286-N286)*Flag_UL_Type,0)*B286)</f>
        <v>0</v>
      </c>
      <c r="Q286" s="213">
        <f t="shared" si="208"/>
        <v>0</v>
      </c>
      <c r="R286" s="14">
        <f t="shared" ca="1" si="209"/>
        <v>0</v>
      </c>
      <c r="S286" s="14">
        <f t="shared" ca="1" si="210"/>
        <v>0</v>
      </c>
      <c r="T286" s="14">
        <f>IFERROR(IF(WoP_Flag="Y",IF(fq=1,VLOOKUP(ppt*fq-H286,Charges!$AN$41:$AO$59,2,FALSE),IF(fq=2,VLOOKUP(ppt*fq-G286,Charges!$AP$41:$AQ$79,2,FALSE),VLOOKUP(ppt*fq-D286,Charges!$AR$41:$AS$279,2,FALSE)))*pr/fq,0),0)</f>
        <v>0</v>
      </c>
      <c r="U286" s="14">
        <f t="shared" ca="1" si="211"/>
        <v>0</v>
      </c>
      <c r="V286" s="34">
        <f>ROUND(MIN(IF(H286&gt;=7,Charges!$C$12*(1+Charges!$C$14)^((H286-7+1)),VLOOKUP(H286,Charges!$B$7:$C$12,2,0))*pr,Charges!$C$13)*B286,Round)</f>
        <v>0</v>
      </c>
      <c r="W286" s="14">
        <f t="shared" ca="1" si="212"/>
        <v>0</v>
      </c>
      <c r="X286" s="14">
        <f t="shared" ca="1" si="213"/>
        <v>0</v>
      </c>
      <c r="Y286" s="213">
        <f t="shared" ca="1" si="237"/>
        <v>0</v>
      </c>
      <c r="Z286" s="14">
        <f t="shared" ca="1" si="214"/>
        <v>0</v>
      </c>
      <c r="AA286" s="14">
        <f>IF(AND($H286=pt,$F286=11),SUM($K$7:K286)*VLOOKUP(pt,ROC,2,FALSE),0)</f>
        <v>0</v>
      </c>
      <c r="AB286" s="14">
        <f>IF(AND($H286=pt,$F286=11),SUM($V$7:V286)*VLOOKUP(pt,ROC,2,FALSE),0)</f>
        <v>0</v>
      </c>
      <c r="AC286" s="14">
        <f>IF(AND($H286=pt,$F286=11),SUM($Q$7:Q286)*VLOOKUP(pt,ROC,2,FALSE),0)</f>
        <v>0</v>
      </c>
      <c r="AD286" s="14">
        <f t="shared" ca="1" si="215"/>
        <v>0</v>
      </c>
      <c r="AE286" s="14">
        <f ca="1">(MAX(sa-CF285*Flag_UL_Type,105%*SUM($I$7:I286),Z286)+AU286)*B286</f>
        <v>0</v>
      </c>
      <c r="AF286" s="136"/>
      <c r="AG286" s="18">
        <v>280</v>
      </c>
      <c r="AH286" s="30">
        <f t="shared" ca="1" si="216"/>
        <v>0</v>
      </c>
      <c r="AI286" s="58"/>
      <c r="AJ286" s="50">
        <f>IF(AND(Option_Sys_TopUp&gt;="Y",H286&gt;=sytp,H286&lt;=(dtp+sytp-1),F286=0,H286&lt;=ppt+1),atp,0)+IFERROR(VLOOKUP(H286,Input!$B$55:$C$61,2,0),0)*(F286=0)*(Option_TopUP="Y")*(Option_Sys_TopUp="N")*B286*(pt&gt;=H286+5)</f>
        <v>0</v>
      </c>
      <c r="AK286" s="50">
        <f t="shared" si="217"/>
        <v>0</v>
      </c>
      <c r="AL286" s="50">
        <f t="shared" si="238"/>
        <v>0</v>
      </c>
      <c r="AM286" s="50">
        <f t="shared" ca="1" si="239"/>
        <v>0</v>
      </c>
      <c r="AN286" s="50">
        <f>IF(B286=0,0,AT286*(_rpm1+(1+_emr1)*VLOOKUP(E286,Tab_Mort_Charge,IF(Input!$C$12="M",2,3),0))*(0.001*0.0833)*Flag_Mort_Rider_Charge*(AT286&gt;0))</f>
        <v>0</v>
      </c>
      <c r="AO286" s="50">
        <f t="shared" ca="1" si="218"/>
        <v>0</v>
      </c>
      <c r="AP286" s="50">
        <f t="shared" ca="1" si="245"/>
        <v>0</v>
      </c>
      <c r="AQ286" s="50">
        <f t="shared" ca="1" si="219"/>
        <v>0</v>
      </c>
      <c r="AR286" s="50">
        <f t="shared" ca="1" si="220"/>
        <v>0</v>
      </c>
      <c r="AS286" s="50">
        <f t="shared" si="221"/>
        <v>0</v>
      </c>
      <c r="AT286" s="50">
        <f ca="1">(MAX((MAX(AS286,105%*SUM($AJ$7:AJ286))-AM286*Flag_UL_Type),0)*B286)</f>
        <v>0</v>
      </c>
      <c r="AU286" s="50">
        <f ca="1">(MAX(AS286,AR286,105%*SUM($AJ$7:AJ286))*B286)</f>
        <v>0</v>
      </c>
      <c r="AV286" s="125"/>
      <c r="AW286" s="13"/>
      <c r="AX286" s="13"/>
      <c r="AY286" s="13"/>
      <c r="AZ286" s="13"/>
      <c r="BA286" s="13"/>
      <c r="BG286" s="51">
        <f t="shared" si="222"/>
        <v>0</v>
      </c>
      <c r="BH286" s="51">
        <f t="shared" si="223"/>
        <v>0</v>
      </c>
      <c r="BI286" s="51">
        <f t="shared" ca="1" si="224"/>
        <v>0</v>
      </c>
      <c r="BJ286" s="51">
        <f t="shared" ca="1" si="225"/>
        <v>0</v>
      </c>
      <c r="BK286" s="51">
        <f t="shared" si="226"/>
        <v>0</v>
      </c>
      <c r="BL286" s="51">
        <f t="shared" ca="1" si="227"/>
        <v>0</v>
      </c>
      <c r="BM286" s="51">
        <f t="shared" si="228"/>
        <v>0</v>
      </c>
      <c r="BN286" s="51">
        <f t="shared" si="229"/>
        <v>0</v>
      </c>
      <c r="BO286" s="51">
        <f t="shared" ca="1" si="230"/>
        <v>0</v>
      </c>
      <c r="BP286" s="51">
        <f t="shared" ca="1" si="231"/>
        <v>0</v>
      </c>
      <c r="BQ286" s="120"/>
      <c r="BR286" s="32"/>
      <c r="BS286" s="126"/>
      <c r="BT286" s="16"/>
      <c r="BU286" s="58"/>
      <c r="BW286" s="51">
        <f>IF(Input!$C$13="Offline",VLOOKUP(H286,Charges!$AT$4:$AU$33,2,FALSE)*I286,0)</f>
        <v>0</v>
      </c>
      <c r="BX286" s="51">
        <f t="shared" si="232"/>
        <v>0</v>
      </c>
      <c r="BY286" s="51">
        <f t="shared" si="240"/>
        <v>0</v>
      </c>
      <c r="BZ286" s="151"/>
      <c r="CA286" s="151"/>
      <c r="CB286" s="32"/>
      <c r="CC286" s="16">
        <f ca="1">SUM($N$7:$N286)</f>
        <v>0</v>
      </c>
      <c r="CD286" s="16">
        <f t="shared" ca="1" si="233"/>
        <v>0</v>
      </c>
      <c r="CE286" s="16">
        <f t="shared" ca="1" si="234"/>
        <v>0</v>
      </c>
      <c r="CF286" s="7">
        <f t="shared" ca="1" si="235"/>
        <v>0</v>
      </c>
      <c r="CH286" s="7">
        <f t="shared" ca="1" si="236"/>
        <v>0</v>
      </c>
    </row>
    <row r="287" spans="2:86" s="7" customFormat="1" x14ac:dyDescent="0.2">
      <c r="B287" s="14">
        <f t="shared" si="200"/>
        <v>0</v>
      </c>
      <c r="C287" s="12">
        <f t="shared" si="201"/>
        <v>0</v>
      </c>
      <c r="D287" s="17">
        <f t="shared" si="241"/>
        <v>281</v>
      </c>
      <c r="E287" s="17">
        <f t="shared" ca="1" si="202"/>
        <v>83</v>
      </c>
      <c r="F287" s="12">
        <f t="shared" si="243"/>
        <v>4</v>
      </c>
      <c r="G287" s="12">
        <f t="shared" si="242"/>
        <v>47</v>
      </c>
      <c r="H287" s="17">
        <f t="shared" si="244"/>
        <v>24</v>
      </c>
      <c r="I287" s="29">
        <f t="shared" si="203"/>
        <v>0</v>
      </c>
      <c r="J287" s="211">
        <f>IFERROR(VLOOKUP(H287,Charges!$T$6:$U$35,2,0)*C287,0)</f>
        <v>0</v>
      </c>
      <c r="K287" s="29">
        <f t="shared" si="204"/>
        <v>0</v>
      </c>
      <c r="L287" s="29">
        <f t="shared" si="205"/>
        <v>0</v>
      </c>
      <c r="M287" s="147">
        <f t="shared" ca="1" si="206"/>
        <v>0</v>
      </c>
      <c r="N287" s="148">
        <f ca="1">IF(AND(Option_SPW="Y",H287&gt;=Lock_In_Period,Z286&gt;SPW_Amount_pa+IF(option="Single",1/5*pr,2*pr),H287&gt;=SPW_Start_Year,H287&lt;=SPW_Start_Year+SPW_Duration-1,age+H287&gt;=Legal_Age),IF(AND(F287=0,SPW_Payout_Freq=1),SPW_Amount_pa,IF(AND(SPW_Payout_Freq=2,MOD(F287,6)=0),SPW_Amount_pa/SPW_Payout_Freq,IF(AND(SPW_Payout_Freq=4,MOD(F287,3)=0),SPW_Amount_pa/SPW_Payout_Freq,IF(SPW_Payout_Freq=12,SPW_Amount_pa/SPW_Payout_Freq,0)))),0)+IFERROR(VLOOKUP(H287,Input!$B$68:$C$74,2,0),0)*(F287=0)*(Option_PW="Y")*(Option_SPW="N")*(age+H287&gt;=Legal_Age)</f>
        <v>0</v>
      </c>
      <c r="O287" s="148">
        <f t="shared" ca="1" si="207"/>
        <v>0</v>
      </c>
      <c r="P287" s="14">
        <f ca="1">(MAX(MAX(sa-CF286*Flag_UL_Type,105%*SUM($I$7:I287))-(AD286+L287-N287)*Flag_UL_Type,0)*B287)</f>
        <v>0</v>
      </c>
      <c r="Q287" s="213">
        <f t="shared" si="208"/>
        <v>0</v>
      </c>
      <c r="R287" s="14">
        <f t="shared" ca="1" si="209"/>
        <v>0</v>
      </c>
      <c r="S287" s="14">
        <f t="shared" ca="1" si="210"/>
        <v>0</v>
      </c>
      <c r="T287" s="14">
        <f>IFERROR(IF(WoP_Flag="Y",IF(fq=1,VLOOKUP(ppt*fq-H287,Charges!$AN$41:$AO$59,2,FALSE),IF(fq=2,VLOOKUP(ppt*fq-G287,Charges!$AP$41:$AQ$79,2,FALSE),VLOOKUP(ppt*fq-D287,Charges!$AR$41:$AS$279,2,FALSE)))*pr/fq,0),0)</f>
        <v>0</v>
      </c>
      <c r="U287" s="14">
        <f t="shared" ca="1" si="211"/>
        <v>0</v>
      </c>
      <c r="V287" s="34">
        <f>ROUND(MIN(IF(H287&gt;=7,Charges!$C$12*(1+Charges!$C$14)^((H287-7+1)),VLOOKUP(H287,Charges!$B$7:$C$12,2,0))*pr,Charges!$C$13)*B287,Round)</f>
        <v>0</v>
      </c>
      <c r="W287" s="14">
        <f t="shared" ca="1" si="212"/>
        <v>0</v>
      </c>
      <c r="X287" s="14">
        <f t="shared" ca="1" si="213"/>
        <v>0</v>
      </c>
      <c r="Y287" s="213">
        <f t="shared" ca="1" si="237"/>
        <v>0</v>
      </c>
      <c r="Z287" s="14">
        <f t="shared" ca="1" si="214"/>
        <v>0</v>
      </c>
      <c r="AA287" s="14">
        <f>IF(AND($H287=pt,$F287=11),SUM($K$7:K287)*VLOOKUP(pt,ROC,2,FALSE),0)</f>
        <v>0</v>
      </c>
      <c r="AB287" s="14">
        <f>IF(AND($H287=pt,$F287=11),SUM($V$7:V287)*VLOOKUP(pt,ROC,2,FALSE),0)</f>
        <v>0</v>
      </c>
      <c r="AC287" s="14">
        <f>IF(AND($H287=pt,$F287=11),SUM($Q$7:Q287)*VLOOKUP(pt,ROC,2,FALSE),0)</f>
        <v>0</v>
      </c>
      <c r="AD287" s="14">
        <f t="shared" ca="1" si="215"/>
        <v>0</v>
      </c>
      <c r="AE287" s="14">
        <f ca="1">(MAX(sa-CF286*Flag_UL_Type,105%*SUM($I$7:I287),Z287)+AU287)*B287</f>
        <v>0</v>
      </c>
      <c r="AF287" s="136"/>
      <c r="AG287" s="18">
        <v>281</v>
      </c>
      <c r="AH287" s="30">
        <f t="shared" ca="1" si="216"/>
        <v>0</v>
      </c>
      <c r="AI287" s="58"/>
      <c r="AJ287" s="50">
        <f>IF(AND(Option_Sys_TopUp&gt;="Y",H287&gt;=sytp,H287&lt;=(dtp+sytp-1),F287=0,H287&lt;=ppt+1),atp,0)+IFERROR(VLOOKUP(H287,Input!$B$55:$C$61,2,0),0)*(F287=0)*(Option_TopUP="Y")*(Option_Sys_TopUp="N")*B287*(pt&gt;=H287+5)</f>
        <v>0</v>
      </c>
      <c r="AK287" s="50">
        <f t="shared" si="217"/>
        <v>0</v>
      </c>
      <c r="AL287" s="50">
        <f t="shared" si="238"/>
        <v>0</v>
      </c>
      <c r="AM287" s="50">
        <f t="shared" ca="1" si="239"/>
        <v>0</v>
      </c>
      <c r="AN287" s="50">
        <f>IF(B287=0,0,AT287*(_rpm1+(1+_emr1)*VLOOKUP(E287,Tab_Mort_Charge,IF(Input!$C$12="M",2,3),0))*(0.001*0.0833)*Flag_Mort_Rider_Charge*(AT287&gt;0))</f>
        <v>0</v>
      </c>
      <c r="AO287" s="50">
        <f t="shared" ca="1" si="218"/>
        <v>0</v>
      </c>
      <c r="AP287" s="50">
        <f t="shared" ca="1" si="245"/>
        <v>0</v>
      </c>
      <c r="AQ287" s="50">
        <f t="shared" ca="1" si="219"/>
        <v>0</v>
      </c>
      <c r="AR287" s="50">
        <f t="shared" ca="1" si="220"/>
        <v>0</v>
      </c>
      <c r="AS287" s="50">
        <f t="shared" si="221"/>
        <v>0</v>
      </c>
      <c r="AT287" s="50">
        <f ca="1">(MAX((MAX(AS287,105%*SUM($AJ$7:AJ287))-AM287*Flag_UL_Type),0)*B287)</f>
        <v>0</v>
      </c>
      <c r="AU287" s="50">
        <f ca="1">(MAX(AS287,AR287,105%*SUM($AJ$7:AJ287))*B287)</f>
        <v>0</v>
      </c>
      <c r="AV287" s="125"/>
      <c r="AW287" s="13"/>
      <c r="AX287" s="13"/>
      <c r="AY287" s="13"/>
      <c r="AZ287" s="13"/>
      <c r="BA287" s="13"/>
      <c r="BG287" s="51">
        <f t="shared" si="222"/>
        <v>0</v>
      </c>
      <c r="BH287" s="51">
        <f t="shared" si="223"/>
        <v>0</v>
      </c>
      <c r="BI287" s="51">
        <f t="shared" ca="1" si="224"/>
        <v>0</v>
      </c>
      <c r="BJ287" s="51">
        <f t="shared" ca="1" si="225"/>
        <v>0</v>
      </c>
      <c r="BK287" s="51">
        <f t="shared" si="226"/>
        <v>0</v>
      </c>
      <c r="BL287" s="51">
        <f t="shared" ca="1" si="227"/>
        <v>0</v>
      </c>
      <c r="BM287" s="51">
        <f t="shared" si="228"/>
        <v>0</v>
      </c>
      <c r="BN287" s="51">
        <f t="shared" si="229"/>
        <v>0</v>
      </c>
      <c r="BO287" s="51">
        <f t="shared" ca="1" si="230"/>
        <v>0</v>
      </c>
      <c r="BP287" s="51">
        <f t="shared" ca="1" si="231"/>
        <v>0</v>
      </c>
      <c r="BQ287" s="120"/>
      <c r="BR287" s="32"/>
      <c r="BS287" s="126"/>
      <c r="BT287" s="16"/>
      <c r="BU287" s="58"/>
      <c r="BW287" s="51">
        <f>IF(Input!$C$13="Offline",VLOOKUP(H287,Charges!$AT$4:$AU$33,2,FALSE)*I287,0)</f>
        <v>0</v>
      </c>
      <c r="BX287" s="51">
        <f t="shared" si="232"/>
        <v>0</v>
      </c>
      <c r="BY287" s="51">
        <f t="shared" si="240"/>
        <v>0</v>
      </c>
      <c r="BZ287" s="151"/>
      <c r="CA287" s="151"/>
      <c r="CB287" s="32"/>
      <c r="CC287" s="16">
        <f ca="1">SUM($N$7:$N287)</f>
        <v>0</v>
      </c>
      <c r="CD287" s="16">
        <f t="shared" ca="1" si="233"/>
        <v>0</v>
      </c>
      <c r="CE287" s="16">
        <f t="shared" ca="1" si="234"/>
        <v>0</v>
      </c>
      <c r="CF287" s="7">
        <f t="shared" ca="1" si="235"/>
        <v>0</v>
      </c>
      <c r="CH287" s="7">
        <f t="shared" ca="1" si="236"/>
        <v>0</v>
      </c>
    </row>
    <row r="288" spans="2:86" s="7" customFormat="1" x14ac:dyDescent="0.2">
      <c r="B288" s="14">
        <f t="shared" si="200"/>
        <v>0</v>
      </c>
      <c r="C288" s="12">
        <f t="shared" si="201"/>
        <v>0</v>
      </c>
      <c r="D288" s="17">
        <f t="shared" si="241"/>
        <v>282</v>
      </c>
      <c r="E288" s="17">
        <f t="shared" ca="1" si="202"/>
        <v>83</v>
      </c>
      <c r="F288" s="12">
        <f t="shared" si="243"/>
        <v>5</v>
      </c>
      <c r="G288" s="12">
        <f t="shared" si="242"/>
        <v>47</v>
      </c>
      <c r="H288" s="17">
        <f t="shared" si="244"/>
        <v>24</v>
      </c>
      <c r="I288" s="29">
        <f t="shared" si="203"/>
        <v>0</v>
      </c>
      <c r="J288" s="211">
        <f>IFERROR(VLOOKUP(H288,Charges!$T$6:$U$35,2,0)*C288,0)</f>
        <v>0</v>
      </c>
      <c r="K288" s="29">
        <f t="shared" si="204"/>
        <v>0</v>
      </c>
      <c r="L288" s="29">
        <f t="shared" si="205"/>
        <v>0</v>
      </c>
      <c r="M288" s="147">
        <f t="shared" ca="1" si="206"/>
        <v>0</v>
      </c>
      <c r="N288" s="148">
        <f ca="1">IF(AND(Option_SPW="Y",H288&gt;=Lock_In_Period,Z287&gt;SPW_Amount_pa+IF(option="Single",1/5*pr,2*pr),H288&gt;=SPW_Start_Year,H288&lt;=SPW_Start_Year+SPW_Duration-1,age+H288&gt;=Legal_Age),IF(AND(F288=0,SPW_Payout_Freq=1),SPW_Amount_pa,IF(AND(SPW_Payout_Freq=2,MOD(F288,6)=0),SPW_Amount_pa/SPW_Payout_Freq,IF(AND(SPW_Payout_Freq=4,MOD(F288,3)=0),SPW_Amount_pa/SPW_Payout_Freq,IF(SPW_Payout_Freq=12,SPW_Amount_pa/SPW_Payout_Freq,0)))),0)+IFERROR(VLOOKUP(H288,Input!$B$68:$C$74,2,0),0)*(F288=0)*(Option_PW="Y")*(Option_SPW="N")*(age+H288&gt;=Legal_Age)</f>
        <v>0</v>
      </c>
      <c r="O288" s="148">
        <f t="shared" ca="1" si="207"/>
        <v>0</v>
      </c>
      <c r="P288" s="14">
        <f ca="1">(MAX(MAX(sa-CF287*Flag_UL_Type,105%*SUM($I$7:I288))-(AD287+L288-N288)*Flag_UL_Type,0)*B288)</f>
        <v>0</v>
      </c>
      <c r="Q288" s="213">
        <f t="shared" si="208"/>
        <v>0</v>
      </c>
      <c r="R288" s="14">
        <f t="shared" ca="1" si="209"/>
        <v>0</v>
      </c>
      <c r="S288" s="14">
        <f t="shared" ca="1" si="210"/>
        <v>0</v>
      </c>
      <c r="T288" s="14">
        <f>IFERROR(IF(WoP_Flag="Y",IF(fq=1,VLOOKUP(ppt*fq-H288,Charges!$AN$41:$AO$59,2,FALSE),IF(fq=2,VLOOKUP(ppt*fq-G288,Charges!$AP$41:$AQ$79,2,FALSE),VLOOKUP(ppt*fq-D288,Charges!$AR$41:$AS$279,2,FALSE)))*pr/fq,0),0)</f>
        <v>0</v>
      </c>
      <c r="U288" s="14">
        <f t="shared" ca="1" si="211"/>
        <v>0</v>
      </c>
      <c r="V288" s="34">
        <f>ROUND(MIN(IF(H288&gt;=7,Charges!$C$12*(1+Charges!$C$14)^((H288-7+1)),VLOOKUP(H288,Charges!$B$7:$C$12,2,0))*pr,Charges!$C$13)*B288,Round)</f>
        <v>0</v>
      </c>
      <c r="W288" s="14">
        <f t="shared" ca="1" si="212"/>
        <v>0</v>
      </c>
      <c r="X288" s="14">
        <f t="shared" ca="1" si="213"/>
        <v>0</v>
      </c>
      <c r="Y288" s="213">
        <f t="shared" ca="1" si="237"/>
        <v>0</v>
      </c>
      <c r="Z288" s="14">
        <f t="shared" ca="1" si="214"/>
        <v>0</v>
      </c>
      <c r="AA288" s="14">
        <f>IF(AND($H288=pt,$F288=11),SUM($K$7:K288)*VLOOKUP(pt,ROC,2,FALSE),0)</f>
        <v>0</v>
      </c>
      <c r="AB288" s="14">
        <f>IF(AND($H288=pt,$F288=11),SUM($V$7:V288)*VLOOKUP(pt,ROC,2,FALSE),0)</f>
        <v>0</v>
      </c>
      <c r="AC288" s="14">
        <f>IF(AND($H288=pt,$F288=11),SUM($Q$7:Q288)*VLOOKUP(pt,ROC,2,FALSE),0)</f>
        <v>0</v>
      </c>
      <c r="AD288" s="14">
        <f t="shared" ca="1" si="215"/>
        <v>0</v>
      </c>
      <c r="AE288" s="14">
        <f ca="1">(MAX(sa-CF287*Flag_UL_Type,105%*SUM($I$7:I288),Z288)+AU288)*B288</f>
        <v>0</v>
      </c>
      <c r="AF288" s="136"/>
      <c r="AG288" s="18">
        <v>282</v>
      </c>
      <c r="AH288" s="30">
        <f t="shared" ca="1" si="216"/>
        <v>0</v>
      </c>
      <c r="AI288" s="58"/>
      <c r="AJ288" s="50">
        <f>IF(AND(Option_Sys_TopUp&gt;="Y",H288&gt;=sytp,H288&lt;=(dtp+sytp-1),F288=0,H288&lt;=ppt+1),atp,0)+IFERROR(VLOOKUP(H288,Input!$B$55:$C$61,2,0),0)*(F288=0)*(Option_TopUP="Y")*(Option_Sys_TopUp="N")*B288*(pt&gt;=H288+5)</f>
        <v>0</v>
      </c>
      <c r="AK288" s="50">
        <f t="shared" si="217"/>
        <v>0</v>
      </c>
      <c r="AL288" s="50">
        <f t="shared" si="238"/>
        <v>0</v>
      </c>
      <c r="AM288" s="50">
        <f t="shared" ca="1" si="239"/>
        <v>0</v>
      </c>
      <c r="AN288" s="50">
        <f>IF(B288=0,0,AT288*(_rpm1+(1+_emr1)*VLOOKUP(E288,Tab_Mort_Charge,IF(Input!$C$12="M",2,3),0))*(0.001*0.0833)*Flag_Mort_Rider_Charge*(AT288&gt;0))</f>
        <v>0</v>
      </c>
      <c r="AO288" s="50">
        <f t="shared" ca="1" si="218"/>
        <v>0</v>
      </c>
      <c r="AP288" s="50">
        <f t="shared" ca="1" si="245"/>
        <v>0</v>
      </c>
      <c r="AQ288" s="50">
        <f t="shared" ca="1" si="219"/>
        <v>0</v>
      </c>
      <c r="AR288" s="50">
        <f t="shared" ca="1" si="220"/>
        <v>0</v>
      </c>
      <c r="AS288" s="50">
        <f t="shared" si="221"/>
        <v>0</v>
      </c>
      <c r="AT288" s="50">
        <f ca="1">(MAX((MAX(AS288,105%*SUM($AJ$7:AJ288))-AM288*Flag_UL_Type),0)*B288)</f>
        <v>0</v>
      </c>
      <c r="AU288" s="50">
        <f ca="1">(MAX(AS288,AR288,105%*SUM($AJ$7:AJ288))*B288)</f>
        <v>0</v>
      </c>
      <c r="AV288" s="125"/>
      <c r="AW288" s="13"/>
      <c r="AX288" s="13"/>
      <c r="AY288" s="13"/>
      <c r="AZ288" s="13"/>
      <c r="BA288" s="13"/>
      <c r="BG288" s="51">
        <f t="shared" si="222"/>
        <v>0</v>
      </c>
      <c r="BH288" s="51">
        <f t="shared" si="223"/>
        <v>0</v>
      </c>
      <c r="BI288" s="51">
        <f t="shared" ca="1" si="224"/>
        <v>0</v>
      </c>
      <c r="BJ288" s="51">
        <f t="shared" ca="1" si="225"/>
        <v>0</v>
      </c>
      <c r="BK288" s="51">
        <f t="shared" si="226"/>
        <v>0</v>
      </c>
      <c r="BL288" s="51">
        <f t="shared" ca="1" si="227"/>
        <v>0</v>
      </c>
      <c r="BM288" s="51">
        <f t="shared" si="228"/>
        <v>0</v>
      </c>
      <c r="BN288" s="51">
        <f t="shared" si="229"/>
        <v>0</v>
      </c>
      <c r="BO288" s="51">
        <f t="shared" ca="1" si="230"/>
        <v>0</v>
      </c>
      <c r="BP288" s="51">
        <f t="shared" ca="1" si="231"/>
        <v>0</v>
      </c>
      <c r="BQ288" s="120"/>
      <c r="BR288" s="32"/>
      <c r="BS288" s="126"/>
      <c r="BT288" s="16"/>
      <c r="BU288" s="58"/>
      <c r="BW288" s="51">
        <f>IF(Input!$C$13="Offline",VLOOKUP(H288,Charges!$AT$4:$AU$33,2,FALSE)*I288,0)</f>
        <v>0</v>
      </c>
      <c r="BX288" s="51">
        <f t="shared" si="232"/>
        <v>0</v>
      </c>
      <c r="BY288" s="51">
        <f t="shared" si="240"/>
        <v>0</v>
      </c>
      <c r="BZ288" s="151"/>
      <c r="CA288" s="151"/>
      <c r="CB288" s="32"/>
      <c r="CC288" s="16">
        <f ca="1">SUM($N$7:$N288)</f>
        <v>0</v>
      </c>
      <c r="CD288" s="16">
        <f t="shared" ca="1" si="233"/>
        <v>0</v>
      </c>
      <c r="CE288" s="16">
        <f t="shared" ca="1" si="234"/>
        <v>0</v>
      </c>
      <c r="CF288" s="7">
        <f t="shared" ca="1" si="235"/>
        <v>0</v>
      </c>
      <c r="CH288" s="7">
        <f t="shared" ca="1" si="236"/>
        <v>0</v>
      </c>
    </row>
    <row r="289" spans="2:86" s="7" customFormat="1" x14ac:dyDescent="0.2">
      <c r="B289" s="14">
        <f t="shared" si="200"/>
        <v>0</v>
      </c>
      <c r="C289" s="12">
        <f t="shared" si="201"/>
        <v>0</v>
      </c>
      <c r="D289" s="17">
        <f t="shared" si="241"/>
        <v>283</v>
      </c>
      <c r="E289" s="17">
        <f t="shared" ca="1" si="202"/>
        <v>83</v>
      </c>
      <c r="F289" s="12">
        <f t="shared" si="243"/>
        <v>6</v>
      </c>
      <c r="G289" s="12">
        <f t="shared" si="242"/>
        <v>48</v>
      </c>
      <c r="H289" s="17">
        <f t="shared" si="244"/>
        <v>24</v>
      </c>
      <c r="I289" s="29">
        <f t="shared" si="203"/>
        <v>0</v>
      </c>
      <c r="J289" s="211">
        <f>IFERROR(VLOOKUP(H289,Charges!$T$6:$U$35,2,0)*C289,0)</f>
        <v>0</v>
      </c>
      <c r="K289" s="29">
        <f t="shared" si="204"/>
        <v>0</v>
      </c>
      <c r="L289" s="29">
        <f t="shared" si="205"/>
        <v>0</v>
      </c>
      <c r="M289" s="147">
        <f t="shared" ca="1" si="206"/>
        <v>0</v>
      </c>
      <c r="N289" s="148">
        <f ca="1">IF(AND(Option_SPW="Y",H289&gt;=Lock_In_Period,Z288&gt;SPW_Amount_pa+IF(option="Single",1/5*pr,2*pr),H289&gt;=SPW_Start_Year,H289&lt;=SPW_Start_Year+SPW_Duration-1,age+H289&gt;=Legal_Age),IF(AND(F289=0,SPW_Payout_Freq=1),SPW_Amount_pa,IF(AND(SPW_Payout_Freq=2,MOD(F289,6)=0),SPW_Amount_pa/SPW_Payout_Freq,IF(AND(SPW_Payout_Freq=4,MOD(F289,3)=0),SPW_Amount_pa/SPW_Payout_Freq,IF(SPW_Payout_Freq=12,SPW_Amount_pa/SPW_Payout_Freq,0)))),0)+IFERROR(VLOOKUP(H289,Input!$B$68:$C$74,2,0),0)*(F289=0)*(Option_PW="Y")*(Option_SPW="N")*(age+H289&gt;=Legal_Age)</f>
        <v>0</v>
      </c>
      <c r="O289" s="148">
        <f t="shared" ca="1" si="207"/>
        <v>0</v>
      </c>
      <c r="P289" s="14">
        <f ca="1">(MAX(MAX(sa-CF288*Flag_UL_Type,105%*SUM($I$7:I289))-(AD288+L289-N289)*Flag_UL_Type,0)*B289)</f>
        <v>0</v>
      </c>
      <c r="Q289" s="213">
        <f t="shared" si="208"/>
        <v>0</v>
      </c>
      <c r="R289" s="14">
        <f t="shared" ca="1" si="209"/>
        <v>0</v>
      </c>
      <c r="S289" s="14">
        <f t="shared" ca="1" si="210"/>
        <v>0</v>
      </c>
      <c r="T289" s="14">
        <f>IFERROR(IF(WoP_Flag="Y",IF(fq=1,VLOOKUP(ppt*fq-H289,Charges!$AN$41:$AO$59,2,FALSE),IF(fq=2,VLOOKUP(ppt*fq-G289,Charges!$AP$41:$AQ$79,2,FALSE),VLOOKUP(ppt*fq-D289,Charges!$AR$41:$AS$279,2,FALSE)))*pr/fq,0),0)</f>
        <v>0</v>
      </c>
      <c r="U289" s="14">
        <f t="shared" ca="1" si="211"/>
        <v>0</v>
      </c>
      <c r="V289" s="34">
        <f>ROUND(MIN(IF(H289&gt;=7,Charges!$C$12*(1+Charges!$C$14)^((H289-7+1)),VLOOKUP(H289,Charges!$B$7:$C$12,2,0))*pr,Charges!$C$13)*B289,Round)</f>
        <v>0</v>
      </c>
      <c r="W289" s="14">
        <f t="shared" ca="1" si="212"/>
        <v>0</v>
      </c>
      <c r="X289" s="14">
        <f t="shared" ca="1" si="213"/>
        <v>0</v>
      </c>
      <c r="Y289" s="213">
        <f t="shared" ca="1" si="237"/>
        <v>0</v>
      </c>
      <c r="Z289" s="14">
        <f t="shared" ca="1" si="214"/>
        <v>0</v>
      </c>
      <c r="AA289" s="14">
        <f>IF(AND($H289=pt,$F289=11),SUM($K$7:K289)*VLOOKUP(pt,ROC,2,FALSE),0)</f>
        <v>0</v>
      </c>
      <c r="AB289" s="14">
        <f>IF(AND($H289=pt,$F289=11),SUM($V$7:V289)*VLOOKUP(pt,ROC,2,FALSE),0)</f>
        <v>0</v>
      </c>
      <c r="AC289" s="14">
        <f>IF(AND($H289=pt,$F289=11),SUM($Q$7:Q289)*VLOOKUP(pt,ROC,2,FALSE),0)</f>
        <v>0</v>
      </c>
      <c r="AD289" s="14">
        <f t="shared" ca="1" si="215"/>
        <v>0</v>
      </c>
      <c r="AE289" s="14">
        <f ca="1">(MAX(sa-CF288*Flag_UL_Type,105%*SUM($I$7:I289),Z289)+AU289)*B289</f>
        <v>0</v>
      </c>
      <c r="AF289" s="136"/>
      <c r="AG289" s="18">
        <v>283</v>
      </c>
      <c r="AH289" s="30">
        <f t="shared" ca="1" si="216"/>
        <v>0</v>
      </c>
      <c r="AI289" s="58"/>
      <c r="AJ289" s="50">
        <f>IF(AND(Option_Sys_TopUp&gt;="Y",H289&gt;=sytp,H289&lt;=(dtp+sytp-1),F289=0,H289&lt;=ppt+1),atp,0)+IFERROR(VLOOKUP(H289,Input!$B$55:$C$61,2,0),0)*(F289=0)*(Option_TopUP="Y")*(Option_Sys_TopUp="N")*B289*(pt&gt;=H289+5)</f>
        <v>0</v>
      </c>
      <c r="AK289" s="50">
        <f t="shared" si="217"/>
        <v>0</v>
      </c>
      <c r="AL289" s="50">
        <f t="shared" si="238"/>
        <v>0</v>
      </c>
      <c r="AM289" s="50">
        <f t="shared" ca="1" si="239"/>
        <v>0</v>
      </c>
      <c r="AN289" s="50">
        <f>IF(B289=0,0,AT289*(_rpm1+(1+_emr1)*VLOOKUP(E289,Tab_Mort_Charge,IF(Input!$C$12="M",2,3),0))*(0.001*0.0833)*Flag_Mort_Rider_Charge*(AT289&gt;0))</f>
        <v>0</v>
      </c>
      <c r="AO289" s="50">
        <f t="shared" ca="1" si="218"/>
        <v>0</v>
      </c>
      <c r="AP289" s="50">
        <f t="shared" ca="1" si="245"/>
        <v>0</v>
      </c>
      <c r="AQ289" s="50">
        <f t="shared" ca="1" si="219"/>
        <v>0</v>
      </c>
      <c r="AR289" s="50">
        <f t="shared" ca="1" si="220"/>
        <v>0</v>
      </c>
      <c r="AS289" s="50">
        <f t="shared" si="221"/>
        <v>0</v>
      </c>
      <c r="AT289" s="50">
        <f ca="1">(MAX((MAX(AS289,105%*SUM($AJ$7:AJ289))-AM289*Flag_UL_Type),0)*B289)</f>
        <v>0</v>
      </c>
      <c r="AU289" s="50">
        <f ca="1">(MAX(AS289,AR289,105%*SUM($AJ$7:AJ289))*B289)</f>
        <v>0</v>
      </c>
      <c r="AV289" s="125"/>
      <c r="AW289" s="13"/>
      <c r="AX289" s="13"/>
      <c r="AY289" s="13"/>
      <c r="AZ289" s="13"/>
      <c r="BA289" s="13"/>
      <c r="BG289" s="51">
        <f t="shared" si="222"/>
        <v>0</v>
      </c>
      <c r="BH289" s="51">
        <f t="shared" si="223"/>
        <v>0</v>
      </c>
      <c r="BI289" s="51">
        <f t="shared" ca="1" si="224"/>
        <v>0</v>
      </c>
      <c r="BJ289" s="51">
        <f t="shared" ca="1" si="225"/>
        <v>0</v>
      </c>
      <c r="BK289" s="51">
        <f t="shared" si="226"/>
        <v>0</v>
      </c>
      <c r="BL289" s="51">
        <f t="shared" ca="1" si="227"/>
        <v>0</v>
      </c>
      <c r="BM289" s="51">
        <f t="shared" si="228"/>
        <v>0</v>
      </c>
      <c r="BN289" s="51">
        <f t="shared" si="229"/>
        <v>0</v>
      </c>
      <c r="BO289" s="51">
        <f t="shared" ca="1" si="230"/>
        <v>0</v>
      </c>
      <c r="BP289" s="51">
        <f t="shared" ca="1" si="231"/>
        <v>0</v>
      </c>
      <c r="BQ289" s="120"/>
      <c r="BR289" s="32"/>
      <c r="BS289" s="126"/>
      <c r="BT289" s="16"/>
      <c r="BU289" s="58"/>
      <c r="BW289" s="51">
        <f>IF(Input!$C$13="Offline",VLOOKUP(H289,Charges!$AT$4:$AU$33,2,FALSE)*I289,0)</f>
        <v>0</v>
      </c>
      <c r="BX289" s="51">
        <f t="shared" si="232"/>
        <v>0</v>
      </c>
      <c r="BY289" s="51">
        <f t="shared" si="240"/>
        <v>0</v>
      </c>
      <c r="BZ289" s="151"/>
      <c r="CA289" s="151"/>
      <c r="CB289" s="32"/>
      <c r="CC289" s="16">
        <f ca="1">SUM($N$7:$N289)</f>
        <v>0</v>
      </c>
      <c r="CD289" s="16">
        <f t="shared" ca="1" si="233"/>
        <v>0</v>
      </c>
      <c r="CE289" s="16">
        <f t="shared" ca="1" si="234"/>
        <v>0</v>
      </c>
      <c r="CF289" s="7">
        <f t="shared" ca="1" si="235"/>
        <v>0</v>
      </c>
      <c r="CH289" s="7">
        <f t="shared" ca="1" si="236"/>
        <v>0</v>
      </c>
    </row>
    <row r="290" spans="2:86" s="7" customFormat="1" x14ac:dyDescent="0.2">
      <c r="B290" s="14">
        <f t="shared" si="200"/>
        <v>0</v>
      </c>
      <c r="C290" s="12">
        <f t="shared" si="201"/>
        <v>0</v>
      </c>
      <c r="D290" s="17">
        <f t="shared" si="241"/>
        <v>284</v>
      </c>
      <c r="E290" s="17">
        <f t="shared" ca="1" si="202"/>
        <v>83</v>
      </c>
      <c r="F290" s="12">
        <f t="shared" si="243"/>
        <v>7</v>
      </c>
      <c r="G290" s="12">
        <f t="shared" si="242"/>
        <v>48</v>
      </c>
      <c r="H290" s="17">
        <f t="shared" si="244"/>
        <v>24</v>
      </c>
      <c r="I290" s="29">
        <f t="shared" si="203"/>
        <v>0</v>
      </c>
      <c r="J290" s="211">
        <f>IFERROR(VLOOKUP(H290,Charges!$T$6:$U$35,2,0)*C290,0)</f>
        <v>0</v>
      </c>
      <c r="K290" s="29">
        <f t="shared" si="204"/>
        <v>0</v>
      </c>
      <c r="L290" s="29">
        <f t="shared" si="205"/>
        <v>0</v>
      </c>
      <c r="M290" s="147">
        <f t="shared" ca="1" si="206"/>
        <v>0</v>
      </c>
      <c r="N290" s="148">
        <f ca="1">IF(AND(Option_SPW="Y",H290&gt;=Lock_In_Period,Z289&gt;SPW_Amount_pa+IF(option="Single",1/5*pr,2*pr),H290&gt;=SPW_Start_Year,H290&lt;=SPW_Start_Year+SPW_Duration-1,age+H290&gt;=Legal_Age),IF(AND(F290=0,SPW_Payout_Freq=1),SPW_Amount_pa,IF(AND(SPW_Payout_Freq=2,MOD(F290,6)=0),SPW_Amount_pa/SPW_Payout_Freq,IF(AND(SPW_Payout_Freq=4,MOD(F290,3)=0),SPW_Amount_pa/SPW_Payout_Freq,IF(SPW_Payout_Freq=12,SPW_Amount_pa/SPW_Payout_Freq,0)))),0)+IFERROR(VLOOKUP(H290,Input!$B$68:$C$74,2,0),0)*(F290=0)*(Option_PW="Y")*(Option_SPW="N")*(age+H290&gt;=Legal_Age)</f>
        <v>0</v>
      </c>
      <c r="O290" s="148">
        <f t="shared" ca="1" si="207"/>
        <v>0</v>
      </c>
      <c r="P290" s="14">
        <f ca="1">(MAX(MAX(sa-CF289*Flag_UL_Type,105%*SUM($I$7:I290))-(AD289+L290-N290)*Flag_UL_Type,0)*B290)</f>
        <v>0</v>
      </c>
      <c r="Q290" s="213">
        <f t="shared" si="208"/>
        <v>0</v>
      </c>
      <c r="R290" s="14">
        <f t="shared" ca="1" si="209"/>
        <v>0</v>
      </c>
      <c r="S290" s="14">
        <f t="shared" ca="1" si="210"/>
        <v>0</v>
      </c>
      <c r="T290" s="14">
        <f>IFERROR(IF(WoP_Flag="Y",IF(fq=1,VLOOKUP(ppt*fq-H290,Charges!$AN$41:$AO$59,2,FALSE),IF(fq=2,VLOOKUP(ppt*fq-G290,Charges!$AP$41:$AQ$79,2,FALSE),VLOOKUP(ppt*fq-D290,Charges!$AR$41:$AS$279,2,FALSE)))*pr/fq,0),0)</f>
        <v>0</v>
      </c>
      <c r="U290" s="14">
        <f t="shared" ca="1" si="211"/>
        <v>0</v>
      </c>
      <c r="V290" s="34">
        <f>ROUND(MIN(IF(H290&gt;=7,Charges!$C$12*(1+Charges!$C$14)^((H290-7+1)),VLOOKUP(H290,Charges!$B$7:$C$12,2,0))*pr,Charges!$C$13)*B290,Round)</f>
        <v>0</v>
      </c>
      <c r="W290" s="14">
        <f t="shared" ca="1" si="212"/>
        <v>0</v>
      </c>
      <c r="X290" s="14">
        <f t="shared" ca="1" si="213"/>
        <v>0</v>
      </c>
      <c r="Y290" s="213">
        <f t="shared" ca="1" si="237"/>
        <v>0</v>
      </c>
      <c r="Z290" s="14">
        <f t="shared" ca="1" si="214"/>
        <v>0</v>
      </c>
      <c r="AA290" s="14">
        <f>IF(AND($H290=pt,$F290=11),SUM($K$7:K290)*VLOOKUP(pt,ROC,2,FALSE),0)</f>
        <v>0</v>
      </c>
      <c r="AB290" s="14">
        <f>IF(AND($H290=pt,$F290=11),SUM($V$7:V290)*VLOOKUP(pt,ROC,2,FALSE),0)</f>
        <v>0</v>
      </c>
      <c r="AC290" s="14">
        <f>IF(AND($H290=pt,$F290=11),SUM($Q$7:Q290)*VLOOKUP(pt,ROC,2,FALSE),0)</f>
        <v>0</v>
      </c>
      <c r="AD290" s="14">
        <f t="shared" ca="1" si="215"/>
        <v>0</v>
      </c>
      <c r="AE290" s="14">
        <f ca="1">(MAX(sa-CF289*Flag_UL_Type,105%*SUM($I$7:I290),Z290)+AU290)*B290</f>
        <v>0</v>
      </c>
      <c r="AF290" s="136"/>
      <c r="AG290" s="18">
        <v>284</v>
      </c>
      <c r="AH290" s="30">
        <f t="shared" ca="1" si="216"/>
        <v>0</v>
      </c>
      <c r="AI290" s="58"/>
      <c r="AJ290" s="50">
        <f>IF(AND(Option_Sys_TopUp&gt;="Y",H290&gt;=sytp,H290&lt;=(dtp+sytp-1),F290=0,H290&lt;=ppt+1),atp,0)+IFERROR(VLOOKUP(H290,Input!$B$55:$C$61,2,0),0)*(F290=0)*(Option_TopUP="Y")*(Option_Sys_TopUp="N")*B290*(pt&gt;=H290+5)</f>
        <v>0</v>
      </c>
      <c r="AK290" s="50">
        <f t="shared" si="217"/>
        <v>0</v>
      </c>
      <c r="AL290" s="50">
        <f t="shared" si="238"/>
        <v>0</v>
      </c>
      <c r="AM290" s="50">
        <f t="shared" ca="1" si="239"/>
        <v>0</v>
      </c>
      <c r="AN290" s="50">
        <f>IF(B290=0,0,AT290*(_rpm1+(1+_emr1)*VLOOKUP(E290,Tab_Mort_Charge,IF(Input!$C$12="M",2,3),0))*(0.001*0.0833)*Flag_Mort_Rider_Charge*(AT290&gt;0))</f>
        <v>0</v>
      </c>
      <c r="AO290" s="50">
        <f t="shared" ca="1" si="218"/>
        <v>0</v>
      </c>
      <c r="AP290" s="50">
        <f t="shared" ca="1" si="245"/>
        <v>0</v>
      </c>
      <c r="AQ290" s="50">
        <f t="shared" ca="1" si="219"/>
        <v>0</v>
      </c>
      <c r="AR290" s="50">
        <f t="shared" ca="1" si="220"/>
        <v>0</v>
      </c>
      <c r="AS290" s="50">
        <f t="shared" si="221"/>
        <v>0</v>
      </c>
      <c r="AT290" s="50">
        <f ca="1">(MAX((MAX(AS290,105%*SUM($AJ$7:AJ290))-AM290*Flag_UL_Type),0)*B290)</f>
        <v>0</v>
      </c>
      <c r="AU290" s="50">
        <f ca="1">(MAX(AS290,AR290,105%*SUM($AJ$7:AJ290))*B290)</f>
        <v>0</v>
      </c>
      <c r="AV290" s="125"/>
      <c r="AW290" s="13"/>
      <c r="AX290" s="13"/>
      <c r="AY290" s="13"/>
      <c r="AZ290" s="13"/>
      <c r="BA290" s="13"/>
      <c r="BG290" s="51">
        <f t="shared" si="222"/>
        <v>0</v>
      </c>
      <c r="BH290" s="51">
        <f t="shared" si="223"/>
        <v>0</v>
      </c>
      <c r="BI290" s="51">
        <f t="shared" ca="1" si="224"/>
        <v>0</v>
      </c>
      <c r="BJ290" s="51">
        <f t="shared" ca="1" si="225"/>
        <v>0</v>
      </c>
      <c r="BK290" s="51">
        <f t="shared" si="226"/>
        <v>0</v>
      </c>
      <c r="BL290" s="51">
        <f t="shared" ca="1" si="227"/>
        <v>0</v>
      </c>
      <c r="BM290" s="51">
        <f t="shared" si="228"/>
        <v>0</v>
      </c>
      <c r="BN290" s="51">
        <f t="shared" si="229"/>
        <v>0</v>
      </c>
      <c r="BO290" s="51">
        <f t="shared" ca="1" si="230"/>
        <v>0</v>
      </c>
      <c r="BP290" s="51">
        <f t="shared" ca="1" si="231"/>
        <v>0</v>
      </c>
      <c r="BQ290" s="120"/>
      <c r="BR290" s="32"/>
      <c r="BS290" s="126"/>
      <c r="BT290" s="16"/>
      <c r="BU290" s="58"/>
      <c r="BW290" s="51">
        <f>IF(Input!$C$13="Offline",VLOOKUP(H290,Charges!$AT$4:$AU$33,2,FALSE)*I290,0)</f>
        <v>0</v>
      </c>
      <c r="BX290" s="51">
        <f t="shared" si="232"/>
        <v>0</v>
      </c>
      <c r="BY290" s="51">
        <f t="shared" si="240"/>
        <v>0</v>
      </c>
      <c r="BZ290" s="151"/>
      <c r="CA290" s="151"/>
      <c r="CB290" s="32"/>
      <c r="CC290" s="16">
        <f ca="1">SUM($N$7:$N290)</f>
        <v>0</v>
      </c>
      <c r="CD290" s="16">
        <f t="shared" ca="1" si="233"/>
        <v>0</v>
      </c>
      <c r="CE290" s="16">
        <f t="shared" ca="1" si="234"/>
        <v>0</v>
      </c>
      <c r="CF290" s="7">
        <f t="shared" ca="1" si="235"/>
        <v>0</v>
      </c>
      <c r="CH290" s="7">
        <f t="shared" ca="1" si="236"/>
        <v>0</v>
      </c>
    </row>
    <row r="291" spans="2:86" s="7" customFormat="1" x14ac:dyDescent="0.2">
      <c r="B291" s="14">
        <f t="shared" si="200"/>
        <v>0</v>
      </c>
      <c r="C291" s="12">
        <f t="shared" si="201"/>
        <v>0</v>
      </c>
      <c r="D291" s="17">
        <f t="shared" si="241"/>
        <v>285</v>
      </c>
      <c r="E291" s="17">
        <f t="shared" ca="1" si="202"/>
        <v>83</v>
      </c>
      <c r="F291" s="12">
        <f t="shared" si="243"/>
        <v>8</v>
      </c>
      <c r="G291" s="12">
        <f t="shared" si="242"/>
        <v>48</v>
      </c>
      <c r="H291" s="17">
        <f t="shared" si="244"/>
        <v>24</v>
      </c>
      <c r="I291" s="29">
        <f t="shared" si="203"/>
        <v>0</v>
      </c>
      <c r="J291" s="211">
        <f>IFERROR(VLOOKUP(H291,Charges!$T$6:$U$35,2,0)*C291,0)</f>
        <v>0</v>
      </c>
      <c r="K291" s="29">
        <f t="shared" si="204"/>
        <v>0</v>
      </c>
      <c r="L291" s="29">
        <f t="shared" si="205"/>
        <v>0</v>
      </c>
      <c r="M291" s="147">
        <f t="shared" ca="1" si="206"/>
        <v>0</v>
      </c>
      <c r="N291" s="148">
        <f ca="1">IF(AND(Option_SPW="Y",H291&gt;=Lock_In_Period,Z290&gt;SPW_Amount_pa+IF(option="Single",1/5*pr,2*pr),H291&gt;=SPW_Start_Year,H291&lt;=SPW_Start_Year+SPW_Duration-1,age+H291&gt;=Legal_Age),IF(AND(F291=0,SPW_Payout_Freq=1),SPW_Amount_pa,IF(AND(SPW_Payout_Freq=2,MOD(F291,6)=0),SPW_Amount_pa/SPW_Payout_Freq,IF(AND(SPW_Payout_Freq=4,MOD(F291,3)=0),SPW_Amount_pa/SPW_Payout_Freq,IF(SPW_Payout_Freq=12,SPW_Amount_pa/SPW_Payout_Freq,0)))),0)+IFERROR(VLOOKUP(H291,Input!$B$68:$C$74,2,0),0)*(F291=0)*(Option_PW="Y")*(Option_SPW="N")*(age+H291&gt;=Legal_Age)</f>
        <v>0</v>
      </c>
      <c r="O291" s="148">
        <f t="shared" ca="1" si="207"/>
        <v>0</v>
      </c>
      <c r="P291" s="14">
        <f ca="1">(MAX(MAX(sa-CF290*Flag_UL_Type,105%*SUM($I$7:I291))-(AD290+L291-N291)*Flag_UL_Type,0)*B291)</f>
        <v>0</v>
      </c>
      <c r="Q291" s="213">
        <f t="shared" si="208"/>
        <v>0</v>
      </c>
      <c r="R291" s="14">
        <f t="shared" ca="1" si="209"/>
        <v>0</v>
      </c>
      <c r="S291" s="14">
        <f t="shared" ca="1" si="210"/>
        <v>0</v>
      </c>
      <c r="T291" s="14">
        <f>IFERROR(IF(WoP_Flag="Y",IF(fq=1,VLOOKUP(ppt*fq-H291,Charges!$AN$41:$AO$59,2,FALSE),IF(fq=2,VLOOKUP(ppt*fq-G291,Charges!$AP$41:$AQ$79,2,FALSE),VLOOKUP(ppt*fq-D291,Charges!$AR$41:$AS$279,2,FALSE)))*pr/fq,0),0)</f>
        <v>0</v>
      </c>
      <c r="U291" s="14">
        <f t="shared" ca="1" si="211"/>
        <v>0</v>
      </c>
      <c r="V291" s="34">
        <f>ROUND(MIN(IF(H291&gt;=7,Charges!$C$12*(1+Charges!$C$14)^((H291-7+1)),VLOOKUP(H291,Charges!$B$7:$C$12,2,0))*pr,Charges!$C$13)*B291,Round)</f>
        <v>0</v>
      </c>
      <c r="W291" s="14">
        <f t="shared" ca="1" si="212"/>
        <v>0</v>
      </c>
      <c r="X291" s="14">
        <f t="shared" ca="1" si="213"/>
        <v>0</v>
      </c>
      <c r="Y291" s="213">
        <f t="shared" ca="1" si="237"/>
        <v>0</v>
      </c>
      <c r="Z291" s="14">
        <f t="shared" ca="1" si="214"/>
        <v>0</v>
      </c>
      <c r="AA291" s="14">
        <f>IF(AND($H291=pt,$F291=11),SUM($K$7:K291)*VLOOKUP(pt,ROC,2,FALSE),0)</f>
        <v>0</v>
      </c>
      <c r="AB291" s="14">
        <f>IF(AND($H291=pt,$F291=11),SUM($V$7:V291)*VLOOKUP(pt,ROC,2,FALSE),0)</f>
        <v>0</v>
      </c>
      <c r="AC291" s="14">
        <f>IF(AND($H291=pt,$F291=11),SUM($Q$7:Q291)*VLOOKUP(pt,ROC,2,FALSE),0)</f>
        <v>0</v>
      </c>
      <c r="AD291" s="14">
        <f t="shared" ca="1" si="215"/>
        <v>0</v>
      </c>
      <c r="AE291" s="14">
        <f ca="1">(MAX(sa-CF290*Flag_UL_Type,105%*SUM($I$7:I291),Z291)+AU291)*B291</f>
        <v>0</v>
      </c>
      <c r="AF291" s="136"/>
      <c r="AG291" s="18">
        <v>285</v>
      </c>
      <c r="AH291" s="30">
        <f t="shared" ca="1" si="216"/>
        <v>0</v>
      </c>
      <c r="AI291" s="58"/>
      <c r="AJ291" s="50">
        <f>IF(AND(Option_Sys_TopUp&gt;="Y",H291&gt;=sytp,H291&lt;=(dtp+sytp-1),F291=0,H291&lt;=ppt+1),atp,0)+IFERROR(VLOOKUP(H291,Input!$B$55:$C$61,2,0),0)*(F291=0)*(Option_TopUP="Y")*(Option_Sys_TopUp="N")*B291*(pt&gt;=H291+5)</f>
        <v>0</v>
      </c>
      <c r="AK291" s="50">
        <f t="shared" si="217"/>
        <v>0</v>
      </c>
      <c r="AL291" s="50">
        <f t="shared" si="238"/>
        <v>0</v>
      </c>
      <c r="AM291" s="50">
        <f t="shared" ca="1" si="239"/>
        <v>0</v>
      </c>
      <c r="AN291" s="50">
        <f>IF(B291=0,0,AT291*(_rpm1+(1+_emr1)*VLOOKUP(E291,Tab_Mort_Charge,IF(Input!$C$12="M",2,3),0))*(0.001*0.0833)*Flag_Mort_Rider_Charge*(AT291&gt;0))</f>
        <v>0</v>
      </c>
      <c r="AO291" s="50">
        <f t="shared" ca="1" si="218"/>
        <v>0</v>
      </c>
      <c r="AP291" s="50">
        <f t="shared" ca="1" si="245"/>
        <v>0</v>
      </c>
      <c r="AQ291" s="50">
        <f t="shared" ca="1" si="219"/>
        <v>0</v>
      </c>
      <c r="AR291" s="50">
        <f t="shared" ca="1" si="220"/>
        <v>0</v>
      </c>
      <c r="AS291" s="50">
        <f t="shared" si="221"/>
        <v>0</v>
      </c>
      <c r="AT291" s="50">
        <f ca="1">(MAX((MAX(AS291,105%*SUM($AJ$7:AJ291))-AM291*Flag_UL_Type),0)*B291)</f>
        <v>0</v>
      </c>
      <c r="AU291" s="50">
        <f ca="1">(MAX(AS291,AR291,105%*SUM($AJ$7:AJ291))*B291)</f>
        <v>0</v>
      </c>
      <c r="AV291" s="125"/>
      <c r="AW291" s="13"/>
      <c r="AX291" s="13"/>
      <c r="AY291" s="13"/>
      <c r="AZ291" s="13"/>
      <c r="BA291" s="13"/>
      <c r="BG291" s="51">
        <f t="shared" si="222"/>
        <v>0</v>
      </c>
      <c r="BH291" s="51">
        <f t="shared" si="223"/>
        <v>0</v>
      </c>
      <c r="BI291" s="51">
        <f t="shared" ca="1" si="224"/>
        <v>0</v>
      </c>
      <c r="BJ291" s="51">
        <f t="shared" ca="1" si="225"/>
        <v>0</v>
      </c>
      <c r="BK291" s="51">
        <f t="shared" si="226"/>
        <v>0</v>
      </c>
      <c r="BL291" s="51">
        <f t="shared" ca="1" si="227"/>
        <v>0</v>
      </c>
      <c r="BM291" s="51">
        <f t="shared" si="228"/>
        <v>0</v>
      </c>
      <c r="BN291" s="51">
        <f t="shared" si="229"/>
        <v>0</v>
      </c>
      <c r="BO291" s="51">
        <f t="shared" ca="1" si="230"/>
        <v>0</v>
      </c>
      <c r="BP291" s="51">
        <f t="shared" ca="1" si="231"/>
        <v>0</v>
      </c>
      <c r="BQ291" s="120"/>
      <c r="BR291" s="32"/>
      <c r="BS291" s="126"/>
      <c r="BT291" s="16"/>
      <c r="BU291" s="58"/>
      <c r="BW291" s="51">
        <f>IF(Input!$C$13="Offline",VLOOKUP(H291,Charges!$AT$4:$AU$33,2,FALSE)*I291,0)</f>
        <v>0</v>
      </c>
      <c r="BX291" s="51">
        <f t="shared" si="232"/>
        <v>0</v>
      </c>
      <c r="BY291" s="51">
        <f t="shared" si="240"/>
        <v>0</v>
      </c>
      <c r="BZ291" s="151"/>
      <c r="CA291" s="151"/>
      <c r="CB291" s="32"/>
      <c r="CC291" s="16">
        <f ca="1">SUM($N$7:$N291)</f>
        <v>0</v>
      </c>
      <c r="CD291" s="16">
        <f t="shared" ca="1" si="233"/>
        <v>0</v>
      </c>
      <c r="CE291" s="16">
        <f t="shared" ca="1" si="234"/>
        <v>0</v>
      </c>
      <c r="CF291" s="7">
        <f t="shared" ca="1" si="235"/>
        <v>0</v>
      </c>
      <c r="CH291" s="7">
        <f t="shared" ca="1" si="236"/>
        <v>0</v>
      </c>
    </row>
    <row r="292" spans="2:86" s="7" customFormat="1" x14ac:dyDescent="0.2">
      <c r="B292" s="14">
        <f t="shared" si="200"/>
        <v>0</v>
      </c>
      <c r="C292" s="12">
        <f t="shared" si="201"/>
        <v>0</v>
      </c>
      <c r="D292" s="17">
        <f t="shared" si="241"/>
        <v>286</v>
      </c>
      <c r="E292" s="17">
        <f t="shared" ca="1" si="202"/>
        <v>83</v>
      </c>
      <c r="F292" s="12">
        <f t="shared" si="243"/>
        <v>9</v>
      </c>
      <c r="G292" s="12">
        <f t="shared" si="242"/>
        <v>48</v>
      </c>
      <c r="H292" s="17">
        <f t="shared" si="244"/>
        <v>24</v>
      </c>
      <c r="I292" s="29">
        <f t="shared" si="203"/>
        <v>0</v>
      </c>
      <c r="J292" s="211">
        <f>IFERROR(VLOOKUP(H292,Charges!$T$6:$U$35,2,0)*C292,0)</f>
        <v>0</v>
      </c>
      <c r="K292" s="29">
        <f t="shared" si="204"/>
        <v>0</v>
      </c>
      <c r="L292" s="29">
        <f t="shared" si="205"/>
        <v>0</v>
      </c>
      <c r="M292" s="147">
        <f t="shared" ca="1" si="206"/>
        <v>0</v>
      </c>
      <c r="N292" s="148">
        <f ca="1">IF(AND(Option_SPW="Y",H292&gt;=Lock_In_Period,Z291&gt;SPW_Amount_pa+IF(option="Single",1/5*pr,2*pr),H292&gt;=SPW_Start_Year,H292&lt;=SPW_Start_Year+SPW_Duration-1,age+H292&gt;=Legal_Age),IF(AND(F292=0,SPW_Payout_Freq=1),SPW_Amount_pa,IF(AND(SPW_Payout_Freq=2,MOD(F292,6)=0),SPW_Amount_pa/SPW_Payout_Freq,IF(AND(SPW_Payout_Freq=4,MOD(F292,3)=0),SPW_Amount_pa/SPW_Payout_Freq,IF(SPW_Payout_Freq=12,SPW_Amount_pa/SPW_Payout_Freq,0)))),0)+IFERROR(VLOOKUP(H292,Input!$B$68:$C$74,2,0),0)*(F292=0)*(Option_PW="Y")*(Option_SPW="N")*(age+H292&gt;=Legal_Age)</f>
        <v>0</v>
      </c>
      <c r="O292" s="148">
        <f t="shared" ca="1" si="207"/>
        <v>0</v>
      </c>
      <c r="P292" s="14">
        <f ca="1">(MAX(MAX(sa-CF291*Flag_UL_Type,105%*SUM($I$7:I292))-(AD291+L292-N292)*Flag_UL_Type,0)*B292)</f>
        <v>0</v>
      </c>
      <c r="Q292" s="213">
        <f t="shared" si="208"/>
        <v>0</v>
      </c>
      <c r="R292" s="14">
        <f t="shared" ca="1" si="209"/>
        <v>0</v>
      </c>
      <c r="S292" s="14">
        <f t="shared" ca="1" si="210"/>
        <v>0</v>
      </c>
      <c r="T292" s="14">
        <f>IFERROR(IF(WoP_Flag="Y",IF(fq=1,VLOOKUP(ppt*fq-H292,Charges!$AN$41:$AO$59,2,FALSE),IF(fq=2,VLOOKUP(ppt*fq-G292,Charges!$AP$41:$AQ$79,2,FALSE),VLOOKUP(ppt*fq-D292,Charges!$AR$41:$AS$279,2,FALSE)))*pr/fq,0),0)</f>
        <v>0</v>
      </c>
      <c r="U292" s="14">
        <f t="shared" ca="1" si="211"/>
        <v>0</v>
      </c>
      <c r="V292" s="34">
        <f>ROUND(MIN(IF(H292&gt;=7,Charges!$C$12*(1+Charges!$C$14)^((H292-7+1)),VLOOKUP(H292,Charges!$B$7:$C$12,2,0))*pr,Charges!$C$13)*B292,Round)</f>
        <v>0</v>
      </c>
      <c r="W292" s="14">
        <f t="shared" ca="1" si="212"/>
        <v>0</v>
      </c>
      <c r="X292" s="14">
        <f t="shared" ca="1" si="213"/>
        <v>0</v>
      </c>
      <c r="Y292" s="213">
        <f t="shared" ca="1" si="237"/>
        <v>0</v>
      </c>
      <c r="Z292" s="14">
        <f t="shared" ca="1" si="214"/>
        <v>0</v>
      </c>
      <c r="AA292" s="14">
        <f>IF(AND($H292=pt,$F292=11),SUM($K$7:K292)*VLOOKUP(pt,ROC,2,FALSE),0)</f>
        <v>0</v>
      </c>
      <c r="AB292" s="14">
        <f>IF(AND($H292=pt,$F292=11),SUM($V$7:V292)*VLOOKUP(pt,ROC,2,FALSE),0)</f>
        <v>0</v>
      </c>
      <c r="AC292" s="14">
        <f>IF(AND($H292=pt,$F292=11),SUM($Q$7:Q292)*VLOOKUP(pt,ROC,2,FALSE),0)</f>
        <v>0</v>
      </c>
      <c r="AD292" s="14">
        <f t="shared" ca="1" si="215"/>
        <v>0</v>
      </c>
      <c r="AE292" s="14">
        <f ca="1">(MAX(sa-CF291*Flag_UL_Type,105%*SUM($I$7:I292),Z292)+AU292)*B292</f>
        <v>0</v>
      </c>
      <c r="AF292" s="136"/>
      <c r="AG292" s="18">
        <v>286</v>
      </c>
      <c r="AH292" s="30">
        <f t="shared" ca="1" si="216"/>
        <v>0</v>
      </c>
      <c r="AI292" s="58"/>
      <c r="AJ292" s="50">
        <f>IF(AND(Option_Sys_TopUp&gt;="Y",H292&gt;=sytp,H292&lt;=(dtp+sytp-1),F292=0,H292&lt;=ppt+1),atp,0)+IFERROR(VLOOKUP(H292,Input!$B$55:$C$61,2,0),0)*(F292=0)*(Option_TopUP="Y")*(Option_Sys_TopUp="N")*B292*(pt&gt;=H292+5)</f>
        <v>0</v>
      </c>
      <c r="AK292" s="50">
        <f t="shared" si="217"/>
        <v>0</v>
      </c>
      <c r="AL292" s="50">
        <f t="shared" si="238"/>
        <v>0</v>
      </c>
      <c r="AM292" s="50">
        <f t="shared" ca="1" si="239"/>
        <v>0</v>
      </c>
      <c r="AN292" s="50">
        <f>IF(B292=0,0,AT292*(_rpm1+(1+_emr1)*VLOOKUP(E292,Tab_Mort_Charge,IF(Input!$C$12="M",2,3),0))*(0.001*0.0833)*Flag_Mort_Rider_Charge*(AT292&gt;0))</f>
        <v>0</v>
      </c>
      <c r="AO292" s="50">
        <f t="shared" ca="1" si="218"/>
        <v>0</v>
      </c>
      <c r="AP292" s="50">
        <f t="shared" ca="1" si="245"/>
        <v>0</v>
      </c>
      <c r="AQ292" s="50">
        <f t="shared" ca="1" si="219"/>
        <v>0</v>
      </c>
      <c r="AR292" s="50">
        <f t="shared" ca="1" si="220"/>
        <v>0</v>
      </c>
      <c r="AS292" s="50">
        <f t="shared" si="221"/>
        <v>0</v>
      </c>
      <c r="AT292" s="50">
        <f ca="1">(MAX((MAX(AS292,105%*SUM($AJ$7:AJ292))-AM292*Flag_UL_Type),0)*B292)</f>
        <v>0</v>
      </c>
      <c r="AU292" s="50">
        <f ca="1">(MAX(AS292,AR292,105%*SUM($AJ$7:AJ292))*B292)</f>
        <v>0</v>
      </c>
      <c r="AV292" s="125"/>
      <c r="AW292" s="13"/>
      <c r="AX292" s="13"/>
      <c r="AY292" s="13"/>
      <c r="AZ292" s="13"/>
      <c r="BA292" s="13"/>
      <c r="BG292" s="51">
        <f t="shared" si="222"/>
        <v>0</v>
      </c>
      <c r="BH292" s="51">
        <f t="shared" si="223"/>
        <v>0</v>
      </c>
      <c r="BI292" s="51">
        <f t="shared" ca="1" si="224"/>
        <v>0</v>
      </c>
      <c r="BJ292" s="51">
        <f t="shared" ca="1" si="225"/>
        <v>0</v>
      </c>
      <c r="BK292" s="51">
        <f t="shared" si="226"/>
        <v>0</v>
      </c>
      <c r="BL292" s="51">
        <f t="shared" ca="1" si="227"/>
        <v>0</v>
      </c>
      <c r="BM292" s="51">
        <f t="shared" si="228"/>
        <v>0</v>
      </c>
      <c r="BN292" s="51">
        <f t="shared" si="229"/>
        <v>0</v>
      </c>
      <c r="BO292" s="51">
        <f t="shared" ca="1" si="230"/>
        <v>0</v>
      </c>
      <c r="BP292" s="51">
        <f t="shared" ca="1" si="231"/>
        <v>0</v>
      </c>
      <c r="BQ292" s="120"/>
      <c r="BR292" s="32"/>
      <c r="BS292" s="126"/>
      <c r="BT292" s="16"/>
      <c r="BU292" s="58"/>
      <c r="BW292" s="51">
        <f>IF(Input!$C$13="Offline",VLOOKUP(H292,Charges!$AT$4:$AU$33,2,FALSE)*I292,0)</f>
        <v>0</v>
      </c>
      <c r="BX292" s="51">
        <f t="shared" si="232"/>
        <v>0</v>
      </c>
      <c r="BY292" s="51">
        <f t="shared" si="240"/>
        <v>0</v>
      </c>
      <c r="BZ292" s="151"/>
      <c r="CA292" s="151"/>
      <c r="CB292" s="32"/>
      <c r="CC292" s="16">
        <f ca="1">SUM($N$7:$N292)</f>
        <v>0</v>
      </c>
      <c r="CD292" s="16">
        <f t="shared" ca="1" si="233"/>
        <v>0</v>
      </c>
      <c r="CE292" s="16">
        <f t="shared" ca="1" si="234"/>
        <v>0</v>
      </c>
      <c r="CF292" s="7">
        <f t="shared" ca="1" si="235"/>
        <v>0</v>
      </c>
      <c r="CH292" s="7">
        <f t="shared" ca="1" si="236"/>
        <v>0</v>
      </c>
    </row>
    <row r="293" spans="2:86" s="7" customFormat="1" x14ac:dyDescent="0.2">
      <c r="B293" s="14">
        <f t="shared" si="200"/>
        <v>0</v>
      </c>
      <c r="C293" s="12">
        <f t="shared" si="201"/>
        <v>0</v>
      </c>
      <c r="D293" s="17">
        <f t="shared" si="241"/>
        <v>287</v>
      </c>
      <c r="E293" s="17">
        <f t="shared" ca="1" si="202"/>
        <v>83</v>
      </c>
      <c r="F293" s="12">
        <f t="shared" si="243"/>
        <v>10</v>
      </c>
      <c r="G293" s="12">
        <f t="shared" si="242"/>
        <v>48</v>
      </c>
      <c r="H293" s="17">
        <f t="shared" si="244"/>
        <v>24</v>
      </c>
      <c r="I293" s="29">
        <f t="shared" si="203"/>
        <v>0</v>
      </c>
      <c r="J293" s="211">
        <f>IFERROR(VLOOKUP(H293,Charges!$T$6:$U$35,2,0)*C293,0)</f>
        <v>0</v>
      </c>
      <c r="K293" s="29">
        <f t="shared" si="204"/>
        <v>0</v>
      </c>
      <c r="L293" s="29">
        <f t="shared" si="205"/>
        <v>0</v>
      </c>
      <c r="M293" s="147">
        <f t="shared" ca="1" si="206"/>
        <v>0</v>
      </c>
      <c r="N293" s="148">
        <f ca="1">IF(AND(Option_SPW="Y",H293&gt;=Lock_In_Period,Z292&gt;SPW_Amount_pa+IF(option="Single",1/5*pr,2*pr),H293&gt;=SPW_Start_Year,H293&lt;=SPW_Start_Year+SPW_Duration-1,age+H293&gt;=Legal_Age),IF(AND(F293=0,SPW_Payout_Freq=1),SPW_Amount_pa,IF(AND(SPW_Payout_Freq=2,MOD(F293,6)=0),SPW_Amount_pa/SPW_Payout_Freq,IF(AND(SPW_Payout_Freq=4,MOD(F293,3)=0),SPW_Amount_pa/SPW_Payout_Freq,IF(SPW_Payout_Freq=12,SPW_Amount_pa/SPW_Payout_Freq,0)))),0)+IFERROR(VLOOKUP(H293,Input!$B$68:$C$74,2,0),0)*(F293=0)*(Option_PW="Y")*(Option_SPW="N")*(age+H293&gt;=Legal_Age)</f>
        <v>0</v>
      </c>
      <c r="O293" s="148">
        <f t="shared" ca="1" si="207"/>
        <v>0</v>
      </c>
      <c r="P293" s="14">
        <f ca="1">(MAX(MAX(sa-CF292*Flag_UL_Type,105%*SUM($I$7:I293))-(AD292+L293-N293)*Flag_UL_Type,0)*B293)</f>
        <v>0</v>
      </c>
      <c r="Q293" s="213">
        <f t="shared" si="208"/>
        <v>0</v>
      </c>
      <c r="R293" s="14">
        <f t="shared" ca="1" si="209"/>
        <v>0</v>
      </c>
      <c r="S293" s="14">
        <f t="shared" ca="1" si="210"/>
        <v>0</v>
      </c>
      <c r="T293" s="14">
        <f>IFERROR(IF(WoP_Flag="Y",IF(fq=1,VLOOKUP(ppt*fq-H293,Charges!$AN$41:$AO$59,2,FALSE),IF(fq=2,VLOOKUP(ppt*fq-G293,Charges!$AP$41:$AQ$79,2,FALSE),VLOOKUP(ppt*fq-D293,Charges!$AR$41:$AS$279,2,FALSE)))*pr/fq,0),0)</f>
        <v>0</v>
      </c>
      <c r="U293" s="14">
        <f t="shared" ca="1" si="211"/>
        <v>0</v>
      </c>
      <c r="V293" s="34">
        <f>ROUND(MIN(IF(H293&gt;=7,Charges!$C$12*(1+Charges!$C$14)^((H293-7+1)),VLOOKUP(H293,Charges!$B$7:$C$12,2,0))*pr,Charges!$C$13)*B293,Round)</f>
        <v>0</v>
      </c>
      <c r="W293" s="14">
        <f t="shared" ca="1" si="212"/>
        <v>0</v>
      </c>
      <c r="X293" s="14">
        <f t="shared" ca="1" si="213"/>
        <v>0</v>
      </c>
      <c r="Y293" s="213">
        <f t="shared" ca="1" si="237"/>
        <v>0</v>
      </c>
      <c r="Z293" s="14">
        <f t="shared" ca="1" si="214"/>
        <v>0</v>
      </c>
      <c r="AA293" s="14">
        <f>IF(AND($H293=pt,$F293=11),SUM($K$7:K293)*VLOOKUP(pt,ROC,2,FALSE),0)</f>
        <v>0</v>
      </c>
      <c r="AB293" s="14">
        <f>IF(AND($H293=pt,$F293=11),SUM($V$7:V293)*VLOOKUP(pt,ROC,2,FALSE),0)</f>
        <v>0</v>
      </c>
      <c r="AC293" s="14">
        <f>IF(AND($H293=pt,$F293=11),SUM($Q$7:Q293)*VLOOKUP(pt,ROC,2,FALSE),0)</f>
        <v>0</v>
      </c>
      <c r="AD293" s="14">
        <f t="shared" ca="1" si="215"/>
        <v>0</v>
      </c>
      <c r="AE293" s="14">
        <f ca="1">(MAX(sa-CF292*Flag_UL_Type,105%*SUM($I$7:I293),Z293)+AU293)*B293</f>
        <v>0</v>
      </c>
      <c r="AF293" s="136"/>
      <c r="AG293" s="18">
        <v>287</v>
      </c>
      <c r="AH293" s="30">
        <f t="shared" ca="1" si="216"/>
        <v>0</v>
      </c>
      <c r="AI293" s="58"/>
      <c r="AJ293" s="50">
        <f>IF(AND(Option_Sys_TopUp&gt;="Y",H293&gt;=sytp,H293&lt;=(dtp+sytp-1),F293=0,H293&lt;=ppt+1),atp,0)+IFERROR(VLOOKUP(H293,Input!$B$55:$C$61,2,0),0)*(F293=0)*(Option_TopUP="Y")*(Option_Sys_TopUp="N")*B293*(pt&gt;=H293+5)</f>
        <v>0</v>
      </c>
      <c r="AK293" s="50">
        <f t="shared" si="217"/>
        <v>0</v>
      </c>
      <c r="AL293" s="50">
        <f t="shared" si="238"/>
        <v>0</v>
      </c>
      <c r="AM293" s="50">
        <f t="shared" ca="1" si="239"/>
        <v>0</v>
      </c>
      <c r="AN293" s="50">
        <f>IF(B293=0,0,AT293*(_rpm1+(1+_emr1)*VLOOKUP(E293,Tab_Mort_Charge,IF(Input!$C$12="M",2,3),0))*(0.001*0.0833)*Flag_Mort_Rider_Charge*(AT293&gt;0))</f>
        <v>0</v>
      </c>
      <c r="AO293" s="50">
        <f t="shared" ca="1" si="218"/>
        <v>0</v>
      </c>
      <c r="AP293" s="50">
        <f t="shared" ca="1" si="245"/>
        <v>0</v>
      </c>
      <c r="AQ293" s="50">
        <f t="shared" ca="1" si="219"/>
        <v>0</v>
      </c>
      <c r="AR293" s="50">
        <f t="shared" ca="1" si="220"/>
        <v>0</v>
      </c>
      <c r="AS293" s="50">
        <f t="shared" si="221"/>
        <v>0</v>
      </c>
      <c r="AT293" s="50">
        <f ca="1">(MAX((MAX(AS293,105%*SUM($AJ$7:AJ293))-AM293*Flag_UL_Type),0)*B293)</f>
        <v>0</v>
      </c>
      <c r="AU293" s="50">
        <f ca="1">(MAX(AS293,AR293,105%*SUM($AJ$7:AJ293))*B293)</f>
        <v>0</v>
      </c>
      <c r="AV293" s="125"/>
      <c r="AW293" s="13"/>
      <c r="AX293" s="13"/>
      <c r="AY293" s="13"/>
      <c r="AZ293" s="13"/>
      <c r="BA293" s="13"/>
      <c r="BG293" s="51">
        <f t="shared" si="222"/>
        <v>0</v>
      </c>
      <c r="BH293" s="51">
        <f t="shared" si="223"/>
        <v>0</v>
      </c>
      <c r="BI293" s="51">
        <f t="shared" ca="1" si="224"/>
        <v>0</v>
      </c>
      <c r="BJ293" s="51">
        <f t="shared" ca="1" si="225"/>
        <v>0</v>
      </c>
      <c r="BK293" s="51">
        <f t="shared" si="226"/>
        <v>0</v>
      </c>
      <c r="BL293" s="51">
        <f t="shared" ca="1" si="227"/>
        <v>0</v>
      </c>
      <c r="BM293" s="51">
        <f t="shared" si="228"/>
        <v>0</v>
      </c>
      <c r="BN293" s="51">
        <f t="shared" si="229"/>
        <v>0</v>
      </c>
      <c r="BO293" s="51">
        <f t="shared" ca="1" si="230"/>
        <v>0</v>
      </c>
      <c r="BP293" s="51">
        <f t="shared" ca="1" si="231"/>
        <v>0</v>
      </c>
      <c r="BQ293" s="120"/>
      <c r="BR293" s="32"/>
      <c r="BS293" s="126"/>
      <c r="BT293" s="16"/>
      <c r="BU293" s="58"/>
      <c r="BW293" s="51">
        <f>IF(Input!$C$13="Offline",VLOOKUP(H293,Charges!$AT$4:$AU$33,2,FALSE)*I293,0)</f>
        <v>0</v>
      </c>
      <c r="BX293" s="51">
        <f t="shared" si="232"/>
        <v>0</v>
      </c>
      <c r="BY293" s="51">
        <f t="shared" si="240"/>
        <v>0</v>
      </c>
      <c r="BZ293" s="151"/>
      <c r="CA293" s="151"/>
      <c r="CB293" s="32"/>
      <c r="CC293" s="16">
        <f ca="1">SUM($N$7:$N293)</f>
        <v>0</v>
      </c>
      <c r="CD293" s="16">
        <f t="shared" ca="1" si="233"/>
        <v>0</v>
      </c>
      <c r="CE293" s="16">
        <f t="shared" ca="1" si="234"/>
        <v>0</v>
      </c>
      <c r="CF293" s="7">
        <f t="shared" ca="1" si="235"/>
        <v>0</v>
      </c>
      <c r="CH293" s="7">
        <f t="shared" ca="1" si="236"/>
        <v>0</v>
      </c>
    </row>
    <row r="294" spans="2:86" s="7" customFormat="1" x14ac:dyDescent="0.2">
      <c r="B294" s="14">
        <f t="shared" si="200"/>
        <v>0</v>
      </c>
      <c r="C294" s="12">
        <f t="shared" si="201"/>
        <v>0</v>
      </c>
      <c r="D294" s="17">
        <f t="shared" si="241"/>
        <v>288</v>
      </c>
      <c r="E294" s="17">
        <f t="shared" ca="1" si="202"/>
        <v>83</v>
      </c>
      <c r="F294" s="12">
        <f t="shared" si="243"/>
        <v>11</v>
      </c>
      <c r="G294" s="12">
        <f t="shared" si="242"/>
        <v>48</v>
      </c>
      <c r="H294" s="17">
        <f t="shared" si="244"/>
        <v>24</v>
      </c>
      <c r="I294" s="29">
        <f t="shared" si="203"/>
        <v>0</v>
      </c>
      <c r="J294" s="211">
        <f>IFERROR(VLOOKUP(H294,Charges!$T$6:$U$35,2,0)*C294,0)</f>
        <v>0</v>
      </c>
      <c r="K294" s="29">
        <f t="shared" si="204"/>
        <v>0</v>
      </c>
      <c r="L294" s="29">
        <f t="shared" si="205"/>
        <v>0</v>
      </c>
      <c r="M294" s="147">
        <f t="shared" ca="1" si="206"/>
        <v>0</v>
      </c>
      <c r="N294" s="148">
        <f ca="1">IF(AND(Option_SPW="Y",H294&gt;=Lock_In_Period,Z293&gt;SPW_Amount_pa+IF(option="Single",1/5*pr,2*pr),H294&gt;=SPW_Start_Year,H294&lt;=SPW_Start_Year+SPW_Duration-1,age+H294&gt;=Legal_Age),IF(AND(F294=0,SPW_Payout_Freq=1),SPW_Amount_pa,IF(AND(SPW_Payout_Freq=2,MOD(F294,6)=0),SPW_Amount_pa/SPW_Payout_Freq,IF(AND(SPW_Payout_Freq=4,MOD(F294,3)=0),SPW_Amount_pa/SPW_Payout_Freq,IF(SPW_Payout_Freq=12,SPW_Amount_pa/SPW_Payout_Freq,0)))),0)+IFERROR(VLOOKUP(H294,Input!$B$68:$C$74,2,0),0)*(F294=0)*(Option_PW="Y")*(Option_SPW="N")*(age+H294&gt;=Legal_Age)</f>
        <v>0</v>
      </c>
      <c r="O294" s="148">
        <f t="shared" ca="1" si="207"/>
        <v>0</v>
      </c>
      <c r="P294" s="14">
        <f ca="1">(MAX(MAX(sa-CF293*Flag_UL_Type,105%*SUM($I$7:I294))-(AD293+L294-N294)*Flag_UL_Type,0)*B294)</f>
        <v>0</v>
      </c>
      <c r="Q294" s="213">
        <f t="shared" si="208"/>
        <v>0</v>
      </c>
      <c r="R294" s="14">
        <f t="shared" ca="1" si="209"/>
        <v>0</v>
      </c>
      <c r="S294" s="14">
        <f t="shared" ca="1" si="210"/>
        <v>0</v>
      </c>
      <c r="T294" s="14">
        <f>IFERROR(IF(WoP_Flag="Y",IF(fq=1,VLOOKUP(ppt*fq-H294,Charges!$AN$41:$AO$59,2,FALSE),IF(fq=2,VLOOKUP(ppt*fq-G294,Charges!$AP$41:$AQ$79,2,FALSE),VLOOKUP(ppt*fq-D294,Charges!$AR$41:$AS$279,2,FALSE)))*pr/fq,0),0)</f>
        <v>0</v>
      </c>
      <c r="U294" s="14">
        <f t="shared" ca="1" si="211"/>
        <v>0</v>
      </c>
      <c r="V294" s="34">
        <f>ROUND(MIN(IF(H294&gt;=7,Charges!$C$12*(1+Charges!$C$14)^((H294-7+1)),VLOOKUP(H294,Charges!$B$7:$C$12,2,0))*pr,Charges!$C$13)*B294,Round)</f>
        <v>0</v>
      </c>
      <c r="W294" s="14">
        <f t="shared" ca="1" si="212"/>
        <v>0</v>
      </c>
      <c r="X294" s="14">
        <f t="shared" ca="1" si="213"/>
        <v>0</v>
      </c>
      <c r="Y294" s="213">
        <f t="shared" ca="1" si="237"/>
        <v>0</v>
      </c>
      <c r="Z294" s="14">
        <f t="shared" ca="1" si="214"/>
        <v>0</v>
      </c>
      <c r="AA294" s="14">
        <f>IF(AND($H294=pt,$F294=11),SUM($K$7:K294)*VLOOKUP(pt,ROC,2,FALSE),0)</f>
        <v>0</v>
      </c>
      <c r="AB294" s="14">
        <f>IF(AND($H294=pt,$F294=11),SUM($V$7:V294)*VLOOKUP(pt,ROC,2,FALSE),0)</f>
        <v>0</v>
      </c>
      <c r="AC294" s="14">
        <f>IF(AND($H294=pt,$F294=11),SUM($Q$7:Q294)*VLOOKUP(pt,ROC,2,FALSE),0)</f>
        <v>0</v>
      </c>
      <c r="AD294" s="14">
        <f t="shared" ca="1" si="215"/>
        <v>0</v>
      </c>
      <c r="AE294" s="14">
        <f ca="1">(MAX(sa-CF293*Flag_UL_Type,105%*SUM($I$7:I294),Z294)+AU294)*B294</f>
        <v>0</v>
      </c>
      <c r="AF294" s="136"/>
      <c r="AG294" s="18">
        <v>288</v>
      </c>
      <c r="AH294" s="30">
        <f t="shared" ca="1" si="216"/>
        <v>0</v>
      </c>
      <c r="AI294" s="58"/>
      <c r="AJ294" s="50">
        <f>IF(AND(Option_Sys_TopUp&gt;="Y",H294&gt;=sytp,H294&lt;=(dtp+sytp-1),F294=0,H294&lt;=ppt+1),atp,0)+IFERROR(VLOOKUP(H294,Input!$B$55:$C$61,2,0),0)*(F294=0)*(Option_TopUP="Y")*(Option_Sys_TopUp="N")*B294*(pt&gt;=H294+5)</f>
        <v>0</v>
      </c>
      <c r="AK294" s="50">
        <f t="shared" si="217"/>
        <v>0</v>
      </c>
      <c r="AL294" s="50">
        <f t="shared" si="238"/>
        <v>0</v>
      </c>
      <c r="AM294" s="50">
        <f t="shared" ca="1" si="239"/>
        <v>0</v>
      </c>
      <c r="AN294" s="50">
        <f>IF(B294=0,0,AT294*(_rpm1+(1+_emr1)*VLOOKUP(E294,Tab_Mort_Charge,IF(Input!$C$12="M",2,3),0))*(0.001*0.0833)*Flag_Mort_Rider_Charge*(AT294&gt;0))</f>
        <v>0</v>
      </c>
      <c r="AO294" s="50">
        <f t="shared" ca="1" si="218"/>
        <v>0</v>
      </c>
      <c r="AP294" s="50">
        <f t="shared" ca="1" si="245"/>
        <v>0</v>
      </c>
      <c r="AQ294" s="50">
        <f t="shared" ca="1" si="219"/>
        <v>0</v>
      </c>
      <c r="AR294" s="50">
        <f t="shared" ca="1" si="220"/>
        <v>0</v>
      </c>
      <c r="AS294" s="50">
        <f t="shared" si="221"/>
        <v>0</v>
      </c>
      <c r="AT294" s="50">
        <f ca="1">(MAX((MAX(AS294,105%*SUM($AJ$7:AJ294))-AM294*Flag_UL_Type),0)*B294)</f>
        <v>0</v>
      </c>
      <c r="AU294" s="50">
        <f ca="1">(MAX(AS294,AR294,105%*SUM($AJ$7:AJ294))*B294)</f>
        <v>0</v>
      </c>
      <c r="AV294" s="125"/>
      <c r="AW294" s="13"/>
      <c r="AX294" s="13"/>
      <c r="AY294" s="13"/>
      <c r="AZ294" s="13"/>
      <c r="BA294" s="13"/>
      <c r="BG294" s="51">
        <f t="shared" si="222"/>
        <v>0</v>
      </c>
      <c r="BH294" s="51">
        <f t="shared" si="223"/>
        <v>0</v>
      </c>
      <c r="BI294" s="51">
        <f t="shared" ca="1" si="224"/>
        <v>0</v>
      </c>
      <c r="BJ294" s="51">
        <f t="shared" ca="1" si="225"/>
        <v>0</v>
      </c>
      <c r="BK294" s="51">
        <f t="shared" si="226"/>
        <v>0</v>
      </c>
      <c r="BL294" s="51">
        <f t="shared" ca="1" si="227"/>
        <v>0</v>
      </c>
      <c r="BM294" s="51">
        <f t="shared" si="228"/>
        <v>0</v>
      </c>
      <c r="BN294" s="51">
        <f t="shared" si="229"/>
        <v>0</v>
      </c>
      <c r="BO294" s="51">
        <f t="shared" ca="1" si="230"/>
        <v>0</v>
      </c>
      <c r="BP294" s="51">
        <f t="shared" ca="1" si="231"/>
        <v>0</v>
      </c>
      <c r="BQ294" s="120"/>
      <c r="BR294" s="32"/>
      <c r="BS294" s="126"/>
      <c r="BT294" s="16"/>
      <c r="BU294" s="58"/>
      <c r="BW294" s="51">
        <f>IF(Input!$C$13="Offline",VLOOKUP(H294,Charges!$AT$4:$AU$33,2,FALSE)*I294,0)</f>
        <v>0</v>
      </c>
      <c r="BX294" s="51">
        <f t="shared" si="232"/>
        <v>0</v>
      </c>
      <c r="BY294" s="51">
        <f t="shared" si="240"/>
        <v>0</v>
      </c>
      <c r="BZ294" s="151"/>
      <c r="CA294" s="151"/>
      <c r="CB294" s="32"/>
      <c r="CC294" s="16">
        <f ca="1">SUM($N$7:$N294)</f>
        <v>0</v>
      </c>
      <c r="CD294" s="16">
        <f t="shared" ca="1" si="233"/>
        <v>0</v>
      </c>
      <c r="CE294" s="16">
        <f t="shared" ca="1" si="234"/>
        <v>0</v>
      </c>
      <c r="CF294" s="7">
        <f t="shared" ca="1" si="235"/>
        <v>0</v>
      </c>
      <c r="CH294" s="7">
        <f t="shared" ca="1" si="236"/>
        <v>0</v>
      </c>
    </row>
    <row r="295" spans="2:86" s="7" customFormat="1" x14ac:dyDescent="0.2">
      <c r="B295" s="14">
        <f t="shared" si="200"/>
        <v>0</v>
      </c>
      <c r="C295" s="12">
        <f t="shared" si="201"/>
        <v>0</v>
      </c>
      <c r="D295" s="17">
        <f t="shared" si="241"/>
        <v>289</v>
      </c>
      <c r="E295" s="17">
        <f t="shared" ca="1" si="202"/>
        <v>84</v>
      </c>
      <c r="F295" s="12">
        <f t="shared" si="243"/>
        <v>0</v>
      </c>
      <c r="G295" s="12">
        <f t="shared" si="242"/>
        <v>49</v>
      </c>
      <c r="H295" s="17">
        <f t="shared" si="244"/>
        <v>25</v>
      </c>
      <c r="I295" s="29">
        <f t="shared" si="203"/>
        <v>0</v>
      </c>
      <c r="J295" s="211">
        <f>IFERROR(VLOOKUP(H295,Charges!$T$6:$U$35,2,0)*C295,0)</f>
        <v>0</v>
      </c>
      <c r="K295" s="29">
        <f t="shared" si="204"/>
        <v>0</v>
      </c>
      <c r="L295" s="29">
        <f t="shared" si="205"/>
        <v>0</v>
      </c>
      <c r="M295" s="147">
        <f t="shared" ca="1" si="206"/>
        <v>0</v>
      </c>
      <c r="N295" s="148">
        <f ca="1">IF(AND(Option_SPW="Y",H295&gt;=Lock_In_Period,Z294&gt;SPW_Amount_pa+IF(option="Single",1/5*pr,2*pr),H295&gt;=SPW_Start_Year,H295&lt;=SPW_Start_Year+SPW_Duration-1,age+H295&gt;=Legal_Age),IF(AND(F295=0,SPW_Payout_Freq=1),SPW_Amount_pa,IF(AND(SPW_Payout_Freq=2,MOD(F295,6)=0),SPW_Amount_pa/SPW_Payout_Freq,IF(AND(SPW_Payout_Freq=4,MOD(F295,3)=0),SPW_Amount_pa/SPW_Payout_Freq,IF(SPW_Payout_Freq=12,SPW_Amount_pa/SPW_Payout_Freq,0)))),0)+IFERROR(VLOOKUP(H295,Input!$B$68:$C$74,2,0),0)*(F295=0)*(Option_PW="Y")*(Option_SPW="N")*(age+H295&gt;=Legal_Age)</f>
        <v>0</v>
      </c>
      <c r="O295" s="148">
        <f t="shared" ca="1" si="207"/>
        <v>0</v>
      </c>
      <c r="P295" s="14">
        <f ca="1">(MAX(MAX(sa-CF294*Flag_UL_Type,105%*SUM($I$7:I295))-(AD294+L295-N295)*Flag_UL_Type,0)*B295)</f>
        <v>0</v>
      </c>
      <c r="Q295" s="213">
        <f t="shared" si="208"/>
        <v>0</v>
      </c>
      <c r="R295" s="14">
        <f t="shared" ca="1" si="209"/>
        <v>0</v>
      </c>
      <c r="S295" s="14">
        <f t="shared" ca="1" si="210"/>
        <v>0</v>
      </c>
      <c r="T295" s="14">
        <f>IFERROR(IF(WoP_Flag="Y",IF(fq=1,VLOOKUP(ppt*fq-H295,Charges!$AN$41:$AO$59,2,FALSE),IF(fq=2,VLOOKUP(ppt*fq-G295,Charges!$AP$41:$AQ$79,2,FALSE),VLOOKUP(ppt*fq-D295,Charges!$AR$41:$AS$279,2,FALSE)))*pr/fq,0),0)</f>
        <v>0</v>
      </c>
      <c r="U295" s="14">
        <f t="shared" ca="1" si="211"/>
        <v>0</v>
      </c>
      <c r="V295" s="34">
        <f>ROUND(MIN(IF(H295&gt;=7,Charges!$C$12*(1+Charges!$C$14)^((H295-7+1)),VLOOKUP(H295,Charges!$B$7:$C$12,2,0))*pr,Charges!$C$13)*B295,Round)</f>
        <v>0</v>
      </c>
      <c r="W295" s="14">
        <f t="shared" ca="1" si="212"/>
        <v>0</v>
      </c>
      <c r="X295" s="14">
        <f t="shared" ca="1" si="213"/>
        <v>0</v>
      </c>
      <c r="Y295" s="213">
        <f t="shared" ca="1" si="237"/>
        <v>0</v>
      </c>
      <c r="Z295" s="14">
        <f t="shared" ca="1" si="214"/>
        <v>0</v>
      </c>
      <c r="AA295" s="14">
        <f>IF(AND($H295=pt,$F295=11),SUM($K$7:K295)*VLOOKUP(pt,ROC,2,FALSE),0)</f>
        <v>0</v>
      </c>
      <c r="AB295" s="14">
        <f>IF(AND($H295=pt,$F295=11),SUM($V$7:V295)*VLOOKUP(pt,ROC,2,FALSE),0)</f>
        <v>0</v>
      </c>
      <c r="AC295" s="14">
        <f>IF(AND($H295=pt,$F295=11),SUM($Q$7:Q295)*VLOOKUP(pt,ROC,2,FALSE),0)</f>
        <v>0</v>
      </c>
      <c r="AD295" s="14">
        <f t="shared" ca="1" si="215"/>
        <v>0</v>
      </c>
      <c r="AE295" s="14">
        <f ca="1">(MAX(sa-CF294*Flag_UL_Type,105%*SUM($I$7:I295),Z295)+AU295)*B295</f>
        <v>0</v>
      </c>
      <c r="AF295" s="136"/>
      <c r="AG295" s="18">
        <v>289</v>
      </c>
      <c r="AH295" s="30">
        <f t="shared" ca="1" si="216"/>
        <v>0</v>
      </c>
      <c r="AI295" s="58"/>
      <c r="AJ295" s="50">
        <f>IF(AND(Option_Sys_TopUp&gt;="Y",H295&gt;=sytp,H295&lt;=(dtp+sytp-1),F295=0,H295&lt;=ppt+1),atp,0)+IFERROR(VLOOKUP(H295,Input!$B$55:$C$61,2,0),0)*(F295=0)*(Option_TopUP="Y")*(Option_Sys_TopUp="N")*B295*(pt&gt;=H295+5)</f>
        <v>0</v>
      </c>
      <c r="AK295" s="50">
        <f t="shared" si="217"/>
        <v>0</v>
      </c>
      <c r="AL295" s="50">
        <f t="shared" si="238"/>
        <v>0</v>
      </c>
      <c r="AM295" s="50">
        <f t="shared" ca="1" si="239"/>
        <v>0</v>
      </c>
      <c r="AN295" s="50">
        <f>IF(B295=0,0,AT295*(_rpm1+(1+_emr1)*VLOOKUP(E295,Tab_Mort_Charge,IF(Input!$C$12="M",2,3),0))*(0.001*0.0833)*Flag_Mort_Rider_Charge*(AT295&gt;0))</f>
        <v>0</v>
      </c>
      <c r="AO295" s="50">
        <f t="shared" ca="1" si="218"/>
        <v>0</v>
      </c>
      <c r="AP295" s="50">
        <f t="shared" ca="1" si="245"/>
        <v>0</v>
      </c>
      <c r="AQ295" s="50">
        <f t="shared" ca="1" si="219"/>
        <v>0</v>
      </c>
      <c r="AR295" s="50">
        <f t="shared" ca="1" si="220"/>
        <v>0</v>
      </c>
      <c r="AS295" s="50">
        <f t="shared" si="221"/>
        <v>0</v>
      </c>
      <c r="AT295" s="50">
        <f ca="1">(MAX((MAX(AS295,105%*SUM($AJ$7:AJ295))-AM295*Flag_UL_Type),0)*B295)</f>
        <v>0</v>
      </c>
      <c r="AU295" s="50">
        <f ca="1">(MAX(AS295,AR295,105%*SUM($AJ$7:AJ295))*B295)</f>
        <v>0</v>
      </c>
      <c r="AV295" s="125"/>
      <c r="AW295" s="13"/>
      <c r="AX295" s="13"/>
      <c r="AY295" s="13"/>
      <c r="AZ295" s="13"/>
      <c r="BA295" s="13"/>
      <c r="BG295" s="51">
        <f t="shared" si="222"/>
        <v>0</v>
      </c>
      <c r="BH295" s="51">
        <f t="shared" si="223"/>
        <v>0</v>
      </c>
      <c r="BI295" s="51">
        <f t="shared" ca="1" si="224"/>
        <v>0</v>
      </c>
      <c r="BJ295" s="51">
        <f t="shared" ca="1" si="225"/>
        <v>0</v>
      </c>
      <c r="BK295" s="51">
        <f t="shared" si="226"/>
        <v>0</v>
      </c>
      <c r="BL295" s="51">
        <f t="shared" ca="1" si="227"/>
        <v>0</v>
      </c>
      <c r="BM295" s="51">
        <f t="shared" si="228"/>
        <v>0</v>
      </c>
      <c r="BN295" s="51">
        <f t="shared" si="229"/>
        <v>0</v>
      </c>
      <c r="BO295" s="51">
        <f t="shared" ca="1" si="230"/>
        <v>0</v>
      </c>
      <c r="BP295" s="51">
        <f t="shared" ca="1" si="231"/>
        <v>0</v>
      </c>
      <c r="BQ295" s="120"/>
      <c r="BR295" s="32"/>
      <c r="BS295" s="126"/>
      <c r="BT295" s="16"/>
      <c r="BU295" s="58"/>
      <c r="BW295" s="51">
        <f>IF(Input!$C$13="Offline",VLOOKUP(H295,Charges!$AT$4:$AU$33,2,FALSE)*I295,0)</f>
        <v>0</v>
      </c>
      <c r="BX295" s="51">
        <f t="shared" si="232"/>
        <v>0</v>
      </c>
      <c r="BY295" s="51">
        <f t="shared" si="240"/>
        <v>0</v>
      </c>
      <c r="BZ295" s="151"/>
      <c r="CA295" s="151"/>
      <c r="CB295" s="32"/>
      <c r="CC295" s="16">
        <f ca="1">SUM($N$7:$N295)</f>
        <v>0</v>
      </c>
      <c r="CD295" s="16">
        <f t="shared" ca="1" si="233"/>
        <v>0</v>
      </c>
      <c r="CE295" s="16">
        <f t="shared" ca="1" si="234"/>
        <v>0</v>
      </c>
      <c r="CF295" s="7">
        <f t="shared" ca="1" si="235"/>
        <v>0</v>
      </c>
      <c r="CH295" s="7">
        <f t="shared" ca="1" si="236"/>
        <v>0</v>
      </c>
    </row>
    <row r="296" spans="2:86" s="7" customFormat="1" x14ac:dyDescent="0.2">
      <c r="B296" s="14">
        <f t="shared" si="200"/>
        <v>0</v>
      </c>
      <c r="C296" s="12">
        <f t="shared" si="201"/>
        <v>0</v>
      </c>
      <c r="D296" s="17">
        <f t="shared" si="241"/>
        <v>290</v>
      </c>
      <c r="E296" s="17">
        <f t="shared" ca="1" si="202"/>
        <v>84</v>
      </c>
      <c r="F296" s="12">
        <f t="shared" si="243"/>
        <v>1</v>
      </c>
      <c r="G296" s="12">
        <f t="shared" si="242"/>
        <v>49</v>
      </c>
      <c r="H296" s="17">
        <f t="shared" si="244"/>
        <v>25</v>
      </c>
      <c r="I296" s="29">
        <f t="shared" si="203"/>
        <v>0</v>
      </c>
      <c r="J296" s="211">
        <f>IFERROR(VLOOKUP(H296,Charges!$T$6:$U$35,2,0)*C296,0)</f>
        <v>0</v>
      </c>
      <c r="K296" s="29">
        <f t="shared" si="204"/>
        <v>0</v>
      </c>
      <c r="L296" s="29">
        <f t="shared" si="205"/>
        <v>0</v>
      </c>
      <c r="M296" s="147">
        <f t="shared" ca="1" si="206"/>
        <v>0</v>
      </c>
      <c r="N296" s="148">
        <f ca="1">IF(AND(Option_SPW="Y",H296&gt;=Lock_In_Period,Z295&gt;SPW_Amount_pa+IF(option="Single",1/5*pr,2*pr),H296&gt;=SPW_Start_Year,H296&lt;=SPW_Start_Year+SPW_Duration-1,age+H296&gt;=Legal_Age),IF(AND(F296=0,SPW_Payout_Freq=1),SPW_Amount_pa,IF(AND(SPW_Payout_Freq=2,MOD(F296,6)=0),SPW_Amount_pa/SPW_Payout_Freq,IF(AND(SPW_Payout_Freq=4,MOD(F296,3)=0),SPW_Amount_pa/SPW_Payout_Freq,IF(SPW_Payout_Freq=12,SPW_Amount_pa/SPW_Payout_Freq,0)))),0)+IFERROR(VLOOKUP(H296,Input!$B$68:$C$74,2,0),0)*(F296=0)*(Option_PW="Y")*(Option_SPW="N")*(age+H296&gt;=Legal_Age)</f>
        <v>0</v>
      </c>
      <c r="O296" s="148">
        <f t="shared" ca="1" si="207"/>
        <v>0</v>
      </c>
      <c r="P296" s="14">
        <f ca="1">(MAX(MAX(sa-CF295*Flag_UL_Type,105%*SUM($I$7:I296))-(AD295+L296-N296)*Flag_UL_Type,0)*B296)</f>
        <v>0</v>
      </c>
      <c r="Q296" s="213">
        <f t="shared" si="208"/>
        <v>0</v>
      </c>
      <c r="R296" s="14">
        <f t="shared" ca="1" si="209"/>
        <v>0</v>
      </c>
      <c r="S296" s="14">
        <f t="shared" ca="1" si="210"/>
        <v>0</v>
      </c>
      <c r="T296" s="14">
        <f>IFERROR(IF(WoP_Flag="Y",IF(fq=1,VLOOKUP(ppt*fq-H296,Charges!$AN$41:$AO$59,2,FALSE),IF(fq=2,VLOOKUP(ppt*fq-G296,Charges!$AP$41:$AQ$79,2,FALSE),VLOOKUP(ppt*fq-D296,Charges!$AR$41:$AS$279,2,FALSE)))*pr/fq,0),0)</f>
        <v>0</v>
      </c>
      <c r="U296" s="14">
        <f t="shared" ca="1" si="211"/>
        <v>0</v>
      </c>
      <c r="V296" s="34">
        <f>ROUND(MIN(IF(H296&gt;=7,Charges!$C$12*(1+Charges!$C$14)^((H296-7+1)),VLOOKUP(H296,Charges!$B$7:$C$12,2,0))*pr,Charges!$C$13)*B296,Round)</f>
        <v>0</v>
      </c>
      <c r="W296" s="14">
        <f t="shared" ca="1" si="212"/>
        <v>0</v>
      </c>
      <c r="X296" s="14">
        <f t="shared" ca="1" si="213"/>
        <v>0</v>
      </c>
      <c r="Y296" s="213">
        <f t="shared" ca="1" si="237"/>
        <v>0</v>
      </c>
      <c r="Z296" s="14">
        <f t="shared" ca="1" si="214"/>
        <v>0</v>
      </c>
      <c r="AA296" s="14">
        <f>IF(AND($H296=pt,$F296=11),SUM($K$7:K296)*VLOOKUP(pt,ROC,2,FALSE),0)</f>
        <v>0</v>
      </c>
      <c r="AB296" s="14">
        <f>IF(AND($H296=pt,$F296=11),SUM($V$7:V296)*VLOOKUP(pt,ROC,2,FALSE),0)</f>
        <v>0</v>
      </c>
      <c r="AC296" s="14">
        <f>IF(AND($H296=pt,$F296=11),SUM($Q$7:Q296)*VLOOKUP(pt,ROC,2,FALSE),0)</f>
        <v>0</v>
      </c>
      <c r="AD296" s="14">
        <f t="shared" ca="1" si="215"/>
        <v>0</v>
      </c>
      <c r="AE296" s="14">
        <f ca="1">(MAX(sa-CF295*Flag_UL_Type,105%*SUM($I$7:I296),Z296)+AU296)*B296</f>
        <v>0</v>
      </c>
      <c r="AF296" s="136"/>
      <c r="AG296" s="18">
        <v>290</v>
      </c>
      <c r="AH296" s="30">
        <f t="shared" ca="1" si="216"/>
        <v>0</v>
      </c>
      <c r="AI296" s="58"/>
      <c r="AJ296" s="50">
        <f>IF(AND(Option_Sys_TopUp&gt;="Y",H296&gt;=sytp,H296&lt;=(dtp+sytp-1),F296=0,H296&lt;=ppt+1),atp,0)+IFERROR(VLOOKUP(H296,Input!$B$55:$C$61,2,0),0)*(F296=0)*(Option_TopUP="Y")*(Option_Sys_TopUp="N")*B296*(pt&gt;=H296+5)</f>
        <v>0</v>
      </c>
      <c r="AK296" s="50">
        <f t="shared" si="217"/>
        <v>0</v>
      </c>
      <c r="AL296" s="50">
        <f t="shared" si="238"/>
        <v>0</v>
      </c>
      <c r="AM296" s="50">
        <f t="shared" ca="1" si="239"/>
        <v>0</v>
      </c>
      <c r="AN296" s="50">
        <f>IF(B296=0,0,AT296*(_rpm1+(1+_emr1)*VLOOKUP(E296,Tab_Mort_Charge,IF(Input!$C$12="M",2,3),0))*(0.001*0.0833)*Flag_Mort_Rider_Charge*(AT296&gt;0))</f>
        <v>0</v>
      </c>
      <c r="AO296" s="50">
        <f t="shared" ca="1" si="218"/>
        <v>0</v>
      </c>
      <c r="AP296" s="50">
        <f t="shared" ca="1" si="245"/>
        <v>0</v>
      </c>
      <c r="AQ296" s="50">
        <f t="shared" ca="1" si="219"/>
        <v>0</v>
      </c>
      <c r="AR296" s="50">
        <f t="shared" ca="1" si="220"/>
        <v>0</v>
      </c>
      <c r="AS296" s="50">
        <f t="shared" si="221"/>
        <v>0</v>
      </c>
      <c r="AT296" s="50">
        <f ca="1">(MAX((MAX(AS296,105%*SUM($AJ$7:AJ296))-AM296*Flag_UL_Type),0)*B296)</f>
        <v>0</v>
      </c>
      <c r="AU296" s="50">
        <f ca="1">(MAX(AS296,AR296,105%*SUM($AJ$7:AJ296))*B296)</f>
        <v>0</v>
      </c>
      <c r="AV296" s="125"/>
      <c r="AW296" s="13"/>
      <c r="AX296" s="13"/>
      <c r="AY296" s="13"/>
      <c r="AZ296" s="13"/>
      <c r="BA296" s="13"/>
      <c r="BG296" s="51">
        <f t="shared" si="222"/>
        <v>0</v>
      </c>
      <c r="BH296" s="51">
        <f t="shared" si="223"/>
        <v>0</v>
      </c>
      <c r="BI296" s="51">
        <f t="shared" ca="1" si="224"/>
        <v>0</v>
      </c>
      <c r="BJ296" s="51">
        <f t="shared" ca="1" si="225"/>
        <v>0</v>
      </c>
      <c r="BK296" s="51">
        <f t="shared" si="226"/>
        <v>0</v>
      </c>
      <c r="BL296" s="51">
        <f t="shared" ca="1" si="227"/>
        <v>0</v>
      </c>
      <c r="BM296" s="51">
        <f t="shared" si="228"/>
        <v>0</v>
      </c>
      <c r="BN296" s="51">
        <f t="shared" si="229"/>
        <v>0</v>
      </c>
      <c r="BO296" s="51">
        <f t="shared" ca="1" si="230"/>
        <v>0</v>
      </c>
      <c r="BP296" s="51">
        <f t="shared" ca="1" si="231"/>
        <v>0</v>
      </c>
      <c r="BQ296" s="120"/>
      <c r="BR296" s="32"/>
      <c r="BS296" s="126"/>
      <c r="BT296" s="16"/>
      <c r="BU296" s="58"/>
      <c r="BW296" s="51">
        <f>IF(Input!$C$13="Offline",VLOOKUP(H296,Charges!$AT$4:$AU$33,2,FALSE)*I296,0)</f>
        <v>0</v>
      </c>
      <c r="BX296" s="51">
        <f t="shared" si="232"/>
        <v>0</v>
      </c>
      <c r="BY296" s="51">
        <f t="shared" si="240"/>
        <v>0</v>
      </c>
      <c r="BZ296" s="151"/>
      <c r="CA296" s="151"/>
      <c r="CB296" s="32"/>
      <c r="CC296" s="16">
        <f ca="1">SUM($N$7:$N296)</f>
        <v>0</v>
      </c>
      <c r="CD296" s="16">
        <f t="shared" ca="1" si="233"/>
        <v>0</v>
      </c>
      <c r="CE296" s="16">
        <f t="shared" ca="1" si="234"/>
        <v>0</v>
      </c>
      <c r="CF296" s="7">
        <f t="shared" ca="1" si="235"/>
        <v>0</v>
      </c>
      <c r="CH296" s="7">
        <f t="shared" ca="1" si="236"/>
        <v>0</v>
      </c>
    </row>
    <row r="297" spans="2:86" s="7" customFormat="1" x14ac:dyDescent="0.2">
      <c r="B297" s="14">
        <f t="shared" si="200"/>
        <v>0</v>
      </c>
      <c r="C297" s="12">
        <f t="shared" si="201"/>
        <v>0</v>
      </c>
      <c r="D297" s="17">
        <f t="shared" si="241"/>
        <v>291</v>
      </c>
      <c r="E297" s="17">
        <f t="shared" ca="1" si="202"/>
        <v>84</v>
      </c>
      <c r="F297" s="12">
        <f t="shared" si="243"/>
        <v>2</v>
      </c>
      <c r="G297" s="12">
        <f t="shared" si="242"/>
        <v>49</v>
      </c>
      <c r="H297" s="17">
        <f t="shared" si="244"/>
        <v>25</v>
      </c>
      <c r="I297" s="29">
        <f t="shared" si="203"/>
        <v>0</v>
      </c>
      <c r="J297" s="211">
        <f>IFERROR(VLOOKUP(H297,Charges!$T$6:$U$35,2,0)*C297,0)</f>
        <v>0</v>
      </c>
      <c r="K297" s="29">
        <f t="shared" si="204"/>
        <v>0</v>
      </c>
      <c r="L297" s="29">
        <f t="shared" si="205"/>
        <v>0</v>
      </c>
      <c r="M297" s="147">
        <f t="shared" ca="1" si="206"/>
        <v>0</v>
      </c>
      <c r="N297" s="148">
        <f ca="1">IF(AND(Option_SPW="Y",H297&gt;=Lock_In_Period,Z296&gt;SPW_Amount_pa+IF(option="Single",1/5*pr,2*pr),H297&gt;=SPW_Start_Year,H297&lt;=SPW_Start_Year+SPW_Duration-1,age+H297&gt;=Legal_Age),IF(AND(F297=0,SPW_Payout_Freq=1),SPW_Amount_pa,IF(AND(SPW_Payout_Freq=2,MOD(F297,6)=0),SPW_Amount_pa/SPW_Payout_Freq,IF(AND(SPW_Payout_Freq=4,MOD(F297,3)=0),SPW_Amount_pa/SPW_Payout_Freq,IF(SPW_Payout_Freq=12,SPW_Amount_pa/SPW_Payout_Freq,0)))),0)+IFERROR(VLOOKUP(H297,Input!$B$68:$C$74,2,0),0)*(F297=0)*(Option_PW="Y")*(Option_SPW="N")*(age+H297&gt;=Legal_Age)</f>
        <v>0</v>
      </c>
      <c r="O297" s="148">
        <f t="shared" ca="1" si="207"/>
        <v>0</v>
      </c>
      <c r="P297" s="14">
        <f ca="1">(MAX(MAX(sa-CF296*Flag_UL_Type,105%*SUM($I$7:I297))-(AD296+L297-N297)*Flag_UL_Type,0)*B297)</f>
        <v>0</v>
      </c>
      <c r="Q297" s="213">
        <f t="shared" si="208"/>
        <v>0</v>
      </c>
      <c r="R297" s="14">
        <f t="shared" ca="1" si="209"/>
        <v>0</v>
      </c>
      <c r="S297" s="14">
        <f t="shared" ca="1" si="210"/>
        <v>0</v>
      </c>
      <c r="T297" s="14">
        <f>IFERROR(IF(WoP_Flag="Y",IF(fq=1,VLOOKUP(ppt*fq-H297,Charges!$AN$41:$AO$59,2,FALSE),IF(fq=2,VLOOKUP(ppt*fq-G297,Charges!$AP$41:$AQ$79,2,FALSE),VLOOKUP(ppt*fq-D297,Charges!$AR$41:$AS$279,2,FALSE)))*pr/fq,0),0)</f>
        <v>0</v>
      </c>
      <c r="U297" s="14">
        <f t="shared" ca="1" si="211"/>
        <v>0</v>
      </c>
      <c r="V297" s="34">
        <f>ROUND(MIN(IF(H297&gt;=7,Charges!$C$12*(1+Charges!$C$14)^((H297-7+1)),VLOOKUP(H297,Charges!$B$7:$C$12,2,0))*pr,Charges!$C$13)*B297,Round)</f>
        <v>0</v>
      </c>
      <c r="W297" s="14">
        <f t="shared" ca="1" si="212"/>
        <v>0</v>
      </c>
      <c r="X297" s="14">
        <f t="shared" ca="1" si="213"/>
        <v>0</v>
      </c>
      <c r="Y297" s="213">
        <f t="shared" ca="1" si="237"/>
        <v>0</v>
      </c>
      <c r="Z297" s="14">
        <f t="shared" ca="1" si="214"/>
        <v>0</v>
      </c>
      <c r="AA297" s="14">
        <f>IF(AND($H297=pt,$F297=11),SUM($K$7:K297)*VLOOKUP(pt,ROC,2,FALSE),0)</f>
        <v>0</v>
      </c>
      <c r="AB297" s="14">
        <f>IF(AND($H297=pt,$F297=11),SUM($V$7:V297)*VLOOKUP(pt,ROC,2,FALSE),0)</f>
        <v>0</v>
      </c>
      <c r="AC297" s="14">
        <f>IF(AND($H297=pt,$F297=11),SUM($Q$7:Q297)*VLOOKUP(pt,ROC,2,FALSE),0)</f>
        <v>0</v>
      </c>
      <c r="AD297" s="14">
        <f t="shared" ca="1" si="215"/>
        <v>0</v>
      </c>
      <c r="AE297" s="14">
        <f ca="1">(MAX(sa-CF296*Flag_UL_Type,105%*SUM($I$7:I297),Z297)+AU297)*B297</f>
        <v>0</v>
      </c>
      <c r="AF297" s="136"/>
      <c r="AG297" s="18">
        <v>291</v>
      </c>
      <c r="AH297" s="30">
        <f t="shared" ca="1" si="216"/>
        <v>0</v>
      </c>
      <c r="AI297" s="58"/>
      <c r="AJ297" s="50">
        <f>IF(AND(Option_Sys_TopUp&gt;="Y",H297&gt;=sytp,H297&lt;=(dtp+sytp-1),F297=0,H297&lt;=ppt+1),atp,0)+IFERROR(VLOOKUP(H297,Input!$B$55:$C$61,2,0),0)*(F297=0)*(Option_TopUP="Y")*(Option_Sys_TopUp="N")*B297*(pt&gt;=H297+5)</f>
        <v>0</v>
      </c>
      <c r="AK297" s="50">
        <f t="shared" si="217"/>
        <v>0</v>
      </c>
      <c r="AL297" s="50">
        <f t="shared" si="238"/>
        <v>0</v>
      </c>
      <c r="AM297" s="50">
        <f t="shared" ca="1" si="239"/>
        <v>0</v>
      </c>
      <c r="AN297" s="50">
        <f>IF(B297=0,0,AT297*(_rpm1+(1+_emr1)*VLOOKUP(E297,Tab_Mort_Charge,IF(Input!$C$12="M",2,3),0))*(0.001*0.0833)*Flag_Mort_Rider_Charge*(AT297&gt;0))</f>
        <v>0</v>
      </c>
      <c r="AO297" s="50">
        <f t="shared" ca="1" si="218"/>
        <v>0</v>
      </c>
      <c r="AP297" s="50">
        <f t="shared" ca="1" si="245"/>
        <v>0</v>
      </c>
      <c r="AQ297" s="50">
        <f t="shared" ca="1" si="219"/>
        <v>0</v>
      </c>
      <c r="AR297" s="50">
        <f t="shared" ca="1" si="220"/>
        <v>0</v>
      </c>
      <c r="AS297" s="50">
        <f t="shared" si="221"/>
        <v>0</v>
      </c>
      <c r="AT297" s="50">
        <f ca="1">(MAX((MAX(AS297,105%*SUM($AJ$7:AJ297))-AM297*Flag_UL_Type),0)*B297)</f>
        <v>0</v>
      </c>
      <c r="AU297" s="50">
        <f ca="1">(MAX(AS297,AR297,105%*SUM($AJ$7:AJ297))*B297)</f>
        <v>0</v>
      </c>
      <c r="AV297" s="125"/>
      <c r="AW297" s="13"/>
      <c r="AX297" s="13"/>
      <c r="AY297" s="13"/>
      <c r="AZ297" s="13"/>
      <c r="BA297" s="13"/>
      <c r="BG297" s="51">
        <f t="shared" si="222"/>
        <v>0</v>
      </c>
      <c r="BH297" s="51">
        <f t="shared" si="223"/>
        <v>0</v>
      </c>
      <c r="BI297" s="51">
        <f t="shared" ca="1" si="224"/>
        <v>0</v>
      </c>
      <c r="BJ297" s="51">
        <f t="shared" ca="1" si="225"/>
        <v>0</v>
      </c>
      <c r="BK297" s="51">
        <f t="shared" si="226"/>
        <v>0</v>
      </c>
      <c r="BL297" s="51">
        <f t="shared" ca="1" si="227"/>
        <v>0</v>
      </c>
      <c r="BM297" s="51">
        <f t="shared" si="228"/>
        <v>0</v>
      </c>
      <c r="BN297" s="51">
        <f t="shared" si="229"/>
        <v>0</v>
      </c>
      <c r="BO297" s="51">
        <f t="shared" ca="1" si="230"/>
        <v>0</v>
      </c>
      <c r="BP297" s="51">
        <f t="shared" ca="1" si="231"/>
        <v>0</v>
      </c>
      <c r="BQ297" s="120"/>
      <c r="BR297" s="32"/>
      <c r="BS297" s="126"/>
      <c r="BT297" s="16"/>
      <c r="BU297" s="58"/>
      <c r="BW297" s="51">
        <f>IF(Input!$C$13="Offline",VLOOKUP(H297,Charges!$AT$4:$AU$33,2,FALSE)*I297,0)</f>
        <v>0</v>
      </c>
      <c r="BX297" s="51">
        <f t="shared" si="232"/>
        <v>0</v>
      </c>
      <c r="BY297" s="51">
        <f t="shared" si="240"/>
        <v>0</v>
      </c>
      <c r="BZ297" s="151"/>
      <c r="CA297" s="151"/>
      <c r="CB297" s="32"/>
      <c r="CC297" s="16">
        <f ca="1">SUM($N$7:$N297)</f>
        <v>0</v>
      </c>
      <c r="CD297" s="16">
        <f t="shared" ca="1" si="233"/>
        <v>0</v>
      </c>
      <c r="CE297" s="16">
        <f t="shared" ca="1" si="234"/>
        <v>0</v>
      </c>
      <c r="CF297" s="7">
        <f t="shared" ca="1" si="235"/>
        <v>0</v>
      </c>
      <c r="CH297" s="7">
        <f t="shared" ca="1" si="236"/>
        <v>0</v>
      </c>
    </row>
    <row r="298" spans="2:86" s="7" customFormat="1" x14ac:dyDescent="0.2">
      <c r="B298" s="14">
        <f t="shared" si="200"/>
        <v>0</v>
      </c>
      <c r="C298" s="12">
        <f t="shared" si="201"/>
        <v>0</v>
      </c>
      <c r="D298" s="17">
        <f t="shared" si="241"/>
        <v>292</v>
      </c>
      <c r="E298" s="17">
        <f t="shared" ca="1" si="202"/>
        <v>84</v>
      </c>
      <c r="F298" s="12">
        <f t="shared" si="243"/>
        <v>3</v>
      </c>
      <c r="G298" s="12">
        <f t="shared" si="242"/>
        <v>49</v>
      </c>
      <c r="H298" s="17">
        <f t="shared" si="244"/>
        <v>25</v>
      </c>
      <c r="I298" s="29">
        <f t="shared" si="203"/>
        <v>0</v>
      </c>
      <c r="J298" s="211">
        <f>IFERROR(VLOOKUP(H298,Charges!$T$6:$U$35,2,0)*C298,0)</f>
        <v>0</v>
      </c>
      <c r="K298" s="29">
        <f t="shared" si="204"/>
        <v>0</v>
      </c>
      <c r="L298" s="29">
        <f t="shared" si="205"/>
        <v>0</v>
      </c>
      <c r="M298" s="147">
        <f t="shared" ca="1" si="206"/>
        <v>0</v>
      </c>
      <c r="N298" s="148">
        <f ca="1">IF(AND(Option_SPW="Y",H298&gt;=Lock_In_Period,Z297&gt;SPW_Amount_pa+IF(option="Single",1/5*pr,2*pr),H298&gt;=SPW_Start_Year,H298&lt;=SPW_Start_Year+SPW_Duration-1,age+H298&gt;=Legal_Age),IF(AND(F298=0,SPW_Payout_Freq=1),SPW_Amount_pa,IF(AND(SPW_Payout_Freq=2,MOD(F298,6)=0),SPW_Amount_pa/SPW_Payout_Freq,IF(AND(SPW_Payout_Freq=4,MOD(F298,3)=0),SPW_Amount_pa/SPW_Payout_Freq,IF(SPW_Payout_Freq=12,SPW_Amount_pa/SPW_Payout_Freq,0)))),0)+IFERROR(VLOOKUP(H298,Input!$B$68:$C$74,2,0),0)*(F298=0)*(Option_PW="Y")*(Option_SPW="N")*(age+H298&gt;=Legal_Age)</f>
        <v>0</v>
      </c>
      <c r="O298" s="148">
        <f t="shared" ca="1" si="207"/>
        <v>0</v>
      </c>
      <c r="P298" s="14">
        <f ca="1">(MAX(MAX(sa-CF297*Flag_UL_Type,105%*SUM($I$7:I298))-(AD297+L298-N298)*Flag_UL_Type,0)*B298)</f>
        <v>0</v>
      </c>
      <c r="Q298" s="213">
        <f t="shared" si="208"/>
        <v>0</v>
      </c>
      <c r="R298" s="14">
        <f t="shared" ca="1" si="209"/>
        <v>0</v>
      </c>
      <c r="S298" s="14">
        <f t="shared" ca="1" si="210"/>
        <v>0</v>
      </c>
      <c r="T298" s="14">
        <f>IFERROR(IF(WoP_Flag="Y",IF(fq=1,VLOOKUP(ppt*fq-H298,Charges!$AN$41:$AO$59,2,FALSE),IF(fq=2,VLOOKUP(ppt*fq-G298,Charges!$AP$41:$AQ$79,2,FALSE),VLOOKUP(ppt*fq-D298,Charges!$AR$41:$AS$279,2,FALSE)))*pr/fq,0),0)</f>
        <v>0</v>
      </c>
      <c r="U298" s="14">
        <f t="shared" ca="1" si="211"/>
        <v>0</v>
      </c>
      <c r="V298" s="34">
        <f>ROUND(MIN(IF(H298&gt;=7,Charges!$C$12*(1+Charges!$C$14)^((H298-7+1)),VLOOKUP(H298,Charges!$B$7:$C$12,2,0))*pr,Charges!$C$13)*B298,Round)</f>
        <v>0</v>
      </c>
      <c r="W298" s="14">
        <f t="shared" ca="1" si="212"/>
        <v>0</v>
      </c>
      <c r="X298" s="14">
        <f t="shared" ca="1" si="213"/>
        <v>0</v>
      </c>
      <c r="Y298" s="213">
        <f t="shared" ca="1" si="237"/>
        <v>0</v>
      </c>
      <c r="Z298" s="14">
        <f t="shared" ca="1" si="214"/>
        <v>0</v>
      </c>
      <c r="AA298" s="14">
        <f>IF(AND($H298=pt,$F298=11),SUM($K$7:K298)*VLOOKUP(pt,ROC,2,FALSE),0)</f>
        <v>0</v>
      </c>
      <c r="AB298" s="14">
        <f>IF(AND($H298=pt,$F298=11),SUM($V$7:V298)*VLOOKUP(pt,ROC,2,FALSE),0)</f>
        <v>0</v>
      </c>
      <c r="AC298" s="14">
        <f>IF(AND($H298=pt,$F298=11),SUM($Q$7:Q298)*VLOOKUP(pt,ROC,2,FALSE),0)</f>
        <v>0</v>
      </c>
      <c r="AD298" s="14">
        <f t="shared" ca="1" si="215"/>
        <v>0</v>
      </c>
      <c r="AE298" s="14">
        <f ca="1">(MAX(sa-CF297*Flag_UL_Type,105%*SUM($I$7:I298),Z298)+AU298)*B298</f>
        <v>0</v>
      </c>
      <c r="AF298" s="136"/>
      <c r="AG298" s="18">
        <v>292</v>
      </c>
      <c r="AH298" s="30">
        <f t="shared" ca="1" si="216"/>
        <v>0</v>
      </c>
      <c r="AI298" s="58"/>
      <c r="AJ298" s="50">
        <f>IF(AND(Option_Sys_TopUp&gt;="Y",H298&gt;=sytp,H298&lt;=(dtp+sytp-1),F298=0,H298&lt;=ppt+1),atp,0)+IFERROR(VLOOKUP(H298,Input!$B$55:$C$61,2,0),0)*(F298=0)*(Option_TopUP="Y")*(Option_Sys_TopUp="N")*B298*(pt&gt;=H298+5)</f>
        <v>0</v>
      </c>
      <c r="AK298" s="50">
        <f t="shared" si="217"/>
        <v>0</v>
      </c>
      <c r="AL298" s="50">
        <f t="shared" si="238"/>
        <v>0</v>
      </c>
      <c r="AM298" s="50">
        <f t="shared" ca="1" si="239"/>
        <v>0</v>
      </c>
      <c r="AN298" s="50">
        <f>IF(B298=0,0,AT298*(_rpm1+(1+_emr1)*VLOOKUP(E298,Tab_Mort_Charge,IF(Input!$C$12="M",2,3),0))*(0.001*0.0833)*Flag_Mort_Rider_Charge*(AT298&gt;0))</f>
        <v>0</v>
      </c>
      <c r="AO298" s="50">
        <f t="shared" ca="1" si="218"/>
        <v>0</v>
      </c>
      <c r="AP298" s="50">
        <f t="shared" ca="1" si="245"/>
        <v>0</v>
      </c>
      <c r="AQ298" s="50">
        <f t="shared" ca="1" si="219"/>
        <v>0</v>
      </c>
      <c r="AR298" s="50">
        <f t="shared" ca="1" si="220"/>
        <v>0</v>
      </c>
      <c r="AS298" s="50">
        <f t="shared" si="221"/>
        <v>0</v>
      </c>
      <c r="AT298" s="50">
        <f ca="1">(MAX((MAX(AS298,105%*SUM($AJ$7:AJ298))-AM298*Flag_UL_Type),0)*B298)</f>
        <v>0</v>
      </c>
      <c r="AU298" s="50">
        <f ca="1">(MAX(AS298,AR298,105%*SUM($AJ$7:AJ298))*B298)</f>
        <v>0</v>
      </c>
      <c r="AV298" s="125"/>
      <c r="AW298" s="13"/>
      <c r="AX298" s="13"/>
      <c r="AY298" s="13"/>
      <c r="AZ298" s="13"/>
      <c r="BA298" s="13"/>
      <c r="BG298" s="51">
        <f t="shared" si="222"/>
        <v>0</v>
      </c>
      <c r="BH298" s="51">
        <f t="shared" si="223"/>
        <v>0</v>
      </c>
      <c r="BI298" s="51">
        <f t="shared" ca="1" si="224"/>
        <v>0</v>
      </c>
      <c r="BJ298" s="51">
        <f t="shared" ca="1" si="225"/>
        <v>0</v>
      </c>
      <c r="BK298" s="51">
        <f t="shared" si="226"/>
        <v>0</v>
      </c>
      <c r="BL298" s="51">
        <f t="shared" ca="1" si="227"/>
        <v>0</v>
      </c>
      <c r="BM298" s="51">
        <f t="shared" si="228"/>
        <v>0</v>
      </c>
      <c r="BN298" s="51">
        <f t="shared" si="229"/>
        <v>0</v>
      </c>
      <c r="BO298" s="51">
        <f t="shared" ca="1" si="230"/>
        <v>0</v>
      </c>
      <c r="BP298" s="51">
        <f t="shared" ca="1" si="231"/>
        <v>0</v>
      </c>
      <c r="BQ298" s="120"/>
      <c r="BR298" s="32"/>
      <c r="BS298" s="126"/>
      <c r="BT298" s="16"/>
      <c r="BU298" s="58"/>
      <c r="BW298" s="51">
        <f>IF(Input!$C$13="Offline",VLOOKUP(H298,Charges!$AT$4:$AU$33,2,FALSE)*I298,0)</f>
        <v>0</v>
      </c>
      <c r="BX298" s="51">
        <f t="shared" si="232"/>
        <v>0</v>
      </c>
      <c r="BY298" s="51">
        <f t="shared" si="240"/>
        <v>0</v>
      </c>
      <c r="BZ298" s="151"/>
      <c r="CA298" s="151"/>
      <c r="CB298" s="32"/>
      <c r="CC298" s="16">
        <f ca="1">SUM($N$7:$N298)</f>
        <v>0</v>
      </c>
      <c r="CD298" s="16">
        <f t="shared" ca="1" si="233"/>
        <v>0</v>
      </c>
      <c r="CE298" s="16">
        <f t="shared" ca="1" si="234"/>
        <v>0</v>
      </c>
      <c r="CF298" s="7">
        <f t="shared" ca="1" si="235"/>
        <v>0</v>
      </c>
      <c r="CH298" s="7">
        <f t="shared" ca="1" si="236"/>
        <v>0</v>
      </c>
    </row>
    <row r="299" spans="2:86" s="7" customFormat="1" x14ac:dyDescent="0.2">
      <c r="B299" s="14">
        <f t="shared" si="200"/>
        <v>0</v>
      </c>
      <c r="C299" s="12">
        <f t="shared" si="201"/>
        <v>0</v>
      </c>
      <c r="D299" s="17">
        <f t="shared" si="241"/>
        <v>293</v>
      </c>
      <c r="E299" s="17">
        <f t="shared" ca="1" si="202"/>
        <v>84</v>
      </c>
      <c r="F299" s="12">
        <f t="shared" si="243"/>
        <v>4</v>
      </c>
      <c r="G299" s="12">
        <f t="shared" si="242"/>
        <v>49</v>
      </c>
      <c r="H299" s="17">
        <f t="shared" si="244"/>
        <v>25</v>
      </c>
      <c r="I299" s="29">
        <f t="shared" si="203"/>
        <v>0</v>
      </c>
      <c r="J299" s="211">
        <f>IFERROR(VLOOKUP(H299,Charges!$T$6:$U$35,2,0)*C299,0)</f>
        <v>0</v>
      </c>
      <c r="K299" s="29">
        <f t="shared" si="204"/>
        <v>0</v>
      </c>
      <c r="L299" s="29">
        <f t="shared" si="205"/>
        <v>0</v>
      </c>
      <c r="M299" s="147">
        <f t="shared" ca="1" si="206"/>
        <v>0</v>
      </c>
      <c r="N299" s="148">
        <f ca="1">IF(AND(Option_SPW="Y",H299&gt;=Lock_In_Period,Z298&gt;SPW_Amount_pa+IF(option="Single",1/5*pr,2*pr),H299&gt;=SPW_Start_Year,H299&lt;=SPW_Start_Year+SPW_Duration-1,age+H299&gt;=Legal_Age),IF(AND(F299=0,SPW_Payout_Freq=1),SPW_Amount_pa,IF(AND(SPW_Payout_Freq=2,MOD(F299,6)=0),SPW_Amount_pa/SPW_Payout_Freq,IF(AND(SPW_Payout_Freq=4,MOD(F299,3)=0),SPW_Amount_pa/SPW_Payout_Freq,IF(SPW_Payout_Freq=12,SPW_Amount_pa/SPW_Payout_Freq,0)))),0)+IFERROR(VLOOKUP(H299,Input!$B$68:$C$74,2,0),0)*(F299=0)*(Option_PW="Y")*(Option_SPW="N")*(age+H299&gt;=Legal_Age)</f>
        <v>0</v>
      </c>
      <c r="O299" s="148">
        <f t="shared" ca="1" si="207"/>
        <v>0</v>
      </c>
      <c r="P299" s="14">
        <f ca="1">(MAX(MAX(sa-CF298*Flag_UL_Type,105%*SUM($I$7:I299))-(AD298+L299-N299)*Flag_UL_Type,0)*B299)</f>
        <v>0</v>
      </c>
      <c r="Q299" s="213">
        <f t="shared" si="208"/>
        <v>0</v>
      </c>
      <c r="R299" s="14">
        <f t="shared" ca="1" si="209"/>
        <v>0</v>
      </c>
      <c r="S299" s="14">
        <f t="shared" ca="1" si="210"/>
        <v>0</v>
      </c>
      <c r="T299" s="14">
        <f>IFERROR(IF(WoP_Flag="Y",IF(fq=1,VLOOKUP(ppt*fq-H299,Charges!$AN$41:$AO$59,2,FALSE),IF(fq=2,VLOOKUP(ppt*fq-G299,Charges!$AP$41:$AQ$79,2,FALSE),VLOOKUP(ppt*fq-D299,Charges!$AR$41:$AS$279,2,FALSE)))*pr/fq,0),0)</f>
        <v>0</v>
      </c>
      <c r="U299" s="14">
        <f t="shared" ca="1" si="211"/>
        <v>0</v>
      </c>
      <c r="V299" s="34">
        <f>ROUND(MIN(IF(H299&gt;=7,Charges!$C$12*(1+Charges!$C$14)^((H299-7+1)),VLOOKUP(H299,Charges!$B$7:$C$12,2,0))*pr,Charges!$C$13)*B299,Round)</f>
        <v>0</v>
      </c>
      <c r="W299" s="14">
        <f t="shared" ca="1" si="212"/>
        <v>0</v>
      </c>
      <c r="X299" s="14">
        <f t="shared" ca="1" si="213"/>
        <v>0</v>
      </c>
      <c r="Y299" s="213">
        <f t="shared" ca="1" si="237"/>
        <v>0</v>
      </c>
      <c r="Z299" s="14">
        <f t="shared" ca="1" si="214"/>
        <v>0</v>
      </c>
      <c r="AA299" s="14">
        <f>IF(AND($H299=pt,$F299=11),SUM($K$7:K299)*VLOOKUP(pt,ROC,2,FALSE),0)</f>
        <v>0</v>
      </c>
      <c r="AB299" s="14">
        <f>IF(AND($H299=pt,$F299=11),SUM($V$7:V299)*VLOOKUP(pt,ROC,2,FALSE),0)</f>
        <v>0</v>
      </c>
      <c r="AC299" s="14">
        <f>IF(AND($H299=pt,$F299=11),SUM($Q$7:Q299)*VLOOKUP(pt,ROC,2,FALSE),0)</f>
        <v>0</v>
      </c>
      <c r="AD299" s="14">
        <f t="shared" ca="1" si="215"/>
        <v>0</v>
      </c>
      <c r="AE299" s="14">
        <f ca="1">(MAX(sa-CF298*Flag_UL_Type,105%*SUM($I$7:I299),Z299)+AU299)*B299</f>
        <v>0</v>
      </c>
      <c r="AF299" s="136"/>
      <c r="AG299" s="18">
        <v>293</v>
      </c>
      <c r="AH299" s="30">
        <f t="shared" ca="1" si="216"/>
        <v>0</v>
      </c>
      <c r="AI299" s="58"/>
      <c r="AJ299" s="50">
        <f>IF(AND(Option_Sys_TopUp&gt;="Y",H299&gt;=sytp,H299&lt;=(dtp+sytp-1),F299=0,H299&lt;=ppt+1),atp,0)+IFERROR(VLOOKUP(H299,Input!$B$55:$C$61,2,0),0)*(F299=0)*(Option_TopUP="Y")*(Option_Sys_TopUp="N")*B299*(pt&gt;=H299+5)</f>
        <v>0</v>
      </c>
      <c r="AK299" s="50">
        <f t="shared" si="217"/>
        <v>0</v>
      </c>
      <c r="AL299" s="50">
        <f t="shared" si="238"/>
        <v>0</v>
      </c>
      <c r="AM299" s="50">
        <f t="shared" ca="1" si="239"/>
        <v>0</v>
      </c>
      <c r="AN299" s="50">
        <f>IF(B299=0,0,AT299*(_rpm1+(1+_emr1)*VLOOKUP(E299,Tab_Mort_Charge,IF(Input!$C$12="M",2,3),0))*(0.001*0.0833)*Flag_Mort_Rider_Charge*(AT299&gt;0))</f>
        <v>0</v>
      </c>
      <c r="AO299" s="50">
        <f t="shared" ca="1" si="218"/>
        <v>0</v>
      </c>
      <c r="AP299" s="50">
        <f t="shared" ca="1" si="245"/>
        <v>0</v>
      </c>
      <c r="AQ299" s="50">
        <f t="shared" ca="1" si="219"/>
        <v>0</v>
      </c>
      <c r="AR299" s="50">
        <f t="shared" ca="1" si="220"/>
        <v>0</v>
      </c>
      <c r="AS299" s="50">
        <f t="shared" si="221"/>
        <v>0</v>
      </c>
      <c r="AT299" s="50">
        <f ca="1">(MAX((MAX(AS299,105%*SUM($AJ$7:AJ299))-AM299*Flag_UL_Type),0)*B299)</f>
        <v>0</v>
      </c>
      <c r="AU299" s="50">
        <f ca="1">(MAX(AS299,AR299,105%*SUM($AJ$7:AJ299))*B299)</f>
        <v>0</v>
      </c>
      <c r="AV299" s="125"/>
      <c r="AW299" s="13"/>
      <c r="AX299" s="13"/>
      <c r="AY299" s="13"/>
      <c r="AZ299" s="13"/>
      <c r="BA299" s="13"/>
      <c r="BG299" s="51">
        <f t="shared" si="222"/>
        <v>0</v>
      </c>
      <c r="BH299" s="51">
        <f t="shared" si="223"/>
        <v>0</v>
      </c>
      <c r="BI299" s="51">
        <f t="shared" ca="1" si="224"/>
        <v>0</v>
      </c>
      <c r="BJ299" s="51">
        <f t="shared" ca="1" si="225"/>
        <v>0</v>
      </c>
      <c r="BK299" s="51">
        <f t="shared" si="226"/>
        <v>0</v>
      </c>
      <c r="BL299" s="51">
        <f t="shared" ca="1" si="227"/>
        <v>0</v>
      </c>
      <c r="BM299" s="51">
        <f t="shared" si="228"/>
        <v>0</v>
      </c>
      <c r="BN299" s="51">
        <f t="shared" si="229"/>
        <v>0</v>
      </c>
      <c r="BO299" s="51">
        <f t="shared" ca="1" si="230"/>
        <v>0</v>
      </c>
      <c r="BP299" s="51">
        <f t="shared" ca="1" si="231"/>
        <v>0</v>
      </c>
      <c r="BQ299" s="120"/>
      <c r="BR299" s="32"/>
      <c r="BS299" s="126"/>
      <c r="BT299" s="16"/>
      <c r="BU299" s="58"/>
      <c r="BW299" s="51">
        <f>IF(Input!$C$13="Offline",VLOOKUP(H299,Charges!$AT$4:$AU$33,2,FALSE)*I299,0)</f>
        <v>0</v>
      </c>
      <c r="BX299" s="51">
        <f t="shared" si="232"/>
        <v>0</v>
      </c>
      <c r="BY299" s="51">
        <f t="shared" si="240"/>
        <v>0</v>
      </c>
      <c r="BZ299" s="151"/>
      <c r="CA299" s="151"/>
      <c r="CB299" s="32"/>
      <c r="CC299" s="16">
        <f ca="1">SUM($N$7:$N299)</f>
        <v>0</v>
      </c>
      <c r="CD299" s="16">
        <f t="shared" ca="1" si="233"/>
        <v>0</v>
      </c>
      <c r="CE299" s="16">
        <f t="shared" ca="1" si="234"/>
        <v>0</v>
      </c>
      <c r="CF299" s="7">
        <f t="shared" ca="1" si="235"/>
        <v>0</v>
      </c>
      <c r="CH299" s="7">
        <f t="shared" ca="1" si="236"/>
        <v>0</v>
      </c>
    </row>
    <row r="300" spans="2:86" s="7" customFormat="1" x14ac:dyDescent="0.2">
      <c r="B300" s="14">
        <f t="shared" si="200"/>
        <v>0</v>
      </c>
      <c r="C300" s="12">
        <f t="shared" si="201"/>
        <v>0</v>
      </c>
      <c r="D300" s="17">
        <f t="shared" si="241"/>
        <v>294</v>
      </c>
      <c r="E300" s="17">
        <f t="shared" ca="1" si="202"/>
        <v>84</v>
      </c>
      <c r="F300" s="12">
        <f t="shared" si="243"/>
        <v>5</v>
      </c>
      <c r="G300" s="12">
        <f t="shared" si="242"/>
        <v>49</v>
      </c>
      <c r="H300" s="17">
        <f t="shared" si="244"/>
        <v>25</v>
      </c>
      <c r="I300" s="29">
        <f t="shared" si="203"/>
        <v>0</v>
      </c>
      <c r="J300" s="211">
        <f>IFERROR(VLOOKUP(H300,Charges!$T$6:$U$35,2,0)*C300,0)</f>
        <v>0</v>
      </c>
      <c r="K300" s="29">
        <f t="shared" si="204"/>
        <v>0</v>
      </c>
      <c r="L300" s="29">
        <f t="shared" si="205"/>
        <v>0</v>
      </c>
      <c r="M300" s="147">
        <f t="shared" ca="1" si="206"/>
        <v>0</v>
      </c>
      <c r="N300" s="148">
        <f ca="1">IF(AND(Option_SPW="Y",H300&gt;=Lock_In_Period,Z299&gt;SPW_Amount_pa+IF(option="Single",1/5*pr,2*pr),H300&gt;=SPW_Start_Year,H300&lt;=SPW_Start_Year+SPW_Duration-1,age+H300&gt;=Legal_Age),IF(AND(F300=0,SPW_Payout_Freq=1),SPW_Amount_pa,IF(AND(SPW_Payout_Freq=2,MOD(F300,6)=0),SPW_Amount_pa/SPW_Payout_Freq,IF(AND(SPW_Payout_Freq=4,MOD(F300,3)=0),SPW_Amount_pa/SPW_Payout_Freq,IF(SPW_Payout_Freq=12,SPW_Amount_pa/SPW_Payout_Freq,0)))),0)+IFERROR(VLOOKUP(H300,Input!$B$68:$C$74,2,0),0)*(F300=0)*(Option_PW="Y")*(Option_SPW="N")*(age+H300&gt;=Legal_Age)</f>
        <v>0</v>
      </c>
      <c r="O300" s="148">
        <f t="shared" ca="1" si="207"/>
        <v>0</v>
      </c>
      <c r="P300" s="14">
        <f ca="1">(MAX(MAX(sa-CF299*Flag_UL_Type,105%*SUM($I$7:I300))-(AD299+L300-N300)*Flag_UL_Type,0)*B300)</f>
        <v>0</v>
      </c>
      <c r="Q300" s="213">
        <f t="shared" si="208"/>
        <v>0</v>
      </c>
      <c r="R300" s="14">
        <f t="shared" ca="1" si="209"/>
        <v>0</v>
      </c>
      <c r="S300" s="14">
        <f t="shared" ca="1" si="210"/>
        <v>0</v>
      </c>
      <c r="T300" s="14">
        <f>IFERROR(IF(WoP_Flag="Y",IF(fq=1,VLOOKUP(ppt*fq-H300,Charges!$AN$41:$AO$59,2,FALSE),IF(fq=2,VLOOKUP(ppt*fq-G300,Charges!$AP$41:$AQ$79,2,FALSE),VLOOKUP(ppt*fq-D300,Charges!$AR$41:$AS$279,2,FALSE)))*pr/fq,0),0)</f>
        <v>0</v>
      </c>
      <c r="U300" s="14">
        <f t="shared" ca="1" si="211"/>
        <v>0</v>
      </c>
      <c r="V300" s="34">
        <f>ROUND(MIN(IF(H300&gt;=7,Charges!$C$12*(1+Charges!$C$14)^((H300-7+1)),VLOOKUP(H300,Charges!$B$7:$C$12,2,0))*pr,Charges!$C$13)*B300,Round)</f>
        <v>0</v>
      </c>
      <c r="W300" s="14">
        <f t="shared" ca="1" si="212"/>
        <v>0</v>
      </c>
      <c r="X300" s="14">
        <f t="shared" ca="1" si="213"/>
        <v>0</v>
      </c>
      <c r="Y300" s="213">
        <f t="shared" ca="1" si="237"/>
        <v>0</v>
      </c>
      <c r="Z300" s="14">
        <f t="shared" ca="1" si="214"/>
        <v>0</v>
      </c>
      <c r="AA300" s="14">
        <f>IF(AND($H300=pt,$F300=11),SUM($K$7:K300)*VLOOKUP(pt,ROC,2,FALSE),0)</f>
        <v>0</v>
      </c>
      <c r="AB300" s="14">
        <f>IF(AND($H300=pt,$F300=11),SUM($V$7:V300)*VLOOKUP(pt,ROC,2,FALSE),0)</f>
        <v>0</v>
      </c>
      <c r="AC300" s="14">
        <f>IF(AND($H300=pt,$F300=11),SUM($Q$7:Q300)*VLOOKUP(pt,ROC,2,FALSE),0)</f>
        <v>0</v>
      </c>
      <c r="AD300" s="14">
        <f t="shared" ca="1" si="215"/>
        <v>0</v>
      </c>
      <c r="AE300" s="14">
        <f ca="1">(MAX(sa-CF299*Flag_UL_Type,105%*SUM($I$7:I300),Z300)+AU300)*B300</f>
        <v>0</v>
      </c>
      <c r="AF300" s="136"/>
      <c r="AG300" s="18">
        <v>294</v>
      </c>
      <c r="AH300" s="30">
        <f t="shared" ca="1" si="216"/>
        <v>0</v>
      </c>
      <c r="AI300" s="58"/>
      <c r="AJ300" s="50">
        <f>IF(AND(Option_Sys_TopUp&gt;="Y",H300&gt;=sytp,H300&lt;=(dtp+sytp-1),F300=0,H300&lt;=ppt+1),atp,0)+IFERROR(VLOOKUP(H300,Input!$B$55:$C$61,2,0),0)*(F300=0)*(Option_TopUP="Y")*(Option_Sys_TopUp="N")*B300*(pt&gt;=H300+5)</f>
        <v>0</v>
      </c>
      <c r="AK300" s="50">
        <f t="shared" si="217"/>
        <v>0</v>
      </c>
      <c r="AL300" s="50">
        <f t="shared" si="238"/>
        <v>0</v>
      </c>
      <c r="AM300" s="50">
        <f t="shared" ca="1" si="239"/>
        <v>0</v>
      </c>
      <c r="AN300" s="50">
        <f>IF(B300=0,0,AT300*(_rpm1+(1+_emr1)*VLOOKUP(E300,Tab_Mort_Charge,IF(Input!$C$12="M",2,3),0))*(0.001*0.0833)*Flag_Mort_Rider_Charge*(AT300&gt;0))</f>
        <v>0</v>
      </c>
      <c r="AO300" s="50">
        <f t="shared" ca="1" si="218"/>
        <v>0</v>
      </c>
      <c r="AP300" s="50">
        <f t="shared" ca="1" si="245"/>
        <v>0</v>
      </c>
      <c r="AQ300" s="50">
        <f t="shared" ca="1" si="219"/>
        <v>0</v>
      </c>
      <c r="AR300" s="50">
        <f t="shared" ca="1" si="220"/>
        <v>0</v>
      </c>
      <c r="AS300" s="50">
        <f t="shared" si="221"/>
        <v>0</v>
      </c>
      <c r="AT300" s="50">
        <f ca="1">(MAX((MAX(AS300,105%*SUM($AJ$7:AJ300))-AM300*Flag_UL_Type),0)*B300)</f>
        <v>0</v>
      </c>
      <c r="AU300" s="50">
        <f ca="1">(MAX(AS300,AR300,105%*SUM($AJ$7:AJ300))*B300)</f>
        <v>0</v>
      </c>
      <c r="AV300" s="125"/>
      <c r="AW300" s="13"/>
      <c r="AX300" s="13"/>
      <c r="AY300" s="13"/>
      <c r="AZ300" s="13"/>
      <c r="BA300" s="13"/>
      <c r="BG300" s="51">
        <f t="shared" si="222"/>
        <v>0</v>
      </c>
      <c r="BH300" s="51">
        <f t="shared" si="223"/>
        <v>0</v>
      </c>
      <c r="BI300" s="51">
        <f t="shared" ca="1" si="224"/>
        <v>0</v>
      </c>
      <c r="BJ300" s="51">
        <f t="shared" ca="1" si="225"/>
        <v>0</v>
      </c>
      <c r="BK300" s="51">
        <f t="shared" si="226"/>
        <v>0</v>
      </c>
      <c r="BL300" s="51">
        <f t="shared" ca="1" si="227"/>
        <v>0</v>
      </c>
      <c r="BM300" s="51">
        <f t="shared" si="228"/>
        <v>0</v>
      </c>
      <c r="BN300" s="51">
        <f t="shared" si="229"/>
        <v>0</v>
      </c>
      <c r="BO300" s="51">
        <f t="shared" ca="1" si="230"/>
        <v>0</v>
      </c>
      <c r="BP300" s="51">
        <f t="shared" ca="1" si="231"/>
        <v>0</v>
      </c>
      <c r="BQ300" s="120"/>
      <c r="BR300" s="32"/>
      <c r="BS300" s="126"/>
      <c r="BT300" s="16"/>
      <c r="BU300" s="58"/>
      <c r="BW300" s="51">
        <f>IF(Input!$C$13="Offline",VLOOKUP(H300,Charges!$AT$4:$AU$33,2,FALSE)*I300,0)</f>
        <v>0</v>
      </c>
      <c r="BX300" s="51">
        <f t="shared" si="232"/>
        <v>0</v>
      </c>
      <c r="BY300" s="51">
        <f t="shared" si="240"/>
        <v>0</v>
      </c>
      <c r="BZ300" s="151"/>
      <c r="CA300" s="151"/>
      <c r="CB300" s="32"/>
      <c r="CC300" s="16">
        <f ca="1">SUM($N$7:$N300)</f>
        <v>0</v>
      </c>
      <c r="CD300" s="16">
        <f t="shared" ca="1" si="233"/>
        <v>0</v>
      </c>
      <c r="CE300" s="16">
        <f t="shared" ca="1" si="234"/>
        <v>0</v>
      </c>
      <c r="CF300" s="7">
        <f t="shared" ca="1" si="235"/>
        <v>0</v>
      </c>
      <c r="CH300" s="7">
        <f t="shared" ca="1" si="236"/>
        <v>0</v>
      </c>
    </row>
    <row r="301" spans="2:86" s="7" customFormat="1" x14ac:dyDescent="0.2">
      <c r="B301" s="14">
        <f t="shared" si="200"/>
        <v>0</v>
      </c>
      <c r="C301" s="12">
        <f t="shared" si="201"/>
        <v>0</v>
      </c>
      <c r="D301" s="17">
        <f t="shared" si="241"/>
        <v>295</v>
      </c>
      <c r="E301" s="17">
        <f t="shared" ca="1" si="202"/>
        <v>84</v>
      </c>
      <c r="F301" s="12">
        <f t="shared" si="243"/>
        <v>6</v>
      </c>
      <c r="G301" s="12">
        <f t="shared" si="242"/>
        <v>50</v>
      </c>
      <c r="H301" s="17">
        <f t="shared" si="244"/>
        <v>25</v>
      </c>
      <c r="I301" s="29">
        <f t="shared" si="203"/>
        <v>0</v>
      </c>
      <c r="J301" s="211">
        <f>IFERROR(VLOOKUP(H301,Charges!$T$6:$U$35,2,0)*C301,0)</f>
        <v>0</v>
      </c>
      <c r="K301" s="29">
        <f t="shared" si="204"/>
        <v>0</v>
      </c>
      <c r="L301" s="29">
        <f t="shared" si="205"/>
        <v>0</v>
      </c>
      <c r="M301" s="147">
        <f t="shared" ca="1" si="206"/>
        <v>0</v>
      </c>
      <c r="N301" s="148">
        <f ca="1">IF(AND(Option_SPW="Y",H301&gt;=Lock_In_Period,Z300&gt;SPW_Amount_pa+IF(option="Single",1/5*pr,2*pr),H301&gt;=SPW_Start_Year,H301&lt;=SPW_Start_Year+SPW_Duration-1,age+H301&gt;=Legal_Age),IF(AND(F301=0,SPW_Payout_Freq=1),SPW_Amount_pa,IF(AND(SPW_Payout_Freq=2,MOD(F301,6)=0),SPW_Amount_pa/SPW_Payout_Freq,IF(AND(SPW_Payout_Freq=4,MOD(F301,3)=0),SPW_Amount_pa/SPW_Payout_Freq,IF(SPW_Payout_Freq=12,SPW_Amount_pa/SPW_Payout_Freq,0)))),0)+IFERROR(VLOOKUP(H301,Input!$B$68:$C$74,2,0),0)*(F301=0)*(Option_PW="Y")*(Option_SPW="N")*(age+H301&gt;=Legal_Age)</f>
        <v>0</v>
      </c>
      <c r="O301" s="148">
        <f t="shared" ca="1" si="207"/>
        <v>0</v>
      </c>
      <c r="P301" s="14">
        <f ca="1">(MAX(MAX(sa-CF300*Flag_UL_Type,105%*SUM($I$7:I301))-(AD300+L301-N301)*Flag_UL_Type,0)*B301)</f>
        <v>0</v>
      </c>
      <c r="Q301" s="213">
        <f t="shared" si="208"/>
        <v>0</v>
      </c>
      <c r="R301" s="14">
        <f t="shared" ca="1" si="209"/>
        <v>0</v>
      </c>
      <c r="S301" s="14">
        <f t="shared" ca="1" si="210"/>
        <v>0</v>
      </c>
      <c r="T301" s="14">
        <f>IFERROR(IF(WoP_Flag="Y",IF(fq=1,VLOOKUP(ppt*fq-H301,Charges!$AN$41:$AO$59,2,FALSE),IF(fq=2,VLOOKUP(ppt*fq-G301,Charges!$AP$41:$AQ$79,2,FALSE),VLOOKUP(ppt*fq-D301,Charges!$AR$41:$AS$279,2,FALSE)))*pr/fq,0),0)</f>
        <v>0</v>
      </c>
      <c r="U301" s="14">
        <f t="shared" ca="1" si="211"/>
        <v>0</v>
      </c>
      <c r="V301" s="34">
        <f>ROUND(MIN(IF(H301&gt;=7,Charges!$C$12*(1+Charges!$C$14)^((H301-7+1)),VLOOKUP(H301,Charges!$B$7:$C$12,2,0))*pr,Charges!$C$13)*B301,Round)</f>
        <v>0</v>
      </c>
      <c r="W301" s="14">
        <f t="shared" ca="1" si="212"/>
        <v>0</v>
      </c>
      <c r="X301" s="14">
        <f t="shared" ca="1" si="213"/>
        <v>0</v>
      </c>
      <c r="Y301" s="213">
        <f t="shared" ca="1" si="237"/>
        <v>0</v>
      </c>
      <c r="Z301" s="14">
        <f t="shared" ca="1" si="214"/>
        <v>0</v>
      </c>
      <c r="AA301" s="14">
        <f>IF(AND($H301=pt,$F301=11),SUM($K$7:K301)*VLOOKUP(pt,ROC,2,FALSE),0)</f>
        <v>0</v>
      </c>
      <c r="AB301" s="14">
        <f>IF(AND($H301=pt,$F301=11),SUM($V$7:V301)*VLOOKUP(pt,ROC,2,FALSE),0)</f>
        <v>0</v>
      </c>
      <c r="AC301" s="14">
        <f>IF(AND($H301=pt,$F301=11),SUM($Q$7:Q301)*VLOOKUP(pt,ROC,2,FALSE),0)</f>
        <v>0</v>
      </c>
      <c r="AD301" s="14">
        <f t="shared" ca="1" si="215"/>
        <v>0</v>
      </c>
      <c r="AE301" s="14">
        <f ca="1">(MAX(sa-CF300*Flag_UL_Type,105%*SUM($I$7:I301),Z301)+AU301)*B301</f>
        <v>0</v>
      </c>
      <c r="AF301" s="136"/>
      <c r="AG301" s="18">
        <v>295</v>
      </c>
      <c r="AH301" s="30">
        <f t="shared" ca="1" si="216"/>
        <v>0</v>
      </c>
      <c r="AI301" s="58"/>
      <c r="AJ301" s="50">
        <f>IF(AND(Option_Sys_TopUp&gt;="Y",H301&gt;=sytp,H301&lt;=(dtp+sytp-1),F301=0,H301&lt;=ppt+1),atp,0)+IFERROR(VLOOKUP(H301,Input!$B$55:$C$61,2,0),0)*(F301=0)*(Option_TopUP="Y")*(Option_Sys_TopUp="N")*B301*(pt&gt;=H301+5)</f>
        <v>0</v>
      </c>
      <c r="AK301" s="50">
        <f t="shared" si="217"/>
        <v>0</v>
      </c>
      <c r="AL301" s="50">
        <f t="shared" si="238"/>
        <v>0</v>
      </c>
      <c r="AM301" s="50">
        <f t="shared" ca="1" si="239"/>
        <v>0</v>
      </c>
      <c r="AN301" s="50">
        <f>IF(B301=0,0,AT301*(_rpm1+(1+_emr1)*VLOOKUP(E301,Tab_Mort_Charge,IF(Input!$C$12="M",2,3),0))*(0.001*0.0833)*Flag_Mort_Rider_Charge*(AT301&gt;0))</f>
        <v>0</v>
      </c>
      <c r="AO301" s="50">
        <f t="shared" ca="1" si="218"/>
        <v>0</v>
      </c>
      <c r="AP301" s="50">
        <f t="shared" ca="1" si="245"/>
        <v>0</v>
      </c>
      <c r="AQ301" s="50">
        <f t="shared" ca="1" si="219"/>
        <v>0</v>
      </c>
      <c r="AR301" s="50">
        <f t="shared" ca="1" si="220"/>
        <v>0</v>
      </c>
      <c r="AS301" s="50">
        <f t="shared" si="221"/>
        <v>0</v>
      </c>
      <c r="AT301" s="50">
        <f ca="1">(MAX((MAX(AS301,105%*SUM($AJ$7:AJ301))-AM301*Flag_UL_Type),0)*B301)</f>
        <v>0</v>
      </c>
      <c r="AU301" s="50">
        <f ca="1">(MAX(AS301,AR301,105%*SUM($AJ$7:AJ301))*B301)</f>
        <v>0</v>
      </c>
      <c r="AV301" s="125"/>
      <c r="AW301" s="13"/>
      <c r="AX301" s="13"/>
      <c r="AY301" s="13"/>
      <c r="AZ301" s="13"/>
      <c r="BA301" s="13"/>
      <c r="BG301" s="51">
        <f t="shared" si="222"/>
        <v>0</v>
      </c>
      <c r="BH301" s="51">
        <f t="shared" si="223"/>
        <v>0</v>
      </c>
      <c r="BI301" s="51">
        <f t="shared" ca="1" si="224"/>
        <v>0</v>
      </c>
      <c r="BJ301" s="51">
        <f t="shared" ca="1" si="225"/>
        <v>0</v>
      </c>
      <c r="BK301" s="51">
        <f t="shared" si="226"/>
        <v>0</v>
      </c>
      <c r="BL301" s="51">
        <f t="shared" ca="1" si="227"/>
        <v>0</v>
      </c>
      <c r="BM301" s="51">
        <f t="shared" si="228"/>
        <v>0</v>
      </c>
      <c r="BN301" s="51">
        <f t="shared" si="229"/>
        <v>0</v>
      </c>
      <c r="BO301" s="51">
        <f t="shared" ca="1" si="230"/>
        <v>0</v>
      </c>
      <c r="BP301" s="51">
        <f t="shared" ca="1" si="231"/>
        <v>0</v>
      </c>
      <c r="BQ301" s="120"/>
      <c r="BR301" s="32"/>
      <c r="BS301" s="126"/>
      <c r="BT301" s="16"/>
      <c r="BU301" s="58"/>
      <c r="BW301" s="51">
        <f>IF(Input!$C$13="Offline",VLOOKUP(H301,Charges!$AT$4:$AU$33,2,FALSE)*I301,0)</f>
        <v>0</v>
      </c>
      <c r="BX301" s="51">
        <f t="shared" si="232"/>
        <v>0</v>
      </c>
      <c r="BY301" s="51">
        <f t="shared" si="240"/>
        <v>0</v>
      </c>
      <c r="BZ301" s="151"/>
      <c r="CA301" s="151"/>
      <c r="CB301" s="32"/>
      <c r="CC301" s="16">
        <f ca="1">SUM($N$7:$N301)</f>
        <v>0</v>
      </c>
      <c r="CD301" s="16">
        <f t="shared" ca="1" si="233"/>
        <v>0</v>
      </c>
      <c r="CE301" s="16">
        <f t="shared" ca="1" si="234"/>
        <v>0</v>
      </c>
      <c r="CF301" s="7">
        <f t="shared" ca="1" si="235"/>
        <v>0</v>
      </c>
      <c r="CH301" s="7">
        <f t="shared" ca="1" si="236"/>
        <v>0</v>
      </c>
    </row>
    <row r="302" spans="2:86" s="7" customFormat="1" x14ac:dyDescent="0.2">
      <c r="B302" s="14">
        <f t="shared" si="200"/>
        <v>0</v>
      </c>
      <c r="C302" s="12">
        <f t="shared" si="201"/>
        <v>0</v>
      </c>
      <c r="D302" s="17">
        <f t="shared" si="241"/>
        <v>296</v>
      </c>
      <c r="E302" s="17">
        <f t="shared" ca="1" si="202"/>
        <v>84</v>
      </c>
      <c r="F302" s="12">
        <f t="shared" si="243"/>
        <v>7</v>
      </c>
      <c r="G302" s="12">
        <f t="shared" si="242"/>
        <v>50</v>
      </c>
      <c r="H302" s="17">
        <f t="shared" si="244"/>
        <v>25</v>
      </c>
      <c r="I302" s="29">
        <f t="shared" si="203"/>
        <v>0</v>
      </c>
      <c r="J302" s="211">
        <f>IFERROR(VLOOKUP(H302,Charges!$T$6:$U$35,2,0)*C302,0)</f>
        <v>0</v>
      </c>
      <c r="K302" s="29">
        <f t="shared" si="204"/>
        <v>0</v>
      </c>
      <c r="L302" s="29">
        <f t="shared" si="205"/>
        <v>0</v>
      </c>
      <c r="M302" s="147">
        <f t="shared" ca="1" si="206"/>
        <v>0</v>
      </c>
      <c r="N302" s="148">
        <f ca="1">IF(AND(Option_SPW="Y",H302&gt;=Lock_In_Period,Z301&gt;SPW_Amount_pa+IF(option="Single",1/5*pr,2*pr),H302&gt;=SPW_Start_Year,H302&lt;=SPW_Start_Year+SPW_Duration-1,age+H302&gt;=Legal_Age),IF(AND(F302=0,SPW_Payout_Freq=1),SPW_Amount_pa,IF(AND(SPW_Payout_Freq=2,MOD(F302,6)=0),SPW_Amount_pa/SPW_Payout_Freq,IF(AND(SPW_Payout_Freq=4,MOD(F302,3)=0),SPW_Amount_pa/SPW_Payout_Freq,IF(SPW_Payout_Freq=12,SPW_Amount_pa/SPW_Payout_Freq,0)))),0)+IFERROR(VLOOKUP(H302,Input!$B$68:$C$74,2,0),0)*(F302=0)*(Option_PW="Y")*(Option_SPW="N")*(age+H302&gt;=Legal_Age)</f>
        <v>0</v>
      </c>
      <c r="O302" s="148">
        <f t="shared" ca="1" si="207"/>
        <v>0</v>
      </c>
      <c r="P302" s="14">
        <f ca="1">(MAX(MAX(sa-CF301*Flag_UL_Type,105%*SUM($I$7:I302))-(AD301+L302-N302)*Flag_UL_Type,0)*B302)</f>
        <v>0</v>
      </c>
      <c r="Q302" s="213">
        <f t="shared" si="208"/>
        <v>0</v>
      </c>
      <c r="R302" s="14">
        <f t="shared" ca="1" si="209"/>
        <v>0</v>
      </c>
      <c r="S302" s="14">
        <f t="shared" ca="1" si="210"/>
        <v>0</v>
      </c>
      <c r="T302" s="14">
        <f>IFERROR(IF(WoP_Flag="Y",IF(fq=1,VLOOKUP(ppt*fq-H302,Charges!$AN$41:$AO$59,2,FALSE),IF(fq=2,VLOOKUP(ppt*fq-G302,Charges!$AP$41:$AQ$79,2,FALSE),VLOOKUP(ppt*fq-D302,Charges!$AR$41:$AS$279,2,FALSE)))*pr/fq,0),0)</f>
        <v>0</v>
      </c>
      <c r="U302" s="14">
        <f t="shared" ca="1" si="211"/>
        <v>0</v>
      </c>
      <c r="V302" s="34">
        <f>ROUND(MIN(IF(H302&gt;=7,Charges!$C$12*(1+Charges!$C$14)^((H302-7+1)),VLOOKUP(H302,Charges!$B$7:$C$12,2,0))*pr,Charges!$C$13)*B302,Round)</f>
        <v>0</v>
      </c>
      <c r="W302" s="14">
        <f t="shared" ca="1" si="212"/>
        <v>0</v>
      </c>
      <c r="X302" s="14">
        <f t="shared" ca="1" si="213"/>
        <v>0</v>
      </c>
      <c r="Y302" s="213">
        <f t="shared" ca="1" si="237"/>
        <v>0</v>
      </c>
      <c r="Z302" s="14">
        <f t="shared" ca="1" si="214"/>
        <v>0</v>
      </c>
      <c r="AA302" s="14">
        <f>IF(AND($H302=pt,$F302=11),SUM($K$7:K302)*VLOOKUP(pt,ROC,2,FALSE),0)</f>
        <v>0</v>
      </c>
      <c r="AB302" s="14">
        <f>IF(AND($H302=pt,$F302=11),SUM($V$7:V302)*VLOOKUP(pt,ROC,2,FALSE),0)</f>
        <v>0</v>
      </c>
      <c r="AC302" s="14">
        <f>IF(AND($H302=pt,$F302=11),SUM($Q$7:Q302)*VLOOKUP(pt,ROC,2,FALSE),0)</f>
        <v>0</v>
      </c>
      <c r="AD302" s="14">
        <f t="shared" ca="1" si="215"/>
        <v>0</v>
      </c>
      <c r="AE302" s="14">
        <f ca="1">(MAX(sa-CF301*Flag_UL_Type,105%*SUM($I$7:I302),Z302)+AU302)*B302</f>
        <v>0</v>
      </c>
      <c r="AF302" s="136"/>
      <c r="AG302" s="18">
        <v>296</v>
      </c>
      <c r="AH302" s="30">
        <f t="shared" ca="1" si="216"/>
        <v>0</v>
      </c>
      <c r="AI302" s="58"/>
      <c r="AJ302" s="50">
        <f>IF(AND(Option_Sys_TopUp&gt;="Y",H302&gt;=sytp,H302&lt;=(dtp+sytp-1),F302=0,H302&lt;=ppt+1),atp,0)+IFERROR(VLOOKUP(H302,Input!$B$55:$C$61,2,0),0)*(F302=0)*(Option_TopUP="Y")*(Option_Sys_TopUp="N")*B302*(pt&gt;=H302+5)</f>
        <v>0</v>
      </c>
      <c r="AK302" s="50">
        <f t="shared" si="217"/>
        <v>0</v>
      </c>
      <c r="AL302" s="50">
        <f t="shared" si="238"/>
        <v>0</v>
      </c>
      <c r="AM302" s="50">
        <f t="shared" ca="1" si="239"/>
        <v>0</v>
      </c>
      <c r="AN302" s="50">
        <f>IF(B302=0,0,AT302*(_rpm1+(1+_emr1)*VLOOKUP(E302,Tab_Mort_Charge,IF(Input!$C$12="M",2,3),0))*(0.001*0.0833)*Flag_Mort_Rider_Charge*(AT302&gt;0))</f>
        <v>0</v>
      </c>
      <c r="AO302" s="50">
        <f t="shared" ca="1" si="218"/>
        <v>0</v>
      </c>
      <c r="AP302" s="50">
        <f t="shared" ca="1" si="245"/>
        <v>0</v>
      </c>
      <c r="AQ302" s="50">
        <f t="shared" ca="1" si="219"/>
        <v>0</v>
      </c>
      <c r="AR302" s="50">
        <f t="shared" ca="1" si="220"/>
        <v>0</v>
      </c>
      <c r="AS302" s="50">
        <f t="shared" si="221"/>
        <v>0</v>
      </c>
      <c r="AT302" s="50">
        <f ca="1">(MAX((MAX(AS302,105%*SUM($AJ$7:AJ302))-AM302*Flag_UL_Type),0)*B302)</f>
        <v>0</v>
      </c>
      <c r="AU302" s="50">
        <f ca="1">(MAX(AS302,AR302,105%*SUM($AJ$7:AJ302))*B302)</f>
        <v>0</v>
      </c>
      <c r="AV302" s="125"/>
      <c r="AW302" s="13"/>
      <c r="AX302" s="13"/>
      <c r="AY302" s="13"/>
      <c r="AZ302" s="13"/>
      <c r="BA302" s="13"/>
      <c r="BG302" s="51">
        <f t="shared" si="222"/>
        <v>0</v>
      </c>
      <c r="BH302" s="51">
        <f t="shared" si="223"/>
        <v>0</v>
      </c>
      <c r="BI302" s="51">
        <f t="shared" ca="1" si="224"/>
        <v>0</v>
      </c>
      <c r="BJ302" s="51">
        <f t="shared" ca="1" si="225"/>
        <v>0</v>
      </c>
      <c r="BK302" s="51">
        <f t="shared" si="226"/>
        <v>0</v>
      </c>
      <c r="BL302" s="51">
        <f t="shared" ca="1" si="227"/>
        <v>0</v>
      </c>
      <c r="BM302" s="51">
        <f t="shared" si="228"/>
        <v>0</v>
      </c>
      <c r="BN302" s="51">
        <f t="shared" si="229"/>
        <v>0</v>
      </c>
      <c r="BO302" s="51">
        <f t="shared" ca="1" si="230"/>
        <v>0</v>
      </c>
      <c r="BP302" s="51">
        <f t="shared" ca="1" si="231"/>
        <v>0</v>
      </c>
      <c r="BQ302" s="120"/>
      <c r="BR302" s="32"/>
      <c r="BS302" s="126"/>
      <c r="BT302" s="16"/>
      <c r="BU302" s="58"/>
      <c r="BW302" s="51">
        <f>IF(Input!$C$13="Offline",VLOOKUP(H302,Charges!$AT$4:$AU$33,2,FALSE)*I302,0)</f>
        <v>0</v>
      </c>
      <c r="BX302" s="51">
        <f t="shared" si="232"/>
        <v>0</v>
      </c>
      <c r="BY302" s="51">
        <f t="shared" si="240"/>
        <v>0</v>
      </c>
      <c r="BZ302" s="151"/>
      <c r="CA302" s="151"/>
      <c r="CB302" s="32"/>
      <c r="CC302" s="16">
        <f ca="1">SUM($N$7:$N302)</f>
        <v>0</v>
      </c>
      <c r="CD302" s="16">
        <f t="shared" ca="1" si="233"/>
        <v>0</v>
      </c>
      <c r="CE302" s="16">
        <f t="shared" ca="1" si="234"/>
        <v>0</v>
      </c>
      <c r="CF302" s="7">
        <f t="shared" ca="1" si="235"/>
        <v>0</v>
      </c>
      <c r="CH302" s="7">
        <f t="shared" ca="1" si="236"/>
        <v>0</v>
      </c>
    </row>
    <row r="303" spans="2:86" s="7" customFormat="1" x14ac:dyDescent="0.2">
      <c r="B303" s="14">
        <f t="shared" si="200"/>
        <v>0</v>
      </c>
      <c r="C303" s="12">
        <f t="shared" si="201"/>
        <v>0</v>
      </c>
      <c r="D303" s="17">
        <f t="shared" si="241"/>
        <v>297</v>
      </c>
      <c r="E303" s="17">
        <f t="shared" ca="1" si="202"/>
        <v>84</v>
      </c>
      <c r="F303" s="12">
        <f t="shared" si="243"/>
        <v>8</v>
      </c>
      <c r="G303" s="12">
        <f t="shared" si="242"/>
        <v>50</v>
      </c>
      <c r="H303" s="17">
        <f t="shared" si="244"/>
        <v>25</v>
      </c>
      <c r="I303" s="29">
        <f t="shared" si="203"/>
        <v>0</v>
      </c>
      <c r="J303" s="211">
        <f>IFERROR(VLOOKUP(H303,Charges!$T$6:$U$35,2,0)*C303,0)</f>
        <v>0</v>
      </c>
      <c r="K303" s="29">
        <f t="shared" si="204"/>
        <v>0</v>
      </c>
      <c r="L303" s="29">
        <f t="shared" si="205"/>
        <v>0</v>
      </c>
      <c r="M303" s="147">
        <f t="shared" ca="1" si="206"/>
        <v>0</v>
      </c>
      <c r="N303" s="148">
        <f ca="1">IF(AND(Option_SPW="Y",H303&gt;=Lock_In_Period,Z302&gt;SPW_Amount_pa+IF(option="Single",1/5*pr,2*pr),H303&gt;=SPW_Start_Year,H303&lt;=SPW_Start_Year+SPW_Duration-1,age+H303&gt;=Legal_Age),IF(AND(F303=0,SPW_Payout_Freq=1),SPW_Amount_pa,IF(AND(SPW_Payout_Freq=2,MOD(F303,6)=0),SPW_Amount_pa/SPW_Payout_Freq,IF(AND(SPW_Payout_Freq=4,MOD(F303,3)=0),SPW_Amount_pa/SPW_Payout_Freq,IF(SPW_Payout_Freq=12,SPW_Amount_pa/SPW_Payout_Freq,0)))),0)+IFERROR(VLOOKUP(H303,Input!$B$68:$C$74,2,0),0)*(F303=0)*(Option_PW="Y")*(Option_SPW="N")*(age+H303&gt;=Legal_Age)</f>
        <v>0</v>
      </c>
      <c r="O303" s="148">
        <f t="shared" ca="1" si="207"/>
        <v>0</v>
      </c>
      <c r="P303" s="14">
        <f ca="1">(MAX(MAX(sa-CF302*Flag_UL_Type,105%*SUM($I$7:I303))-(AD302+L303-N303)*Flag_UL_Type,0)*B303)</f>
        <v>0</v>
      </c>
      <c r="Q303" s="213">
        <f t="shared" si="208"/>
        <v>0</v>
      </c>
      <c r="R303" s="14">
        <f t="shared" ca="1" si="209"/>
        <v>0</v>
      </c>
      <c r="S303" s="14">
        <f t="shared" ca="1" si="210"/>
        <v>0</v>
      </c>
      <c r="T303" s="14">
        <f>IFERROR(IF(WoP_Flag="Y",IF(fq=1,VLOOKUP(ppt*fq-H303,Charges!$AN$41:$AO$59,2,FALSE),IF(fq=2,VLOOKUP(ppt*fq-G303,Charges!$AP$41:$AQ$79,2,FALSE),VLOOKUP(ppt*fq-D303,Charges!$AR$41:$AS$279,2,FALSE)))*pr/fq,0),0)</f>
        <v>0</v>
      </c>
      <c r="U303" s="14">
        <f t="shared" ca="1" si="211"/>
        <v>0</v>
      </c>
      <c r="V303" s="34">
        <f>ROUND(MIN(IF(H303&gt;=7,Charges!$C$12*(1+Charges!$C$14)^((H303-7+1)),VLOOKUP(H303,Charges!$B$7:$C$12,2,0))*pr,Charges!$C$13)*B303,Round)</f>
        <v>0</v>
      </c>
      <c r="W303" s="14">
        <f t="shared" ca="1" si="212"/>
        <v>0</v>
      </c>
      <c r="X303" s="14">
        <f t="shared" ca="1" si="213"/>
        <v>0</v>
      </c>
      <c r="Y303" s="213">
        <f t="shared" ca="1" si="237"/>
        <v>0</v>
      </c>
      <c r="Z303" s="14">
        <f t="shared" ca="1" si="214"/>
        <v>0</v>
      </c>
      <c r="AA303" s="14">
        <f>IF(AND($H303=pt,$F303=11),SUM($K$7:K303)*VLOOKUP(pt,ROC,2,FALSE),0)</f>
        <v>0</v>
      </c>
      <c r="AB303" s="14">
        <f>IF(AND($H303=pt,$F303=11),SUM($V$7:V303)*VLOOKUP(pt,ROC,2,FALSE),0)</f>
        <v>0</v>
      </c>
      <c r="AC303" s="14">
        <f>IF(AND($H303=pt,$F303=11),SUM($Q$7:Q303)*VLOOKUP(pt,ROC,2,FALSE),0)</f>
        <v>0</v>
      </c>
      <c r="AD303" s="14">
        <f t="shared" ca="1" si="215"/>
        <v>0</v>
      </c>
      <c r="AE303" s="14">
        <f ca="1">(MAX(sa-CF302*Flag_UL_Type,105%*SUM($I$7:I303),Z303)+AU303)*B303</f>
        <v>0</v>
      </c>
      <c r="AF303" s="136"/>
      <c r="AG303" s="18">
        <v>297</v>
      </c>
      <c r="AH303" s="30">
        <f t="shared" ca="1" si="216"/>
        <v>0</v>
      </c>
      <c r="AI303" s="58"/>
      <c r="AJ303" s="50">
        <f>IF(AND(Option_Sys_TopUp&gt;="Y",H303&gt;=sytp,H303&lt;=(dtp+sytp-1),F303=0,H303&lt;=ppt+1),atp,0)+IFERROR(VLOOKUP(H303,Input!$B$55:$C$61,2,0),0)*(F303=0)*(Option_TopUP="Y")*(Option_Sys_TopUp="N")*B303*(pt&gt;=H303+5)</f>
        <v>0</v>
      </c>
      <c r="AK303" s="50">
        <f t="shared" si="217"/>
        <v>0</v>
      </c>
      <c r="AL303" s="50">
        <f t="shared" si="238"/>
        <v>0</v>
      </c>
      <c r="AM303" s="50">
        <f t="shared" ca="1" si="239"/>
        <v>0</v>
      </c>
      <c r="AN303" s="50">
        <f>IF(B303=0,0,AT303*(_rpm1+(1+_emr1)*VLOOKUP(E303,Tab_Mort_Charge,IF(Input!$C$12="M",2,3),0))*(0.001*0.0833)*Flag_Mort_Rider_Charge*(AT303&gt;0))</f>
        <v>0</v>
      </c>
      <c r="AO303" s="50">
        <f t="shared" ca="1" si="218"/>
        <v>0</v>
      </c>
      <c r="AP303" s="50">
        <f t="shared" ca="1" si="245"/>
        <v>0</v>
      </c>
      <c r="AQ303" s="50">
        <f t="shared" ca="1" si="219"/>
        <v>0</v>
      </c>
      <c r="AR303" s="50">
        <f t="shared" ca="1" si="220"/>
        <v>0</v>
      </c>
      <c r="AS303" s="50">
        <f t="shared" si="221"/>
        <v>0</v>
      </c>
      <c r="AT303" s="50">
        <f ca="1">(MAX((MAX(AS303,105%*SUM($AJ$7:AJ303))-AM303*Flag_UL_Type),0)*B303)</f>
        <v>0</v>
      </c>
      <c r="AU303" s="50">
        <f ca="1">(MAX(AS303,AR303,105%*SUM($AJ$7:AJ303))*B303)</f>
        <v>0</v>
      </c>
      <c r="AV303" s="125"/>
      <c r="AW303" s="13"/>
      <c r="AX303" s="13"/>
      <c r="AY303" s="13"/>
      <c r="AZ303" s="13"/>
      <c r="BA303" s="13"/>
      <c r="BG303" s="51">
        <f t="shared" si="222"/>
        <v>0</v>
      </c>
      <c r="BH303" s="51">
        <f t="shared" si="223"/>
        <v>0</v>
      </c>
      <c r="BI303" s="51">
        <f t="shared" ca="1" si="224"/>
        <v>0</v>
      </c>
      <c r="BJ303" s="51">
        <f t="shared" ca="1" si="225"/>
        <v>0</v>
      </c>
      <c r="BK303" s="51">
        <f t="shared" si="226"/>
        <v>0</v>
      </c>
      <c r="BL303" s="51">
        <f t="shared" ca="1" si="227"/>
        <v>0</v>
      </c>
      <c r="BM303" s="51">
        <f t="shared" si="228"/>
        <v>0</v>
      </c>
      <c r="BN303" s="51">
        <f t="shared" si="229"/>
        <v>0</v>
      </c>
      <c r="BO303" s="51">
        <f t="shared" ca="1" si="230"/>
        <v>0</v>
      </c>
      <c r="BP303" s="51">
        <f t="shared" ca="1" si="231"/>
        <v>0</v>
      </c>
      <c r="BQ303" s="120"/>
      <c r="BR303" s="32"/>
      <c r="BS303" s="126"/>
      <c r="BT303" s="16"/>
      <c r="BU303" s="58"/>
      <c r="BW303" s="51">
        <f>IF(Input!$C$13="Offline",VLOOKUP(H303,Charges!$AT$4:$AU$33,2,FALSE)*I303,0)</f>
        <v>0</v>
      </c>
      <c r="BX303" s="51">
        <f t="shared" si="232"/>
        <v>0</v>
      </c>
      <c r="BY303" s="51">
        <f t="shared" si="240"/>
        <v>0</v>
      </c>
      <c r="BZ303" s="151"/>
      <c r="CA303" s="151"/>
      <c r="CB303" s="32"/>
      <c r="CC303" s="16">
        <f ca="1">SUM($N$7:$N303)</f>
        <v>0</v>
      </c>
      <c r="CD303" s="16">
        <f t="shared" ca="1" si="233"/>
        <v>0</v>
      </c>
      <c r="CE303" s="16">
        <f t="shared" ca="1" si="234"/>
        <v>0</v>
      </c>
      <c r="CF303" s="7">
        <f t="shared" ca="1" si="235"/>
        <v>0</v>
      </c>
      <c r="CH303" s="7">
        <f t="shared" ca="1" si="236"/>
        <v>0</v>
      </c>
    </row>
    <row r="304" spans="2:86" s="7" customFormat="1" x14ac:dyDescent="0.2">
      <c r="B304" s="14">
        <f t="shared" si="200"/>
        <v>0</v>
      </c>
      <c r="C304" s="12">
        <f t="shared" si="201"/>
        <v>0</v>
      </c>
      <c r="D304" s="17">
        <f t="shared" si="241"/>
        <v>298</v>
      </c>
      <c r="E304" s="17">
        <f t="shared" ca="1" si="202"/>
        <v>84</v>
      </c>
      <c r="F304" s="12">
        <f t="shared" si="243"/>
        <v>9</v>
      </c>
      <c r="G304" s="12">
        <f t="shared" si="242"/>
        <v>50</v>
      </c>
      <c r="H304" s="17">
        <f t="shared" si="244"/>
        <v>25</v>
      </c>
      <c r="I304" s="29">
        <f t="shared" si="203"/>
        <v>0</v>
      </c>
      <c r="J304" s="211">
        <f>IFERROR(VLOOKUP(H304,Charges!$T$6:$U$35,2,0)*C304,0)</f>
        <v>0</v>
      </c>
      <c r="K304" s="29">
        <f t="shared" si="204"/>
        <v>0</v>
      </c>
      <c r="L304" s="29">
        <f t="shared" si="205"/>
        <v>0</v>
      </c>
      <c r="M304" s="147">
        <f t="shared" ca="1" si="206"/>
        <v>0</v>
      </c>
      <c r="N304" s="148">
        <f ca="1">IF(AND(Option_SPW="Y",H304&gt;=Lock_In_Period,Z303&gt;SPW_Amount_pa+IF(option="Single",1/5*pr,2*pr),H304&gt;=SPW_Start_Year,H304&lt;=SPW_Start_Year+SPW_Duration-1,age+H304&gt;=Legal_Age),IF(AND(F304=0,SPW_Payout_Freq=1),SPW_Amount_pa,IF(AND(SPW_Payout_Freq=2,MOD(F304,6)=0),SPW_Amount_pa/SPW_Payout_Freq,IF(AND(SPW_Payout_Freq=4,MOD(F304,3)=0),SPW_Amount_pa/SPW_Payout_Freq,IF(SPW_Payout_Freq=12,SPW_Amount_pa/SPW_Payout_Freq,0)))),0)+IFERROR(VLOOKUP(H304,Input!$B$68:$C$74,2,0),0)*(F304=0)*(Option_PW="Y")*(Option_SPW="N")*(age+H304&gt;=Legal_Age)</f>
        <v>0</v>
      </c>
      <c r="O304" s="148">
        <f t="shared" ca="1" si="207"/>
        <v>0</v>
      </c>
      <c r="P304" s="14">
        <f ca="1">(MAX(MAX(sa-CF303*Flag_UL_Type,105%*SUM($I$7:I304))-(AD303+L304-N304)*Flag_UL_Type,0)*B304)</f>
        <v>0</v>
      </c>
      <c r="Q304" s="213">
        <f t="shared" si="208"/>
        <v>0</v>
      </c>
      <c r="R304" s="14">
        <f t="shared" ca="1" si="209"/>
        <v>0</v>
      </c>
      <c r="S304" s="14">
        <f t="shared" ca="1" si="210"/>
        <v>0</v>
      </c>
      <c r="T304" s="14">
        <f>IFERROR(IF(WoP_Flag="Y",IF(fq=1,VLOOKUP(ppt*fq-H304,Charges!$AN$41:$AO$59,2,FALSE),IF(fq=2,VLOOKUP(ppt*fq-G304,Charges!$AP$41:$AQ$79,2,FALSE),VLOOKUP(ppt*fq-D304,Charges!$AR$41:$AS$279,2,FALSE)))*pr/fq,0),0)</f>
        <v>0</v>
      </c>
      <c r="U304" s="14">
        <f t="shared" ca="1" si="211"/>
        <v>0</v>
      </c>
      <c r="V304" s="34">
        <f>ROUND(MIN(IF(H304&gt;=7,Charges!$C$12*(1+Charges!$C$14)^((H304-7+1)),VLOOKUP(H304,Charges!$B$7:$C$12,2,0))*pr,Charges!$C$13)*B304,Round)</f>
        <v>0</v>
      </c>
      <c r="W304" s="14">
        <f t="shared" ca="1" si="212"/>
        <v>0</v>
      </c>
      <c r="X304" s="14">
        <f t="shared" ca="1" si="213"/>
        <v>0</v>
      </c>
      <c r="Y304" s="213">
        <f t="shared" ca="1" si="237"/>
        <v>0</v>
      </c>
      <c r="Z304" s="14">
        <f t="shared" ca="1" si="214"/>
        <v>0</v>
      </c>
      <c r="AA304" s="14">
        <f>IF(AND($H304=pt,$F304=11),SUM($K$7:K304)*VLOOKUP(pt,ROC,2,FALSE),0)</f>
        <v>0</v>
      </c>
      <c r="AB304" s="14">
        <f>IF(AND($H304=pt,$F304=11),SUM($V$7:V304)*VLOOKUP(pt,ROC,2,FALSE),0)</f>
        <v>0</v>
      </c>
      <c r="AC304" s="14">
        <f>IF(AND($H304=pt,$F304=11),SUM($Q$7:Q304)*VLOOKUP(pt,ROC,2,FALSE),0)</f>
        <v>0</v>
      </c>
      <c r="AD304" s="14">
        <f t="shared" ca="1" si="215"/>
        <v>0</v>
      </c>
      <c r="AE304" s="14">
        <f ca="1">(MAX(sa-CF303*Flag_UL_Type,105%*SUM($I$7:I304),Z304)+AU304)*B304</f>
        <v>0</v>
      </c>
      <c r="AF304" s="136"/>
      <c r="AG304" s="18">
        <v>298</v>
      </c>
      <c r="AH304" s="30">
        <f t="shared" ca="1" si="216"/>
        <v>0</v>
      </c>
      <c r="AI304" s="58"/>
      <c r="AJ304" s="50">
        <f>IF(AND(Option_Sys_TopUp&gt;="Y",H304&gt;=sytp,H304&lt;=(dtp+sytp-1),F304=0,H304&lt;=ppt+1),atp,0)+IFERROR(VLOOKUP(H304,Input!$B$55:$C$61,2,0),0)*(F304=0)*(Option_TopUP="Y")*(Option_Sys_TopUp="N")*B304*(pt&gt;=H304+5)</f>
        <v>0</v>
      </c>
      <c r="AK304" s="50">
        <f t="shared" si="217"/>
        <v>0</v>
      </c>
      <c r="AL304" s="50">
        <f t="shared" si="238"/>
        <v>0</v>
      </c>
      <c r="AM304" s="50">
        <f t="shared" ca="1" si="239"/>
        <v>0</v>
      </c>
      <c r="AN304" s="50">
        <f>IF(B304=0,0,AT304*(_rpm1+(1+_emr1)*VLOOKUP(E304,Tab_Mort_Charge,IF(Input!$C$12="M",2,3),0))*(0.001*0.0833)*Flag_Mort_Rider_Charge*(AT304&gt;0))</f>
        <v>0</v>
      </c>
      <c r="AO304" s="50">
        <f t="shared" ca="1" si="218"/>
        <v>0</v>
      </c>
      <c r="AP304" s="50">
        <f t="shared" ca="1" si="245"/>
        <v>0</v>
      </c>
      <c r="AQ304" s="50">
        <f t="shared" ca="1" si="219"/>
        <v>0</v>
      </c>
      <c r="AR304" s="50">
        <f t="shared" ca="1" si="220"/>
        <v>0</v>
      </c>
      <c r="AS304" s="50">
        <f t="shared" si="221"/>
        <v>0</v>
      </c>
      <c r="AT304" s="50">
        <f ca="1">(MAX((MAX(AS304,105%*SUM($AJ$7:AJ304))-AM304*Flag_UL_Type),0)*B304)</f>
        <v>0</v>
      </c>
      <c r="AU304" s="50">
        <f ca="1">(MAX(AS304,AR304,105%*SUM($AJ$7:AJ304))*B304)</f>
        <v>0</v>
      </c>
      <c r="AV304" s="125"/>
      <c r="AW304" s="13"/>
      <c r="AX304" s="13"/>
      <c r="AY304" s="13"/>
      <c r="AZ304" s="13"/>
      <c r="BA304" s="13"/>
      <c r="BG304" s="51">
        <f t="shared" si="222"/>
        <v>0</v>
      </c>
      <c r="BH304" s="51">
        <f t="shared" si="223"/>
        <v>0</v>
      </c>
      <c r="BI304" s="51">
        <f t="shared" ca="1" si="224"/>
        <v>0</v>
      </c>
      <c r="BJ304" s="51">
        <f t="shared" ca="1" si="225"/>
        <v>0</v>
      </c>
      <c r="BK304" s="51">
        <f t="shared" si="226"/>
        <v>0</v>
      </c>
      <c r="BL304" s="51">
        <f t="shared" ca="1" si="227"/>
        <v>0</v>
      </c>
      <c r="BM304" s="51">
        <f t="shared" si="228"/>
        <v>0</v>
      </c>
      <c r="BN304" s="51">
        <f t="shared" si="229"/>
        <v>0</v>
      </c>
      <c r="BO304" s="51">
        <f t="shared" ca="1" si="230"/>
        <v>0</v>
      </c>
      <c r="BP304" s="51">
        <f t="shared" ca="1" si="231"/>
        <v>0</v>
      </c>
      <c r="BQ304" s="120"/>
      <c r="BR304" s="32"/>
      <c r="BS304" s="126"/>
      <c r="BT304" s="16"/>
      <c r="BU304" s="58"/>
      <c r="BW304" s="51">
        <f>IF(Input!$C$13="Offline",VLOOKUP(H304,Charges!$AT$4:$AU$33,2,FALSE)*I304,0)</f>
        <v>0</v>
      </c>
      <c r="BX304" s="51">
        <f t="shared" si="232"/>
        <v>0</v>
      </c>
      <c r="BY304" s="51">
        <f t="shared" si="240"/>
        <v>0</v>
      </c>
      <c r="BZ304" s="151"/>
      <c r="CA304" s="151"/>
      <c r="CB304" s="32"/>
      <c r="CC304" s="16">
        <f ca="1">SUM($N$7:$N304)</f>
        <v>0</v>
      </c>
      <c r="CD304" s="16">
        <f t="shared" ca="1" si="233"/>
        <v>0</v>
      </c>
      <c r="CE304" s="16">
        <f t="shared" ca="1" si="234"/>
        <v>0</v>
      </c>
      <c r="CF304" s="7">
        <f t="shared" ca="1" si="235"/>
        <v>0</v>
      </c>
      <c r="CH304" s="7">
        <f t="shared" ca="1" si="236"/>
        <v>0</v>
      </c>
    </row>
    <row r="305" spans="2:86" s="7" customFormat="1" x14ac:dyDescent="0.2">
      <c r="B305" s="14">
        <f t="shared" si="200"/>
        <v>0</v>
      </c>
      <c r="C305" s="12">
        <f t="shared" si="201"/>
        <v>0</v>
      </c>
      <c r="D305" s="17">
        <f t="shared" si="241"/>
        <v>299</v>
      </c>
      <c r="E305" s="17">
        <f t="shared" ca="1" si="202"/>
        <v>84</v>
      </c>
      <c r="F305" s="12">
        <f t="shared" si="243"/>
        <v>10</v>
      </c>
      <c r="G305" s="12">
        <f t="shared" si="242"/>
        <v>50</v>
      </c>
      <c r="H305" s="17">
        <f t="shared" si="244"/>
        <v>25</v>
      </c>
      <c r="I305" s="29">
        <f t="shared" si="203"/>
        <v>0</v>
      </c>
      <c r="J305" s="211">
        <f>IFERROR(VLOOKUP(H305,Charges!$T$6:$U$35,2,0)*C305,0)</f>
        <v>0</v>
      </c>
      <c r="K305" s="29">
        <f t="shared" si="204"/>
        <v>0</v>
      </c>
      <c r="L305" s="29">
        <f t="shared" si="205"/>
        <v>0</v>
      </c>
      <c r="M305" s="147">
        <f t="shared" ca="1" si="206"/>
        <v>0</v>
      </c>
      <c r="N305" s="148">
        <f ca="1">IF(AND(Option_SPW="Y",H305&gt;=Lock_In_Period,Z304&gt;SPW_Amount_pa+IF(option="Single",1/5*pr,2*pr),H305&gt;=SPW_Start_Year,H305&lt;=SPW_Start_Year+SPW_Duration-1,age+H305&gt;=Legal_Age),IF(AND(F305=0,SPW_Payout_Freq=1),SPW_Amount_pa,IF(AND(SPW_Payout_Freq=2,MOD(F305,6)=0),SPW_Amount_pa/SPW_Payout_Freq,IF(AND(SPW_Payout_Freq=4,MOD(F305,3)=0),SPW_Amount_pa/SPW_Payout_Freq,IF(SPW_Payout_Freq=12,SPW_Amount_pa/SPW_Payout_Freq,0)))),0)+IFERROR(VLOOKUP(H305,Input!$B$68:$C$74,2,0),0)*(F305=0)*(Option_PW="Y")*(Option_SPW="N")*(age+H305&gt;=Legal_Age)</f>
        <v>0</v>
      </c>
      <c r="O305" s="148">
        <f t="shared" ca="1" si="207"/>
        <v>0</v>
      </c>
      <c r="P305" s="14">
        <f ca="1">(MAX(MAX(sa-CF304*Flag_UL_Type,105%*SUM($I$7:I305))-(AD304+L305-N305)*Flag_UL_Type,0)*B305)</f>
        <v>0</v>
      </c>
      <c r="Q305" s="213">
        <f t="shared" si="208"/>
        <v>0</v>
      </c>
      <c r="R305" s="14">
        <f t="shared" ca="1" si="209"/>
        <v>0</v>
      </c>
      <c r="S305" s="14">
        <f t="shared" ca="1" si="210"/>
        <v>0</v>
      </c>
      <c r="T305" s="14">
        <f>IFERROR(IF(WoP_Flag="Y",IF(fq=1,VLOOKUP(ppt*fq-H305,Charges!$AN$41:$AO$59,2,FALSE),IF(fq=2,VLOOKUP(ppt*fq-G305,Charges!$AP$41:$AQ$79,2,FALSE),VLOOKUP(ppt*fq-D305,Charges!$AR$41:$AS$279,2,FALSE)))*pr/fq,0),0)</f>
        <v>0</v>
      </c>
      <c r="U305" s="14">
        <f t="shared" ca="1" si="211"/>
        <v>0</v>
      </c>
      <c r="V305" s="34">
        <f>ROUND(MIN(IF(H305&gt;=7,Charges!$C$12*(1+Charges!$C$14)^((H305-7+1)),VLOOKUP(H305,Charges!$B$7:$C$12,2,0))*pr,Charges!$C$13)*B305,Round)</f>
        <v>0</v>
      </c>
      <c r="W305" s="14">
        <f t="shared" ca="1" si="212"/>
        <v>0</v>
      </c>
      <c r="X305" s="14">
        <f t="shared" ca="1" si="213"/>
        <v>0</v>
      </c>
      <c r="Y305" s="213">
        <f t="shared" ca="1" si="237"/>
        <v>0</v>
      </c>
      <c r="Z305" s="14">
        <f t="shared" ca="1" si="214"/>
        <v>0</v>
      </c>
      <c r="AA305" s="14">
        <f>IF(AND($H305=pt,$F305=11),SUM($K$7:K305)*VLOOKUP(pt,ROC,2,FALSE),0)</f>
        <v>0</v>
      </c>
      <c r="AB305" s="14">
        <f>IF(AND($H305=pt,$F305=11),SUM($V$7:V305)*VLOOKUP(pt,ROC,2,FALSE),0)</f>
        <v>0</v>
      </c>
      <c r="AC305" s="14">
        <f>IF(AND($H305=pt,$F305=11),SUM($Q$7:Q305)*VLOOKUP(pt,ROC,2,FALSE),0)</f>
        <v>0</v>
      </c>
      <c r="AD305" s="14">
        <f t="shared" ca="1" si="215"/>
        <v>0</v>
      </c>
      <c r="AE305" s="14">
        <f ca="1">(MAX(sa-CF304*Flag_UL_Type,105%*SUM($I$7:I305),Z305)+AU305)*B305</f>
        <v>0</v>
      </c>
      <c r="AF305" s="136"/>
      <c r="AG305" s="18">
        <v>299</v>
      </c>
      <c r="AH305" s="30">
        <f t="shared" ca="1" si="216"/>
        <v>0</v>
      </c>
      <c r="AI305" s="58"/>
      <c r="AJ305" s="50">
        <f>IF(AND(Option_Sys_TopUp&gt;="Y",H305&gt;=sytp,H305&lt;=(dtp+sytp-1),F305=0,H305&lt;=ppt+1),atp,0)+IFERROR(VLOOKUP(H305,Input!$B$55:$C$61,2,0),0)*(F305=0)*(Option_TopUP="Y")*(Option_Sys_TopUp="N")*B305*(pt&gt;=H305+5)</f>
        <v>0</v>
      </c>
      <c r="AK305" s="50">
        <f t="shared" si="217"/>
        <v>0</v>
      </c>
      <c r="AL305" s="50">
        <f t="shared" si="238"/>
        <v>0</v>
      </c>
      <c r="AM305" s="50">
        <f t="shared" ca="1" si="239"/>
        <v>0</v>
      </c>
      <c r="AN305" s="50">
        <f>IF(B305=0,0,AT305*(_rpm1+(1+_emr1)*VLOOKUP(E305,Tab_Mort_Charge,IF(Input!$C$12="M",2,3),0))*(0.001*0.0833)*Flag_Mort_Rider_Charge*(AT305&gt;0))</f>
        <v>0</v>
      </c>
      <c r="AO305" s="50">
        <f t="shared" ca="1" si="218"/>
        <v>0</v>
      </c>
      <c r="AP305" s="50">
        <f t="shared" ca="1" si="245"/>
        <v>0</v>
      </c>
      <c r="AQ305" s="50">
        <f t="shared" ca="1" si="219"/>
        <v>0</v>
      </c>
      <c r="AR305" s="50">
        <f t="shared" ca="1" si="220"/>
        <v>0</v>
      </c>
      <c r="AS305" s="50">
        <f t="shared" si="221"/>
        <v>0</v>
      </c>
      <c r="AT305" s="50">
        <f ca="1">(MAX((MAX(AS305,105%*SUM($AJ$7:AJ305))-AM305*Flag_UL_Type),0)*B305)</f>
        <v>0</v>
      </c>
      <c r="AU305" s="50">
        <f ca="1">(MAX(AS305,AR305,105%*SUM($AJ$7:AJ305))*B305)</f>
        <v>0</v>
      </c>
      <c r="AV305" s="125"/>
      <c r="AW305" s="13"/>
      <c r="AX305" s="13"/>
      <c r="AY305" s="13"/>
      <c r="AZ305" s="13"/>
      <c r="BA305" s="13"/>
      <c r="BG305" s="51">
        <f t="shared" si="222"/>
        <v>0</v>
      </c>
      <c r="BH305" s="51">
        <f t="shared" si="223"/>
        <v>0</v>
      </c>
      <c r="BI305" s="51">
        <f t="shared" ca="1" si="224"/>
        <v>0</v>
      </c>
      <c r="BJ305" s="51">
        <f t="shared" ca="1" si="225"/>
        <v>0</v>
      </c>
      <c r="BK305" s="51">
        <f t="shared" si="226"/>
        <v>0</v>
      </c>
      <c r="BL305" s="51">
        <f t="shared" ca="1" si="227"/>
        <v>0</v>
      </c>
      <c r="BM305" s="51">
        <f t="shared" si="228"/>
        <v>0</v>
      </c>
      <c r="BN305" s="51">
        <f t="shared" si="229"/>
        <v>0</v>
      </c>
      <c r="BO305" s="51">
        <f t="shared" ca="1" si="230"/>
        <v>0</v>
      </c>
      <c r="BP305" s="51">
        <f t="shared" ca="1" si="231"/>
        <v>0</v>
      </c>
      <c r="BQ305" s="120"/>
      <c r="BR305" s="32"/>
      <c r="BS305" s="126"/>
      <c r="BT305" s="16"/>
      <c r="BU305" s="58"/>
      <c r="BW305" s="51">
        <f>IF(Input!$C$13="Offline",VLOOKUP(H305,Charges!$AT$4:$AU$33,2,FALSE)*I305,0)</f>
        <v>0</v>
      </c>
      <c r="BX305" s="51">
        <f t="shared" si="232"/>
        <v>0</v>
      </c>
      <c r="BY305" s="51">
        <f t="shared" si="240"/>
        <v>0</v>
      </c>
      <c r="BZ305" s="151"/>
      <c r="CA305" s="151"/>
      <c r="CB305" s="32"/>
      <c r="CC305" s="16">
        <f ca="1">SUM($N$7:$N305)</f>
        <v>0</v>
      </c>
      <c r="CD305" s="16">
        <f t="shared" ca="1" si="233"/>
        <v>0</v>
      </c>
      <c r="CE305" s="16">
        <f t="shared" ca="1" si="234"/>
        <v>0</v>
      </c>
      <c r="CF305" s="7">
        <f t="shared" ca="1" si="235"/>
        <v>0</v>
      </c>
      <c r="CH305" s="7">
        <f t="shared" ca="1" si="236"/>
        <v>0</v>
      </c>
    </row>
    <row r="306" spans="2:86" s="7" customFormat="1" x14ac:dyDescent="0.2">
      <c r="B306" s="14">
        <f t="shared" si="200"/>
        <v>0</v>
      </c>
      <c r="C306" s="12">
        <f t="shared" si="201"/>
        <v>0</v>
      </c>
      <c r="D306" s="17">
        <f t="shared" si="241"/>
        <v>300</v>
      </c>
      <c r="E306" s="17">
        <f t="shared" ca="1" si="202"/>
        <v>84</v>
      </c>
      <c r="F306" s="12">
        <f t="shared" si="243"/>
        <v>11</v>
      </c>
      <c r="G306" s="12">
        <f t="shared" si="242"/>
        <v>50</v>
      </c>
      <c r="H306" s="17">
        <f t="shared" si="244"/>
        <v>25</v>
      </c>
      <c r="I306" s="29">
        <f t="shared" si="203"/>
        <v>0</v>
      </c>
      <c r="J306" s="211">
        <f>IFERROR(VLOOKUP(H306,Charges!$T$6:$U$35,2,0)*C306,0)</f>
        <v>0</v>
      </c>
      <c r="K306" s="29">
        <f t="shared" si="204"/>
        <v>0</v>
      </c>
      <c r="L306" s="29">
        <f t="shared" si="205"/>
        <v>0</v>
      </c>
      <c r="M306" s="147">
        <f t="shared" ca="1" si="206"/>
        <v>0</v>
      </c>
      <c r="N306" s="148">
        <f ca="1">IF(AND(Option_SPW="Y",H306&gt;=Lock_In_Period,Z305&gt;SPW_Amount_pa+IF(option="Single",1/5*pr,2*pr),H306&gt;=SPW_Start_Year,H306&lt;=SPW_Start_Year+SPW_Duration-1,age+H306&gt;=Legal_Age),IF(AND(F306=0,SPW_Payout_Freq=1),SPW_Amount_pa,IF(AND(SPW_Payout_Freq=2,MOD(F306,6)=0),SPW_Amount_pa/SPW_Payout_Freq,IF(AND(SPW_Payout_Freq=4,MOD(F306,3)=0),SPW_Amount_pa/SPW_Payout_Freq,IF(SPW_Payout_Freq=12,SPW_Amount_pa/SPW_Payout_Freq,0)))),0)+IFERROR(VLOOKUP(H306,Input!$B$68:$C$74,2,0),0)*(F306=0)*(Option_PW="Y")*(Option_SPW="N")*(age+H306&gt;=Legal_Age)</f>
        <v>0</v>
      </c>
      <c r="O306" s="148">
        <f t="shared" ca="1" si="207"/>
        <v>0</v>
      </c>
      <c r="P306" s="14">
        <f ca="1">(MAX(MAX(sa-CF305*Flag_UL_Type,105%*SUM($I$7:I306))-(AD305+L306-N306)*Flag_UL_Type,0)*B306)</f>
        <v>0</v>
      </c>
      <c r="Q306" s="213">
        <f t="shared" si="208"/>
        <v>0</v>
      </c>
      <c r="R306" s="14">
        <f t="shared" ca="1" si="209"/>
        <v>0</v>
      </c>
      <c r="S306" s="14">
        <f t="shared" ca="1" si="210"/>
        <v>0</v>
      </c>
      <c r="T306" s="14">
        <f>IFERROR(IF(WoP_Flag="Y",IF(fq=1,VLOOKUP(ppt*fq-H306,Charges!$AN$41:$AO$59,2,FALSE),IF(fq=2,VLOOKUP(ppt*fq-G306,Charges!$AP$41:$AQ$79,2,FALSE),VLOOKUP(ppt*fq-D306,Charges!$AR$41:$AS$279,2,FALSE)))*pr/fq,0),0)</f>
        <v>0</v>
      </c>
      <c r="U306" s="14">
        <f t="shared" ca="1" si="211"/>
        <v>0</v>
      </c>
      <c r="V306" s="34">
        <f>ROUND(MIN(IF(H306&gt;=7,Charges!$C$12*(1+Charges!$C$14)^((H306-7+1)),VLOOKUP(H306,Charges!$B$7:$C$12,2,0))*pr,Charges!$C$13)*B306,Round)</f>
        <v>0</v>
      </c>
      <c r="W306" s="14">
        <f t="shared" ca="1" si="212"/>
        <v>0</v>
      </c>
      <c r="X306" s="14">
        <f t="shared" ca="1" si="213"/>
        <v>0</v>
      </c>
      <c r="Y306" s="213">
        <f t="shared" ca="1" si="237"/>
        <v>0</v>
      </c>
      <c r="Z306" s="14">
        <f t="shared" ca="1" si="214"/>
        <v>0</v>
      </c>
      <c r="AA306" s="14">
        <f>IF(AND($H306=pt,$F306=11),SUM($K$7:K306)*VLOOKUP(pt,ROC,2,FALSE),0)</f>
        <v>0</v>
      </c>
      <c r="AB306" s="14">
        <f>IF(AND($H306=pt,$F306=11),SUM($V$7:V306)*VLOOKUP(pt,ROC,2,FALSE),0)</f>
        <v>0</v>
      </c>
      <c r="AC306" s="14">
        <f>IF(AND($H306=pt,$F306=11),SUM($Q$7:Q306)*VLOOKUP(pt,ROC,2,FALSE),0)</f>
        <v>0</v>
      </c>
      <c r="AD306" s="14">
        <f t="shared" ca="1" si="215"/>
        <v>0</v>
      </c>
      <c r="AE306" s="14">
        <f ca="1">(MAX(sa-CF305*Flag_UL_Type,105%*SUM($I$7:I306),Z306)+AU306)*B306</f>
        <v>0</v>
      </c>
      <c r="AF306" s="136"/>
      <c r="AG306" s="18">
        <v>300</v>
      </c>
      <c r="AH306" s="30">
        <f t="shared" ca="1" si="216"/>
        <v>0</v>
      </c>
      <c r="AI306" s="58"/>
      <c r="AJ306" s="50">
        <f>IF(AND(Option_Sys_TopUp&gt;="Y",H306&gt;=sytp,H306&lt;=(dtp+sytp-1),F306=0,H306&lt;=ppt+1),atp,0)+IFERROR(VLOOKUP(H306,Input!$B$55:$C$61,2,0),0)*(F306=0)*(Option_TopUP="Y")*(Option_Sys_TopUp="N")*B306*(pt&gt;=H306+5)</f>
        <v>0</v>
      </c>
      <c r="AK306" s="50">
        <f t="shared" si="217"/>
        <v>0</v>
      </c>
      <c r="AL306" s="50">
        <f t="shared" si="238"/>
        <v>0</v>
      </c>
      <c r="AM306" s="50">
        <f t="shared" ca="1" si="239"/>
        <v>0</v>
      </c>
      <c r="AN306" s="50">
        <f>IF(B306=0,0,AT306*(_rpm1+(1+_emr1)*VLOOKUP(E306,Tab_Mort_Charge,IF(Input!$C$12="M",2,3),0))*(0.001*0.0833)*Flag_Mort_Rider_Charge*(AT306&gt;0))</f>
        <v>0</v>
      </c>
      <c r="AO306" s="50">
        <f t="shared" ca="1" si="218"/>
        <v>0</v>
      </c>
      <c r="AP306" s="50">
        <f t="shared" ca="1" si="245"/>
        <v>0</v>
      </c>
      <c r="AQ306" s="50">
        <f t="shared" ca="1" si="219"/>
        <v>0</v>
      </c>
      <c r="AR306" s="50">
        <f t="shared" ca="1" si="220"/>
        <v>0</v>
      </c>
      <c r="AS306" s="50">
        <f t="shared" si="221"/>
        <v>0</v>
      </c>
      <c r="AT306" s="50">
        <f ca="1">(MAX((MAX(AS306,105%*SUM($AJ$7:AJ306))-AM306*Flag_UL_Type),0)*B306)</f>
        <v>0</v>
      </c>
      <c r="AU306" s="50">
        <f ca="1">(MAX(AS306,AR306,105%*SUM($AJ$7:AJ306))*B306)</f>
        <v>0</v>
      </c>
      <c r="AV306" s="125"/>
      <c r="AW306" s="13"/>
      <c r="AX306" s="13"/>
      <c r="AY306" s="13"/>
      <c r="AZ306" s="13"/>
      <c r="BA306" s="13"/>
      <c r="BG306" s="51">
        <f t="shared" si="222"/>
        <v>0</v>
      </c>
      <c r="BH306" s="51">
        <f t="shared" si="223"/>
        <v>0</v>
      </c>
      <c r="BI306" s="51">
        <f t="shared" ca="1" si="224"/>
        <v>0</v>
      </c>
      <c r="BJ306" s="51">
        <f t="shared" ca="1" si="225"/>
        <v>0</v>
      </c>
      <c r="BK306" s="51">
        <f t="shared" si="226"/>
        <v>0</v>
      </c>
      <c r="BL306" s="51">
        <f t="shared" ca="1" si="227"/>
        <v>0</v>
      </c>
      <c r="BM306" s="51">
        <f t="shared" si="228"/>
        <v>0</v>
      </c>
      <c r="BN306" s="51">
        <f t="shared" si="229"/>
        <v>0</v>
      </c>
      <c r="BO306" s="51">
        <f t="shared" ca="1" si="230"/>
        <v>0</v>
      </c>
      <c r="BP306" s="51">
        <f t="shared" ca="1" si="231"/>
        <v>0</v>
      </c>
      <c r="BQ306" s="120"/>
      <c r="BR306" s="32"/>
      <c r="BS306" s="126"/>
      <c r="BT306" s="16"/>
      <c r="BU306" s="58"/>
      <c r="BW306" s="51">
        <f>IF(Input!$C$13="Offline",VLOOKUP(H306,Charges!$AT$4:$AU$33,2,FALSE)*I306,0)</f>
        <v>0</v>
      </c>
      <c r="BX306" s="51">
        <f t="shared" si="232"/>
        <v>0</v>
      </c>
      <c r="BY306" s="51">
        <f t="shared" si="240"/>
        <v>0</v>
      </c>
      <c r="BZ306" s="151"/>
      <c r="CA306" s="151"/>
      <c r="CB306" s="32"/>
      <c r="CC306" s="16">
        <f ca="1">SUM($N$7:$N306)</f>
        <v>0</v>
      </c>
      <c r="CD306" s="16">
        <f t="shared" ca="1" si="233"/>
        <v>0</v>
      </c>
      <c r="CE306" s="16">
        <f t="shared" ca="1" si="234"/>
        <v>0</v>
      </c>
      <c r="CF306" s="7">
        <f t="shared" ca="1" si="235"/>
        <v>0</v>
      </c>
      <c r="CH306" s="7">
        <f t="shared" ca="1" si="236"/>
        <v>0</v>
      </c>
    </row>
    <row r="307" spans="2:86" s="7" customFormat="1" x14ac:dyDescent="0.2">
      <c r="B307" s="14">
        <f t="shared" si="200"/>
        <v>0</v>
      </c>
      <c r="C307" s="12">
        <f t="shared" si="201"/>
        <v>0</v>
      </c>
      <c r="D307" s="17">
        <f t="shared" si="241"/>
        <v>301</v>
      </c>
      <c r="E307" s="17">
        <f t="shared" ca="1" si="202"/>
        <v>85</v>
      </c>
      <c r="F307" s="12">
        <f t="shared" si="243"/>
        <v>0</v>
      </c>
      <c r="G307" s="12">
        <f t="shared" si="242"/>
        <v>51</v>
      </c>
      <c r="H307" s="17">
        <f t="shared" si="244"/>
        <v>26</v>
      </c>
      <c r="I307" s="29">
        <f t="shared" si="203"/>
        <v>0</v>
      </c>
      <c r="J307" s="211">
        <f>IFERROR(VLOOKUP(H307,Charges!$T$6:$U$35,2,0)*C307,0)</f>
        <v>0</v>
      </c>
      <c r="K307" s="29">
        <f t="shared" si="204"/>
        <v>0</v>
      </c>
      <c r="L307" s="29">
        <f t="shared" si="205"/>
        <v>0</v>
      </c>
      <c r="M307" s="147">
        <f t="shared" ca="1" si="206"/>
        <v>0</v>
      </c>
      <c r="N307" s="148">
        <f ca="1">IF(AND(Option_SPW="Y",H307&gt;=Lock_In_Period,Z306&gt;SPW_Amount_pa+IF(option="Single",1/5*pr,2*pr),H307&gt;=SPW_Start_Year,H307&lt;=SPW_Start_Year+SPW_Duration-1,age+H307&gt;=Legal_Age),IF(AND(F307=0,SPW_Payout_Freq=1),SPW_Amount_pa,IF(AND(SPW_Payout_Freq=2,MOD(F307,6)=0),SPW_Amount_pa/SPW_Payout_Freq,IF(AND(SPW_Payout_Freq=4,MOD(F307,3)=0),SPW_Amount_pa/SPW_Payout_Freq,IF(SPW_Payout_Freq=12,SPW_Amount_pa/SPW_Payout_Freq,0)))),0)+IFERROR(VLOOKUP(H307,Input!$B$68:$C$74,2,0),0)*(F307=0)*(Option_PW="Y")*(Option_SPW="N")*(age+H307&gt;=Legal_Age)</f>
        <v>0</v>
      </c>
      <c r="O307" s="148">
        <f t="shared" ca="1" si="207"/>
        <v>0</v>
      </c>
      <c r="P307" s="14">
        <f ca="1">(MAX(MAX(sa-CF306*Flag_UL_Type,105%*SUM($I$7:I307))-(AD306+L307-N307)*Flag_UL_Type,0)*B307)</f>
        <v>0</v>
      </c>
      <c r="Q307" s="213">
        <f t="shared" si="208"/>
        <v>0</v>
      </c>
      <c r="R307" s="14">
        <f t="shared" ca="1" si="209"/>
        <v>0</v>
      </c>
      <c r="S307" s="14">
        <f t="shared" ca="1" si="210"/>
        <v>0</v>
      </c>
      <c r="T307" s="14">
        <f>IFERROR(IF(WoP_Flag="Y",IF(fq=1,VLOOKUP(ppt*fq-H307,Charges!$AN$41:$AO$59,2,FALSE),IF(fq=2,VLOOKUP(ppt*fq-G307,Charges!$AP$41:$AQ$79,2,FALSE),VLOOKUP(ppt*fq-D307,Charges!$AR$41:$AS$279,2,FALSE)))*pr/fq,0),0)</f>
        <v>0</v>
      </c>
      <c r="U307" s="14">
        <f t="shared" ca="1" si="211"/>
        <v>0</v>
      </c>
      <c r="V307" s="34">
        <f>ROUND(MIN(IF(H307&gt;=7,Charges!$C$12*(1+Charges!$C$14)^((H307-7+1)),VLOOKUP(H307,Charges!$B$7:$C$12,2,0))*pr,Charges!$C$13)*B307,Round)</f>
        <v>0</v>
      </c>
      <c r="W307" s="14">
        <f t="shared" ca="1" si="212"/>
        <v>0</v>
      </c>
      <c r="X307" s="14">
        <f t="shared" ca="1" si="213"/>
        <v>0</v>
      </c>
      <c r="Y307" s="213">
        <f t="shared" ca="1" si="237"/>
        <v>0</v>
      </c>
      <c r="Z307" s="14">
        <f t="shared" ca="1" si="214"/>
        <v>0</v>
      </c>
      <c r="AA307" s="14">
        <f>IF(AND($H307=pt,$F307=11),SUM($K$7:K307)*VLOOKUP(pt,ROC,2,FALSE),0)</f>
        <v>0</v>
      </c>
      <c r="AB307" s="14">
        <f>IF(AND($H307=pt,$F307=11),SUM($V$7:V307)*VLOOKUP(pt,ROC,2,FALSE),0)</f>
        <v>0</v>
      </c>
      <c r="AC307" s="14">
        <f>IF(AND($H307=pt,$F307=11),SUM($Q$7:Q307)*VLOOKUP(pt,ROC,2,FALSE),0)</f>
        <v>0</v>
      </c>
      <c r="AD307" s="14">
        <f t="shared" ca="1" si="215"/>
        <v>0</v>
      </c>
      <c r="AE307" s="14">
        <f ca="1">(MAX(sa-CF306*Flag_UL_Type,105%*SUM($I$7:I307),Z307)+AU307)*B307</f>
        <v>0</v>
      </c>
      <c r="AF307" s="136"/>
      <c r="AG307" s="18">
        <v>301</v>
      </c>
      <c r="AH307" s="30">
        <f t="shared" ca="1" si="216"/>
        <v>0</v>
      </c>
      <c r="AI307" s="58"/>
      <c r="AJ307" s="50">
        <f>IF(AND(Option_Sys_TopUp&gt;="Y",H307&gt;=sytp,H307&lt;=(dtp+sytp-1),F307=0,H307&lt;=ppt+1),atp,0)+IFERROR(VLOOKUP(H307,Input!$B$55:$C$61,2,0),0)*(F307=0)*(Option_TopUP="Y")*(Option_Sys_TopUp="N")*B307*(pt&gt;=H307+5)</f>
        <v>0</v>
      </c>
      <c r="AK307" s="50">
        <f t="shared" si="217"/>
        <v>0</v>
      </c>
      <c r="AL307" s="50">
        <f t="shared" si="238"/>
        <v>0</v>
      </c>
      <c r="AM307" s="50">
        <f t="shared" ca="1" si="239"/>
        <v>0</v>
      </c>
      <c r="AN307" s="50">
        <f>IF(B307=0,0,AT307*(_rpm1+(1+_emr1)*VLOOKUP(E307,Tab_Mort_Charge,IF(Input!$C$12="M",2,3),0))*(0.001*0.0833)*Flag_Mort_Rider_Charge*(AT307&gt;0))</f>
        <v>0</v>
      </c>
      <c r="AO307" s="50">
        <f t="shared" ca="1" si="218"/>
        <v>0</v>
      </c>
      <c r="AP307" s="50">
        <f t="shared" ca="1" si="245"/>
        <v>0</v>
      </c>
      <c r="AQ307" s="50">
        <f t="shared" ca="1" si="219"/>
        <v>0</v>
      </c>
      <c r="AR307" s="50">
        <f t="shared" ca="1" si="220"/>
        <v>0</v>
      </c>
      <c r="AS307" s="50">
        <f t="shared" si="221"/>
        <v>0</v>
      </c>
      <c r="AT307" s="50">
        <f ca="1">(MAX((MAX(AS307,105%*SUM($AJ$7:AJ307))-AM307*Flag_UL_Type),0)*B307)</f>
        <v>0</v>
      </c>
      <c r="AU307" s="50">
        <f ca="1">(MAX(AS307,AR307,105%*SUM($AJ$7:AJ307))*B307)</f>
        <v>0</v>
      </c>
      <c r="AV307" s="125"/>
      <c r="AW307" s="13"/>
      <c r="AX307" s="13"/>
      <c r="AY307" s="13"/>
      <c r="AZ307" s="13"/>
      <c r="BA307" s="13"/>
      <c r="BG307" s="51">
        <f t="shared" si="222"/>
        <v>0</v>
      </c>
      <c r="BH307" s="51">
        <f t="shared" si="223"/>
        <v>0</v>
      </c>
      <c r="BI307" s="51">
        <f t="shared" ca="1" si="224"/>
        <v>0</v>
      </c>
      <c r="BJ307" s="51">
        <f t="shared" ca="1" si="225"/>
        <v>0</v>
      </c>
      <c r="BK307" s="51">
        <f t="shared" si="226"/>
        <v>0</v>
      </c>
      <c r="BL307" s="51">
        <f t="shared" ca="1" si="227"/>
        <v>0</v>
      </c>
      <c r="BM307" s="51">
        <f t="shared" si="228"/>
        <v>0</v>
      </c>
      <c r="BN307" s="51">
        <f t="shared" si="229"/>
        <v>0</v>
      </c>
      <c r="BO307" s="51">
        <f t="shared" ca="1" si="230"/>
        <v>0</v>
      </c>
      <c r="BP307" s="51">
        <f t="shared" ca="1" si="231"/>
        <v>0</v>
      </c>
      <c r="BQ307" s="120"/>
      <c r="BR307" s="32"/>
      <c r="BS307" s="126"/>
      <c r="BT307" s="16"/>
      <c r="BU307" s="58"/>
      <c r="BW307" s="51">
        <f>IF(Input!$C$13="Offline",VLOOKUP(H307,Charges!$AT$4:$AU$33,2,FALSE)*I307,0)</f>
        <v>0</v>
      </c>
      <c r="BX307" s="51">
        <f t="shared" si="232"/>
        <v>0</v>
      </c>
      <c r="BY307" s="51">
        <f t="shared" si="240"/>
        <v>0</v>
      </c>
      <c r="BZ307" s="151"/>
      <c r="CA307" s="151"/>
      <c r="CB307" s="32"/>
      <c r="CC307" s="16">
        <f ca="1">SUM($N$7:$N307)</f>
        <v>0</v>
      </c>
      <c r="CD307" s="16">
        <f t="shared" ca="1" si="233"/>
        <v>0</v>
      </c>
      <c r="CE307" s="16">
        <f t="shared" ca="1" si="234"/>
        <v>0</v>
      </c>
      <c r="CF307" s="7">
        <f t="shared" ca="1" si="235"/>
        <v>0</v>
      </c>
      <c r="CH307" s="7">
        <f t="shared" ca="1" si="236"/>
        <v>0</v>
      </c>
    </row>
    <row r="308" spans="2:86" s="7" customFormat="1" x14ac:dyDescent="0.2">
      <c r="B308" s="14">
        <f t="shared" si="200"/>
        <v>0</v>
      </c>
      <c r="C308" s="12">
        <f t="shared" si="201"/>
        <v>0</v>
      </c>
      <c r="D308" s="17">
        <f t="shared" si="241"/>
        <v>302</v>
      </c>
      <c r="E308" s="17">
        <f t="shared" ca="1" si="202"/>
        <v>85</v>
      </c>
      <c r="F308" s="12">
        <f t="shared" si="243"/>
        <v>1</v>
      </c>
      <c r="G308" s="12">
        <f t="shared" si="242"/>
        <v>51</v>
      </c>
      <c r="H308" s="17">
        <f t="shared" si="244"/>
        <v>26</v>
      </c>
      <c r="I308" s="29">
        <f t="shared" si="203"/>
        <v>0</v>
      </c>
      <c r="J308" s="211">
        <f>IFERROR(VLOOKUP(H308,Charges!$T$6:$U$35,2,0)*C308,0)</f>
        <v>0</v>
      </c>
      <c r="K308" s="29">
        <f t="shared" si="204"/>
        <v>0</v>
      </c>
      <c r="L308" s="29">
        <f t="shared" si="205"/>
        <v>0</v>
      </c>
      <c r="M308" s="147">
        <f t="shared" ca="1" si="206"/>
        <v>0</v>
      </c>
      <c r="N308" s="148">
        <f ca="1">IF(AND(Option_SPW="Y",H308&gt;=Lock_In_Period,Z307&gt;SPW_Amount_pa+IF(option="Single",1/5*pr,2*pr),H308&gt;=SPW_Start_Year,H308&lt;=SPW_Start_Year+SPW_Duration-1,age+H308&gt;=Legal_Age),IF(AND(F308=0,SPW_Payout_Freq=1),SPW_Amount_pa,IF(AND(SPW_Payout_Freq=2,MOD(F308,6)=0),SPW_Amount_pa/SPW_Payout_Freq,IF(AND(SPW_Payout_Freq=4,MOD(F308,3)=0),SPW_Amount_pa/SPW_Payout_Freq,IF(SPW_Payout_Freq=12,SPW_Amount_pa/SPW_Payout_Freq,0)))),0)+IFERROR(VLOOKUP(H308,Input!$B$68:$C$74,2,0),0)*(F308=0)*(Option_PW="Y")*(Option_SPW="N")*(age+H308&gt;=Legal_Age)</f>
        <v>0</v>
      </c>
      <c r="O308" s="148">
        <f t="shared" ca="1" si="207"/>
        <v>0</v>
      </c>
      <c r="P308" s="14">
        <f ca="1">(MAX(MAX(sa-CF307*Flag_UL_Type,105%*SUM($I$7:I308))-(AD307+L308-N308)*Flag_UL_Type,0)*B308)</f>
        <v>0</v>
      </c>
      <c r="Q308" s="213">
        <f t="shared" si="208"/>
        <v>0</v>
      </c>
      <c r="R308" s="14">
        <f t="shared" ca="1" si="209"/>
        <v>0</v>
      </c>
      <c r="S308" s="14">
        <f t="shared" ca="1" si="210"/>
        <v>0</v>
      </c>
      <c r="T308" s="14">
        <f>IFERROR(IF(WoP_Flag="Y",IF(fq=1,VLOOKUP(ppt*fq-H308,Charges!$AN$41:$AO$59,2,FALSE),IF(fq=2,VLOOKUP(ppt*fq-G308,Charges!$AP$41:$AQ$79,2,FALSE),VLOOKUP(ppt*fq-D308,Charges!$AR$41:$AS$279,2,FALSE)))*pr/fq,0),0)</f>
        <v>0</v>
      </c>
      <c r="U308" s="14">
        <f t="shared" ca="1" si="211"/>
        <v>0</v>
      </c>
      <c r="V308" s="34">
        <f>ROUND(MIN(IF(H308&gt;=7,Charges!$C$12*(1+Charges!$C$14)^((H308-7+1)),VLOOKUP(H308,Charges!$B$7:$C$12,2,0))*pr,Charges!$C$13)*B308,Round)</f>
        <v>0</v>
      </c>
      <c r="W308" s="14">
        <f t="shared" ca="1" si="212"/>
        <v>0</v>
      </c>
      <c r="X308" s="14">
        <f t="shared" ca="1" si="213"/>
        <v>0</v>
      </c>
      <c r="Y308" s="213">
        <f t="shared" ca="1" si="237"/>
        <v>0</v>
      </c>
      <c r="Z308" s="14">
        <f t="shared" ca="1" si="214"/>
        <v>0</v>
      </c>
      <c r="AA308" s="14">
        <f>IF(AND($H308=pt,$F308=11),SUM($K$7:K308)*VLOOKUP(pt,ROC,2,FALSE),0)</f>
        <v>0</v>
      </c>
      <c r="AB308" s="14">
        <f>IF(AND($H308=pt,$F308=11),SUM($V$7:V308)*VLOOKUP(pt,ROC,2,FALSE),0)</f>
        <v>0</v>
      </c>
      <c r="AC308" s="14">
        <f>IF(AND($H308=pt,$F308=11),SUM($Q$7:Q308)*VLOOKUP(pt,ROC,2,FALSE),0)</f>
        <v>0</v>
      </c>
      <c r="AD308" s="14">
        <f t="shared" ca="1" si="215"/>
        <v>0</v>
      </c>
      <c r="AE308" s="14">
        <f ca="1">(MAX(sa-CF307*Flag_UL_Type,105%*SUM($I$7:I308),Z308)+AU308)*B308</f>
        <v>0</v>
      </c>
      <c r="AF308" s="136"/>
      <c r="AG308" s="18">
        <v>302</v>
      </c>
      <c r="AH308" s="30">
        <f t="shared" ca="1" si="216"/>
        <v>0</v>
      </c>
      <c r="AI308" s="58"/>
      <c r="AJ308" s="50">
        <f>IF(AND(Option_Sys_TopUp&gt;="Y",H308&gt;=sytp,H308&lt;=(dtp+sytp-1),F308=0,H308&lt;=ppt+1),atp,0)+IFERROR(VLOOKUP(H308,Input!$B$55:$C$61,2,0),0)*(F308=0)*(Option_TopUP="Y")*(Option_Sys_TopUp="N")*B308*(pt&gt;=H308+5)</f>
        <v>0</v>
      </c>
      <c r="AK308" s="50">
        <f t="shared" si="217"/>
        <v>0</v>
      </c>
      <c r="AL308" s="50">
        <f t="shared" si="238"/>
        <v>0</v>
      </c>
      <c r="AM308" s="50">
        <f t="shared" ca="1" si="239"/>
        <v>0</v>
      </c>
      <c r="AN308" s="50">
        <f>IF(B308=0,0,AT308*(_rpm1+(1+_emr1)*VLOOKUP(E308,Tab_Mort_Charge,IF(Input!$C$12="M",2,3),0))*(0.001*0.0833)*Flag_Mort_Rider_Charge*(AT308&gt;0))</f>
        <v>0</v>
      </c>
      <c r="AO308" s="50">
        <f t="shared" ca="1" si="218"/>
        <v>0</v>
      </c>
      <c r="AP308" s="50">
        <f t="shared" ca="1" si="245"/>
        <v>0</v>
      </c>
      <c r="AQ308" s="50">
        <f t="shared" ca="1" si="219"/>
        <v>0</v>
      </c>
      <c r="AR308" s="50">
        <f t="shared" ca="1" si="220"/>
        <v>0</v>
      </c>
      <c r="AS308" s="50">
        <f t="shared" si="221"/>
        <v>0</v>
      </c>
      <c r="AT308" s="50">
        <f ca="1">(MAX((MAX(AS308,105%*SUM($AJ$7:AJ308))-AM308*Flag_UL_Type),0)*B308)</f>
        <v>0</v>
      </c>
      <c r="AU308" s="50">
        <f ca="1">(MAX(AS308,AR308,105%*SUM($AJ$7:AJ308))*B308)</f>
        <v>0</v>
      </c>
      <c r="AV308" s="125"/>
      <c r="AW308" s="13"/>
      <c r="AX308" s="13"/>
      <c r="AY308" s="13"/>
      <c r="AZ308" s="13"/>
      <c r="BA308" s="13"/>
      <c r="BG308" s="51">
        <f t="shared" si="222"/>
        <v>0</v>
      </c>
      <c r="BH308" s="51">
        <f t="shared" si="223"/>
        <v>0</v>
      </c>
      <c r="BI308" s="51">
        <f t="shared" ca="1" si="224"/>
        <v>0</v>
      </c>
      <c r="BJ308" s="51">
        <f t="shared" ca="1" si="225"/>
        <v>0</v>
      </c>
      <c r="BK308" s="51">
        <f t="shared" si="226"/>
        <v>0</v>
      </c>
      <c r="BL308" s="51">
        <f t="shared" ca="1" si="227"/>
        <v>0</v>
      </c>
      <c r="BM308" s="51">
        <f t="shared" si="228"/>
        <v>0</v>
      </c>
      <c r="BN308" s="51">
        <f t="shared" si="229"/>
        <v>0</v>
      </c>
      <c r="BO308" s="51">
        <f t="shared" ca="1" si="230"/>
        <v>0</v>
      </c>
      <c r="BP308" s="51">
        <f t="shared" ca="1" si="231"/>
        <v>0</v>
      </c>
      <c r="BQ308" s="120"/>
      <c r="BR308" s="32"/>
      <c r="BS308" s="126"/>
      <c r="BT308" s="16"/>
      <c r="BU308" s="58"/>
      <c r="BW308" s="51">
        <f>IF(Input!$C$13="Offline",VLOOKUP(H308,Charges!$AT$4:$AU$33,2,FALSE)*I308,0)</f>
        <v>0</v>
      </c>
      <c r="BX308" s="51">
        <f t="shared" si="232"/>
        <v>0</v>
      </c>
      <c r="BY308" s="51">
        <f t="shared" si="240"/>
        <v>0</v>
      </c>
      <c r="BZ308" s="151"/>
      <c r="CA308" s="151"/>
      <c r="CB308" s="32"/>
      <c r="CC308" s="16">
        <f ca="1">SUM($N$7:$N308)</f>
        <v>0</v>
      </c>
      <c r="CD308" s="16">
        <f t="shared" ca="1" si="233"/>
        <v>0</v>
      </c>
      <c r="CE308" s="16">
        <f t="shared" ca="1" si="234"/>
        <v>0</v>
      </c>
      <c r="CF308" s="7">
        <f t="shared" ca="1" si="235"/>
        <v>0</v>
      </c>
      <c r="CH308" s="7">
        <f t="shared" ca="1" si="236"/>
        <v>0</v>
      </c>
    </row>
    <row r="309" spans="2:86" s="7" customFormat="1" x14ac:dyDescent="0.2">
      <c r="B309" s="14">
        <f t="shared" si="200"/>
        <v>0</v>
      </c>
      <c r="C309" s="12">
        <f t="shared" si="201"/>
        <v>0</v>
      </c>
      <c r="D309" s="17">
        <f t="shared" si="241"/>
        <v>303</v>
      </c>
      <c r="E309" s="17">
        <f t="shared" ca="1" si="202"/>
        <v>85</v>
      </c>
      <c r="F309" s="12">
        <f t="shared" si="243"/>
        <v>2</v>
      </c>
      <c r="G309" s="12">
        <f t="shared" si="242"/>
        <v>51</v>
      </c>
      <c r="H309" s="17">
        <f t="shared" si="244"/>
        <v>26</v>
      </c>
      <c r="I309" s="29">
        <f t="shared" si="203"/>
        <v>0</v>
      </c>
      <c r="J309" s="211">
        <f>IFERROR(VLOOKUP(H309,Charges!$T$6:$U$35,2,0)*C309,0)</f>
        <v>0</v>
      </c>
      <c r="K309" s="29">
        <f t="shared" si="204"/>
        <v>0</v>
      </c>
      <c r="L309" s="29">
        <f t="shared" si="205"/>
        <v>0</v>
      </c>
      <c r="M309" s="147">
        <f t="shared" ca="1" si="206"/>
        <v>0</v>
      </c>
      <c r="N309" s="148">
        <f ca="1">IF(AND(Option_SPW="Y",H309&gt;=Lock_In_Period,Z308&gt;SPW_Amount_pa+IF(option="Single",1/5*pr,2*pr),H309&gt;=SPW_Start_Year,H309&lt;=SPW_Start_Year+SPW_Duration-1,age+H309&gt;=Legal_Age),IF(AND(F309=0,SPW_Payout_Freq=1),SPW_Amount_pa,IF(AND(SPW_Payout_Freq=2,MOD(F309,6)=0),SPW_Amount_pa/SPW_Payout_Freq,IF(AND(SPW_Payout_Freq=4,MOD(F309,3)=0),SPW_Amount_pa/SPW_Payout_Freq,IF(SPW_Payout_Freq=12,SPW_Amount_pa/SPW_Payout_Freq,0)))),0)+IFERROR(VLOOKUP(H309,Input!$B$68:$C$74,2,0),0)*(F309=0)*(Option_PW="Y")*(Option_SPW="N")*(age+H309&gt;=Legal_Age)</f>
        <v>0</v>
      </c>
      <c r="O309" s="148">
        <f t="shared" ca="1" si="207"/>
        <v>0</v>
      </c>
      <c r="P309" s="14">
        <f ca="1">(MAX(MAX(sa-CF308*Flag_UL_Type,105%*SUM($I$7:I309))-(AD308+L309-N309)*Flag_UL_Type,0)*B309)</f>
        <v>0</v>
      </c>
      <c r="Q309" s="213">
        <f t="shared" si="208"/>
        <v>0</v>
      </c>
      <c r="R309" s="14">
        <f t="shared" ca="1" si="209"/>
        <v>0</v>
      </c>
      <c r="S309" s="14">
        <f t="shared" ca="1" si="210"/>
        <v>0</v>
      </c>
      <c r="T309" s="14">
        <f>IFERROR(IF(WoP_Flag="Y",IF(fq=1,VLOOKUP(ppt*fq-H309,Charges!$AN$41:$AO$59,2,FALSE),IF(fq=2,VLOOKUP(ppt*fq-G309,Charges!$AP$41:$AQ$79,2,FALSE),VLOOKUP(ppt*fq-D309,Charges!$AR$41:$AS$279,2,FALSE)))*pr/fq,0),0)</f>
        <v>0</v>
      </c>
      <c r="U309" s="14">
        <f t="shared" ca="1" si="211"/>
        <v>0</v>
      </c>
      <c r="V309" s="34">
        <f>ROUND(MIN(IF(H309&gt;=7,Charges!$C$12*(1+Charges!$C$14)^((H309-7+1)),VLOOKUP(H309,Charges!$B$7:$C$12,2,0))*pr,Charges!$C$13)*B309,Round)</f>
        <v>0</v>
      </c>
      <c r="W309" s="14">
        <f t="shared" ca="1" si="212"/>
        <v>0</v>
      </c>
      <c r="X309" s="14">
        <f t="shared" ca="1" si="213"/>
        <v>0</v>
      </c>
      <c r="Y309" s="213">
        <f t="shared" ca="1" si="237"/>
        <v>0</v>
      </c>
      <c r="Z309" s="14">
        <f t="shared" ca="1" si="214"/>
        <v>0</v>
      </c>
      <c r="AA309" s="14">
        <f>IF(AND($H309=pt,$F309=11),SUM($K$7:K309)*VLOOKUP(pt,ROC,2,FALSE),0)</f>
        <v>0</v>
      </c>
      <c r="AB309" s="14">
        <f>IF(AND($H309=pt,$F309=11),SUM($V$7:V309)*VLOOKUP(pt,ROC,2,FALSE),0)</f>
        <v>0</v>
      </c>
      <c r="AC309" s="14">
        <f>IF(AND($H309=pt,$F309=11),SUM($Q$7:Q309)*VLOOKUP(pt,ROC,2,FALSE),0)</f>
        <v>0</v>
      </c>
      <c r="AD309" s="14">
        <f t="shared" ca="1" si="215"/>
        <v>0</v>
      </c>
      <c r="AE309" s="14">
        <f ca="1">(MAX(sa-CF308*Flag_UL_Type,105%*SUM($I$7:I309),Z309)+AU309)*B309</f>
        <v>0</v>
      </c>
      <c r="AF309" s="136"/>
      <c r="AG309" s="18">
        <v>303</v>
      </c>
      <c r="AH309" s="30">
        <f t="shared" ca="1" si="216"/>
        <v>0</v>
      </c>
      <c r="AI309" s="58"/>
      <c r="AJ309" s="50">
        <f>IF(AND(Option_Sys_TopUp&gt;="Y",H309&gt;=sytp,H309&lt;=(dtp+sytp-1),F309=0,H309&lt;=ppt+1),atp,0)+IFERROR(VLOOKUP(H309,Input!$B$55:$C$61,2,0),0)*(F309=0)*(Option_TopUP="Y")*(Option_Sys_TopUp="N")*B309*(pt&gt;=H309+5)</f>
        <v>0</v>
      </c>
      <c r="AK309" s="50">
        <f t="shared" si="217"/>
        <v>0</v>
      </c>
      <c r="AL309" s="50">
        <f t="shared" si="238"/>
        <v>0</v>
      </c>
      <c r="AM309" s="50">
        <f t="shared" ca="1" si="239"/>
        <v>0</v>
      </c>
      <c r="AN309" s="50">
        <f>IF(B309=0,0,AT309*(_rpm1+(1+_emr1)*VLOOKUP(E309,Tab_Mort_Charge,IF(Input!$C$12="M",2,3),0))*(0.001*0.0833)*Flag_Mort_Rider_Charge*(AT309&gt;0))</f>
        <v>0</v>
      </c>
      <c r="AO309" s="50">
        <f t="shared" ca="1" si="218"/>
        <v>0</v>
      </c>
      <c r="AP309" s="50">
        <f t="shared" ca="1" si="245"/>
        <v>0</v>
      </c>
      <c r="AQ309" s="50">
        <f t="shared" ca="1" si="219"/>
        <v>0</v>
      </c>
      <c r="AR309" s="50">
        <f t="shared" ca="1" si="220"/>
        <v>0</v>
      </c>
      <c r="AS309" s="50">
        <f t="shared" si="221"/>
        <v>0</v>
      </c>
      <c r="AT309" s="50">
        <f ca="1">(MAX((MAX(AS309,105%*SUM($AJ$7:AJ309))-AM309*Flag_UL_Type),0)*B309)</f>
        <v>0</v>
      </c>
      <c r="AU309" s="50">
        <f ca="1">(MAX(AS309,AR309,105%*SUM($AJ$7:AJ309))*B309)</f>
        <v>0</v>
      </c>
      <c r="AV309" s="125"/>
      <c r="AW309" s="13"/>
      <c r="AX309" s="13"/>
      <c r="AY309" s="13"/>
      <c r="AZ309" s="13"/>
      <c r="BA309" s="13"/>
      <c r="BG309" s="51">
        <f t="shared" si="222"/>
        <v>0</v>
      </c>
      <c r="BH309" s="51">
        <f t="shared" si="223"/>
        <v>0</v>
      </c>
      <c r="BI309" s="51">
        <f t="shared" ca="1" si="224"/>
        <v>0</v>
      </c>
      <c r="BJ309" s="51">
        <f t="shared" ca="1" si="225"/>
        <v>0</v>
      </c>
      <c r="BK309" s="51">
        <f t="shared" si="226"/>
        <v>0</v>
      </c>
      <c r="BL309" s="51">
        <f t="shared" ca="1" si="227"/>
        <v>0</v>
      </c>
      <c r="BM309" s="51">
        <f t="shared" si="228"/>
        <v>0</v>
      </c>
      <c r="BN309" s="51">
        <f t="shared" si="229"/>
        <v>0</v>
      </c>
      <c r="BO309" s="51">
        <f t="shared" ca="1" si="230"/>
        <v>0</v>
      </c>
      <c r="BP309" s="51">
        <f t="shared" ca="1" si="231"/>
        <v>0</v>
      </c>
      <c r="BQ309" s="120"/>
      <c r="BR309" s="32"/>
      <c r="BS309" s="126"/>
      <c r="BT309" s="16"/>
      <c r="BU309" s="58"/>
      <c r="BW309" s="51">
        <f>IF(Input!$C$13="Offline",VLOOKUP(H309,Charges!$AT$4:$AU$33,2,FALSE)*I309,0)</f>
        <v>0</v>
      </c>
      <c r="BX309" s="51">
        <f t="shared" si="232"/>
        <v>0</v>
      </c>
      <c r="BY309" s="51">
        <f t="shared" si="240"/>
        <v>0</v>
      </c>
      <c r="BZ309" s="151"/>
      <c r="CA309" s="151"/>
      <c r="CB309" s="32"/>
      <c r="CC309" s="16">
        <f ca="1">SUM($N$7:$N309)</f>
        <v>0</v>
      </c>
      <c r="CD309" s="16">
        <f t="shared" ca="1" si="233"/>
        <v>0</v>
      </c>
      <c r="CE309" s="16">
        <f t="shared" ca="1" si="234"/>
        <v>0</v>
      </c>
      <c r="CF309" s="7">
        <f t="shared" ca="1" si="235"/>
        <v>0</v>
      </c>
      <c r="CH309" s="7">
        <f t="shared" ca="1" si="236"/>
        <v>0</v>
      </c>
    </row>
    <row r="310" spans="2:86" s="7" customFormat="1" x14ac:dyDescent="0.2">
      <c r="B310" s="14">
        <f t="shared" si="200"/>
        <v>0</v>
      </c>
      <c r="C310" s="12">
        <f t="shared" si="201"/>
        <v>0</v>
      </c>
      <c r="D310" s="17">
        <f t="shared" si="241"/>
        <v>304</v>
      </c>
      <c r="E310" s="17">
        <f t="shared" ca="1" si="202"/>
        <v>85</v>
      </c>
      <c r="F310" s="12">
        <f t="shared" si="243"/>
        <v>3</v>
      </c>
      <c r="G310" s="12">
        <f t="shared" si="242"/>
        <v>51</v>
      </c>
      <c r="H310" s="17">
        <f t="shared" si="244"/>
        <v>26</v>
      </c>
      <c r="I310" s="29">
        <f t="shared" si="203"/>
        <v>0</v>
      </c>
      <c r="J310" s="211">
        <f>IFERROR(VLOOKUP(H310,Charges!$T$6:$U$35,2,0)*C310,0)</f>
        <v>0</v>
      </c>
      <c r="K310" s="29">
        <f t="shared" si="204"/>
        <v>0</v>
      </c>
      <c r="L310" s="29">
        <f t="shared" si="205"/>
        <v>0</v>
      </c>
      <c r="M310" s="147">
        <f t="shared" ca="1" si="206"/>
        <v>0</v>
      </c>
      <c r="N310" s="148">
        <f ca="1">IF(AND(Option_SPW="Y",H310&gt;=Lock_In_Period,Z309&gt;SPW_Amount_pa+IF(option="Single",1/5*pr,2*pr),H310&gt;=SPW_Start_Year,H310&lt;=SPW_Start_Year+SPW_Duration-1,age+H310&gt;=Legal_Age),IF(AND(F310=0,SPW_Payout_Freq=1),SPW_Amount_pa,IF(AND(SPW_Payout_Freq=2,MOD(F310,6)=0),SPW_Amount_pa/SPW_Payout_Freq,IF(AND(SPW_Payout_Freq=4,MOD(F310,3)=0),SPW_Amount_pa/SPW_Payout_Freq,IF(SPW_Payout_Freq=12,SPW_Amount_pa/SPW_Payout_Freq,0)))),0)+IFERROR(VLOOKUP(H310,Input!$B$68:$C$74,2,0),0)*(F310=0)*(Option_PW="Y")*(Option_SPW="N")*(age+H310&gt;=Legal_Age)</f>
        <v>0</v>
      </c>
      <c r="O310" s="148">
        <f t="shared" ca="1" si="207"/>
        <v>0</v>
      </c>
      <c r="P310" s="14">
        <f ca="1">(MAX(MAX(sa-CF309*Flag_UL_Type,105%*SUM($I$7:I310))-(AD309+L310-N310)*Flag_UL_Type,0)*B310)</f>
        <v>0</v>
      </c>
      <c r="Q310" s="213">
        <f t="shared" si="208"/>
        <v>0</v>
      </c>
      <c r="R310" s="14">
        <f t="shared" ca="1" si="209"/>
        <v>0</v>
      </c>
      <c r="S310" s="14">
        <f t="shared" ca="1" si="210"/>
        <v>0</v>
      </c>
      <c r="T310" s="14">
        <f>IFERROR(IF(WoP_Flag="Y",IF(fq=1,VLOOKUP(ppt*fq-H310,Charges!$AN$41:$AO$59,2,FALSE),IF(fq=2,VLOOKUP(ppt*fq-G310,Charges!$AP$41:$AQ$79,2,FALSE),VLOOKUP(ppt*fq-D310,Charges!$AR$41:$AS$279,2,FALSE)))*pr/fq,0),0)</f>
        <v>0</v>
      </c>
      <c r="U310" s="14">
        <f t="shared" ca="1" si="211"/>
        <v>0</v>
      </c>
      <c r="V310" s="34">
        <f>ROUND(MIN(IF(H310&gt;=7,Charges!$C$12*(1+Charges!$C$14)^((H310-7+1)),VLOOKUP(H310,Charges!$B$7:$C$12,2,0))*pr,Charges!$C$13)*B310,Round)</f>
        <v>0</v>
      </c>
      <c r="W310" s="14">
        <f t="shared" ca="1" si="212"/>
        <v>0</v>
      </c>
      <c r="X310" s="14">
        <f t="shared" ca="1" si="213"/>
        <v>0</v>
      </c>
      <c r="Y310" s="213">
        <f t="shared" ca="1" si="237"/>
        <v>0</v>
      </c>
      <c r="Z310" s="14">
        <f t="shared" ca="1" si="214"/>
        <v>0</v>
      </c>
      <c r="AA310" s="14">
        <f>IF(AND($H310=pt,$F310=11),SUM($K$7:K310)*VLOOKUP(pt,ROC,2,FALSE),0)</f>
        <v>0</v>
      </c>
      <c r="AB310" s="14">
        <f>IF(AND($H310=pt,$F310=11),SUM($V$7:V310)*VLOOKUP(pt,ROC,2,FALSE),0)</f>
        <v>0</v>
      </c>
      <c r="AC310" s="14">
        <f>IF(AND($H310=pt,$F310=11),SUM($Q$7:Q310)*VLOOKUP(pt,ROC,2,FALSE),0)</f>
        <v>0</v>
      </c>
      <c r="AD310" s="14">
        <f t="shared" ca="1" si="215"/>
        <v>0</v>
      </c>
      <c r="AE310" s="14">
        <f ca="1">(MAX(sa-CF309*Flag_UL_Type,105%*SUM($I$7:I310),Z310)+AU310)*B310</f>
        <v>0</v>
      </c>
      <c r="AF310" s="136"/>
      <c r="AG310" s="18">
        <v>304</v>
      </c>
      <c r="AH310" s="30">
        <f t="shared" ca="1" si="216"/>
        <v>0</v>
      </c>
      <c r="AI310" s="58"/>
      <c r="AJ310" s="50">
        <f>IF(AND(Option_Sys_TopUp&gt;="Y",H310&gt;=sytp,H310&lt;=(dtp+sytp-1),F310=0,H310&lt;=ppt+1),atp,0)+IFERROR(VLOOKUP(H310,Input!$B$55:$C$61,2,0),0)*(F310=0)*(Option_TopUP="Y")*(Option_Sys_TopUp="N")*B310*(pt&gt;=H310+5)</f>
        <v>0</v>
      </c>
      <c r="AK310" s="50">
        <f t="shared" si="217"/>
        <v>0</v>
      </c>
      <c r="AL310" s="50">
        <f t="shared" si="238"/>
        <v>0</v>
      </c>
      <c r="AM310" s="50">
        <f t="shared" ca="1" si="239"/>
        <v>0</v>
      </c>
      <c r="AN310" s="50">
        <f>IF(B310=0,0,AT310*(_rpm1+(1+_emr1)*VLOOKUP(E310,Tab_Mort_Charge,IF(Input!$C$12="M",2,3),0))*(0.001*0.0833)*Flag_Mort_Rider_Charge*(AT310&gt;0))</f>
        <v>0</v>
      </c>
      <c r="AO310" s="50">
        <f t="shared" ca="1" si="218"/>
        <v>0</v>
      </c>
      <c r="AP310" s="50">
        <f t="shared" ca="1" si="245"/>
        <v>0</v>
      </c>
      <c r="AQ310" s="50">
        <f t="shared" ca="1" si="219"/>
        <v>0</v>
      </c>
      <c r="AR310" s="50">
        <f t="shared" ca="1" si="220"/>
        <v>0</v>
      </c>
      <c r="AS310" s="50">
        <f t="shared" si="221"/>
        <v>0</v>
      </c>
      <c r="AT310" s="50">
        <f ca="1">(MAX((MAX(AS310,105%*SUM($AJ$7:AJ310))-AM310*Flag_UL_Type),0)*B310)</f>
        <v>0</v>
      </c>
      <c r="AU310" s="50">
        <f ca="1">(MAX(AS310,AR310,105%*SUM($AJ$7:AJ310))*B310)</f>
        <v>0</v>
      </c>
      <c r="AV310" s="125"/>
      <c r="AW310" s="13"/>
      <c r="AX310" s="13"/>
      <c r="AY310" s="13"/>
      <c r="AZ310" s="13"/>
      <c r="BA310" s="13"/>
      <c r="BG310" s="51">
        <f t="shared" si="222"/>
        <v>0</v>
      </c>
      <c r="BH310" s="51">
        <f t="shared" si="223"/>
        <v>0</v>
      </c>
      <c r="BI310" s="51">
        <f t="shared" ca="1" si="224"/>
        <v>0</v>
      </c>
      <c r="BJ310" s="51">
        <f t="shared" ca="1" si="225"/>
        <v>0</v>
      </c>
      <c r="BK310" s="51">
        <f t="shared" si="226"/>
        <v>0</v>
      </c>
      <c r="BL310" s="51">
        <f t="shared" ca="1" si="227"/>
        <v>0</v>
      </c>
      <c r="BM310" s="51">
        <f t="shared" si="228"/>
        <v>0</v>
      </c>
      <c r="BN310" s="51">
        <f t="shared" si="229"/>
        <v>0</v>
      </c>
      <c r="BO310" s="51">
        <f t="shared" ca="1" si="230"/>
        <v>0</v>
      </c>
      <c r="BP310" s="51">
        <f t="shared" ca="1" si="231"/>
        <v>0</v>
      </c>
      <c r="BQ310" s="120"/>
      <c r="BR310" s="32"/>
      <c r="BS310" s="126"/>
      <c r="BT310" s="16"/>
      <c r="BU310" s="58"/>
      <c r="BW310" s="51">
        <f>IF(Input!$C$13="Offline",VLOOKUP(H310,Charges!$AT$4:$AU$33,2,FALSE)*I310,0)</f>
        <v>0</v>
      </c>
      <c r="BX310" s="51">
        <f t="shared" si="232"/>
        <v>0</v>
      </c>
      <c r="BY310" s="51">
        <f t="shared" si="240"/>
        <v>0</v>
      </c>
      <c r="BZ310" s="151"/>
      <c r="CA310" s="151"/>
      <c r="CB310" s="32"/>
      <c r="CC310" s="16">
        <f ca="1">SUM($N$7:$N310)</f>
        <v>0</v>
      </c>
      <c r="CD310" s="16">
        <f t="shared" ca="1" si="233"/>
        <v>0</v>
      </c>
      <c r="CE310" s="16">
        <f t="shared" ca="1" si="234"/>
        <v>0</v>
      </c>
      <c r="CF310" s="7">
        <f t="shared" ca="1" si="235"/>
        <v>0</v>
      </c>
      <c r="CH310" s="7">
        <f t="shared" ca="1" si="236"/>
        <v>0</v>
      </c>
    </row>
    <row r="311" spans="2:86" s="7" customFormat="1" x14ac:dyDescent="0.2">
      <c r="B311" s="14">
        <f t="shared" si="200"/>
        <v>0</v>
      </c>
      <c r="C311" s="12">
        <f t="shared" si="201"/>
        <v>0</v>
      </c>
      <c r="D311" s="17">
        <f t="shared" si="241"/>
        <v>305</v>
      </c>
      <c r="E311" s="17">
        <f t="shared" ca="1" si="202"/>
        <v>85</v>
      </c>
      <c r="F311" s="12">
        <f t="shared" si="243"/>
        <v>4</v>
      </c>
      <c r="G311" s="12">
        <f t="shared" si="242"/>
        <v>51</v>
      </c>
      <c r="H311" s="17">
        <f t="shared" si="244"/>
        <v>26</v>
      </c>
      <c r="I311" s="29">
        <f t="shared" si="203"/>
        <v>0</v>
      </c>
      <c r="J311" s="211">
        <f>IFERROR(VLOOKUP(H311,Charges!$T$6:$U$35,2,0)*C311,0)</f>
        <v>0</v>
      </c>
      <c r="K311" s="29">
        <f t="shared" si="204"/>
        <v>0</v>
      </c>
      <c r="L311" s="29">
        <f t="shared" si="205"/>
        <v>0</v>
      </c>
      <c r="M311" s="147">
        <f t="shared" ca="1" si="206"/>
        <v>0</v>
      </c>
      <c r="N311" s="148">
        <f ca="1">IF(AND(Option_SPW="Y",H311&gt;=Lock_In_Period,Z310&gt;SPW_Amount_pa+IF(option="Single",1/5*pr,2*pr),H311&gt;=SPW_Start_Year,H311&lt;=SPW_Start_Year+SPW_Duration-1,age+H311&gt;=Legal_Age),IF(AND(F311=0,SPW_Payout_Freq=1),SPW_Amount_pa,IF(AND(SPW_Payout_Freq=2,MOD(F311,6)=0),SPW_Amount_pa/SPW_Payout_Freq,IF(AND(SPW_Payout_Freq=4,MOD(F311,3)=0),SPW_Amount_pa/SPW_Payout_Freq,IF(SPW_Payout_Freq=12,SPW_Amount_pa/SPW_Payout_Freq,0)))),0)+IFERROR(VLOOKUP(H311,Input!$B$68:$C$74,2,0),0)*(F311=0)*(Option_PW="Y")*(Option_SPW="N")*(age+H311&gt;=Legal_Age)</f>
        <v>0</v>
      </c>
      <c r="O311" s="148">
        <f t="shared" ca="1" si="207"/>
        <v>0</v>
      </c>
      <c r="P311" s="14">
        <f ca="1">(MAX(MAX(sa-CF310*Flag_UL_Type,105%*SUM($I$7:I311))-(AD310+L311-N311)*Flag_UL_Type,0)*B311)</f>
        <v>0</v>
      </c>
      <c r="Q311" s="213">
        <f t="shared" si="208"/>
        <v>0</v>
      </c>
      <c r="R311" s="14">
        <f t="shared" ca="1" si="209"/>
        <v>0</v>
      </c>
      <c r="S311" s="14">
        <f t="shared" ca="1" si="210"/>
        <v>0</v>
      </c>
      <c r="T311" s="14">
        <f>IFERROR(IF(WoP_Flag="Y",IF(fq=1,VLOOKUP(ppt*fq-H311,Charges!$AN$41:$AO$59,2,FALSE),IF(fq=2,VLOOKUP(ppt*fq-G311,Charges!$AP$41:$AQ$79,2,FALSE),VLOOKUP(ppt*fq-D311,Charges!$AR$41:$AS$279,2,FALSE)))*pr/fq,0),0)</f>
        <v>0</v>
      </c>
      <c r="U311" s="14">
        <f t="shared" ca="1" si="211"/>
        <v>0</v>
      </c>
      <c r="V311" s="34">
        <f>ROUND(MIN(IF(H311&gt;=7,Charges!$C$12*(1+Charges!$C$14)^((H311-7+1)),VLOOKUP(H311,Charges!$B$7:$C$12,2,0))*pr,Charges!$C$13)*B311,Round)</f>
        <v>0</v>
      </c>
      <c r="W311" s="14">
        <f t="shared" ca="1" si="212"/>
        <v>0</v>
      </c>
      <c r="X311" s="14">
        <f t="shared" ca="1" si="213"/>
        <v>0</v>
      </c>
      <c r="Y311" s="213">
        <f t="shared" ca="1" si="237"/>
        <v>0</v>
      </c>
      <c r="Z311" s="14">
        <f t="shared" ca="1" si="214"/>
        <v>0</v>
      </c>
      <c r="AA311" s="14">
        <f>IF(AND($H311=pt,$F311=11),SUM($K$7:K311)*VLOOKUP(pt,ROC,2,FALSE),0)</f>
        <v>0</v>
      </c>
      <c r="AB311" s="14">
        <f>IF(AND($H311=pt,$F311=11),SUM($V$7:V311)*VLOOKUP(pt,ROC,2,FALSE),0)</f>
        <v>0</v>
      </c>
      <c r="AC311" s="14">
        <f>IF(AND($H311=pt,$F311=11),SUM($Q$7:Q311)*VLOOKUP(pt,ROC,2,FALSE),0)</f>
        <v>0</v>
      </c>
      <c r="AD311" s="14">
        <f t="shared" ca="1" si="215"/>
        <v>0</v>
      </c>
      <c r="AE311" s="14">
        <f ca="1">(MAX(sa-CF310*Flag_UL_Type,105%*SUM($I$7:I311),Z311)+AU311)*B311</f>
        <v>0</v>
      </c>
      <c r="AF311" s="136"/>
      <c r="AG311" s="18">
        <v>305</v>
      </c>
      <c r="AH311" s="30">
        <f t="shared" ca="1" si="216"/>
        <v>0</v>
      </c>
      <c r="AI311" s="58"/>
      <c r="AJ311" s="50">
        <f>IF(AND(Option_Sys_TopUp&gt;="Y",H311&gt;=sytp,H311&lt;=(dtp+sytp-1),F311=0,H311&lt;=ppt+1),atp,0)+IFERROR(VLOOKUP(H311,Input!$B$55:$C$61,2,0),0)*(F311=0)*(Option_TopUP="Y")*(Option_Sys_TopUp="N")*B311*(pt&gt;=H311+5)</f>
        <v>0</v>
      </c>
      <c r="AK311" s="50">
        <f t="shared" si="217"/>
        <v>0</v>
      </c>
      <c r="AL311" s="50">
        <f t="shared" si="238"/>
        <v>0</v>
      </c>
      <c r="AM311" s="50">
        <f t="shared" ca="1" si="239"/>
        <v>0</v>
      </c>
      <c r="AN311" s="50">
        <f>IF(B311=0,0,AT311*(_rpm1+(1+_emr1)*VLOOKUP(E311,Tab_Mort_Charge,IF(Input!$C$12="M",2,3),0))*(0.001*0.0833)*Flag_Mort_Rider_Charge*(AT311&gt;0))</f>
        <v>0</v>
      </c>
      <c r="AO311" s="50">
        <f t="shared" ca="1" si="218"/>
        <v>0</v>
      </c>
      <c r="AP311" s="50">
        <f t="shared" ca="1" si="245"/>
        <v>0</v>
      </c>
      <c r="AQ311" s="50">
        <f t="shared" ca="1" si="219"/>
        <v>0</v>
      </c>
      <c r="AR311" s="50">
        <f t="shared" ca="1" si="220"/>
        <v>0</v>
      </c>
      <c r="AS311" s="50">
        <f t="shared" si="221"/>
        <v>0</v>
      </c>
      <c r="AT311" s="50">
        <f ca="1">(MAX((MAX(AS311,105%*SUM($AJ$7:AJ311))-AM311*Flag_UL_Type),0)*B311)</f>
        <v>0</v>
      </c>
      <c r="AU311" s="50">
        <f ca="1">(MAX(AS311,AR311,105%*SUM($AJ$7:AJ311))*B311)</f>
        <v>0</v>
      </c>
      <c r="AV311" s="125"/>
      <c r="AW311" s="13"/>
      <c r="AX311" s="13"/>
      <c r="AY311" s="13"/>
      <c r="AZ311" s="13"/>
      <c r="BA311" s="13"/>
      <c r="BG311" s="51">
        <f t="shared" si="222"/>
        <v>0</v>
      </c>
      <c r="BH311" s="51">
        <f t="shared" si="223"/>
        <v>0</v>
      </c>
      <c r="BI311" s="51">
        <f t="shared" ca="1" si="224"/>
        <v>0</v>
      </c>
      <c r="BJ311" s="51">
        <f t="shared" ca="1" si="225"/>
        <v>0</v>
      </c>
      <c r="BK311" s="51">
        <f t="shared" si="226"/>
        <v>0</v>
      </c>
      <c r="BL311" s="51">
        <f t="shared" ca="1" si="227"/>
        <v>0</v>
      </c>
      <c r="BM311" s="51">
        <f t="shared" si="228"/>
        <v>0</v>
      </c>
      <c r="BN311" s="51">
        <f t="shared" si="229"/>
        <v>0</v>
      </c>
      <c r="BO311" s="51">
        <f t="shared" ca="1" si="230"/>
        <v>0</v>
      </c>
      <c r="BP311" s="51">
        <f t="shared" ca="1" si="231"/>
        <v>0</v>
      </c>
      <c r="BQ311" s="120"/>
      <c r="BR311" s="32"/>
      <c r="BS311" s="126"/>
      <c r="BT311" s="16"/>
      <c r="BU311" s="58"/>
      <c r="BW311" s="51">
        <f>IF(Input!$C$13="Offline",VLOOKUP(H311,Charges!$AT$4:$AU$33,2,FALSE)*I311,0)</f>
        <v>0</v>
      </c>
      <c r="BX311" s="51">
        <f t="shared" si="232"/>
        <v>0</v>
      </c>
      <c r="BY311" s="51">
        <f t="shared" si="240"/>
        <v>0</v>
      </c>
      <c r="BZ311" s="151"/>
      <c r="CA311" s="151"/>
      <c r="CB311" s="32"/>
      <c r="CC311" s="16">
        <f ca="1">SUM($N$7:$N311)</f>
        <v>0</v>
      </c>
      <c r="CD311" s="16">
        <f t="shared" ca="1" si="233"/>
        <v>0</v>
      </c>
      <c r="CE311" s="16">
        <f t="shared" ca="1" si="234"/>
        <v>0</v>
      </c>
      <c r="CF311" s="7">
        <f t="shared" ca="1" si="235"/>
        <v>0</v>
      </c>
      <c r="CH311" s="7">
        <f t="shared" ca="1" si="236"/>
        <v>0</v>
      </c>
    </row>
    <row r="312" spans="2:86" s="7" customFormat="1" x14ac:dyDescent="0.2">
      <c r="B312" s="14">
        <f t="shared" si="200"/>
        <v>0</v>
      </c>
      <c r="C312" s="12">
        <f t="shared" si="201"/>
        <v>0</v>
      </c>
      <c r="D312" s="17">
        <f t="shared" si="241"/>
        <v>306</v>
      </c>
      <c r="E312" s="17">
        <f t="shared" ca="1" si="202"/>
        <v>85</v>
      </c>
      <c r="F312" s="12">
        <f t="shared" si="243"/>
        <v>5</v>
      </c>
      <c r="G312" s="12">
        <f t="shared" si="242"/>
        <v>51</v>
      </c>
      <c r="H312" s="17">
        <f t="shared" si="244"/>
        <v>26</v>
      </c>
      <c r="I312" s="29">
        <f t="shared" si="203"/>
        <v>0</v>
      </c>
      <c r="J312" s="211">
        <f>IFERROR(VLOOKUP(H312,Charges!$T$6:$U$35,2,0)*C312,0)</f>
        <v>0</v>
      </c>
      <c r="K312" s="29">
        <f t="shared" si="204"/>
        <v>0</v>
      </c>
      <c r="L312" s="29">
        <f t="shared" si="205"/>
        <v>0</v>
      </c>
      <c r="M312" s="147">
        <f t="shared" ca="1" si="206"/>
        <v>0</v>
      </c>
      <c r="N312" s="148">
        <f ca="1">IF(AND(Option_SPW="Y",H312&gt;=Lock_In_Period,Z311&gt;SPW_Amount_pa+IF(option="Single",1/5*pr,2*pr),H312&gt;=SPW_Start_Year,H312&lt;=SPW_Start_Year+SPW_Duration-1,age+H312&gt;=Legal_Age),IF(AND(F312=0,SPW_Payout_Freq=1),SPW_Amount_pa,IF(AND(SPW_Payout_Freq=2,MOD(F312,6)=0),SPW_Amount_pa/SPW_Payout_Freq,IF(AND(SPW_Payout_Freq=4,MOD(F312,3)=0),SPW_Amount_pa/SPW_Payout_Freq,IF(SPW_Payout_Freq=12,SPW_Amount_pa/SPW_Payout_Freq,0)))),0)+IFERROR(VLOOKUP(H312,Input!$B$68:$C$74,2,0),0)*(F312=0)*(Option_PW="Y")*(Option_SPW="N")*(age+H312&gt;=Legal_Age)</f>
        <v>0</v>
      </c>
      <c r="O312" s="148">
        <f t="shared" ca="1" si="207"/>
        <v>0</v>
      </c>
      <c r="P312" s="14">
        <f ca="1">(MAX(MAX(sa-CF311*Flag_UL_Type,105%*SUM($I$7:I312))-(AD311+L312-N312)*Flag_UL_Type,0)*B312)</f>
        <v>0</v>
      </c>
      <c r="Q312" s="213">
        <f t="shared" si="208"/>
        <v>0</v>
      </c>
      <c r="R312" s="14">
        <f t="shared" ca="1" si="209"/>
        <v>0</v>
      </c>
      <c r="S312" s="14">
        <f t="shared" ca="1" si="210"/>
        <v>0</v>
      </c>
      <c r="T312" s="14">
        <f>IFERROR(IF(WoP_Flag="Y",IF(fq=1,VLOOKUP(ppt*fq-H312,Charges!$AN$41:$AO$59,2,FALSE),IF(fq=2,VLOOKUP(ppt*fq-G312,Charges!$AP$41:$AQ$79,2,FALSE),VLOOKUP(ppt*fq-D312,Charges!$AR$41:$AS$279,2,FALSE)))*pr/fq,0),0)</f>
        <v>0</v>
      </c>
      <c r="U312" s="14">
        <f t="shared" ca="1" si="211"/>
        <v>0</v>
      </c>
      <c r="V312" s="34">
        <f>ROUND(MIN(IF(H312&gt;=7,Charges!$C$12*(1+Charges!$C$14)^((H312-7+1)),VLOOKUP(H312,Charges!$B$7:$C$12,2,0))*pr,Charges!$C$13)*B312,Round)</f>
        <v>0</v>
      </c>
      <c r="W312" s="14">
        <f t="shared" ca="1" si="212"/>
        <v>0</v>
      </c>
      <c r="X312" s="14">
        <f t="shared" ca="1" si="213"/>
        <v>0</v>
      </c>
      <c r="Y312" s="213">
        <f t="shared" ca="1" si="237"/>
        <v>0</v>
      </c>
      <c r="Z312" s="14">
        <f t="shared" ca="1" si="214"/>
        <v>0</v>
      </c>
      <c r="AA312" s="14">
        <f>IF(AND($H312=pt,$F312=11),SUM($K$7:K312)*VLOOKUP(pt,ROC,2,FALSE),0)</f>
        <v>0</v>
      </c>
      <c r="AB312" s="14">
        <f>IF(AND($H312=pt,$F312=11),SUM($V$7:V312)*VLOOKUP(pt,ROC,2,FALSE),0)</f>
        <v>0</v>
      </c>
      <c r="AC312" s="14">
        <f>IF(AND($H312=pt,$F312=11),SUM($Q$7:Q312)*VLOOKUP(pt,ROC,2,FALSE),0)</f>
        <v>0</v>
      </c>
      <c r="AD312" s="14">
        <f t="shared" ca="1" si="215"/>
        <v>0</v>
      </c>
      <c r="AE312" s="14">
        <f ca="1">(MAX(sa-CF311*Flag_UL_Type,105%*SUM($I$7:I312),Z312)+AU312)*B312</f>
        <v>0</v>
      </c>
      <c r="AF312" s="136"/>
      <c r="AG312" s="18">
        <v>306</v>
      </c>
      <c r="AH312" s="30">
        <f t="shared" ca="1" si="216"/>
        <v>0</v>
      </c>
      <c r="AI312" s="58"/>
      <c r="AJ312" s="50">
        <f>IF(AND(Option_Sys_TopUp&gt;="Y",H312&gt;=sytp,H312&lt;=(dtp+sytp-1),F312=0,H312&lt;=ppt+1),atp,0)+IFERROR(VLOOKUP(H312,Input!$B$55:$C$61,2,0),0)*(F312=0)*(Option_TopUP="Y")*(Option_Sys_TopUp="N")*B312*(pt&gt;=H312+5)</f>
        <v>0</v>
      </c>
      <c r="AK312" s="50">
        <f t="shared" si="217"/>
        <v>0</v>
      </c>
      <c r="AL312" s="50">
        <f t="shared" si="238"/>
        <v>0</v>
      </c>
      <c r="AM312" s="50">
        <f t="shared" ca="1" si="239"/>
        <v>0</v>
      </c>
      <c r="AN312" s="50">
        <f>IF(B312=0,0,AT312*(_rpm1+(1+_emr1)*VLOOKUP(E312,Tab_Mort_Charge,IF(Input!$C$12="M",2,3),0))*(0.001*0.0833)*Flag_Mort_Rider_Charge*(AT312&gt;0))</f>
        <v>0</v>
      </c>
      <c r="AO312" s="50">
        <f t="shared" ca="1" si="218"/>
        <v>0</v>
      </c>
      <c r="AP312" s="50">
        <f t="shared" ca="1" si="245"/>
        <v>0</v>
      </c>
      <c r="AQ312" s="50">
        <f t="shared" ca="1" si="219"/>
        <v>0</v>
      </c>
      <c r="AR312" s="50">
        <f t="shared" ca="1" si="220"/>
        <v>0</v>
      </c>
      <c r="AS312" s="50">
        <f t="shared" si="221"/>
        <v>0</v>
      </c>
      <c r="AT312" s="50">
        <f ca="1">(MAX((MAX(AS312,105%*SUM($AJ$7:AJ312))-AM312*Flag_UL_Type),0)*B312)</f>
        <v>0</v>
      </c>
      <c r="AU312" s="50">
        <f ca="1">(MAX(AS312,AR312,105%*SUM($AJ$7:AJ312))*B312)</f>
        <v>0</v>
      </c>
      <c r="AV312" s="125"/>
      <c r="AW312" s="13"/>
      <c r="AX312" s="13"/>
      <c r="AY312" s="13"/>
      <c r="AZ312" s="13"/>
      <c r="BA312" s="13"/>
      <c r="BG312" s="51">
        <f t="shared" si="222"/>
        <v>0</v>
      </c>
      <c r="BH312" s="51">
        <f t="shared" si="223"/>
        <v>0</v>
      </c>
      <c r="BI312" s="51">
        <f t="shared" ca="1" si="224"/>
        <v>0</v>
      </c>
      <c r="BJ312" s="51">
        <f t="shared" ca="1" si="225"/>
        <v>0</v>
      </c>
      <c r="BK312" s="51">
        <f t="shared" si="226"/>
        <v>0</v>
      </c>
      <c r="BL312" s="51">
        <f t="shared" ca="1" si="227"/>
        <v>0</v>
      </c>
      <c r="BM312" s="51">
        <f t="shared" si="228"/>
        <v>0</v>
      </c>
      <c r="BN312" s="51">
        <f t="shared" si="229"/>
        <v>0</v>
      </c>
      <c r="BO312" s="51">
        <f t="shared" ca="1" si="230"/>
        <v>0</v>
      </c>
      <c r="BP312" s="51">
        <f t="shared" ca="1" si="231"/>
        <v>0</v>
      </c>
      <c r="BQ312" s="120"/>
      <c r="BR312" s="32"/>
      <c r="BS312" s="126"/>
      <c r="BT312" s="16"/>
      <c r="BU312" s="58"/>
      <c r="BW312" s="51">
        <f>IF(Input!$C$13="Offline",VLOOKUP(H312,Charges!$AT$4:$AU$33,2,FALSE)*I312,0)</f>
        <v>0</v>
      </c>
      <c r="BX312" s="51">
        <f t="shared" si="232"/>
        <v>0</v>
      </c>
      <c r="BY312" s="51">
        <f t="shared" si="240"/>
        <v>0</v>
      </c>
      <c r="BZ312" s="151"/>
      <c r="CA312" s="151"/>
      <c r="CB312" s="32"/>
      <c r="CC312" s="16">
        <f ca="1">SUM($N$7:$N312)</f>
        <v>0</v>
      </c>
      <c r="CD312" s="16">
        <f t="shared" ca="1" si="233"/>
        <v>0</v>
      </c>
      <c r="CE312" s="16">
        <f t="shared" ca="1" si="234"/>
        <v>0</v>
      </c>
      <c r="CF312" s="7">
        <f t="shared" ca="1" si="235"/>
        <v>0</v>
      </c>
      <c r="CH312" s="7">
        <f t="shared" ca="1" si="236"/>
        <v>0</v>
      </c>
    </row>
    <row r="313" spans="2:86" s="7" customFormat="1" x14ac:dyDescent="0.2">
      <c r="B313" s="14">
        <f t="shared" si="200"/>
        <v>0</v>
      </c>
      <c r="C313" s="12">
        <f t="shared" si="201"/>
        <v>0</v>
      </c>
      <c r="D313" s="17">
        <f t="shared" si="241"/>
        <v>307</v>
      </c>
      <c r="E313" s="17">
        <f t="shared" ca="1" si="202"/>
        <v>85</v>
      </c>
      <c r="F313" s="12">
        <f t="shared" si="243"/>
        <v>6</v>
      </c>
      <c r="G313" s="12">
        <f t="shared" si="242"/>
        <v>52</v>
      </c>
      <c r="H313" s="17">
        <f t="shared" si="244"/>
        <v>26</v>
      </c>
      <c r="I313" s="29">
        <f t="shared" si="203"/>
        <v>0</v>
      </c>
      <c r="J313" s="211">
        <f>IFERROR(VLOOKUP(H313,Charges!$T$6:$U$35,2,0)*C313,0)</f>
        <v>0</v>
      </c>
      <c r="K313" s="29">
        <f t="shared" si="204"/>
        <v>0</v>
      </c>
      <c r="L313" s="29">
        <f t="shared" si="205"/>
        <v>0</v>
      </c>
      <c r="M313" s="147">
        <f t="shared" ca="1" si="206"/>
        <v>0</v>
      </c>
      <c r="N313" s="148">
        <f ca="1">IF(AND(Option_SPW="Y",H313&gt;=Lock_In_Period,Z312&gt;SPW_Amount_pa+IF(option="Single",1/5*pr,2*pr),H313&gt;=SPW_Start_Year,H313&lt;=SPW_Start_Year+SPW_Duration-1,age+H313&gt;=Legal_Age),IF(AND(F313=0,SPW_Payout_Freq=1),SPW_Amount_pa,IF(AND(SPW_Payout_Freq=2,MOD(F313,6)=0),SPW_Amount_pa/SPW_Payout_Freq,IF(AND(SPW_Payout_Freq=4,MOD(F313,3)=0),SPW_Amount_pa/SPW_Payout_Freq,IF(SPW_Payout_Freq=12,SPW_Amount_pa/SPW_Payout_Freq,0)))),0)+IFERROR(VLOOKUP(H313,Input!$B$68:$C$74,2,0),0)*(F313=0)*(Option_PW="Y")*(Option_SPW="N")*(age+H313&gt;=Legal_Age)</f>
        <v>0</v>
      </c>
      <c r="O313" s="148">
        <f t="shared" ca="1" si="207"/>
        <v>0</v>
      </c>
      <c r="P313" s="14">
        <f ca="1">(MAX(MAX(sa-CF312*Flag_UL_Type,105%*SUM($I$7:I313))-(AD312+L313-N313)*Flag_UL_Type,0)*B313)</f>
        <v>0</v>
      </c>
      <c r="Q313" s="213">
        <f t="shared" si="208"/>
        <v>0</v>
      </c>
      <c r="R313" s="14">
        <f t="shared" ca="1" si="209"/>
        <v>0</v>
      </c>
      <c r="S313" s="14">
        <f t="shared" ca="1" si="210"/>
        <v>0</v>
      </c>
      <c r="T313" s="14">
        <f>IFERROR(IF(WoP_Flag="Y",IF(fq=1,VLOOKUP(ppt*fq-H313,Charges!$AN$41:$AO$59,2,FALSE),IF(fq=2,VLOOKUP(ppt*fq-G313,Charges!$AP$41:$AQ$79,2,FALSE),VLOOKUP(ppt*fq-D313,Charges!$AR$41:$AS$279,2,FALSE)))*pr/fq,0),0)</f>
        <v>0</v>
      </c>
      <c r="U313" s="14">
        <f t="shared" ca="1" si="211"/>
        <v>0</v>
      </c>
      <c r="V313" s="34">
        <f>ROUND(MIN(IF(H313&gt;=7,Charges!$C$12*(1+Charges!$C$14)^((H313-7+1)),VLOOKUP(H313,Charges!$B$7:$C$12,2,0))*pr,Charges!$C$13)*B313,Round)</f>
        <v>0</v>
      </c>
      <c r="W313" s="14">
        <f t="shared" ca="1" si="212"/>
        <v>0</v>
      </c>
      <c r="X313" s="14">
        <f t="shared" ca="1" si="213"/>
        <v>0</v>
      </c>
      <c r="Y313" s="213">
        <f t="shared" ca="1" si="237"/>
        <v>0</v>
      </c>
      <c r="Z313" s="14">
        <f t="shared" ca="1" si="214"/>
        <v>0</v>
      </c>
      <c r="AA313" s="14">
        <f>IF(AND($H313=pt,$F313=11),SUM($K$7:K313)*VLOOKUP(pt,ROC,2,FALSE),0)</f>
        <v>0</v>
      </c>
      <c r="AB313" s="14">
        <f>IF(AND($H313=pt,$F313=11),SUM($V$7:V313)*VLOOKUP(pt,ROC,2,FALSE),0)</f>
        <v>0</v>
      </c>
      <c r="AC313" s="14">
        <f>IF(AND($H313=pt,$F313=11),SUM($Q$7:Q313)*VLOOKUP(pt,ROC,2,FALSE),0)</f>
        <v>0</v>
      </c>
      <c r="AD313" s="14">
        <f t="shared" ca="1" si="215"/>
        <v>0</v>
      </c>
      <c r="AE313" s="14">
        <f ca="1">(MAX(sa-CF312*Flag_UL_Type,105%*SUM($I$7:I313),Z313)+AU313)*B313</f>
        <v>0</v>
      </c>
      <c r="AF313" s="136"/>
      <c r="AG313" s="18">
        <v>307</v>
      </c>
      <c r="AH313" s="30">
        <f t="shared" ca="1" si="216"/>
        <v>0</v>
      </c>
      <c r="AI313" s="58"/>
      <c r="AJ313" s="50">
        <f>IF(AND(Option_Sys_TopUp&gt;="Y",H313&gt;=sytp,H313&lt;=(dtp+sytp-1),F313=0,H313&lt;=ppt+1),atp,0)+IFERROR(VLOOKUP(H313,Input!$B$55:$C$61,2,0),0)*(F313=0)*(Option_TopUP="Y")*(Option_Sys_TopUp="N")*B313*(pt&gt;=H313+5)</f>
        <v>0</v>
      </c>
      <c r="AK313" s="50">
        <f t="shared" si="217"/>
        <v>0</v>
      </c>
      <c r="AL313" s="50">
        <f t="shared" si="238"/>
        <v>0</v>
      </c>
      <c r="AM313" s="50">
        <f t="shared" ca="1" si="239"/>
        <v>0</v>
      </c>
      <c r="AN313" s="50">
        <f>IF(B313=0,0,AT313*(_rpm1+(1+_emr1)*VLOOKUP(E313,Tab_Mort_Charge,IF(Input!$C$12="M",2,3),0))*(0.001*0.0833)*Flag_Mort_Rider_Charge*(AT313&gt;0))</f>
        <v>0</v>
      </c>
      <c r="AO313" s="50">
        <f t="shared" ca="1" si="218"/>
        <v>0</v>
      </c>
      <c r="AP313" s="50">
        <f t="shared" ca="1" si="245"/>
        <v>0</v>
      </c>
      <c r="AQ313" s="50">
        <f t="shared" ca="1" si="219"/>
        <v>0</v>
      </c>
      <c r="AR313" s="50">
        <f t="shared" ca="1" si="220"/>
        <v>0</v>
      </c>
      <c r="AS313" s="50">
        <f t="shared" si="221"/>
        <v>0</v>
      </c>
      <c r="AT313" s="50">
        <f ca="1">(MAX((MAX(AS313,105%*SUM($AJ$7:AJ313))-AM313*Flag_UL_Type),0)*B313)</f>
        <v>0</v>
      </c>
      <c r="AU313" s="50">
        <f ca="1">(MAX(AS313,AR313,105%*SUM($AJ$7:AJ313))*B313)</f>
        <v>0</v>
      </c>
      <c r="AV313" s="125"/>
      <c r="AW313" s="13"/>
      <c r="AX313" s="13"/>
      <c r="AY313" s="13"/>
      <c r="AZ313" s="13"/>
      <c r="BA313" s="13"/>
      <c r="BG313" s="51">
        <f t="shared" si="222"/>
        <v>0</v>
      </c>
      <c r="BH313" s="51">
        <f t="shared" si="223"/>
        <v>0</v>
      </c>
      <c r="BI313" s="51">
        <f t="shared" ca="1" si="224"/>
        <v>0</v>
      </c>
      <c r="BJ313" s="51">
        <f t="shared" ca="1" si="225"/>
        <v>0</v>
      </c>
      <c r="BK313" s="51">
        <f t="shared" si="226"/>
        <v>0</v>
      </c>
      <c r="BL313" s="51">
        <f t="shared" ca="1" si="227"/>
        <v>0</v>
      </c>
      <c r="BM313" s="51">
        <f t="shared" si="228"/>
        <v>0</v>
      </c>
      <c r="BN313" s="51">
        <f t="shared" si="229"/>
        <v>0</v>
      </c>
      <c r="BO313" s="51">
        <f t="shared" ca="1" si="230"/>
        <v>0</v>
      </c>
      <c r="BP313" s="51">
        <f t="shared" ca="1" si="231"/>
        <v>0</v>
      </c>
      <c r="BQ313" s="120"/>
      <c r="BR313" s="32"/>
      <c r="BS313" s="126"/>
      <c r="BT313" s="16"/>
      <c r="BU313" s="58"/>
      <c r="BW313" s="51">
        <f>IF(Input!$C$13="Offline",VLOOKUP(H313,Charges!$AT$4:$AU$33,2,FALSE)*I313,0)</f>
        <v>0</v>
      </c>
      <c r="BX313" s="51">
        <f t="shared" si="232"/>
        <v>0</v>
      </c>
      <c r="BY313" s="51">
        <f t="shared" si="240"/>
        <v>0</v>
      </c>
      <c r="BZ313" s="151"/>
      <c r="CA313" s="151"/>
      <c r="CB313" s="32"/>
      <c r="CC313" s="16">
        <f ca="1">SUM($N$7:$N313)</f>
        <v>0</v>
      </c>
      <c r="CD313" s="16">
        <f t="shared" ca="1" si="233"/>
        <v>0</v>
      </c>
      <c r="CE313" s="16">
        <f t="shared" ca="1" si="234"/>
        <v>0</v>
      </c>
      <c r="CF313" s="7">
        <f t="shared" ca="1" si="235"/>
        <v>0</v>
      </c>
      <c r="CH313" s="7">
        <f t="shared" ca="1" si="236"/>
        <v>0</v>
      </c>
    </row>
    <row r="314" spans="2:86" s="7" customFormat="1" x14ac:dyDescent="0.2">
      <c r="B314" s="14">
        <f t="shared" si="200"/>
        <v>0</v>
      </c>
      <c r="C314" s="12">
        <f t="shared" si="201"/>
        <v>0</v>
      </c>
      <c r="D314" s="17">
        <f t="shared" si="241"/>
        <v>308</v>
      </c>
      <c r="E314" s="17">
        <f t="shared" ca="1" si="202"/>
        <v>85</v>
      </c>
      <c r="F314" s="12">
        <f t="shared" si="243"/>
        <v>7</v>
      </c>
      <c r="G314" s="12">
        <f t="shared" si="242"/>
        <v>52</v>
      </c>
      <c r="H314" s="17">
        <f t="shared" si="244"/>
        <v>26</v>
      </c>
      <c r="I314" s="29">
        <f t="shared" si="203"/>
        <v>0</v>
      </c>
      <c r="J314" s="211">
        <f>IFERROR(VLOOKUP(H314,Charges!$T$6:$U$35,2,0)*C314,0)</f>
        <v>0</v>
      </c>
      <c r="K314" s="29">
        <f t="shared" si="204"/>
        <v>0</v>
      </c>
      <c r="L314" s="29">
        <f t="shared" si="205"/>
        <v>0</v>
      </c>
      <c r="M314" s="147">
        <f t="shared" ca="1" si="206"/>
        <v>0</v>
      </c>
      <c r="N314" s="148">
        <f ca="1">IF(AND(Option_SPW="Y",H314&gt;=Lock_In_Period,Z313&gt;SPW_Amount_pa+IF(option="Single",1/5*pr,2*pr),H314&gt;=SPW_Start_Year,H314&lt;=SPW_Start_Year+SPW_Duration-1,age+H314&gt;=Legal_Age),IF(AND(F314=0,SPW_Payout_Freq=1),SPW_Amount_pa,IF(AND(SPW_Payout_Freq=2,MOD(F314,6)=0),SPW_Amount_pa/SPW_Payout_Freq,IF(AND(SPW_Payout_Freq=4,MOD(F314,3)=0),SPW_Amount_pa/SPW_Payout_Freq,IF(SPW_Payout_Freq=12,SPW_Amount_pa/SPW_Payout_Freq,0)))),0)+IFERROR(VLOOKUP(H314,Input!$B$68:$C$74,2,0),0)*(F314=0)*(Option_PW="Y")*(Option_SPW="N")*(age+H314&gt;=Legal_Age)</f>
        <v>0</v>
      </c>
      <c r="O314" s="148">
        <f t="shared" ca="1" si="207"/>
        <v>0</v>
      </c>
      <c r="P314" s="14">
        <f ca="1">(MAX(MAX(sa-CF313*Flag_UL_Type,105%*SUM($I$7:I314))-(AD313+L314-N314)*Flag_UL_Type,0)*B314)</f>
        <v>0</v>
      </c>
      <c r="Q314" s="213">
        <f t="shared" si="208"/>
        <v>0</v>
      </c>
      <c r="R314" s="14">
        <f t="shared" ca="1" si="209"/>
        <v>0</v>
      </c>
      <c r="S314" s="14">
        <f t="shared" ca="1" si="210"/>
        <v>0</v>
      </c>
      <c r="T314" s="14">
        <f>IFERROR(IF(WoP_Flag="Y",IF(fq=1,VLOOKUP(ppt*fq-H314,Charges!$AN$41:$AO$59,2,FALSE),IF(fq=2,VLOOKUP(ppt*fq-G314,Charges!$AP$41:$AQ$79,2,FALSE),VLOOKUP(ppt*fq-D314,Charges!$AR$41:$AS$279,2,FALSE)))*pr/fq,0),0)</f>
        <v>0</v>
      </c>
      <c r="U314" s="14">
        <f t="shared" ca="1" si="211"/>
        <v>0</v>
      </c>
      <c r="V314" s="34">
        <f>ROUND(MIN(IF(H314&gt;=7,Charges!$C$12*(1+Charges!$C$14)^((H314-7+1)),VLOOKUP(H314,Charges!$B$7:$C$12,2,0))*pr,Charges!$C$13)*B314,Round)</f>
        <v>0</v>
      </c>
      <c r="W314" s="14">
        <f t="shared" ca="1" si="212"/>
        <v>0</v>
      </c>
      <c r="X314" s="14">
        <f t="shared" ca="1" si="213"/>
        <v>0</v>
      </c>
      <c r="Y314" s="213">
        <f t="shared" ca="1" si="237"/>
        <v>0</v>
      </c>
      <c r="Z314" s="14">
        <f t="shared" ca="1" si="214"/>
        <v>0</v>
      </c>
      <c r="AA314" s="14">
        <f>IF(AND($H314=pt,$F314=11),SUM($K$7:K314)*VLOOKUP(pt,ROC,2,FALSE),0)</f>
        <v>0</v>
      </c>
      <c r="AB314" s="14">
        <f>IF(AND($H314=pt,$F314=11),SUM($V$7:V314)*VLOOKUP(pt,ROC,2,FALSE),0)</f>
        <v>0</v>
      </c>
      <c r="AC314" s="14">
        <f>IF(AND($H314=pt,$F314=11),SUM($Q$7:Q314)*VLOOKUP(pt,ROC,2,FALSE),0)</f>
        <v>0</v>
      </c>
      <c r="AD314" s="14">
        <f t="shared" ca="1" si="215"/>
        <v>0</v>
      </c>
      <c r="AE314" s="14">
        <f ca="1">(MAX(sa-CF313*Flag_UL_Type,105%*SUM($I$7:I314),Z314)+AU314)*B314</f>
        <v>0</v>
      </c>
      <c r="AF314" s="136"/>
      <c r="AG314" s="18">
        <v>308</v>
      </c>
      <c r="AH314" s="30">
        <f t="shared" ca="1" si="216"/>
        <v>0</v>
      </c>
      <c r="AI314" s="58"/>
      <c r="AJ314" s="50">
        <f>IF(AND(Option_Sys_TopUp&gt;="Y",H314&gt;=sytp,H314&lt;=(dtp+sytp-1),F314=0,H314&lt;=ppt+1),atp,0)+IFERROR(VLOOKUP(H314,Input!$B$55:$C$61,2,0),0)*(F314=0)*(Option_TopUP="Y")*(Option_Sys_TopUp="N")*B314*(pt&gt;=H314+5)</f>
        <v>0</v>
      </c>
      <c r="AK314" s="50">
        <f t="shared" si="217"/>
        <v>0</v>
      </c>
      <c r="AL314" s="50">
        <f t="shared" si="238"/>
        <v>0</v>
      </c>
      <c r="AM314" s="50">
        <f t="shared" ca="1" si="239"/>
        <v>0</v>
      </c>
      <c r="AN314" s="50">
        <f>IF(B314=0,0,AT314*(_rpm1+(1+_emr1)*VLOOKUP(E314,Tab_Mort_Charge,IF(Input!$C$12="M",2,3),0))*(0.001*0.0833)*Flag_Mort_Rider_Charge*(AT314&gt;0))</f>
        <v>0</v>
      </c>
      <c r="AO314" s="50">
        <f t="shared" ca="1" si="218"/>
        <v>0</v>
      </c>
      <c r="AP314" s="50">
        <f t="shared" ca="1" si="245"/>
        <v>0</v>
      </c>
      <c r="AQ314" s="50">
        <f t="shared" ca="1" si="219"/>
        <v>0</v>
      </c>
      <c r="AR314" s="50">
        <f t="shared" ca="1" si="220"/>
        <v>0</v>
      </c>
      <c r="AS314" s="50">
        <f t="shared" si="221"/>
        <v>0</v>
      </c>
      <c r="AT314" s="50">
        <f ca="1">(MAX((MAX(AS314,105%*SUM($AJ$7:AJ314))-AM314*Flag_UL_Type),0)*B314)</f>
        <v>0</v>
      </c>
      <c r="AU314" s="50">
        <f ca="1">(MAX(AS314,AR314,105%*SUM($AJ$7:AJ314))*B314)</f>
        <v>0</v>
      </c>
      <c r="AV314" s="125"/>
      <c r="AW314" s="13"/>
      <c r="AX314" s="13"/>
      <c r="AY314" s="13"/>
      <c r="AZ314" s="13"/>
      <c r="BA314" s="13"/>
      <c r="BG314" s="51">
        <f t="shared" si="222"/>
        <v>0</v>
      </c>
      <c r="BH314" s="51">
        <f t="shared" si="223"/>
        <v>0</v>
      </c>
      <c r="BI314" s="51">
        <f t="shared" ca="1" si="224"/>
        <v>0</v>
      </c>
      <c r="BJ314" s="51">
        <f t="shared" ca="1" si="225"/>
        <v>0</v>
      </c>
      <c r="BK314" s="51">
        <f t="shared" si="226"/>
        <v>0</v>
      </c>
      <c r="BL314" s="51">
        <f t="shared" ca="1" si="227"/>
        <v>0</v>
      </c>
      <c r="BM314" s="51">
        <f t="shared" si="228"/>
        <v>0</v>
      </c>
      <c r="BN314" s="51">
        <f t="shared" si="229"/>
        <v>0</v>
      </c>
      <c r="BO314" s="51">
        <f t="shared" ca="1" si="230"/>
        <v>0</v>
      </c>
      <c r="BP314" s="51">
        <f t="shared" ca="1" si="231"/>
        <v>0</v>
      </c>
      <c r="BQ314" s="120"/>
      <c r="BR314" s="32"/>
      <c r="BS314" s="126"/>
      <c r="BT314" s="16"/>
      <c r="BU314" s="58"/>
      <c r="BW314" s="51">
        <f>IF(Input!$C$13="Offline",VLOOKUP(H314,Charges!$AT$4:$AU$33,2,FALSE)*I314,0)</f>
        <v>0</v>
      </c>
      <c r="BX314" s="51">
        <f t="shared" si="232"/>
        <v>0</v>
      </c>
      <c r="BY314" s="51">
        <f t="shared" si="240"/>
        <v>0</v>
      </c>
      <c r="BZ314" s="151"/>
      <c r="CA314" s="151"/>
      <c r="CB314" s="32"/>
      <c r="CC314" s="16">
        <f ca="1">SUM($N$7:$N314)</f>
        <v>0</v>
      </c>
      <c r="CD314" s="16">
        <f t="shared" ca="1" si="233"/>
        <v>0</v>
      </c>
      <c r="CE314" s="16">
        <f t="shared" ca="1" si="234"/>
        <v>0</v>
      </c>
      <c r="CF314" s="7">
        <f t="shared" ca="1" si="235"/>
        <v>0</v>
      </c>
      <c r="CH314" s="7">
        <f t="shared" ca="1" si="236"/>
        <v>0</v>
      </c>
    </row>
    <row r="315" spans="2:86" s="7" customFormat="1" x14ac:dyDescent="0.2">
      <c r="B315" s="14">
        <f t="shared" si="200"/>
        <v>0</v>
      </c>
      <c r="C315" s="12">
        <f t="shared" si="201"/>
        <v>0</v>
      </c>
      <c r="D315" s="17">
        <f t="shared" si="241"/>
        <v>309</v>
      </c>
      <c r="E315" s="17">
        <f t="shared" ca="1" si="202"/>
        <v>85</v>
      </c>
      <c r="F315" s="12">
        <f t="shared" si="243"/>
        <v>8</v>
      </c>
      <c r="G315" s="12">
        <f t="shared" si="242"/>
        <v>52</v>
      </c>
      <c r="H315" s="17">
        <f t="shared" si="244"/>
        <v>26</v>
      </c>
      <c r="I315" s="29">
        <f t="shared" si="203"/>
        <v>0</v>
      </c>
      <c r="J315" s="211">
        <f>IFERROR(VLOOKUP(H315,Charges!$T$6:$U$35,2,0)*C315,0)</f>
        <v>0</v>
      </c>
      <c r="K315" s="29">
        <f t="shared" si="204"/>
        <v>0</v>
      </c>
      <c r="L315" s="29">
        <f t="shared" si="205"/>
        <v>0</v>
      </c>
      <c r="M315" s="147">
        <f t="shared" ca="1" si="206"/>
        <v>0</v>
      </c>
      <c r="N315" s="148">
        <f ca="1">IF(AND(Option_SPW="Y",H315&gt;=Lock_In_Period,Z314&gt;SPW_Amount_pa+IF(option="Single",1/5*pr,2*pr),H315&gt;=SPW_Start_Year,H315&lt;=SPW_Start_Year+SPW_Duration-1,age+H315&gt;=Legal_Age),IF(AND(F315=0,SPW_Payout_Freq=1),SPW_Amount_pa,IF(AND(SPW_Payout_Freq=2,MOD(F315,6)=0),SPW_Amount_pa/SPW_Payout_Freq,IF(AND(SPW_Payout_Freq=4,MOD(F315,3)=0),SPW_Amount_pa/SPW_Payout_Freq,IF(SPW_Payout_Freq=12,SPW_Amount_pa/SPW_Payout_Freq,0)))),0)+IFERROR(VLOOKUP(H315,Input!$B$68:$C$74,2,0),0)*(F315=0)*(Option_PW="Y")*(Option_SPW="N")*(age+H315&gt;=Legal_Age)</f>
        <v>0</v>
      </c>
      <c r="O315" s="148">
        <f t="shared" ca="1" si="207"/>
        <v>0</v>
      </c>
      <c r="P315" s="14">
        <f ca="1">(MAX(MAX(sa-CF314*Flag_UL_Type,105%*SUM($I$7:I315))-(AD314+L315-N315)*Flag_UL_Type,0)*B315)</f>
        <v>0</v>
      </c>
      <c r="Q315" s="213">
        <f t="shared" si="208"/>
        <v>0</v>
      </c>
      <c r="R315" s="14">
        <f t="shared" ca="1" si="209"/>
        <v>0</v>
      </c>
      <c r="S315" s="14">
        <f t="shared" ca="1" si="210"/>
        <v>0</v>
      </c>
      <c r="T315" s="14">
        <f>IFERROR(IF(WoP_Flag="Y",IF(fq=1,VLOOKUP(ppt*fq-H315,Charges!$AN$41:$AO$59,2,FALSE),IF(fq=2,VLOOKUP(ppt*fq-G315,Charges!$AP$41:$AQ$79,2,FALSE),VLOOKUP(ppt*fq-D315,Charges!$AR$41:$AS$279,2,FALSE)))*pr/fq,0),0)</f>
        <v>0</v>
      </c>
      <c r="U315" s="14">
        <f t="shared" ca="1" si="211"/>
        <v>0</v>
      </c>
      <c r="V315" s="34">
        <f>ROUND(MIN(IF(H315&gt;=7,Charges!$C$12*(1+Charges!$C$14)^((H315-7+1)),VLOOKUP(H315,Charges!$B$7:$C$12,2,0))*pr,Charges!$C$13)*B315,Round)</f>
        <v>0</v>
      </c>
      <c r="W315" s="14">
        <f t="shared" ca="1" si="212"/>
        <v>0</v>
      </c>
      <c r="X315" s="14">
        <f t="shared" ca="1" si="213"/>
        <v>0</v>
      </c>
      <c r="Y315" s="213">
        <f t="shared" ca="1" si="237"/>
        <v>0</v>
      </c>
      <c r="Z315" s="14">
        <f t="shared" ca="1" si="214"/>
        <v>0</v>
      </c>
      <c r="AA315" s="14">
        <f>IF(AND($H315=pt,$F315=11),SUM($K$7:K315)*VLOOKUP(pt,ROC,2,FALSE),0)</f>
        <v>0</v>
      </c>
      <c r="AB315" s="14">
        <f>IF(AND($H315=pt,$F315=11),SUM($V$7:V315)*VLOOKUP(pt,ROC,2,FALSE),0)</f>
        <v>0</v>
      </c>
      <c r="AC315" s="14">
        <f>IF(AND($H315=pt,$F315=11),SUM($Q$7:Q315)*VLOOKUP(pt,ROC,2,FALSE),0)</f>
        <v>0</v>
      </c>
      <c r="AD315" s="14">
        <f t="shared" ca="1" si="215"/>
        <v>0</v>
      </c>
      <c r="AE315" s="14">
        <f ca="1">(MAX(sa-CF314*Flag_UL_Type,105%*SUM($I$7:I315),Z315)+AU315)*B315</f>
        <v>0</v>
      </c>
      <c r="AF315" s="136"/>
      <c r="AG315" s="18">
        <v>309</v>
      </c>
      <c r="AH315" s="30">
        <f t="shared" ca="1" si="216"/>
        <v>0</v>
      </c>
      <c r="AI315" s="58"/>
      <c r="AJ315" s="50">
        <f>IF(AND(Option_Sys_TopUp&gt;="Y",H315&gt;=sytp,H315&lt;=(dtp+sytp-1),F315=0,H315&lt;=ppt+1),atp,0)+IFERROR(VLOOKUP(H315,Input!$B$55:$C$61,2,0),0)*(F315=0)*(Option_TopUP="Y")*(Option_Sys_TopUp="N")*B315*(pt&gt;=H315+5)</f>
        <v>0</v>
      </c>
      <c r="AK315" s="50">
        <f t="shared" si="217"/>
        <v>0</v>
      </c>
      <c r="AL315" s="50">
        <f t="shared" si="238"/>
        <v>0</v>
      </c>
      <c r="AM315" s="50">
        <f t="shared" ca="1" si="239"/>
        <v>0</v>
      </c>
      <c r="AN315" s="50">
        <f>IF(B315=0,0,AT315*(_rpm1+(1+_emr1)*VLOOKUP(E315,Tab_Mort_Charge,IF(Input!$C$12="M",2,3),0))*(0.001*0.0833)*Flag_Mort_Rider_Charge*(AT315&gt;0))</f>
        <v>0</v>
      </c>
      <c r="AO315" s="50">
        <f t="shared" ca="1" si="218"/>
        <v>0</v>
      </c>
      <c r="AP315" s="50">
        <f t="shared" ca="1" si="245"/>
        <v>0</v>
      </c>
      <c r="AQ315" s="50">
        <f t="shared" ca="1" si="219"/>
        <v>0</v>
      </c>
      <c r="AR315" s="50">
        <f t="shared" ca="1" si="220"/>
        <v>0</v>
      </c>
      <c r="AS315" s="50">
        <f t="shared" si="221"/>
        <v>0</v>
      </c>
      <c r="AT315" s="50">
        <f ca="1">(MAX((MAX(AS315,105%*SUM($AJ$7:AJ315))-AM315*Flag_UL_Type),0)*B315)</f>
        <v>0</v>
      </c>
      <c r="AU315" s="50">
        <f ca="1">(MAX(AS315,AR315,105%*SUM($AJ$7:AJ315))*B315)</f>
        <v>0</v>
      </c>
      <c r="AV315" s="125"/>
      <c r="AW315" s="13"/>
      <c r="AX315" s="13"/>
      <c r="AY315" s="13"/>
      <c r="AZ315" s="13"/>
      <c r="BA315" s="13"/>
      <c r="BG315" s="51">
        <f t="shared" si="222"/>
        <v>0</v>
      </c>
      <c r="BH315" s="51">
        <f t="shared" si="223"/>
        <v>0</v>
      </c>
      <c r="BI315" s="51">
        <f t="shared" ca="1" si="224"/>
        <v>0</v>
      </c>
      <c r="BJ315" s="51">
        <f t="shared" ca="1" si="225"/>
        <v>0</v>
      </c>
      <c r="BK315" s="51">
        <f t="shared" si="226"/>
        <v>0</v>
      </c>
      <c r="BL315" s="51">
        <f t="shared" ca="1" si="227"/>
        <v>0</v>
      </c>
      <c r="BM315" s="51">
        <f t="shared" si="228"/>
        <v>0</v>
      </c>
      <c r="BN315" s="51">
        <f t="shared" si="229"/>
        <v>0</v>
      </c>
      <c r="BO315" s="51">
        <f t="shared" ca="1" si="230"/>
        <v>0</v>
      </c>
      <c r="BP315" s="51">
        <f t="shared" ca="1" si="231"/>
        <v>0</v>
      </c>
      <c r="BQ315" s="120"/>
      <c r="BR315" s="32"/>
      <c r="BS315" s="126"/>
      <c r="BT315" s="16"/>
      <c r="BU315" s="58"/>
      <c r="BW315" s="51">
        <f>IF(Input!$C$13="Offline",VLOOKUP(H315,Charges!$AT$4:$AU$33,2,FALSE)*I315,0)</f>
        <v>0</v>
      </c>
      <c r="BX315" s="51">
        <f t="shared" si="232"/>
        <v>0</v>
      </c>
      <c r="BY315" s="51">
        <f t="shared" si="240"/>
        <v>0</v>
      </c>
      <c r="BZ315" s="151"/>
      <c r="CA315" s="151"/>
      <c r="CB315" s="32"/>
      <c r="CC315" s="16">
        <f ca="1">SUM($N$7:$N315)</f>
        <v>0</v>
      </c>
      <c r="CD315" s="16">
        <f t="shared" ca="1" si="233"/>
        <v>0</v>
      </c>
      <c r="CE315" s="16">
        <f t="shared" ca="1" si="234"/>
        <v>0</v>
      </c>
      <c r="CF315" s="7">
        <f t="shared" ca="1" si="235"/>
        <v>0</v>
      </c>
      <c r="CH315" s="7">
        <f t="shared" ca="1" si="236"/>
        <v>0</v>
      </c>
    </row>
    <row r="316" spans="2:86" s="7" customFormat="1" x14ac:dyDescent="0.2">
      <c r="B316" s="14">
        <f t="shared" si="200"/>
        <v>0</v>
      </c>
      <c r="C316" s="12">
        <f t="shared" si="201"/>
        <v>0</v>
      </c>
      <c r="D316" s="17">
        <f t="shared" si="241"/>
        <v>310</v>
      </c>
      <c r="E316" s="17">
        <f t="shared" ca="1" si="202"/>
        <v>85</v>
      </c>
      <c r="F316" s="12">
        <f t="shared" si="243"/>
        <v>9</v>
      </c>
      <c r="G316" s="12">
        <f t="shared" si="242"/>
        <v>52</v>
      </c>
      <c r="H316" s="17">
        <f t="shared" si="244"/>
        <v>26</v>
      </c>
      <c r="I316" s="29">
        <f t="shared" si="203"/>
        <v>0</v>
      </c>
      <c r="J316" s="211">
        <f>IFERROR(VLOOKUP(H316,Charges!$T$6:$U$35,2,0)*C316,0)</f>
        <v>0</v>
      </c>
      <c r="K316" s="29">
        <f t="shared" si="204"/>
        <v>0</v>
      </c>
      <c r="L316" s="29">
        <f t="shared" si="205"/>
        <v>0</v>
      </c>
      <c r="M316" s="147">
        <f t="shared" ca="1" si="206"/>
        <v>0</v>
      </c>
      <c r="N316" s="148">
        <f ca="1">IF(AND(Option_SPW="Y",H316&gt;=Lock_In_Period,Z315&gt;SPW_Amount_pa+IF(option="Single",1/5*pr,2*pr),H316&gt;=SPW_Start_Year,H316&lt;=SPW_Start_Year+SPW_Duration-1,age+H316&gt;=Legal_Age),IF(AND(F316=0,SPW_Payout_Freq=1),SPW_Amount_pa,IF(AND(SPW_Payout_Freq=2,MOD(F316,6)=0),SPW_Amount_pa/SPW_Payout_Freq,IF(AND(SPW_Payout_Freq=4,MOD(F316,3)=0),SPW_Amount_pa/SPW_Payout_Freq,IF(SPW_Payout_Freq=12,SPW_Amount_pa/SPW_Payout_Freq,0)))),0)+IFERROR(VLOOKUP(H316,Input!$B$68:$C$74,2,0),0)*(F316=0)*(Option_PW="Y")*(Option_SPW="N")*(age+H316&gt;=Legal_Age)</f>
        <v>0</v>
      </c>
      <c r="O316" s="148">
        <f t="shared" ca="1" si="207"/>
        <v>0</v>
      </c>
      <c r="P316" s="14">
        <f ca="1">(MAX(MAX(sa-CF315*Flag_UL_Type,105%*SUM($I$7:I316))-(AD315+L316-N316)*Flag_UL_Type,0)*B316)</f>
        <v>0</v>
      </c>
      <c r="Q316" s="213">
        <f t="shared" si="208"/>
        <v>0</v>
      </c>
      <c r="R316" s="14">
        <f t="shared" ca="1" si="209"/>
        <v>0</v>
      </c>
      <c r="S316" s="14">
        <f t="shared" ca="1" si="210"/>
        <v>0</v>
      </c>
      <c r="T316" s="14">
        <f>IFERROR(IF(WoP_Flag="Y",IF(fq=1,VLOOKUP(ppt*fq-H316,Charges!$AN$41:$AO$59,2,FALSE),IF(fq=2,VLOOKUP(ppt*fq-G316,Charges!$AP$41:$AQ$79,2,FALSE),VLOOKUP(ppt*fq-D316,Charges!$AR$41:$AS$279,2,FALSE)))*pr/fq,0),0)</f>
        <v>0</v>
      </c>
      <c r="U316" s="14">
        <f t="shared" ca="1" si="211"/>
        <v>0</v>
      </c>
      <c r="V316" s="34">
        <f>ROUND(MIN(IF(H316&gt;=7,Charges!$C$12*(1+Charges!$C$14)^((H316-7+1)),VLOOKUP(H316,Charges!$B$7:$C$12,2,0))*pr,Charges!$C$13)*B316,Round)</f>
        <v>0</v>
      </c>
      <c r="W316" s="14">
        <f t="shared" ca="1" si="212"/>
        <v>0</v>
      </c>
      <c r="X316" s="14">
        <f t="shared" ca="1" si="213"/>
        <v>0</v>
      </c>
      <c r="Y316" s="213">
        <f t="shared" ca="1" si="237"/>
        <v>0</v>
      </c>
      <c r="Z316" s="14">
        <f t="shared" ca="1" si="214"/>
        <v>0</v>
      </c>
      <c r="AA316" s="14">
        <f>IF(AND($H316=pt,$F316=11),SUM($K$7:K316)*VLOOKUP(pt,ROC,2,FALSE),0)</f>
        <v>0</v>
      </c>
      <c r="AB316" s="14">
        <f>IF(AND($H316=pt,$F316=11),SUM($V$7:V316)*VLOOKUP(pt,ROC,2,FALSE),0)</f>
        <v>0</v>
      </c>
      <c r="AC316" s="14">
        <f>IF(AND($H316=pt,$F316=11),SUM($Q$7:Q316)*VLOOKUP(pt,ROC,2,FALSE),0)</f>
        <v>0</v>
      </c>
      <c r="AD316" s="14">
        <f t="shared" ca="1" si="215"/>
        <v>0</v>
      </c>
      <c r="AE316" s="14">
        <f ca="1">(MAX(sa-CF315*Flag_UL_Type,105%*SUM($I$7:I316),Z316)+AU316)*B316</f>
        <v>0</v>
      </c>
      <c r="AF316" s="136"/>
      <c r="AG316" s="18">
        <v>310</v>
      </c>
      <c r="AH316" s="30">
        <f t="shared" ca="1" si="216"/>
        <v>0</v>
      </c>
      <c r="AI316" s="58"/>
      <c r="AJ316" s="50">
        <f>IF(AND(Option_Sys_TopUp&gt;="Y",H316&gt;=sytp,H316&lt;=(dtp+sytp-1),F316=0,H316&lt;=ppt+1),atp,0)+IFERROR(VLOOKUP(H316,Input!$B$55:$C$61,2,0),0)*(F316=0)*(Option_TopUP="Y")*(Option_Sys_TopUp="N")*B316*(pt&gt;=H316+5)</f>
        <v>0</v>
      </c>
      <c r="AK316" s="50">
        <f t="shared" si="217"/>
        <v>0</v>
      </c>
      <c r="AL316" s="50">
        <f t="shared" si="238"/>
        <v>0</v>
      </c>
      <c r="AM316" s="50">
        <f t="shared" ca="1" si="239"/>
        <v>0</v>
      </c>
      <c r="AN316" s="50">
        <f>IF(B316=0,0,AT316*(_rpm1+(1+_emr1)*VLOOKUP(E316,Tab_Mort_Charge,IF(Input!$C$12="M",2,3),0))*(0.001*0.0833)*Flag_Mort_Rider_Charge*(AT316&gt;0))</f>
        <v>0</v>
      </c>
      <c r="AO316" s="50">
        <f t="shared" ca="1" si="218"/>
        <v>0</v>
      </c>
      <c r="AP316" s="50">
        <f t="shared" ca="1" si="245"/>
        <v>0</v>
      </c>
      <c r="AQ316" s="50">
        <f t="shared" ca="1" si="219"/>
        <v>0</v>
      </c>
      <c r="AR316" s="50">
        <f t="shared" ca="1" si="220"/>
        <v>0</v>
      </c>
      <c r="AS316" s="50">
        <f t="shared" si="221"/>
        <v>0</v>
      </c>
      <c r="AT316" s="50">
        <f ca="1">(MAX((MAX(AS316,105%*SUM($AJ$7:AJ316))-AM316*Flag_UL_Type),0)*B316)</f>
        <v>0</v>
      </c>
      <c r="AU316" s="50">
        <f ca="1">(MAX(AS316,AR316,105%*SUM($AJ$7:AJ316))*B316)</f>
        <v>0</v>
      </c>
      <c r="AV316" s="125"/>
      <c r="AW316" s="13"/>
      <c r="AX316" s="13"/>
      <c r="AY316" s="13"/>
      <c r="AZ316" s="13"/>
      <c r="BA316" s="13"/>
      <c r="BG316" s="51">
        <f t="shared" si="222"/>
        <v>0</v>
      </c>
      <c r="BH316" s="51">
        <f t="shared" si="223"/>
        <v>0</v>
      </c>
      <c r="BI316" s="51">
        <f t="shared" ca="1" si="224"/>
        <v>0</v>
      </c>
      <c r="BJ316" s="51">
        <f t="shared" ca="1" si="225"/>
        <v>0</v>
      </c>
      <c r="BK316" s="51">
        <f t="shared" si="226"/>
        <v>0</v>
      </c>
      <c r="BL316" s="51">
        <f t="shared" ca="1" si="227"/>
        <v>0</v>
      </c>
      <c r="BM316" s="51">
        <f t="shared" si="228"/>
        <v>0</v>
      </c>
      <c r="BN316" s="51">
        <f t="shared" si="229"/>
        <v>0</v>
      </c>
      <c r="BO316" s="51">
        <f t="shared" ca="1" si="230"/>
        <v>0</v>
      </c>
      <c r="BP316" s="51">
        <f t="shared" ca="1" si="231"/>
        <v>0</v>
      </c>
      <c r="BQ316" s="120"/>
      <c r="BR316" s="32"/>
      <c r="BS316" s="126"/>
      <c r="BT316" s="16"/>
      <c r="BU316" s="58"/>
      <c r="BW316" s="51">
        <f>IF(Input!$C$13="Offline",VLOOKUP(H316,Charges!$AT$4:$AU$33,2,FALSE)*I316,0)</f>
        <v>0</v>
      </c>
      <c r="BX316" s="51">
        <f t="shared" si="232"/>
        <v>0</v>
      </c>
      <c r="BY316" s="51">
        <f t="shared" si="240"/>
        <v>0</v>
      </c>
      <c r="BZ316" s="151"/>
      <c r="CA316" s="151"/>
      <c r="CB316" s="32"/>
      <c r="CC316" s="16">
        <f ca="1">SUM($N$7:$N316)</f>
        <v>0</v>
      </c>
      <c r="CD316" s="16">
        <f t="shared" ca="1" si="233"/>
        <v>0</v>
      </c>
      <c r="CE316" s="16">
        <f t="shared" ca="1" si="234"/>
        <v>0</v>
      </c>
      <c r="CF316" s="7">
        <f t="shared" ca="1" si="235"/>
        <v>0</v>
      </c>
      <c r="CH316" s="7">
        <f t="shared" ca="1" si="236"/>
        <v>0</v>
      </c>
    </row>
    <row r="317" spans="2:86" s="7" customFormat="1" x14ac:dyDescent="0.2">
      <c r="B317" s="14">
        <f t="shared" si="200"/>
        <v>0</v>
      </c>
      <c r="C317" s="12">
        <f t="shared" si="201"/>
        <v>0</v>
      </c>
      <c r="D317" s="17">
        <f t="shared" si="241"/>
        <v>311</v>
      </c>
      <c r="E317" s="17">
        <f t="shared" ca="1" si="202"/>
        <v>85</v>
      </c>
      <c r="F317" s="12">
        <f t="shared" si="243"/>
        <v>10</v>
      </c>
      <c r="G317" s="12">
        <f t="shared" si="242"/>
        <v>52</v>
      </c>
      <c r="H317" s="17">
        <f t="shared" si="244"/>
        <v>26</v>
      </c>
      <c r="I317" s="29">
        <f t="shared" si="203"/>
        <v>0</v>
      </c>
      <c r="J317" s="211">
        <f>IFERROR(VLOOKUP(H317,Charges!$T$6:$U$35,2,0)*C317,0)</f>
        <v>0</v>
      </c>
      <c r="K317" s="29">
        <f t="shared" si="204"/>
        <v>0</v>
      </c>
      <c r="L317" s="29">
        <f t="shared" si="205"/>
        <v>0</v>
      </c>
      <c r="M317" s="147">
        <f t="shared" ca="1" si="206"/>
        <v>0</v>
      </c>
      <c r="N317" s="148">
        <f ca="1">IF(AND(Option_SPW="Y",H317&gt;=Lock_In_Period,Z316&gt;SPW_Amount_pa+IF(option="Single",1/5*pr,2*pr),H317&gt;=SPW_Start_Year,H317&lt;=SPW_Start_Year+SPW_Duration-1,age+H317&gt;=Legal_Age),IF(AND(F317=0,SPW_Payout_Freq=1),SPW_Amount_pa,IF(AND(SPW_Payout_Freq=2,MOD(F317,6)=0),SPW_Amount_pa/SPW_Payout_Freq,IF(AND(SPW_Payout_Freq=4,MOD(F317,3)=0),SPW_Amount_pa/SPW_Payout_Freq,IF(SPW_Payout_Freq=12,SPW_Amount_pa/SPW_Payout_Freq,0)))),0)+IFERROR(VLOOKUP(H317,Input!$B$68:$C$74,2,0),0)*(F317=0)*(Option_PW="Y")*(Option_SPW="N")*(age+H317&gt;=Legal_Age)</f>
        <v>0</v>
      </c>
      <c r="O317" s="148">
        <f t="shared" ca="1" si="207"/>
        <v>0</v>
      </c>
      <c r="P317" s="14">
        <f ca="1">(MAX(MAX(sa-CF316*Flag_UL_Type,105%*SUM($I$7:I317))-(AD316+L317-N317)*Flag_UL_Type,0)*B317)</f>
        <v>0</v>
      </c>
      <c r="Q317" s="213">
        <f t="shared" si="208"/>
        <v>0</v>
      </c>
      <c r="R317" s="14">
        <f t="shared" ca="1" si="209"/>
        <v>0</v>
      </c>
      <c r="S317" s="14">
        <f t="shared" ca="1" si="210"/>
        <v>0</v>
      </c>
      <c r="T317" s="14">
        <f>IFERROR(IF(WoP_Flag="Y",IF(fq=1,VLOOKUP(ppt*fq-H317,Charges!$AN$41:$AO$59,2,FALSE),IF(fq=2,VLOOKUP(ppt*fq-G317,Charges!$AP$41:$AQ$79,2,FALSE),VLOOKUP(ppt*fq-D317,Charges!$AR$41:$AS$279,2,FALSE)))*pr/fq,0),0)</f>
        <v>0</v>
      </c>
      <c r="U317" s="14">
        <f t="shared" ca="1" si="211"/>
        <v>0</v>
      </c>
      <c r="V317" s="34">
        <f>ROUND(MIN(IF(H317&gt;=7,Charges!$C$12*(1+Charges!$C$14)^((H317-7+1)),VLOOKUP(H317,Charges!$B$7:$C$12,2,0))*pr,Charges!$C$13)*B317,Round)</f>
        <v>0</v>
      </c>
      <c r="W317" s="14">
        <f t="shared" ca="1" si="212"/>
        <v>0</v>
      </c>
      <c r="X317" s="14">
        <f t="shared" ca="1" si="213"/>
        <v>0</v>
      </c>
      <c r="Y317" s="213">
        <f t="shared" ca="1" si="237"/>
        <v>0</v>
      </c>
      <c r="Z317" s="14">
        <f t="shared" ca="1" si="214"/>
        <v>0</v>
      </c>
      <c r="AA317" s="14">
        <f>IF(AND($H317=pt,$F317=11),SUM($K$7:K317)*VLOOKUP(pt,ROC,2,FALSE),0)</f>
        <v>0</v>
      </c>
      <c r="AB317" s="14">
        <f>IF(AND($H317=pt,$F317=11),SUM($V$7:V317)*VLOOKUP(pt,ROC,2,FALSE),0)</f>
        <v>0</v>
      </c>
      <c r="AC317" s="14">
        <f>IF(AND($H317=pt,$F317=11),SUM($Q$7:Q317)*VLOOKUP(pt,ROC,2,FALSE),0)</f>
        <v>0</v>
      </c>
      <c r="AD317" s="14">
        <f t="shared" ca="1" si="215"/>
        <v>0</v>
      </c>
      <c r="AE317" s="14">
        <f ca="1">(MAX(sa-CF316*Flag_UL_Type,105%*SUM($I$7:I317),Z317)+AU317)*B317</f>
        <v>0</v>
      </c>
      <c r="AF317" s="136"/>
      <c r="AG317" s="18">
        <v>311</v>
      </c>
      <c r="AH317" s="30">
        <f t="shared" ca="1" si="216"/>
        <v>0</v>
      </c>
      <c r="AI317" s="58"/>
      <c r="AJ317" s="50">
        <f>IF(AND(Option_Sys_TopUp&gt;="Y",H317&gt;=sytp,H317&lt;=(dtp+sytp-1),F317=0,H317&lt;=ppt+1),atp,0)+IFERROR(VLOOKUP(H317,Input!$B$55:$C$61,2,0),0)*(F317=0)*(Option_TopUP="Y")*(Option_Sys_TopUp="N")*B317*(pt&gt;=H317+5)</f>
        <v>0</v>
      </c>
      <c r="AK317" s="50">
        <f t="shared" si="217"/>
        <v>0</v>
      </c>
      <c r="AL317" s="50">
        <f t="shared" si="238"/>
        <v>0</v>
      </c>
      <c r="AM317" s="50">
        <f t="shared" ca="1" si="239"/>
        <v>0</v>
      </c>
      <c r="AN317" s="50">
        <f>IF(B317=0,0,AT317*(_rpm1+(1+_emr1)*VLOOKUP(E317,Tab_Mort_Charge,IF(Input!$C$12="M",2,3),0))*(0.001*0.0833)*Flag_Mort_Rider_Charge*(AT317&gt;0))</f>
        <v>0</v>
      </c>
      <c r="AO317" s="50">
        <f t="shared" ca="1" si="218"/>
        <v>0</v>
      </c>
      <c r="AP317" s="50">
        <f t="shared" ca="1" si="245"/>
        <v>0</v>
      </c>
      <c r="AQ317" s="50">
        <f t="shared" ca="1" si="219"/>
        <v>0</v>
      </c>
      <c r="AR317" s="50">
        <f t="shared" ca="1" si="220"/>
        <v>0</v>
      </c>
      <c r="AS317" s="50">
        <f t="shared" si="221"/>
        <v>0</v>
      </c>
      <c r="AT317" s="50">
        <f ca="1">(MAX((MAX(AS317,105%*SUM($AJ$7:AJ317))-AM317*Flag_UL_Type),0)*B317)</f>
        <v>0</v>
      </c>
      <c r="AU317" s="50">
        <f ca="1">(MAX(AS317,AR317,105%*SUM($AJ$7:AJ317))*B317)</f>
        <v>0</v>
      </c>
      <c r="AV317" s="125"/>
      <c r="AW317" s="13"/>
      <c r="AX317" s="13"/>
      <c r="AY317" s="13"/>
      <c r="AZ317" s="13"/>
      <c r="BA317" s="13"/>
      <c r="BG317" s="51">
        <f t="shared" si="222"/>
        <v>0</v>
      </c>
      <c r="BH317" s="51">
        <f t="shared" si="223"/>
        <v>0</v>
      </c>
      <c r="BI317" s="51">
        <f t="shared" ca="1" si="224"/>
        <v>0</v>
      </c>
      <c r="BJ317" s="51">
        <f t="shared" ca="1" si="225"/>
        <v>0</v>
      </c>
      <c r="BK317" s="51">
        <f t="shared" si="226"/>
        <v>0</v>
      </c>
      <c r="BL317" s="51">
        <f t="shared" ca="1" si="227"/>
        <v>0</v>
      </c>
      <c r="BM317" s="51">
        <f t="shared" si="228"/>
        <v>0</v>
      </c>
      <c r="BN317" s="51">
        <f t="shared" si="229"/>
        <v>0</v>
      </c>
      <c r="BO317" s="51">
        <f t="shared" ca="1" si="230"/>
        <v>0</v>
      </c>
      <c r="BP317" s="51">
        <f t="shared" ca="1" si="231"/>
        <v>0</v>
      </c>
      <c r="BQ317" s="120"/>
      <c r="BR317" s="32"/>
      <c r="BS317" s="126"/>
      <c r="BT317" s="16"/>
      <c r="BU317" s="58"/>
      <c r="BW317" s="51">
        <f>IF(Input!$C$13="Offline",VLOOKUP(H317,Charges!$AT$4:$AU$33,2,FALSE)*I317,0)</f>
        <v>0</v>
      </c>
      <c r="BX317" s="51">
        <f t="shared" si="232"/>
        <v>0</v>
      </c>
      <c r="BY317" s="51">
        <f t="shared" si="240"/>
        <v>0</v>
      </c>
      <c r="BZ317" s="151"/>
      <c r="CA317" s="151"/>
      <c r="CB317" s="32"/>
      <c r="CC317" s="16">
        <f ca="1">SUM($N$7:$N317)</f>
        <v>0</v>
      </c>
      <c r="CD317" s="16">
        <f t="shared" ca="1" si="233"/>
        <v>0</v>
      </c>
      <c r="CE317" s="16">
        <f t="shared" ca="1" si="234"/>
        <v>0</v>
      </c>
      <c r="CF317" s="7">
        <f t="shared" ca="1" si="235"/>
        <v>0</v>
      </c>
      <c r="CH317" s="7">
        <f t="shared" ca="1" si="236"/>
        <v>0</v>
      </c>
    </row>
    <row r="318" spans="2:86" s="7" customFormat="1" x14ac:dyDescent="0.2">
      <c r="B318" s="14">
        <f t="shared" si="200"/>
        <v>0</v>
      </c>
      <c r="C318" s="12">
        <f t="shared" si="201"/>
        <v>0</v>
      </c>
      <c r="D318" s="17">
        <f t="shared" si="241"/>
        <v>312</v>
      </c>
      <c r="E318" s="17">
        <f t="shared" ca="1" si="202"/>
        <v>85</v>
      </c>
      <c r="F318" s="12">
        <f t="shared" si="243"/>
        <v>11</v>
      </c>
      <c r="G318" s="12">
        <f t="shared" si="242"/>
        <v>52</v>
      </c>
      <c r="H318" s="17">
        <f t="shared" si="244"/>
        <v>26</v>
      </c>
      <c r="I318" s="29">
        <f t="shared" si="203"/>
        <v>0</v>
      </c>
      <c r="J318" s="211">
        <f>IFERROR(VLOOKUP(H318,Charges!$T$6:$U$35,2,0)*C318,0)</f>
        <v>0</v>
      </c>
      <c r="K318" s="29">
        <f t="shared" si="204"/>
        <v>0</v>
      </c>
      <c r="L318" s="29">
        <f t="shared" si="205"/>
        <v>0</v>
      </c>
      <c r="M318" s="147">
        <f t="shared" ca="1" si="206"/>
        <v>0</v>
      </c>
      <c r="N318" s="148">
        <f ca="1">IF(AND(Option_SPW="Y",H318&gt;=Lock_In_Period,Z317&gt;SPW_Amount_pa+IF(option="Single",1/5*pr,2*pr),H318&gt;=SPW_Start_Year,H318&lt;=SPW_Start_Year+SPW_Duration-1,age+H318&gt;=Legal_Age),IF(AND(F318=0,SPW_Payout_Freq=1),SPW_Amount_pa,IF(AND(SPW_Payout_Freq=2,MOD(F318,6)=0),SPW_Amount_pa/SPW_Payout_Freq,IF(AND(SPW_Payout_Freq=4,MOD(F318,3)=0),SPW_Amount_pa/SPW_Payout_Freq,IF(SPW_Payout_Freq=12,SPW_Amount_pa/SPW_Payout_Freq,0)))),0)+IFERROR(VLOOKUP(H318,Input!$B$68:$C$74,2,0),0)*(F318=0)*(Option_PW="Y")*(Option_SPW="N")*(age+H318&gt;=Legal_Age)</f>
        <v>0</v>
      </c>
      <c r="O318" s="148">
        <f t="shared" ca="1" si="207"/>
        <v>0</v>
      </c>
      <c r="P318" s="14">
        <f ca="1">(MAX(MAX(sa-CF317*Flag_UL_Type,105%*SUM($I$7:I318))-(AD317+L318-N318)*Flag_UL_Type,0)*B318)</f>
        <v>0</v>
      </c>
      <c r="Q318" s="213">
        <f t="shared" si="208"/>
        <v>0</v>
      </c>
      <c r="R318" s="14">
        <f t="shared" ca="1" si="209"/>
        <v>0</v>
      </c>
      <c r="S318" s="14">
        <f t="shared" ca="1" si="210"/>
        <v>0</v>
      </c>
      <c r="T318" s="14">
        <f>IFERROR(IF(WoP_Flag="Y",IF(fq=1,VLOOKUP(ppt*fq-H318,Charges!$AN$41:$AO$59,2,FALSE),IF(fq=2,VLOOKUP(ppt*fq-G318,Charges!$AP$41:$AQ$79,2,FALSE),VLOOKUP(ppt*fq-D318,Charges!$AR$41:$AS$279,2,FALSE)))*pr/fq,0),0)</f>
        <v>0</v>
      </c>
      <c r="U318" s="14">
        <f t="shared" ca="1" si="211"/>
        <v>0</v>
      </c>
      <c r="V318" s="34">
        <f>ROUND(MIN(IF(H318&gt;=7,Charges!$C$12*(1+Charges!$C$14)^((H318-7+1)),VLOOKUP(H318,Charges!$B$7:$C$12,2,0))*pr,Charges!$C$13)*B318,Round)</f>
        <v>0</v>
      </c>
      <c r="W318" s="14">
        <f t="shared" ca="1" si="212"/>
        <v>0</v>
      </c>
      <c r="X318" s="14">
        <f t="shared" ca="1" si="213"/>
        <v>0</v>
      </c>
      <c r="Y318" s="213">
        <f t="shared" ca="1" si="237"/>
        <v>0</v>
      </c>
      <c r="Z318" s="14">
        <f t="shared" ca="1" si="214"/>
        <v>0</v>
      </c>
      <c r="AA318" s="14">
        <f>IF(AND($H318=pt,$F318=11),SUM($K$7:K318)*VLOOKUP(pt,ROC,2,FALSE),0)</f>
        <v>0</v>
      </c>
      <c r="AB318" s="14">
        <f>IF(AND($H318=pt,$F318=11),SUM($V$7:V318)*VLOOKUP(pt,ROC,2,FALSE),0)</f>
        <v>0</v>
      </c>
      <c r="AC318" s="14">
        <f>IF(AND($H318=pt,$F318=11),SUM($Q$7:Q318)*VLOOKUP(pt,ROC,2,FALSE),0)</f>
        <v>0</v>
      </c>
      <c r="AD318" s="14">
        <f t="shared" ca="1" si="215"/>
        <v>0</v>
      </c>
      <c r="AE318" s="14">
        <f ca="1">(MAX(sa-CF317*Flag_UL_Type,105%*SUM($I$7:I318),Z318)+AU318)*B318</f>
        <v>0</v>
      </c>
      <c r="AF318" s="136"/>
      <c r="AG318" s="18">
        <v>312</v>
      </c>
      <c r="AH318" s="30">
        <f t="shared" ca="1" si="216"/>
        <v>0</v>
      </c>
      <c r="AI318" s="58"/>
      <c r="AJ318" s="50">
        <f>IF(AND(Option_Sys_TopUp&gt;="Y",H318&gt;=sytp,H318&lt;=(dtp+sytp-1),F318=0,H318&lt;=ppt+1),atp,0)+IFERROR(VLOOKUP(H318,Input!$B$55:$C$61,2,0),0)*(F318=0)*(Option_TopUP="Y")*(Option_Sys_TopUp="N")*B318*(pt&gt;=H318+5)</f>
        <v>0</v>
      </c>
      <c r="AK318" s="50">
        <f t="shared" si="217"/>
        <v>0</v>
      </c>
      <c r="AL318" s="50">
        <f t="shared" si="238"/>
        <v>0</v>
      </c>
      <c r="AM318" s="50">
        <f t="shared" ca="1" si="239"/>
        <v>0</v>
      </c>
      <c r="AN318" s="50">
        <f>IF(B318=0,0,AT318*(_rpm1+(1+_emr1)*VLOOKUP(E318,Tab_Mort_Charge,IF(Input!$C$12="M",2,3),0))*(0.001*0.0833)*Flag_Mort_Rider_Charge*(AT318&gt;0))</f>
        <v>0</v>
      </c>
      <c r="AO318" s="50">
        <f t="shared" ca="1" si="218"/>
        <v>0</v>
      </c>
      <c r="AP318" s="50">
        <f t="shared" ca="1" si="245"/>
        <v>0</v>
      </c>
      <c r="AQ318" s="50">
        <f t="shared" ca="1" si="219"/>
        <v>0</v>
      </c>
      <c r="AR318" s="50">
        <f t="shared" ca="1" si="220"/>
        <v>0</v>
      </c>
      <c r="AS318" s="50">
        <f t="shared" si="221"/>
        <v>0</v>
      </c>
      <c r="AT318" s="50">
        <f ca="1">(MAX((MAX(AS318,105%*SUM($AJ$7:AJ318))-AM318*Flag_UL_Type),0)*B318)</f>
        <v>0</v>
      </c>
      <c r="AU318" s="50">
        <f ca="1">(MAX(AS318,AR318,105%*SUM($AJ$7:AJ318))*B318)</f>
        <v>0</v>
      </c>
      <c r="AV318" s="125"/>
      <c r="AW318" s="13"/>
      <c r="AX318" s="13"/>
      <c r="AY318" s="13"/>
      <c r="AZ318" s="13"/>
      <c r="BA318" s="13"/>
      <c r="BG318" s="51">
        <f t="shared" si="222"/>
        <v>0</v>
      </c>
      <c r="BH318" s="51">
        <f t="shared" si="223"/>
        <v>0</v>
      </c>
      <c r="BI318" s="51">
        <f t="shared" ca="1" si="224"/>
        <v>0</v>
      </c>
      <c r="BJ318" s="51">
        <f t="shared" ca="1" si="225"/>
        <v>0</v>
      </c>
      <c r="BK318" s="51">
        <f t="shared" si="226"/>
        <v>0</v>
      </c>
      <c r="BL318" s="51">
        <f t="shared" ca="1" si="227"/>
        <v>0</v>
      </c>
      <c r="BM318" s="51">
        <f t="shared" si="228"/>
        <v>0</v>
      </c>
      <c r="BN318" s="51">
        <f t="shared" si="229"/>
        <v>0</v>
      </c>
      <c r="BO318" s="51">
        <f t="shared" ca="1" si="230"/>
        <v>0</v>
      </c>
      <c r="BP318" s="51">
        <f t="shared" ca="1" si="231"/>
        <v>0</v>
      </c>
      <c r="BQ318" s="120"/>
      <c r="BR318" s="32"/>
      <c r="BS318" s="126"/>
      <c r="BT318" s="16"/>
      <c r="BU318" s="58"/>
      <c r="BW318" s="51">
        <f>IF(Input!$C$13="Offline",VLOOKUP(H318,Charges!$AT$4:$AU$33,2,FALSE)*I318,0)</f>
        <v>0</v>
      </c>
      <c r="BX318" s="51">
        <f t="shared" si="232"/>
        <v>0</v>
      </c>
      <c r="BY318" s="51">
        <f t="shared" si="240"/>
        <v>0</v>
      </c>
      <c r="BZ318" s="151"/>
      <c r="CA318" s="151"/>
      <c r="CB318" s="32"/>
      <c r="CC318" s="16">
        <f ca="1">SUM($N$7:$N318)</f>
        <v>0</v>
      </c>
      <c r="CD318" s="16">
        <f t="shared" ca="1" si="233"/>
        <v>0</v>
      </c>
      <c r="CE318" s="16">
        <f t="shared" ca="1" si="234"/>
        <v>0</v>
      </c>
      <c r="CF318" s="7">
        <f t="shared" ca="1" si="235"/>
        <v>0</v>
      </c>
      <c r="CH318" s="7">
        <f t="shared" ca="1" si="236"/>
        <v>0</v>
      </c>
    </row>
    <row r="319" spans="2:86" s="7" customFormat="1" x14ac:dyDescent="0.2">
      <c r="B319" s="14">
        <f t="shared" si="200"/>
        <v>0</v>
      </c>
      <c r="C319" s="12">
        <f t="shared" si="201"/>
        <v>0</v>
      </c>
      <c r="D319" s="17">
        <f t="shared" si="241"/>
        <v>313</v>
      </c>
      <c r="E319" s="17">
        <f t="shared" ca="1" si="202"/>
        <v>86</v>
      </c>
      <c r="F319" s="12">
        <f t="shared" si="243"/>
        <v>0</v>
      </c>
      <c r="G319" s="12">
        <f t="shared" si="242"/>
        <v>53</v>
      </c>
      <c r="H319" s="17">
        <f t="shared" si="244"/>
        <v>27</v>
      </c>
      <c r="I319" s="29">
        <f t="shared" si="203"/>
        <v>0</v>
      </c>
      <c r="J319" s="211">
        <f>IFERROR(VLOOKUP(H319,Charges!$T$6:$U$35,2,0)*C319,0)</f>
        <v>0</v>
      </c>
      <c r="K319" s="29">
        <f t="shared" si="204"/>
        <v>0</v>
      </c>
      <c r="L319" s="29">
        <f t="shared" si="205"/>
        <v>0</v>
      </c>
      <c r="M319" s="147">
        <f t="shared" ca="1" si="206"/>
        <v>0</v>
      </c>
      <c r="N319" s="148">
        <f ca="1">IF(AND(Option_SPW="Y",H319&gt;=Lock_In_Period,Z318&gt;SPW_Amount_pa+IF(option="Single",1/5*pr,2*pr),H319&gt;=SPW_Start_Year,H319&lt;=SPW_Start_Year+SPW_Duration-1,age+H319&gt;=Legal_Age),IF(AND(F319=0,SPW_Payout_Freq=1),SPW_Amount_pa,IF(AND(SPW_Payout_Freq=2,MOD(F319,6)=0),SPW_Amount_pa/SPW_Payout_Freq,IF(AND(SPW_Payout_Freq=4,MOD(F319,3)=0),SPW_Amount_pa/SPW_Payout_Freq,IF(SPW_Payout_Freq=12,SPW_Amount_pa/SPW_Payout_Freq,0)))),0)+IFERROR(VLOOKUP(H319,Input!$B$68:$C$74,2,0),0)*(F319=0)*(Option_PW="Y")*(Option_SPW="N")*(age+H319&gt;=Legal_Age)</f>
        <v>0</v>
      </c>
      <c r="O319" s="148">
        <f t="shared" ca="1" si="207"/>
        <v>0</v>
      </c>
      <c r="P319" s="14">
        <f ca="1">(MAX(MAX(sa-CF318*Flag_UL_Type,105%*SUM($I$7:I319))-(AD318+L319-N319)*Flag_UL_Type,0)*B319)</f>
        <v>0</v>
      </c>
      <c r="Q319" s="213">
        <f t="shared" si="208"/>
        <v>0</v>
      </c>
      <c r="R319" s="14">
        <f t="shared" ca="1" si="209"/>
        <v>0</v>
      </c>
      <c r="S319" s="14">
        <f t="shared" ca="1" si="210"/>
        <v>0</v>
      </c>
      <c r="T319" s="14">
        <f>IFERROR(IF(WoP_Flag="Y",IF(fq=1,VLOOKUP(ppt*fq-H319,Charges!$AN$41:$AO$59,2,FALSE),IF(fq=2,VLOOKUP(ppt*fq-G319,Charges!$AP$41:$AQ$79,2,FALSE),VLOOKUP(ppt*fq-D319,Charges!$AR$41:$AS$279,2,FALSE)))*pr/fq,0),0)</f>
        <v>0</v>
      </c>
      <c r="U319" s="14">
        <f t="shared" ca="1" si="211"/>
        <v>0</v>
      </c>
      <c r="V319" s="34">
        <f>ROUND(MIN(IF(H319&gt;=7,Charges!$C$12*(1+Charges!$C$14)^((H319-7+1)),VLOOKUP(H319,Charges!$B$7:$C$12,2,0))*pr,Charges!$C$13)*B319,Round)</f>
        <v>0</v>
      </c>
      <c r="W319" s="14">
        <f t="shared" ca="1" si="212"/>
        <v>0</v>
      </c>
      <c r="X319" s="14">
        <f t="shared" ca="1" si="213"/>
        <v>0</v>
      </c>
      <c r="Y319" s="213">
        <f t="shared" ca="1" si="237"/>
        <v>0</v>
      </c>
      <c r="Z319" s="14">
        <f t="shared" ca="1" si="214"/>
        <v>0</v>
      </c>
      <c r="AA319" s="14">
        <f>IF(AND($H319=pt,$F319=11),SUM($K$7:K319)*VLOOKUP(pt,ROC,2,FALSE),0)</f>
        <v>0</v>
      </c>
      <c r="AB319" s="14">
        <f>IF(AND($H319=pt,$F319=11),SUM($V$7:V319)*VLOOKUP(pt,ROC,2,FALSE),0)</f>
        <v>0</v>
      </c>
      <c r="AC319" s="14">
        <f>IF(AND($H319=pt,$F319=11),SUM($Q$7:Q319)*VLOOKUP(pt,ROC,2,FALSE),0)</f>
        <v>0</v>
      </c>
      <c r="AD319" s="14">
        <f t="shared" ca="1" si="215"/>
        <v>0</v>
      </c>
      <c r="AE319" s="14">
        <f ca="1">(MAX(sa-CF318*Flag_UL_Type,105%*SUM($I$7:I319),Z319)+AU319)*B319</f>
        <v>0</v>
      </c>
      <c r="AF319" s="136"/>
      <c r="AG319" s="18">
        <v>313</v>
      </c>
      <c r="AH319" s="30">
        <f t="shared" ca="1" si="216"/>
        <v>0</v>
      </c>
      <c r="AI319" s="58"/>
      <c r="AJ319" s="50">
        <f>IF(AND(Option_Sys_TopUp&gt;="Y",H319&gt;=sytp,H319&lt;=(dtp+sytp-1),F319=0,H319&lt;=ppt+1),atp,0)+IFERROR(VLOOKUP(H319,Input!$B$55:$C$61,2,0),0)*(F319=0)*(Option_TopUP="Y")*(Option_Sys_TopUp="N")*B319*(pt&gt;=H319+5)</f>
        <v>0</v>
      </c>
      <c r="AK319" s="50">
        <f t="shared" si="217"/>
        <v>0</v>
      </c>
      <c r="AL319" s="50">
        <f t="shared" si="238"/>
        <v>0</v>
      </c>
      <c r="AM319" s="50">
        <f t="shared" ca="1" si="239"/>
        <v>0</v>
      </c>
      <c r="AN319" s="50">
        <f>IF(B319=0,0,AT319*(_rpm1+(1+_emr1)*VLOOKUP(E319,Tab_Mort_Charge,IF(Input!$C$12="M",2,3),0))*(0.001*0.0833)*Flag_Mort_Rider_Charge*(AT319&gt;0))</f>
        <v>0</v>
      </c>
      <c r="AO319" s="50">
        <f t="shared" ca="1" si="218"/>
        <v>0</v>
      </c>
      <c r="AP319" s="50">
        <f t="shared" ca="1" si="245"/>
        <v>0</v>
      </c>
      <c r="AQ319" s="50">
        <f t="shared" ca="1" si="219"/>
        <v>0</v>
      </c>
      <c r="AR319" s="50">
        <f t="shared" ca="1" si="220"/>
        <v>0</v>
      </c>
      <c r="AS319" s="50">
        <f t="shared" si="221"/>
        <v>0</v>
      </c>
      <c r="AT319" s="50">
        <f ca="1">(MAX((MAX(AS319,105%*SUM($AJ$7:AJ319))-AM319*Flag_UL_Type),0)*B319)</f>
        <v>0</v>
      </c>
      <c r="AU319" s="50">
        <f ca="1">(MAX(AS319,AR319,105%*SUM($AJ$7:AJ319))*B319)</f>
        <v>0</v>
      </c>
      <c r="AV319" s="125"/>
      <c r="AW319" s="13"/>
      <c r="AX319" s="13"/>
      <c r="AY319" s="13"/>
      <c r="AZ319" s="13"/>
      <c r="BA319" s="13"/>
      <c r="BG319" s="51">
        <f t="shared" si="222"/>
        <v>0</v>
      </c>
      <c r="BH319" s="51">
        <f t="shared" si="223"/>
        <v>0</v>
      </c>
      <c r="BI319" s="51">
        <f t="shared" ca="1" si="224"/>
        <v>0</v>
      </c>
      <c r="BJ319" s="51">
        <f t="shared" ca="1" si="225"/>
        <v>0</v>
      </c>
      <c r="BK319" s="51">
        <f t="shared" si="226"/>
        <v>0</v>
      </c>
      <c r="BL319" s="51">
        <f t="shared" ca="1" si="227"/>
        <v>0</v>
      </c>
      <c r="BM319" s="51">
        <f t="shared" si="228"/>
        <v>0</v>
      </c>
      <c r="BN319" s="51">
        <f t="shared" si="229"/>
        <v>0</v>
      </c>
      <c r="BO319" s="51">
        <f t="shared" ca="1" si="230"/>
        <v>0</v>
      </c>
      <c r="BP319" s="51">
        <f t="shared" ca="1" si="231"/>
        <v>0</v>
      </c>
      <c r="BQ319" s="120"/>
      <c r="BR319" s="32"/>
      <c r="BS319" s="126"/>
      <c r="BT319" s="16"/>
      <c r="BU319" s="58"/>
      <c r="BW319" s="51">
        <f>IF(Input!$C$13="Offline",VLOOKUP(H319,Charges!$AT$4:$AU$33,2,FALSE)*I319,0)</f>
        <v>0</v>
      </c>
      <c r="BX319" s="51">
        <f t="shared" si="232"/>
        <v>0</v>
      </c>
      <c r="BY319" s="51">
        <f t="shared" si="240"/>
        <v>0</v>
      </c>
      <c r="BZ319" s="151"/>
      <c r="CA319" s="151"/>
      <c r="CB319" s="32"/>
      <c r="CC319" s="16">
        <f ca="1">SUM($N$7:$N319)</f>
        <v>0</v>
      </c>
      <c r="CD319" s="16">
        <f t="shared" ca="1" si="233"/>
        <v>0</v>
      </c>
      <c r="CE319" s="16">
        <f t="shared" ca="1" si="234"/>
        <v>0</v>
      </c>
      <c r="CF319" s="7">
        <f t="shared" ca="1" si="235"/>
        <v>0</v>
      </c>
      <c r="CH319" s="7">
        <f t="shared" ca="1" si="236"/>
        <v>0</v>
      </c>
    </row>
    <row r="320" spans="2:86" s="7" customFormat="1" x14ac:dyDescent="0.2">
      <c r="B320" s="14">
        <f t="shared" si="200"/>
        <v>0</v>
      </c>
      <c r="C320" s="12">
        <f t="shared" si="201"/>
        <v>0</v>
      </c>
      <c r="D320" s="17">
        <f t="shared" si="241"/>
        <v>314</v>
      </c>
      <c r="E320" s="17">
        <f t="shared" ca="1" si="202"/>
        <v>86</v>
      </c>
      <c r="F320" s="12">
        <f t="shared" si="243"/>
        <v>1</v>
      </c>
      <c r="G320" s="12">
        <f t="shared" si="242"/>
        <v>53</v>
      </c>
      <c r="H320" s="17">
        <f t="shared" si="244"/>
        <v>27</v>
      </c>
      <c r="I320" s="29">
        <f t="shared" si="203"/>
        <v>0</v>
      </c>
      <c r="J320" s="211">
        <f>IFERROR(VLOOKUP(H320,Charges!$T$6:$U$35,2,0)*C320,0)</f>
        <v>0</v>
      </c>
      <c r="K320" s="29">
        <f t="shared" si="204"/>
        <v>0</v>
      </c>
      <c r="L320" s="29">
        <f t="shared" si="205"/>
        <v>0</v>
      </c>
      <c r="M320" s="147">
        <f t="shared" ca="1" si="206"/>
        <v>0</v>
      </c>
      <c r="N320" s="148">
        <f ca="1">IF(AND(Option_SPW="Y",H320&gt;=Lock_In_Period,Z319&gt;SPW_Amount_pa+IF(option="Single",1/5*pr,2*pr),H320&gt;=SPW_Start_Year,H320&lt;=SPW_Start_Year+SPW_Duration-1,age+H320&gt;=Legal_Age),IF(AND(F320=0,SPW_Payout_Freq=1),SPW_Amount_pa,IF(AND(SPW_Payout_Freq=2,MOD(F320,6)=0),SPW_Amount_pa/SPW_Payout_Freq,IF(AND(SPW_Payout_Freq=4,MOD(F320,3)=0),SPW_Amount_pa/SPW_Payout_Freq,IF(SPW_Payout_Freq=12,SPW_Amount_pa/SPW_Payout_Freq,0)))),0)+IFERROR(VLOOKUP(H320,Input!$B$68:$C$74,2,0),0)*(F320=0)*(Option_PW="Y")*(Option_SPW="N")*(age+H320&gt;=Legal_Age)</f>
        <v>0</v>
      </c>
      <c r="O320" s="148">
        <f t="shared" ca="1" si="207"/>
        <v>0</v>
      </c>
      <c r="P320" s="14">
        <f ca="1">(MAX(MAX(sa-CF319*Flag_UL_Type,105%*SUM($I$7:I320))-(AD319+L320-N320)*Flag_UL_Type,0)*B320)</f>
        <v>0</v>
      </c>
      <c r="Q320" s="213">
        <f t="shared" si="208"/>
        <v>0</v>
      </c>
      <c r="R320" s="14">
        <f t="shared" ca="1" si="209"/>
        <v>0</v>
      </c>
      <c r="S320" s="14">
        <f t="shared" ca="1" si="210"/>
        <v>0</v>
      </c>
      <c r="T320" s="14">
        <f>IFERROR(IF(WoP_Flag="Y",IF(fq=1,VLOOKUP(ppt*fq-H320,Charges!$AN$41:$AO$59,2,FALSE),IF(fq=2,VLOOKUP(ppt*fq-G320,Charges!$AP$41:$AQ$79,2,FALSE),VLOOKUP(ppt*fq-D320,Charges!$AR$41:$AS$279,2,FALSE)))*pr/fq,0),0)</f>
        <v>0</v>
      </c>
      <c r="U320" s="14">
        <f t="shared" ca="1" si="211"/>
        <v>0</v>
      </c>
      <c r="V320" s="34">
        <f>ROUND(MIN(IF(H320&gt;=7,Charges!$C$12*(1+Charges!$C$14)^((H320-7+1)),VLOOKUP(H320,Charges!$B$7:$C$12,2,0))*pr,Charges!$C$13)*B320,Round)</f>
        <v>0</v>
      </c>
      <c r="W320" s="14">
        <f t="shared" ca="1" si="212"/>
        <v>0</v>
      </c>
      <c r="X320" s="14">
        <f t="shared" ca="1" si="213"/>
        <v>0</v>
      </c>
      <c r="Y320" s="213">
        <f t="shared" ca="1" si="237"/>
        <v>0</v>
      </c>
      <c r="Z320" s="14">
        <f t="shared" ca="1" si="214"/>
        <v>0</v>
      </c>
      <c r="AA320" s="14">
        <f>IF(AND($H320=pt,$F320=11),SUM($K$7:K320)*VLOOKUP(pt,ROC,2,FALSE),0)</f>
        <v>0</v>
      </c>
      <c r="AB320" s="14">
        <f>IF(AND($H320=pt,$F320=11),SUM($V$7:V320)*VLOOKUP(pt,ROC,2,FALSE),0)</f>
        <v>0</v>
      </c>
      <c r="AC320" s="14">
        <f>IF(AND($H320=pt,$F320=11),SUM($Q$7:Q320)*VLOOKUP(pt,ROC,2,FALSE),0)</f>
        <v>0</v>
      </c>
      <c r="AD320" s="14">
        <f t="shared" ca="1" si="215"/>
        <v>0</v>
      </c>
      <c r="AE320" s="14">
        <f ca="1">(MAX(sa-CF319*Flag_UL_Type,105%*SUM($I$7:I320),Z320)+AU320)*B320</f>
        <v>0</v>
      </c>
      <c r="AF320" s="136"/>
      <c r="AG320" s="18">
        <v>314</v>
      </c>
      <c r="AH320" s="30">
        <f t="shared" ca="1" si="216"/>
        <v>0</v>
      </c>
      <c r="AI320" s="58"/>
      <c r="AJ320" s="50">
        <f>IF(AND(Option_Sys_TopUp&gt;="Y",H320&gt;=sytp,H320&lt;=(dtp+sytp-1),F320=0,H320&lt;=ppt+1),atp,0)+IFERROR(VLOOKUP(H320,Input!$B$55:$C$61,2,0),0)*(F320=0)*(Option_TopUP="Y")*(Option_Sys_TopUp="N")*B320*(pt&gt;=H320+5)</f>
        <v>0</v>
      </c>
      <c r="AK320" s="50">
        <f t="shared" si="217"/>
        <v>0</v>
      </c>
      <c r="AL320" s="50">
        <f t="shared" si="238"/>
        <v>0</v>
      </c>
      <c r="AM320" s="50">
        <f t="shared" ca="1" si="239"/>
        <v>0</v>
      </c>
      <c r="AN320" s="50">
        <f>IF(B320=0,0,AT320*(_rpm1+(1+_emr1)*VLOOKUP(E320,Tab_Mort_Charge,IF(Input!$C$12="M",2,3),0))*(0.001*0.0833)*Flag_Mort_Rider_Charge*(AT320&gt;0))</f>
        <v>0</v>
      </c>
      <c r="AO320" s="50">
        <f t="shared" ca="1" si="218"/>
        <v>0</v>
      </c>
      <c r="AP320" s="50">
        <f t="shared" ca="1" si="245"/>
        <v>0</v>
      </c>
      <c r="AQ320" s="50">
        <f t="shared" ca="1" si="219"/>
        <v>0</v>
      </c>
      <c r="AR320" s="50">
        <f t="shared" ca="1" si="220"/>
        <v>0</v>
      </c>
      <c r="AS320" s="50">
        <f t="shared" si="221"/>
        <v>0</v>
      </c>
      <c r="AT320" s="50">
        <f ca="1">(MAX((MAX(AS320,105%*SUM($AJ$7:AJ320))-AM320*Flag_UL_Type),0)*B320)</f>
        <v>0</v>
      </c>
      <c r="AU320" s="50">
        <f ca="1">(MAX(AS320,AR320,105%*SUM($AJ$7:AJ320))*B320)</f>
        <v>0</v>
      </c>
      <c r="AV320" s="125"/>
      <c r="AW320" s="13"/>
      <c r="AX320" s="13"/>
      <c r="AY320" s="13"/>
      <c r="AZ320" s="13"/>
      <c r="BA320" s="13"/>
      <c r="BG320" s="51">
        <f t="shared" si="222"/>
        <v>0</v>
      </c>
      <c r="BH320" s="51">
        <f t="shared" si="223"/>
        <v>0</v>
      </c>
      <c r="BI320" s="51">
        <f t="shared" ca="1" si="224"/>
        <v>0</v>
      </c>
      <c r="BJ320" s="51">
        <f t="shared" ca="1" si="225"/>
        <v>0</v>
      </c>
      <c r="BK320" s="51">
        <f t="shared" si="226"/>
        <v>0</v>
      </c>
      <c r="BL320" s="51">
        <f t="shared" ca="1" si="227"/>
        <v>0</v>
      </c>
      <c r="BM320" s="51">
        <f t="shared" si="228"/>
        <v>0</v>
      </c>
      <c r="BN320" s="51">
        <f t="shared" si="229"/>
        <v>0</v>
      </c>
      <c r="BO320" s="51">
        <f t="shared" ca="1" si="230"/>
        <v>0</v>
      </c>
      <c r="BP320" s="51">
        <f t="shared" ca="1" si="231"/>
        <v>0</v>
      </c>
      <c r="BQ320" s="120"/>
      <c r="BR320" s="32"/>
      <c r="BS320" s="126"/>
      <c r="BT320" s="16"/>
      <c r="BU320" s="58"/>
      <c r="BW320" s="51">
        <f>IF(Input!$C$13="Offline",VLOOKUP(H320,Charges!$AT$4:$AU$33,2,FALSE)*I320,0)</f>
        <v>0</v>
      </c>
      <c r="BX320" s="51">
        <f t="shared" si="232"/>
        <v>0</v>
      </c>
      <c r="BY320" s="51">
        <f t="shared" si="240"/>
        <v>0</v>
      </c>
      <c r="BZ320" s="151"/>
      <c r="CA320" s="151"/>
      <c r="CB320" s="32"/>
      <c r="CC320" s="16">
        <f ca="1">SUM($N$7:$N320)</f>
        <v>0</v>
      </c>
      <c r="CD320" s="16">
        <f t="shared" ca="1" si="233"/>
        <v>0</v>
      </c>
      <c r="CE320" s="16">
        <f t="shared" ca="1" si="234"/>
        <v>0</v>
      </c>
      <c r="CF320" s="7">
        <f t="shared" ca="1" si="235"/>
        <v>0</v>
      </c>
      <c r="CH320" s="7">
        <f t="shared" ca="1" si="236"/>
        <v>0</v>
      </c>
    </row>
    <row r="321" spans="2:86" s="7" customFormat="1" x14ac:dyDescent="0.2">
      <c r="B321" s="14">
        <f t="shared" si="200"/>
        <v>0</v>
      </c>
      <c r="C321" s="12">
        <f t="shared" si="201"/>
        <v>0</v>
      </c>
      <c r="D321" s="17">
        <f t="shared" si="241"/>
        <v>315</v>
      </c>
      <c r="E321" s="17">
        <f t="shared" ca="1" si="202"/>
        <v>86</v>
      </c>
      <c r="F321" s="12">
        <f t="shared" si="243"/>
        <v>2</v>
      </c>
      <c r="G321" s="12">
        <f t="shared" si="242"/>
        <v>53</v>
      </c>
      <c r="H321" s="17">
        <f t="shared" si="244"/>
        <v>27</v>
      </c>
      <c r="I321" s="29">
        <f t="shared" si="203"/>
        <v>0</v>
      </c>
      <c r="J321" s="211">
        <f>IFERROR(VLOOKUP(H321,Charges!$T$6:$U$35,2,0)*C321,0)</f>
        <v>0</v>
      </c>
      <c r="K321" s="29">
        <f t="shared" si="204"/>
        <v>0</v>
      </c>
      <c r="L321" s="29">
        <f t="shared" si="205"/>
        <v>0</v>
      </c>
      <c r="M321" s="147">
        <f t="shared" ca="1" si="206"/>
        <v>0</v>
      </c>
      <c r="N321" s="148">
        <f ca="1">IF(AND(Option_SPW="Y",H321&gt;=Lock_In_Period,Z320&gt;SPW_Amount_pa+IF(option="Single",1/5*pr,2*pr),H321&gt;=SPW_Start_Year,H321&lt;=SPW_Start_Year+SPW_Duration-1,age+H321&gt;=Legal_Age),IF(AND(F321=0,SPW_Payout_Freq=1),SPW_Amount_pa,IF(AND(SPW_Payout_Freq=2,MOD(F321,6)=0),SPW_Amount_pa/SPW_Payout_Freq,IF(AND(SPW_Payout_Freq=4,MOD(F321,3)=0),SPW_Amount_pa/SPW_Payout_Freq,IF(SPW_Payout_Freq=12,SPW_Amount_pa/SPW_Payout_Freq,0)))),0)+IFERROR(VLOOKUP(H321,Input!$B$68:$C$74,2,0),0)*(F321=0)*(Option_PW="Y")*(Option_SPW="N")*(age+H321&gt;=Legal_Age)</f>
        <v>0</v>
      </c>
      <c r="O321" s="148">
        <f t="shared" ca="1" si="207"/>
        <v>0</v>
      </c>
      <c r="P321" s="14">
        <f ca="1">(MAX(MAX(sa-CF320*Flag_UL_Type,105%*SUM($I$7:I321))-(AD320+L321-N321)*Flag_UL_Type,0)*B321)</f>
        <v>0</v>
      </c>
      <c r="Q321" s="213">
        <f t="shared" si="208"/>
        <v>0</v>
      </c>
      <c r="R321" s="14">
        <f t="shared" ca="1" si="209"/>
        <v>0</v>
      </c>
      <c r="S321" s="14">
        <f t="shared" ca="1" si="210"/>
        <v>0</v>
      </c>
      <c r="T321" s="14">
        <f>IFERROR(IF(WoP_Flag="Y",IF(fq=1,VLOOKUP(ppt*fq-H321,Charges!$AN$41:$AO$59,2,FALSE),IF(fq=2,VLOOKUP(ppt*fq-G321,Charges!$AP$41:$AQ$79,2,FALSE),VLOOKUP(ppt*fq-D321,Charges!$AR$41:$AS$279,2,FALSE)))*pr/fq,0),0)</f>
        <v>0</v>
      </c>
      <c r="U321" s="14">
        <f t="shared" ca="1" si="211"/>
        <v>0</v>
      </c>
      <c r="V321" s="34">
        <f>ROUND(MIN(IF(H321&gt;=7,Charges!$C$12*(1+Charges!$C$14)^((H321-7+1)),VLOOKUP(H321,Charges!$B$7:$C$12,2,0))*pr,Charges!$C$13)*B321,Round)</f>
        <v>0</v>
      </c>
      <c r="W321" s="14">
        <f t="shared" ca="1" si="212"/>
        <v>0</v>
      </c>
      <c r="X321" s="14">
        <f t="shared" ca="1" si="213"/>
        <v>0</v>
      </c>
      <c r="Y321" s="213">
        <f t="shared" ca="1" si="237"/>
        <v>0</v>
      </c>
      <c r="Z321" s="14">
        <f t="shared" ca="1" si="214"/>
        <v>0</v>
      </c>
      <c r="AA321" s="14">
        <f>IF(AND($H321=pt,$F321=11),SUM($K$7:K321)*VLOOKUP(pt,ROC,2,FALSE),0)</f>
        <v>0</v>
      </c>
      <c r="AB321" s="14">
        <f>IF(AND($H321=pt,$F321=11),SUM($V$7:V321)*VLOOKUP(pt,ROC,2,FALSE),0)</f>
        <v>0</v>
      </c>
      <c r="AC321" s="14">
        <f>IF(AND($H321=pt,$F321=11),SUM($Q$7:Q321)*VLOOKUP(pt,ROC,2,FALSE),0)</f>
        <v>0</v>
      </c>
      <c r="AD321" s="14">
        <f t="shared" ca="1" si="215"/>
        <v>0</v>
      </c>
      <c r="AE321" s="14">
        <f ca="1">(MAX(sa-CF320*Flag_UL_Type,105%*SUM($I$7:I321),Z321)+AU321)*B321</f>
        <v>0</v>
      </c>
      <c r="AF321" s="136"/>
      <c r="AG321" s="18">
        <v>315</v>
      </c>
      <c r="AH321" s="30">
        <f t="shared" ca="1" si="216"/>
        <v>0</v>
      </c>
      <c r="AI321" s="58"/>
      <c r="AJ321" s="50">
        <f>IF(AND(Option_Sys_TopUp&gt;="Y",H321&gt;=sytp,H321&lt;=(dtp+sytp-1),F321=0,H321&lt;=ppt+1),atp,0)+IFERROR(VLOOKUP(H321,Input!$B$55:$C$61,2,0),0)*(F321=0)*(Option_TopUP="Y")*(Option_Sys_TopUp="N")*B321*(pt&gt;=H321+5)</f>
        <v>0</v>
      </c>
      <c r="AK321" s="50">
        <f t="shared" si="217"/>
        <v>0</v>
      </c>
      <c r="AL321" s="50">
        <f t="shared" si="238"/>
        <v>0</v>
      </c>
      <c r="AM321" s="50">
        <f t="shared" ca="1" si="239"/>
        <v>0</v>
      </c>
      <c r="AN321" s="50">
        <f>IF(B321=0,0,AT321*(_rpm1+(1+_emr1)*VLOOKUP(E321,Tab_Mort_Charge,IF(Input!$C$12="M",2,3),0))*(0.001*0.0833)*Flag_Mort_Rider_Charge*(AT321&gt;0))</f>
        <v>0</v>
      </c>
      <c r="AO321" s="50">
        <f t="shared" ca="1" si="218"/>
        <v>0</v>
      </c>
      <c r="AP321" s="50">
        <f t="shared" ca="1" si="245"/>
        <v>0</v>
      </c>
      <c r="AQ321" s="50">
        <f t="shared" ca="1" si="219"/>
        <v>0</v>
      </c>
      <c r="AR321" s="50">
        <f t="shared" ca="1" si="220"/>
        <v>0</v>
      </c>
      <c r="AS321" s="50">
        <f t="shared" si="221"/>
        <v>0</v>
      </c>
      <c r="AT321" s="50">
        <f ca="1">(MAX((MAX(AS321,105%*SUM($AJ$7:AJ321))-AM321*Flag_UL_Type),0)*B321)</f>
        <v>0</v>
      </c>
      <c r="AU321" s="50">
        <f ca="1">(MAX(AS321,AR321,105%*SUM($AJ$7:AJ321))*B321)</f>
        <v>0</v>
      </c>
      <c r="AV321" s="125"/>
      <c r="AW321" s="13"/>
      <c r="AX321" s="13"/>
      <c r="AY321" s="13"/>
      <c r="AZ321" s="13"/>
      <c r="BA321" s="13"/>
      <c r="BG321" s="51">
        <f t="shared" si="222"/>
        <v>0</v>
      </c>
      <c r="BH321" s="51">
        <f t="shared" si="223"/>
        <v>0</v>
      </c>
      <c r="BI321" s="51">
        <f t="shared" ca="1" si="224"/>
        <v>0</v>
      </c>
      <c r="BJ321" s="51">
        <f t="shared" ca="1" si="225"/>
        <v>0</v>
      </c>
      <c r="BK321" s="51">
        <f t="shared" si="226"/>
        <v>0</v>
      </c>
      <c r="BL321" s="51">
        <f t="shared" ca="1" si="227"/>
        <v>0</v>
      </c>
      <c r="BM321" s="51">
        <f t="shared" si="228"/>
        <v>0</v>
      </c>
      <c r="BN321" s="51">
        <f t="shared" si="229"/>
        <v>0</v>
      </c>
      <c r="BO321" s="51">
        <f t="shared" ca="1" si="230"/>
        <v>0</v>
      </c>
      <c r="BP321" s="51">
        <f t="shared" ca="1" si="231"/>
        <v>0</v>
      </c>
      <c r="BQ321" s="120"/>
      <c r="BR321" s="32"/>
      <c r="BS321" s="126"/>
      <c r="BT321" s="16"/>
      <c r="BU321" s="58"/>
      <c r="BW321" s="51">
        <f>IF(Input!$C$13="Offline",VLOOKUP(H321,Charges!$AT$4:$AU$33,2,FALSE)*I321,0)</f>
        <v>0</v>
      </c>
      <c r="BX321" s="51">
        <f t="shared" si="232"/>
        <v>0</v>
      </c>
      <c r="BY321" s="51">
        <f t="shared" si="240"/>
        <v>0</v>
      </c>
      <c r="BZ321" s="151"/>
      <c r="CA321" s="151"/>
      <c r="CB321" s="32"/>
      <c r="CC321" s="16">
        <f ca="1">SUM($N$7:$N321)</f>
        <v>0</v>
      </c>
      <c r="CD321" s="16">
        <f t="shared" ca="1" si="233"/>
        <v>0</v>
      </c>
      <c r="CE321" s="16">
        <f t="shared" ca="1" si="234"/>
        <v>0</v>
      </c>
      <c r="CF321" s="7">
        <f t="shared" ca="1" si="235"/>
        <v>0</v>
      </c>
      <c r="CH321" s="7">
        <f t="shared" ca="1" si="236"/>
        <v>0</v>
      </c>
    </row>
    <row r="322" spans="2:86" s="7" customFormat="1" x14ac:dyDescent="0.2">
      <c r="B322" s="14">
        <f t="shared" si="200"/>
        <v>0</v>
      </c>
      <c r="C322" s="12">
        <f t="shared" si="201"/>
        <v>0</v>
      </c>
      <c r="D322" s="17">
        <f t="shared" si="241"/>
        <v>316</v>
      </c>
      <c r="E322" s="17">
        <f t="shared" ca="1" si="202"/>
        <v>86</v>
      </c>
      <c r="F322" s="12">
        <f t="shared" si="243"/>
        <v>3</v>
      </c>
      <c r="G322" s="12">
        <f t="shared" si="242"/>
        <v>53</v>
      </c>
      <c r="H322" s="17">
        <f t="shared" si="244"/>
        <v>27</v>
      </c>
      <c r="I322" s="29">
        <f t="shared" si="203"/>
        <v>0</v>
      </c>
      <c r="J322" s="211">
        <f>IFERROR(VLOOKUP(H322,Charges!$T$6:$U$35,2,0)*C322,0)</f>
        <v>0</v>
      </c>
      <c r="K322" s="29">
        <f t="shared" si="204"/>
        <v>0</v>
      </c>
      <c r="L322" s="29">
        <f t="shared" si="205"/>
        <v>0</v>
      </c>
      <c r="M322" s="147">
        <f t="shared" ca="1" si="206"/>
        <v>0</v>
      </c>
      <c r="N322" s="148">
        <f ca="1">IF(AND(Option_SPW="Y",H322&gt;=Lock_In_Period,Z321&gt;SPW_Amount_pa+IF(option="Single",1/5*pr,2*pr),H322&gt;=SPW_Start_Year,H322&lt;=SPW_Start_Year+SPW_Duration-1,age+H322&gt;=Legal_Age),IF(AND(F322=0,SPW_Payout_Freq=1),SPW_Amount_pa,IF(AND(SPW_Payout_Freq=2,MOD(F322,6)=0),SPW_Amount_pa/SPW_Payout_Freq,IF(AND(SPW_Payout_Freq=4,MOD(F322,3)=0),SPW_Amount_pa/SPW_Payout_Freq,IF(SPW_Payout_Freq=12,SPW_Amount_pa/SPW_Payout_Freq,0)))),0)+IFERROR(VLOOKUP(H322,Input!$B$68:$C$74,2,0),0)*(F322=0)*(Option_PW="Y")*(Option_SPW="N")*(age+H322&gt;=Legal_Age)</f>
        <v>0</v>
      </c>
      <c r="O322" s="148">
        <f t="shared" ca="1" si="207"/>
        <v>0</v>
      </c>
      <c r="P322" s="14">
        <f ca="1">(MAX(MAX(sa-CF321*Flag_UL_Type,105%*SUM($I$7:I322))-(AD321+L322-N322)*Flag_UL_Type,0)*B322)</f>
        <v>0</v>
      </c>
      <c r="Q322" s="213">
        <f t="shared" si="208"/>
        <v>0</v>
      </c>
      <c r="R322" s="14">
        <f t="shared" ca="1" si="209"/>
        <v>0</v>
      </c>
      <c r="S322" s="14">
        <f t="shared" ca="1" si="210"/>
        <v>0</v>
      </c>
      <c r="T322" s="14">
        <f>IFERROR(IF(WoP_Flag="Y",IF(fq=1,VLOOKUP(ppt*fq-H322,Charges!$AN$41:$AO$59,2,FALSE),IF(fq=2,VLOOKUP(ppt*fq-G322,Charges!$AP$41:$AQ$79,2,FALSE),VLOOKUP(ppt*fq-D322,Charges!$AR$41:$AS$279,2,FALSE)))*pr/fq,0),0)</f>
        <v>0</v>
      </c>
      <c r="U322" s="14">
        <f t="shared" ca="1" si="211"/>
        <v>0</v>
      </c>
      <c r="V322" s="34">
        <f>ROUND(MIN(IF(H322&gt;=7,Charges!$C$12*(1+Charges!$C$14)^((H322-7+1)),VLOOKUP(H322,Charges!$B$7:$C$12,2,0))*pr,Charges!$C$13)*B322,Round)</f>
        <v>0</v>
      </c>
      <c r="W322" s="14">
        <f t="shared" ca="1" si="212"/>
        <v>0</v>
      </c>
      <c r="X322" s="14">
        <f t="shared" ca="1" si="213"/>
        <v>0</v>
      </c>
      <c r="Y322" s="213">
        <f t="shared" ca="1" si="237"/>
        <v>0</v>
      </c>
      <c r="Z322" s="14">
        <f t="shared" ca="1" si="214"/>
        <v>0</v>
      </c>
      <c r="AA322" s="14">
        <f>IF(AND($H322=pt,$F322=11),SUM($K$7:K322)*VLOOKUP(pt,ROC,2,FALSE),0)</f>
        <v>0</v>
      </c>
      <c r="AB322" s="14">
        <f>IF(AND($H322=pt,$F322=11),SUM($V$7:V322)*VLOOKUP(pt,ROC,2,FALSE),0)</f>
        <v>0</v>
      </c>
      <c r="AC322" s="14">
        <f>IF(AND($H322=pt,$F322=11),SUM($Q$7:Q322)*VLOOKUP(pt,ROC,2,FALSE),0)</f>
        <v>0</v>
      </c>
      <c r="AD322" s="14">
        <f t="shared" ca="1" si="215"/>
        <v>0</v>
      </c>
      <c r="AE322" s="14">
        <f ca="1">(MAX(sa-CF321*Flag_UL_Type,105%*SUM($I$7:I322),Z322)+AU322)*B322</f>
        <v>0</v>
      </c>
      <c r="AF322" s="136"/>
      <c r="AG322" s="18">
        <v>316</v>
      </c>
      <c r="AH322" s="30">
        <f t="shared" ca="1" si="216"/>
        <v>0</v>
      </c>
      <c r="AI322" s="58"/>
      <c r="AJ322" s="50">
        <f>IF(AND(Option_Sys_TopUp&gt;="Y",H322&gt;=sytp,H322&lt;=(dtp+sytp-1),F322=0,H322&lt;=ppt+1),atp,0)+IFERROR(VLOOKUP(H322,Input!$B$55:$C$61,2,0),0)*(F322=0)*(Option_TopUP="Y")*(Option_Sys_TopUp="N")*B322*(pt&gt;=H322+5)</f>
        <v>0</v>
      </c>
      <c r="AK322" s="50">
        <f t="shared" si="217"/>
        <v>0</v>
      </c>
      <c r="AL322" s="50">
        <f t="shared" si="238"/>
        <v>0</v>
      </c>
      <c r="AM322" s="50">
        <f t="shared" ca="1" si="239"/>
        <v>0</v>
      </c>
      <c r="AN322" s="50">
        <f>IF(B322=0,0,AT322*(_rpm1+(1+_emr1)*VLOOKUP(E322,Tab_Mort_Charge,IF(Input!$C$12="M",2,3),0))*(0.001*0.0833)*Flag_Mort_Rider_Charge*(AT322&gt;0))</f>
        <v>0</v>
      </c>
      <c r="AO322" s="50">
        <f t="shared" ca="1" si="218"/>
        <v>0</v>
      </c>
      <c r="AP322" s="50">
        <f t="shared" ca="1" si="245"/>
        <v>0</v>
      </c>
      <c r="AQ322" s="50">
        <f t="shared" ca="1" si="219"/>
        <v>0</v>
      </c>
      <c r="AR322" s="50">
        <f t="shared" ca="1" si="220"/>
        <v>0</v>
      </c>
      <c r="AS322" s="50">
        <f t="shared" si="221"/>
        <v>0</v>
      </c>
      <c r="AT322" s="50">
        <f ca="1">(MAX((MAX(AS322,105%*SUM($AJ$7:AJ322))-AM322*Flag_UL_Type),0)*B322)</f>
        <v>0</v>
      </c>
      <c r="AU322" s="50">
        <f ca="1">(MAX(AS322,AR322,105%*SUM($AJ$7:AJ322))*B322)</f>
        <v>0</v>
      </c>
      <c r="AV322" s="125"/>
      <c r="AW322" s="13"/>
      <c r="AX322" s="13"/>
      <c r="AY322" s="13"/>
      <c r="AZ322" s="13"/>
      <c r="BA322" s="13"/>
      <c r="BG322" s="51">
        <f t="shared" si="222"/>
        <v>0</v>
      </c>
      <c r="BH322" s="51">
        <f t="shared" si="223"/>
        <v>0</v>
      </c>
      <c r="BI322" s="51">
        <f t="shared" ca="1" si="224"/>
        <v>0</v>
      </c>
      <c r="BJ322" s="51">
        <f t="shared" ca="1" si="225"/>
        <v>0</v>
      </c>
      <c r="BK322" s="51">
        <f t="shared" si="226"/>
        <v>0</v>
      </c>
      <c r="BL322" s="51">
        <f t="shared" ca="1" si="227"/>
        <v>0</v>
      </c>
      <c r="BM322" s="51">
        <f t="shared" si="228"/>
        <v>0</v>
      </c>
      <c r="BN322" s="51">
        <f t="shared" si="229"/>
        <v>0</v>
      </c>
      <c r="BO322" s="51">
        <f t="shared" ca="1" si="230"/>
        <v>0</v>
      </c>
      <c r="BP322" s="51">
        <f t="shared" ca="1" si="231"/>
        <v>0</v>
      </c>
      <c r="BQ322" s="120"/>
      <c r="BR322" s="32"/>
      <c r="BS322" s="126"/>
      <c r="BT322" s="16"/>
      <c r="BU322" s="58"/>
      <c r="BW322" s="51">
        <f>IF(Input!$C$13="Offline",VLOOKUP(H322,Charges!$AT$4:$AU$33,2,FALSE)*I322,0)</f>
        <v>0</v>
      </c>
      <c r="BX322" s="51">
        <f t="shared" si="232"/>
        <v>0</v>
      </c>
      <c r="BY322" s="51">
        <f t="shared" si="240"/>
        <v>0</v>
      </c>
      <c r="BZ322" s="151"/>
      <c r="CA322" s="151"/>
      <c r="CB322" s="32"/>
      <c r="CC322" s="16">
        <f ca="1">SUM($N$7:$N322)</f>
        <v>0</v>
      </c>
      <c r="CD322" s="16">
        <f t="shared" ca="1" si="233"/>
        <v>0</v>
      </c>
      <c r="CE322" s="16">
        <f t="shared" ca="1" si="234"/>
        <v>0</v>
      </c>
      <c r="CF322" s="7">
        <f t="shared" ca="1" si="235"/>
        <v>0</v>
      </c>
      <c r="CH322" s="7">
        <f t="shared" ca="1" si="236"/>
        <v>0</v>
      </c>
    </row>
    <row r="323" spans="2:86" s="7" customFormat="1" x14ac:dyDescent="0.2">
      <c r="B323" s="14">
        <f t="shared" si="200"/>
        <v>0</v>
      </c>
      <c r="C323" s="12">
        <f t="shared" si="201"/>
        <v>0</v>
      </c>
      <c r="D323" s="17">
        <f t="shared" si="241"/>
        <v>317</v>
      </c>
      <c r="E323" s="17">
        <f t="shared" ca="1" si="202"/>
        <v>86</v>
      </c>
      <c r="F323" s="12">
        <f t="shared" si="243"/>
        <v>4</v>
      </c>
      <c r="G323" s="12">
        <f t="shared" si="242"/>
        <v>53</v>
      </c>
      <c r="H323" s="17">
        <f t="shared" si="244"/>
        <v>27</v>
      </c>
      <c r="I323" s="29">
        <f t="shared" si="203"/>
        <v>0</v>
      </c>
      <c r="J323" s="211">
        <f>IFERROR(VLOOKUP(H323,Charges!$T$6:$U$35,2,0)*C323,0)</f>
        <v>0</v>
      </c>
      <c r="K323" s="29">
        <f t="shared" si="204"/>
        <v>0</v>
      </c>
      <c r="L323" s="29">
        <f t="shared" si="205"/>
        <v>0</v>
      </c>
      <c r="M323" s="147">
        <f t="shared" ca="1" si="206"/>
        <v>0</v>
      </c>
      <c r="N323" s="148">
        <f ca="1">IF(AND(Option_SPW="Y",H323&gt;=Lock_In_Period,Z322&gt;SPW_Amount_pa+IF(option="Single",1/5*pr,2*pr),H323&gt;=SPW_Start_Year,H323&lt;=SPW_Start_Year+SPW_Duration-1,age+H323&gt;=Legal_Age),IF(AND(F323=0,SPW_Payout_Freq=1),SPW_Amount_pa,IF(AND(SPW_Payout_Freq=2,MOD(F323,6)=0),SPW_Amount_pa/SPW_Payout_Freq,IF(AND(SPW_Payout_Freq=4,MOD(F323,3)=0),SPW_Amount_pa/SPW_Payout_Freq,IF(SPW_Payout_Freq=12,SPW_Amount_pa/SPW_Payout_Freq,0)))),0)+IFERROR(VLOOKUP(H323,Input!$B$68:$C$74,2,0),0)*(F323=0)*(Option_PW="Y")*(Option_SPW="N")*(age+H323&gt;=Legal_Age)</f>
        <v>0</v>
      </c>
      <c r="O323" s="148">
        <f t="shared" ca="1" si="207"/>
        <v>0</v>
      </c>
      <c r="P323" s="14">
        <f ca="1">(MAX(MAX(sa-CF322*Flag_UL_Type,105%*SUM($I$7:I323))-(AD322+L323-N323)*Flag_UL_Type,0)*B323)</f>
        <v>0</v>
      </c>
      <c r="Q323" s="213">
        <f t="shared" si="208"/>
        <v>0</v>
      </c>
      <c r="R323" s="14">
        <f t="shared" ca="1" si="209"/>
        <v>0</v>
      </c>
      <c r="S323" s="14">
        <f t="shared" ca="1" si="210"/>
        <v>0</v>
      </c>
      <c r="T323" s="14">
        <f>IFERROR(IF(WoP_Flag="Y",IF(fq=1,VLOOKUP(ppt*fq-H323,Charges!$AN$41:$AO$59,2,FALSE),IF(fq=2,VLOOKUP(ppt*fq-G323,Charges!$AP$41:$AQ$79,2,FALSE),VLOOKUP(ppt*fq-D323,Charges!$AR$41:$AS$279,2,FALSE)))*pr/fq,0),0)</f>
        <v>0</v>
      </c>
      <c r="U323" s="14">
        <f t="shared" ca="1" si="211"/>
        <v>0</v>
      </c>
      <c r="V323" s="34">
        <f>ROUND(MIN(IF(H323&gt;=7,Charges!$C$12*(1+Charges!$C$14)^((H323-7+1)),VLOOKUP(H323,Charges!$B$7:$C$12,2,0))*pr,Charges!$C$13)*B323,Round)</f>
        <v>0</v>
      </c>
      <c r="W323" s="14">
        <f t="shared" ca="1" si="212"/>
        <v>0</v>
      </c>
      <c r="X323" s="14">
        <f t="shared" ca="1" si="213"/>
        <v>0</v>
      </c>
      <c r="Y323" s="213">
        <f t="shared" ca="1" si="237"/>
        <v>0</v>
      </c>
      <c r="Z323" s="14">
        <f t="shared" ca="1" si="214"/>
        <v>0</v>
      </c>
      <c r="AA323" s="14">
        <f>IF(AND($H323=pt,$F323=11),SUM($K$7:K323)*VLOOKUP(pt,ROC,2,FALSE),0)</f>
        <v>0</v>
      </c>
      <c r="AB323" s="14">
        <f>IF(AND($H323=pt,$F323=11),SUM($V$7:V323)*VLOOKUP(pt,ROC,2,FALSE),0)</f>
        <v>0</v>
      </c>
      <c r="AC323" s="14">
        <f>IF(AND($H323=pt,$F323=11),SUM($Q$7:Q323)*VLOOKUP(pt,ROC,2,FALSE),0)</f>
        <v>0</v>
      </c>
      <c r="AD323" s="14">
        <f t="shared" ca="1" si="215"/>
        <v>0</v>
      </c>
      <c r="AE323" s="14">
        <f ca="1">(MAX(sa-CF322*Flag_UL_Type,105%*SUM($I$7:I323),Z323)+AU323)*B323</f>
        <v>0</v>
      </c>
      <c r="AF323" s="136"/>
      <c r="AG323" s="18">
        <v>317</v>
      </c>
      <c r="AH323" s="30">
        <f t="shared" ca="1" si="216"/>
        <v>0</v>
      </c>
      <c r="AI323" s="58"/>
      <c r="AJ323" s="50">
        <f>IF(AND(Option_Sys_TopUp&gt;="Y",H323&gt;=sytp,H323&lt;=(dtp+sytp-1),F323=0,H323&lt;=ppt+1),atp,0)+IFERROR(VLOOKUP(H323,Input!$B$55:$C$61,2,0),0)*(F323=0)*(Option_TopUP="Y")*(Option_Sys_TopUp="N")*B323*(pt&gt;=H323+5)</f>
        <v>0</v>
      </c>
      <c r="AK323" s="50">
        <f t="shared" si="217"/>
        <v>0</v>
      </c>
      <c r="AL323" s="50">
        <f t="shared" si="238"/>
        <v>0</v>
      </c>
      <c r="AM323" s="50">
        <f t="shared" ca="1" si="239"/>
        <v>0</v>
      </c>
      <c r="AN323" s="50">
        <f>IF(B323=0,0,AT323*(_rpm1+(1+_emr1)*VLOOKUP(E323,Tab_Mort_Charge,IF(Input!$C$12="M",2,3),0))*(0.001*0.0833)*Flag_Mort_Rider_Charge*(AT323&gt;0))</f>
        <v>0</v>
      </c>
      <c r="AO323" s="50">
        <f t="shared" ca="1" si="218"/>
        <v>0</v>
      </c>
      <c r="AP323" s="50">
        <f t="shared" ca="1" si="245"/>
        <v>0</v>
      </c>
      <c r="AQ323" s="50">
        <f t="shared" ca="1" si="219"/>
        <v>0</v>
      </c>
      <c r="AR323" s="50">
        <f t="shared" ca="1" si="220"/>
        <v>0</v>
      </c>
      <c r="AS323" s="50">
        <f t="shared" si="221"/>
        <v>0</v>
      </c>
      <c r="AT323" s="50">
        <f ca="1">(MAX((MAX(AS323,105%*SUM($AJ$7:AJ323))-AM323*Flag_UL_Type),0)*B323)</f>
        <v>0</v>
      </c>
      <c r="AU323" s="50">
        <f ca="1">(MAX(AS323,AR323,105%*SUM($AJ$7:AJ323))*B323)</f>
        <v>0</v>
      </c>
      <c r="AV323" s="125"/>
      <c r="AW323" s="13"/>
      <c r="AX323" s="13"/>
      <c r="AY323" s="13"/>
      <c r="AZ323" s="13"/>
      <c r="BA323" s="13"/>
      <c r="BG323" s="51">
        <f t="shared" si="222"/>
        <v>0</v>
      </c>
      <c r="BH323" s="51">
        <f t="shared" si="223"/>
        <v>0</v>
      </c>
      <c r="BI323" s="51">
        <f t="shared" ca="1" si="224"/>
        <v>0</v>
      </c>
      <c r="BJ323" s="51">
        <f t="shared" ca="1" si="225"/>
        <v>0</v>
      </c>
      <c r="BK323" s="51">
        <f t="shared" si="226"/>
        <v>0</v>
      </c>
      <c r="BL323" s="51">
        <f t="shared" ca="1" si="227"/>
        <v>0</v>
      </c>
      <c r="BM323" s="51">
        <f t="shared" si="228"/>
        <v>0</v>
      </c>
      <c r="BN323" s="51">
        <f t="shared" si="229"/>
        <v>0</v>
      </c>
      <c r="BO323" s="51">
        <f t="shared" ca="1" si="230"/>
        <v>0</v>
      </c>
      <c r="BP323" s="51">
        <f t="shared" ca="1" si="231"/>
        <v>0</v>
      </c>
      <c r="BQ323" s="120"/>
      <c r="BR323" s="32"/>
      <c r="BS323" s="126"/>
      <c r="BT323" s="16"/>
      <c r="BU323" s="58"/>
      <c r="BW323" s="51">
        <f>IF(Input!$C$13="Offline",VLOOKUP(H323,Charges!$AT$4:$AU$33,2,FALSE)*I323,0)</f>
        <v>0</v>
      </c>
      <c r="BX323" s="51">
        <f t="shared" si="232"/>
        <v>0</v>
      </c>
      <c r="BY323" s="51">
        <f t="shared" si="240"/>
        <v>0</v>
      </c>
      <c r="BZ323" s="151"/>
      <c r="CA323" s="151"/>
      <c r="CB323" s="32"/>
      <c r="CC323" s="16">
        <f ca="1">SUM($N$7:$N323)</f>
        <v>0</v>
      </c>
      <c r="CD323" s="16">
        <f t="shared" ca="1" si="233"/>
        <v>0</v>
      </c>
      <c r="CE323" s="16">
        <f t="shared" ca="1" si="234"/>
        <v>0</v>
      </c>
      <c r="CF323" s="7">
        <f t="shared" ca="1" si="235"/>
        <v>0</v>
      </c>
      <c r="CH323" s="7">
        <f t="shared" ca="1" si="236"/>
        <v>0</v>
      </c>
    </row>
    <row r="324" spans="2:86" s="7" customFormat="1" x14ac:dyDescent="0.2">
      <c r="B324" s="14">
        <f t="shared" si="200"/>
        <v>0</v>
      </c>
      <c r="C324" s="12">
        <f t="shared" si="201"/>
        <v>0</v>
      </c>
      <c r="D324" s="17">
        <f t="shared" si="241"/>
        <v>318</v>
      </c>
      <c r="E324" s="17">
        <f t="shared" ca="1" si="202"/>
        <v>86</v>
      </c>
      <c r="F324" s="12">
        <f t="shared" si="243"/>
        <v>5</v>
      </c>
      <c r="G324" s="12">
        <f t="shared" si="242"/>
        <v>53</v>
      </c>
      <c r="H324" s="17">
        <f t="shared" si="244"/>
        <v>27</v>
      </c>
      <c r="I324" s="29">
        <f t="shared" si="203"/>
        <v>0</v>
      </c>
      <c r="J324" s="211">
        <f>IFERROR(VLOOKUP(H324,Charges!$T$6:$U$35,2,0)*C324,0)</f>
        <v>0</v>
      </c>
      <c r="K324" s="29">
        <f t="shared" si="204"/>
        <v>0</v>
      </c>
      <c r="L324" s="29">
        <f t="shared" si="205"/>
        <v>0</v>
      </c>
      <c r="M324" s="147">
        <f t="shared" ca="1" si="206"/>
        <v>0</v>
      </c>
      <c r="N324" s="148">
        <f ca="1">IF(AND(Option_SPW="Y",H324&gt;=Lock_In_Period,Z323&gt;SPW_Amount_pa+IF(option="Single",1/5*pr,2*pr),H324&gt;=SPW_Start_Year,H324&lt;=SPW_Start_Year+SPW_Duration-1,age+H324&gt;=Legal_Age),IF(AND(F324=0,SPW_Payout_Freq=1),SPW_Amount_pa,IF(AND(SPW_Payout_Freq=2,MOD(F324,6)=0),SPW_Amount_pa/SPW_Payout_Freq,IF(AND(SPW_Payout_Freq=4,MOD(F324,3)=0),SPW_Amount_pa/SPW_Payout_Freq,IF(SPW_Payout_Freq=12,SPW_Amount_pa/SPW_Payout_Freq,0)))),0)+IFERROR(VLOOKUP(H324,Input!$B$68:$C$74,2,0),0)*(F324=0)*(Option_PW="Y")*(Option_SPW="N")*(age+H324&gt;=Legal_Age)</f>
        <v>0</v>
      </c>
      <c r="O324" s="148">
        <f t="shared" ca="1" si="207"/>
        <v>0</v>
      </c>
      <c r="P324" s="14">
        <f ca="1">(MAX(MAX(sa-CF323*Flag_UL_Type,105%*SUM($I$7:I324))-(AD323+L324-N324)*Flag_UL_Type,0)*B324)</f>
        <v>0</v>
      </c>
      <c r="Q324" s="213">
        <f t="shared" si="208"/>
        <v>0</v>
      </c>
      <c r="R324" s="14">
        <f t="shared" ca="1" si="209"/>
        <v>0</v>
      </c>
      <c r="S324" s="14">
        <f t="shared" ca="1" si="210"/>
        <v>0</v>
      </c>
      <c r="T324" s="14">
        <f>IFERROR(IF(WoP_Flag="Y",IF(fq=1,VLOOKUP(ppt*fq-H324,Charges!$AN$41:$AO$59,2,FALSE),IF(fq=2,VLOOKUP(ppt*fq-G324,Charges!$AP$41:$AQ$79,2,FALSE),VLOOKUP(ppt*fq-D324,Charges!$AR$41:$AS$279,2,FALSE)))*pr/fq,0),0)</f>
        <v>0</v>
      </c>
      <c r="U324" s="14">
        <f t="shared" ca="1" si="211"/>
        <v>0</v>
      </c>
      <c r="V324" s="34">
        <f>ROUND(MIN(IF(H324&gt;=7,Charges!$C$12*(1+Charges!$C$14)^((H324-7+1)),VLOOKUP(H324,Charges!$B$7:$C$12,2,0))*pr,Charges!$C$13)*B324,Round)</f>
        <v>0</v>
      </c>
      <c r="W324" s="14">
        <f t="shared" ca="1" si="212"/>
        <v>0</v>
      </c>
      <c r="X324" s="14">
        <f t="shared" ca="1" si="213"/>
        <v>0</v>
      </c>
      <c r="Y324" s="213">
        <f t="shared" ca="1" si="237"/>
        <v>0</v>
      </c>
      <c r="Z324" s="14">
        <f t="shared" ca="1" si="214"/>
        <v>0</v>
      </c>
      <c r="AA324" s="14">
        <f>IF(AND($H324=pt,$F324=11),SUM($K$7:K324)*VLOOKUP(pt,ROC,2,FALSE),0)</f>
        <v>0</v>
      </c>
      <c r="AB324" s="14">
        <f>IF(AND($H324=pt,$F324=11),SUM($V$7:V324)*VLOOKUP(pt,ROC,2,FALSE),0)</f>
        <v>0</v>
      </c>
      <c r="AC324" s="14">
        <f>IF(AND($H324=pt,$F324=11),SUM($Q$7:Q324)*VLOOKUP(pt,ROC,2,FALSE),0)</f>
        <v>0</v>
      </c>
      <c r="AD324" s="14">
        <f t="shared" ca="1" si="215"/>
        <v>0</v>
      </c>
      <c r="AE324" s="14">
        <f ca="1">(MAX(sa-CF323*Flag_UL_Type,105%*SUM($I$7:I324),Z324)+AU324)*B324</f>
        <v>0</v>
      </c>
      <c r="AF324" s="136"/>
      <c r="AG324" s="18">
        <v>318</v>
      </c>
      <c r="AH324" s="30">
        <f t="shared" ca="1" si="216"/>
        <v>0</v>
      </c>
      <c r="AI324" s="58"/>
      <c r="AJ324" s="50">
        <f>IF(AND(Option_Sys_TopUp&gt;="Y",H324&gt;=sytp,H324&lt;=(dtp+sytp-1),F324=0,H324&lt;=ppt+1),atp,0)+IFERROR(VLOOKUP(H324,Input!$B$55:$C$61,2,0),0)*(F324=0)*(Option_TopUP="Y")*(Option_Sys_TopUp="N")*B324*(pt&gt;=H324+5)</f>
        <v>0</v>
      </c>
      <c r="AK324" s="50">
        <f t="shared" si="217"/>
        <v>0</v>
      </c>
      <c r="AL324" s="50">
        <f t="shared" si="238"/>
        <v>0</v>
      </c>
      <c r="AM324" s="50">
        <f t="shared" ca="1" si="239"/>
        <v>0</v>
      </c>
      <c r="AN324" s="50">
        <f>IF(B324=0,0,AT324*(_rpm1+(1+_emr1)*VLOOKUP(E324,Tab_Mort_Charge,IF(Input!$C$12="M",2,3),0))*(0.001*0.0833)*Flag_Mort_Rider_Charge*(AT324&gt;0))</f>
        <v>0</v>
      </c>
      <c r="AO324" s="50">
        <f t="shared" ca="1" si="218"/>
        <v>0</v>
      </c>
      <c r="AP324" s="50">
        <f t="shared" ca="1" si="245"/>
        <v>0</v>
      </c>
      <c r="AQ324" s="50">
        <f t="shared" ca="1" si="219"/>
        <v>0</v>
      </c>
      <c r="AR324" s="50">
        <f t="shared" ca="1" si="220"/>
        <v>0</v>
      </c>
      <c r="AS324" s="50">
        <f t="shared" si="221"/>
        <v>0</v>
      </c>
      <c r="AT324" s="50">
        <f ca="1">(MAX((MAX(AS324,105%*SUM($AJ$7:AJ324))-AM324*Flag_UL_Type),0)*B324)</f>
        <v>0</v>
      </c>
      <c r="AU324" s="50">
        <f ca="1">(MAX(AS324,AR324,105%*SUM($AJ$7:AJ324))*B324)</f>
        <v>0</v>
      </c>
      <c r="AV324" s="125"/>
      <c r="AW324" s="13"/>
      <c r="AX324" s="13"/>
      <c r="AY324" s="13"/>
      <c r="AZ324" s="13"/>
      <c r="BA324" s="13"/>
      <c r="BG324" s="51">
        <f t="shared" si="222"/>
        <v>0</v>
      </c>
      <c r="BH324" s="51">
        <f t="shared" si="223"/>
        <v>0</v>
      </c>
      <c r="BI324" s="51">
        <f t="shared" ca="1" si="224"/>
        <v>0</v>
      </c>
      <c r="BJ324" s="51">
        <f t="shared" ca="1" si="225"/>
        <v>0</v>
      </c>
      <c r="BK324" s="51">
        <f t="shared" si="226"/>
        <v>0</v>
      </c>
      <c r="BL324" s="51">
        <f t="shared" ca="1" si="227"/>
        <v>0</v>
      </c>
      <c r="BM324" s="51">
        <f t="shared" si="228"/>
        <v>0</v>
      </c>
      <c r="BN324" s="51">
        <f t="shared" si="229"/>
        <v>0</v>
      </c>
      <c r="BO324" s="51">
        <f t="shared" ca="1" si="230"/>
        <v>0</v>
      </c>
      <c r="BP324" s="51">
        <f t="shared" ca="1" si="231"/>
        <v>0</v>
      </c>
      <c r="BQ324" s="120"/>
      <c r="BR324" s="32"/>
      <c r="BS324" s="126"/>
      <c r="BT324" s="16"/>
      <c r="BU324" s="58"/>
      <c r="BW324" s="51">
        <f>IF(Input!$C$13="Offline",VLOOKUP(H324,Charges!$AT$4:$AU$33,2,FALSE)*I324,0)</f>
        <v>0</v>
      </c>
      <c r="BX324" s="51">
        <f t="shared" si="232"/>
        <v>0</v>
      </c>
      <c r="BY324" s="51">
        <f t="shared" si="240"/>
        <v>0</v>
      </c>
      <c r="BZ324" s="151"/>
      <c r="CA324" s="151"/>
      <c r="CB324" s="32"/>
      <c r="CC324" s="16">
        <f ca="1">SUM($N$7:$N324)</f>
        <v>0</v>
      </c>
      <c r="CD324" s="16">
        <f t="shared" ca="1" si="233"/>
        <v>0</v>
      </c>
      <c r="CE324" s="16">
        <f t="shared" ca="1" si="234"/>
        <v>0</v>
      </c>
      <c r="CF324" s="7">
        <f t="shared" ca="1" si="235"/>
        <v>0</v>
      </c>
      <c r="CH324" s="7">
        <f t="shared" ca="1" si="236"/>
        <v>0</v>
      </c>
    </row>
    <row r="325" spans="2:86" s="7" customFormat="1" x14ac:dyDescent="0.2">
      <c r="B325" s="14">
        <f t="shared" si="200"/>
        <v>0</v>
      </c>
      <c r="C325" s="12">
        <f t="shared" si="201"/>
        <v>0</v>
      </c>
      <c r="D325" s="17">
        <f t="shared" si="241"/>
        <v>319</v>
      </c>
      <c r="E325" s="17">
        <f t="shared" ca="1" si="202"/>
        <v>86</v>
      </c>
      <c r="F325" s="12">
        <f t="shared" si="243"/>
        <v>6</v>
      </c>
      <c r="G325" s="12">
        <f t="shared" si="242"/>
        <v>54</v>
      </c>
      <c r="H325" s="17">
        <f t="shared" si="244"/>
        <v>27</v>
      </c>
      <c r="I325" s="29">
        <f t="shared" si="203"/>
        <v>0</v>
      </c>
      <c r="J325" s="211">
        <f>IFERROR(VLOOKUP(H325,Charges!$T$6:$U$35,2,0)*C325,0)</f>
        <v>0</v>
      </c>
      <c r="K325" s="29">
        <f t="shared" si="204"/>
        <v>0</v>
      </c>
      <c r="L325" s="29">
        <f t="shared" si="205"/>
        <v>0</v>
      </c>
      <c r="M325" s="147">
        <f t="shared" ca="1" si="206"/>
        <v>0</v>
      </c>
      <c r="N325" s="148">
        <f ca="1">IF(AND(Option_SPW="Y",H325&gt;=Lock_In_Period,Z324&gt;SPW_Amount_pa+IF(option="Single",1/5*pr,2*pr),H325&gt;=SPW_Start_Year,H325&lt;=SPW_Start_Year+SPW_Duration-1,age+H325&gt;=Legal_Age),IF(AND(F325=0,SPW_Payout_Freq=1),SPW_Amount_pa,IF(AND(SPW_Payout_Freq=2,MOD(F325,6)=0),SPW_Amount_pa/SPW_Payout_Freq,IF(AND(SPW_Payout_Freq=4,MOD(F325,3)=0),SPW_Amount_pa/SPW_Payout_Freq,IF(SPW_Payout_Freq=12,SPW_Amount_pa/SPW_Payout_Freq,0)))),0)+IFERROR(VLOOKUP(H325,Input!$B$68:$C$74,2,0),0)*(F325=0)*(Option_PW="Y")*(Option_SPW="N")*(age+H325&gt;=Legal_Age)</f>
        <v>0</v>
      </c>
      <c r="O325" s="148">
        <f t="shared" ca="1" si="207"/>
        <v>0</v>
      </c>
      <c r="P325" s="14">
        <f ca="1">(MAX(MAX(sa-CF324*Flag_UL_Type,105%*SUM($I$7:I325))-(AD324+L325-N325)*Flag_UL_Type,0)*B325)</f>
        <v>0</v>
      </c>
      <c r="Q325" s="213">
        <f t="shared" si="208"/>
        <v>0</v>
      </c>
      <c r="R325" s="14">
        <f t="shared" ca="1" si="209"/>
        <v>0</v>
      </c>
      <c r="S325" s="14">
        <f t="shared" ca="1" si="210"/>
        <v>0</v>
      </c>
      <c r="T325" s="14">
        <f>IFERROR(IF(WoP_Flag="Y",IF(fq=1,VLOOKUP(ppt*fq-H325,Charges!$AN$41:$AO$59,2,FALSE),IF(fq=2,VLOOKUP(ppt*fq-G325,Charges!$AP$41:$AQ$79,2,FALSE),VLOOKUP(ppt*fq-D325,Charges!$AR$41:$AS$279,2,FALSE)))*pr/fq,0),0)</f>
        <v>0</v>
      </c>
      <c r="U325" s="14">
        <f t="shared" ca="1" si="211"/>
        <v>0</v>
      </c>
      <c r="V325" s="34">
        <f>ROUND(MIN(IF(H325&gt;=7,Charges!$C$12*(1+Charges!$C$14)^((H325-7+1)),VLOOKUP(H325,Charges!$B$7:$C$12,2,0))*pr,Charges!$C$13)*B325,Round)</f>
        <v>0</v>
      </c>
      <c r="W325" s="14">
        <f t="shared" ca="1" si="212"/>
        <v>0</v>
      </c>
      <c r="X325" s="14">
        <f t="shared" ca="1" si="213"/>
        <v>0</v>
      </c>
      <c r="Y325" s="213">
        <f t="shared" ca="1" si="237"/>
        <v>0</v>
      </c>
      <c r="Z325" s="14">
        <f t="shared" ca="1" si="214"/>
        <v>0</v>
      </c>
      <c r="AA325" s="14">
        <f>IF(AND($H325=pt,$F325=11),SUM($K$7:K325)*VLOOKUP(pt,ROC,2,FALSE),0)</f>
        <v>0</v>
      </c>
      <c r="AB325" s="14">
        <f>IF(AND($H325=pt,$F325=11),SUM($V$7:V325)*VLOOKUP(pt,ROC,2,FALSE),0)</f>
        <v>0</v>
      </c>
      <c r="AC325" s="14">
        <f>IF(AND($H325=pt,$F325=11),SUM($Q$7:Q325)*VLOOKUP(pt,ROC,2,FALSE),0)</f>
        <v>0</v>
      </c>
      <c r="AD325" s="14">
        <f t="shared" ca="1" si="215"/>
        <v>0</v>
      </c>
      <c r="AE325" s="14">
        <f ca="1">(MAX(sa-CF324*Flag_UL_Type,105%*SUM($I$7:I325),Z325)+AU325)*B325</f>
        <v>0</v>
      </c>
      <c r="AF325" s="136"/>
      <c r="AG325" s="18">
        <v>319</v>
      </c>
      <c r="AH325" s="30">
        <f t="shared" ca="1" si="216"/>
        <v>0</v>
      </c>
      <c r="AI325" s="58"/>
      <c r="AJ325" s="50">
        <f>IF(AND(Option_Sys_TopUp&gt;="Y",H325&gt;=sytp,H325&lt;=(dtp+sytp-1),F325=0,H325&lt;=ppt+1),atp,0)+IFERROR(VLOOKUP(H325,Input!$B$55:$C$61,2,0),0)*(F325=0)*(Option_TopUP="Y")*(Option_Sys_TopUp="N")*B325*(pt&gt;=H325+5)</f>
        <v>0</v>
      </c>
      <c r="AK325" s="50">
        <f t="shared" si="217"/>
        <v>0</v>
      </c>
      <c r="AL325" s="50">
        <f t="shared" si="238"/>
        <v>0</v>
      </c>
      <c r="AM325" s="50">
        <f t="shared" ca="1" si="239"/>
        <v>0</v>
      </c>
      <c r="AN325" s="50">
        <f>IF(B325=0,0,AT325*(_rpm1+(1+_emr1)*VLOOKUP(E325,Tab_Mort_Charge,IF(Input!$C$12="M",2,3),0))*(0.001*0.0833)*Flag_Mort_Rider_Charge*(AT325&gt;0))</f>
        <v>0</v>
      </c>
      <c r="AO325" s="50">
        <f t="shared" ca="1" si="218"/>
        <v>0</v>
      </c>
      <c r="AP325" s="50">
        <f t="shared" ca="1" si="245"/>
        <v>0</v>
      </c>
      <c r="AQ325" s="50">
        <f t="shared" ca="1" si="219"/>
        <v>0</v>
      </c>
      <c r="AR325" s="50">
        <f t="shared" ca="1" si="220"/>
        <v>0</v>
      </c>
      <c r="AS325" s="50">
        <f t="shared" si="221"/>
        <v>0</v>
      </c>
      <c r="AT325" s="50">
        <f ca="1">(MAX((MAX(AS325,105%*SUM($AJ$7:AJ325))-AM325*Flag_UL_Type),0)*B325)</f>
        <v>0</v>
      </c>
      <c r="AU325" s="50">
        <f ca="1">(MAX(AS325,AR325,105%*SUM($AJ$7:AJ325))*B325)</f>
        <v>0</v>
      </c>
      <c r="AV325" s="125"/>
      <c r="AW325" s="13"/>
      <c r="AX325" s="13"/>
      <c r="AY325" s="13"/>
      <c r="AZ325" s="13"/>
      <c r="BA325" s="13"/>
      <c r="BG325" s="51">
        <f t="shared" si="222"/>
        <v>0</v>
      </c>
      <c r="BH325" s="51">
        <f t="shared" si="223"/>
        <v>0</v>
      </c>
      <c r="BI325" s="51">
        <f t="shared" ca="1" si="224"/>
        <v>0</v>
      </c>
      <c r="BJ325" s="51">
        <f t="shared" ca="1" si="225"/>
        <v>0</v>
      </c>
      <c r="BK325" s="51">
        <f t="shared" si="226"/>
        <v>0</v>
      </c>
      <c r="BL325" s="51">
        <f t="shared" ca="1" si="227"/>
        <v>0</v>
      </c>
      <c r="BM325" s="51">
        <f t="shared" si="228"/>
        <v>0</v>
      </c>
      <c r="BN325" s="51">
        <f t="shared" si="229"/>
        <v>0</v>
      </c>
      <c r="BO325" s="51">
        <f t="shared" ca="1" si="230"/>
        <v>0</v>
      </c>
      <c r="BP325" s="51">
        <f t="shared" ca="1" si="231"/>
        <v>0</v>
      </c>
      <c r="BQ325" s="120"/>
      <c r="BR325" s="32"/>
      <c r="BS325" s="126"/>
      <c r="BT325" s="16"/>
      <c r="BU325" s="58"/>
      <c r="BW325" s="51">
        <f>IF(Input!$C$13="Offline",VLOOKUP(H325,Charges!$AT$4:$AU$33,2,FALSE)*I325,0)</f>
        <v>0</v>
      </c>
      <c r="BX325" s="51">
        <f t="shared" si="232"/>
        <v>0</v>
      </c>
      <c r="BY325" s="51">
        <f t="shared" si="240"/>
        <v>0</v>
      </c>
      <c r="BZ325" s="151"/>
      <c r="CA325" s="151"/>
      <c r="CB325" s="32"/>
      <c r="CC325" s="16">
        <f ca="1">SUM($N$7:$N325)</f>
        <v>0</v>
      </c>
      <c r="CD325" s="16">
        <f t="shared" ca="1" si="233"/>
        <v>0</v>
      </c>
      <c r="CE325" s="16">
        <f t="shared" ca="1" si="234"/>
        <v>0</v>
      </c>
      <c r="CF325" s="7">
        <f t="shared" ca="1" si="235"/>
        <v>0</v>
      </c>
      <c r="CH325" s="7">
        <f t="shared" ca="1" si="236"/>
        <v>0</v>
      </c>
    </row>
    <row r="326" spans="2:86" s="7" customFormat="1" x14ac:dyDescent="0.2">
      <c r="B326" s="14">
        <f t="shared" si="200"/>
        <v>0</v>
      </c>
      <c r="C326" s="12">
        <f t="shared" si="201"/>
        <v>0</v>
      </c>
      <c r="D326" s="17">
        <f t="shared" si="241"/>
        <v>320</v>
      </c>
      <c r="E326" s="17">
        <f t="shared" ca="1" si="202"/>
        <v>86</v>
      </c>
      <c r="F326" s="12">
        <f t="shared" si="243"/>
        <v>7</v>
      </c>
      <c r="G326" s="12">
        <f t="shared" si="242"/>
        <v>54</v>
      </c>
      <c r="H326" s="17">
        <f t="shared" si="244"/>
        <v>27</v>
      </c>
      <c r="I326" s="29">
        <f t="shared" si="203"/>
        <v>0</v>
      </c>
      <c r="J326" s="211">
        <f>IFERROR(VLOOKUP(H326,Charges!$T$6:$U$35,2,0)*C326,0)</f>
        <v>0</v>
      </c>
      <c r="K326" s="29">
        <f t="shared" si="204"/>
        <v>0</v>
      </c>
      <c r="L326" s="29">
        <f t="shared" si="205"/>
        <v>0</v>
      </c>
      <c r="M326" s="147">
        <f t="shared" ca="1" si="206"/>
        <v>0</v>
      </c>
      <c r="N326" s="148">
        <f ca="1">IF(AND(Option_SPW="Y",H326&gt;=Lock_In_Period,Z325&gt;SPW_Amount_pa+IF(option="Single",1/5*pr,2*pr),H326&gt;=SPW_Start_Year,H326&lt;=SPW_Start_Year+SPW_Duration-1,age+H326&gt;=Legal_Age),IF(AND(F326=0,SPW_Payout_Freq=1),SPW_Amount_pa,IF(AND(SPW_Payout_Freq=2,MOD(F326,6)=0),SPW_Amount_pa/SPW_Payout_Freq,IF(AND(SPW_Payout_Freq=4,MOD(F326,3)=0),SPW_Amount_pa/SPW_Payout_Freq,IF(SPW_Payout_Freq=12,SPW_Amount_pa/SPW_Payout_Freq,0)))),0)+IFERROR(VLOOKUP(H326,Input!$B$68:$C$74,2,0),0)*(F326=0)*(Option_PW="Y")*(Option_SPW="N")*(age+H326&gt;=Legal_Age)</f>
        <v>0</v>
      </c>
      <c r="O326" s="148">
        <f t="shared" ca="1" si="207"/>
        <v>0</v>
      </c>
      <c r="P326" s="14">
        <f ca="1">(MAX(MAX(sa-CF325*Flag_UL_Type,105%*SUM($I$7:I326))-(AD325+L326-N326)*Flag_UL_Type,0)*B326)</f>
        <v>0</v>
      </c>
      <c r="Q326" s="213">
        <f t="shared" si="208"/>
        <v>0</v>
      </c>
      <c r="R326" s="14">
        <f t="shared" ca="1" si="209"/>
        <v>0</v>
      </c>
      <c r="S326" s="14">
        <f t="shared" ca="1" si="210"/>
        <v>0</v>
      </c>
      <c r="T326" s="14">
        <f>IFERROR(IF(WoP_Flag="Y",IF(fq=1,VLOOKUP(ppt*fq-H326,Charges!$AN$41:$AO$59,2,FALSE),IF(fq=2,VLOOKUP(ppt*fq-G326,Charges!$AP$41:$AQ$79,2,FALSE),VLOOKUP(ppt*fq-D326,Charges!$AR$41:$AS$279,2,FALSE)))*pr/fq,0),0)</f>
        <v>0</v>
      </c>
      <c r="U326" s="14">
        <f t="shared" ca="1" si="211"/>
        <v>0</v>
      </c>
      <c r="V326" s="34">
        <f>ROUND(MIN(IF(H326&gt;=7,Charges!$C$12*(1+Charges!$C$14)^((H326-7+1)),VLOOKUP(H326,Charges!$B$7:$C$12,2,0))*pr,Charges!$C$13)*B326,Round)</f>
        <v>0</v>
      </c>
      <c r="W326" s="14">
        <f t="shared" ca="1" si="212"/>
        <v>0</v>
      </c>
      <c r="X326" s="14">
        <f t="shared" ca="1" si="213"/>
        <v>0</v>
      </c>
      <c r="Y326" s="213">
        <f t="shared" ca="1" si="237"/>
        <v>0</v>
      </c>
      <c r="Z326" s="14">
        <f t="shared" ca="1" si="214"/>
        <v>0</v>
      </c>
      <c r="AA326" s="14">
        <f>IF(AND($H326=pt,$F326=11),SUM($K$7:K326)*VLOOKUP(pt,ROC,2,FALSE),0)</f>
        <v>0</v>
      </c>
      <c r="AB326" s="14">
        <f>IF(AND($H326=pt,$F326=11),SUM($V$7:V326)*VLOOKUP(pt,ROC,2,FALSE),0)</f>
        <v>0</v>
      </c>
      <c r="AC326" s="14">
        <f>IF(AND($H326=pt,$F326=11),SUM($Q$7:Q326)*VLOOKUP(pt,ROC,2,FALSE),0)</f>
        <v>0</v>
      </c>
      <c r="AD326" s="14">
        <f t="shared" ca="1" si="215"/>
        <v>0</v>
      </c>
      <c r="AE326" s="14">
        <f ca="1">(MAX(sa-CF325*Flag_UL_Type,105%*SUM($I$7:I326),Z326)+AU326)*B326</f>
        <v>0</v>
      </c>
      <c r="AF326" s="136"/>
      <c r="AG326" s="18">
        <v>320</v>
      </c>
      <c r="AH326" s="30">
        <f t="shared" ca="1" si="216"/>
        <v>0</v>
      </c>
      <c r="AI326" s="58"/>
      <c r="AJ326" s="50">
        <f>IF(AND(Option_Sys_TopUp&gt;="Y",H326&gt;=sytp,H326&lt;=(dtp+sytp-1),F326=0,H326&lt;=ppt+1),atp,0)+IFERROR(VLOOKUP(H326,Input!$B$55:$C$61,2,0),0)*(F326=0)*(Option_TopUP="Y")*(Option_Sys_TopUp="N")*B326*(pt&gt;=H326+5)</f>
        <v>0</v>
      </c>
      <c r="AK326" s="50">
        <f t="shared" si="217"/>
        <v>0</v>
      </c>
      <c r="AL326" s="50">
        <f t="shared" si="238"/>
        <v>0</v>
      </c>
      <c r="AM326" s="50">
        <f t="shared" ca="1" si="239"/>
        <v>0</v>
      </c>
      <c r="AN326" s="50">
        <f>IF(B326=0,0,AT326*(_rpm1+(1+_emr1)*VLOOKUP(E326,Tab_Mort_Charge,IF(Input!$C$12="M",2,3),0))*(0.001*0.0833)*Flag_Mort_Rider_Charge*(AT326&gt;0))</f>
        <v>0</v>
      </c>
      <c r="AO326" s="50">
        <f t="shared" ca="1" si="218"/>
        <v>0</v>
      </c>
      <c r="AP326" s="50">
        <f t="shared" ca="1" si="245"/>
        <v>0</v>
      </c>
      <c r="AQ326" s="50">
        <f t="shared" ca="1" si="219"/>
        <v>0</v>
      </c>
      <c r="AR326" s="50">
        <f t="shared" ca="1" si="220"/>
        <v>0</v>
      </c>
      <c r="AS326" s="50">
        <f t="shared" si="221"/>
        <v>0</v>
      </c>
      <c r="AT326" s="50">
        <f ca="1">(MAX((MAX(AS326,105%*SUM($AJ$7:AJ326))-AM326*Flag_UL_Type),0)*B326)</f>
        <v>0</v>
      </c>
      <c r="AU326" s="50">
        <f ca="1">(MAX(AS326,AR326,105%*SUM($AJ$7:AJ326))*B326)</f>
        <v>0</v>
      </c>
      <c r="AV326" s="125"/>
      <c r="AW326" s="13"/>
      <c r="AX326" s="13"/>
      <c r="AY326" s="13"/>
      <c r="AZ326" s="13"/>
      <c r="BA326" s="13"/>
      <c r="BG326" s="51">
        <f t="shared" si="222"/>
        <v>0</v>
      </c>
      <c r="BH326" s="51">
        <f t="shared" si="223"/>
        <v>0</v>
      </c>
      <c r="BI326" s="51">
        <f t="shared" ca="1" si="224"/>
        <v>0</v>
      </c>
      <c r="BJ326" s="51">
        <f t="shared" ca="1" si="225"/>
        <v>0</v>
      </c>
      <c r="BK326" s="51">
        <f t="shared" si="226"/>
        <v>0</v>
      </c>
      <c r="BL326" s="51">
        <f t="shared" ca="1" si="227"/>
        <v>0</v>
      </c>
      <c r="BM326" s="51">
        <f t="shared" si="228"/>
        <v>0</v>
      </c>
      <c r="BN326" s="51">
        <f t="shared" si="229"/>
        <v>0</v>
      </c>
      <c r="BO326" s="51">
        <f t="shared" ca="1" si="230"/>
        <v>0</v>
      </c>
      <c r="BP326" s="51">
        <f t="shared" ca="1" si="231"/>
        <v>0</v>
      </c>
      <c r="BQ326" s="120"/>
      <c r="BR326" s="32"/>
      <c r="BS326" s="126"/>
      <c r="BT326" s="16"/>
      <c r="BU326" s="58"/>
      <c r="BW326" s="51">
        <f>IF(Input!$C$13="Offline",VLOOKUP(H326,Charges!$AT$4:$AU$33,2,FALSE)*I326,0)</f>
        <v>0</v>
      </c>
      <c r="BX326" s="51">
        <f t="shared" si="232"/>
        <v>0</v>
      </c>
      <c r="BY326" s="51">
        <f t="shared" si="240"/>
        <v>0</v>
      </c>
      <c r="BZ326" s="151"/>
      <c r="CA326" s="151"/>
      <c r="CB326" s="32"/>
      <c r="CC326" s="16">
        <f ca="1">SUM($N$7:$N326)</f>
        <v>0</v>
      </c>
      <c r="CD326" s="16">
        <f t="shared" ca="1" si="233"/>
        <v>0</v>
      </c>
      <c r="CE326" s="16">
        <f t="shared" ca="1" si="234"/>
        <v>0</v>
      </c>
      <c r="CF326" s="7">
        <f t="shared" ca="1" si="235"/>
        <v>0</v>
      </c>
      <c r="CH326" s="7">
        <f t="shared" ca="1" si="236"/>
        <v>0</v>
      </c>
    </row>
    <row r="327" spans="2:86" s="7" customFormat="1" x14ac:dyDescent="0.2">
      <c r="B327" s="14">
        <f t="shared" ref="B327:B367" si="246">IF(H327&lt;=pt,1,0)</f>
        <v>0</v>
      </c>
      <c r="C327" s="12">
        <f t="shared" ref="C327:C367" si="247">IF(H327&lt;=ppt,1,0)</f>
        <v>0</v>
      </c>
      <c r="D327" s="17">
        <f t="shared" si="241"/>
        <v>321</v>
      </c>
      <c r="E327" s="17">
        <f t="shared" ref="E327:E367" ca="1" si="248">(age+(H327-1))</f>
        <v>86</v>
      </c>
      <c r="F327" s="12">
        <f t="shared" si="243"/>
        <v>8</v>
      </c>
      <c r="G327" s="12">
        <f t="shared" si="242"/>
        <v>54</v>
      </c>
      <c r="H327" s="17">
        <f t="shared" si="244"/>
        <v>27</v>
      </c>
      <c r="I327" s="29">
        <f t="shared" ref="I327:I367" si="249">IF(AND(H327&lt;=pt,H327&lt;=ppt,F327=0,fq=1),pr,IF(AND(H327&lt;=pt,H327&lt;=ppt,fq=2,MOD(F327,6)=0),pr/fq,IF(AND(H327&lt;=pt,H327&lt;=ppt,fq=12),pr/fq,0)))</f>
        <v>0</v>
      </c>
      <c r="J327" s="211">
        <f>IFERROR(VLOOKUP(H327,Charges!$T$6:$U$35,2,0)*C327,0)</f>
        <v>0</v>
      </c>
      <c r="K327" s="29">
        <f t="shared" ref="K327:K367" si="250">ROUND((100%-J327)*I327,Round)</f>
        <v>0</v>
      </c>
      <c r="L327" s="29">
        <f t="shared" ref="L327:L367" si="251">(I327-(K327+BG327*IF(Model_Type="Pricing_Unit",1,0)))*C327</f>
        <v>0</v>
      </c>
      <c r="M327" s="147">
        <f t="shared" ref="M327:M367" ca="1" si="252">IF(AND(OR(Option_PW="Y",Option_SPW="Y"),H327&gt;Lock_In_Period,H327&lt;=pt,(W327-IF(option="Single",1/5*pr,2*pr))&gt;0,(age+H327)&gt;=Legal_Age),(W326+L327-IF(option="Single",1/5*pr,2*pr)),0)</f>
        <v>0</v>
      </c>
      <c r="N327" s="148">
        <f ca="1">IF(AND(Option_SPW="Y",H327&gt;=Lock_In_Period,Z326&gt;SPW_Amount_pa+IF(option="Single",1/5*pr,2*pr),H327&gt;=SPW_Start_Year,H327&lt;=SPW_Start_Year+SPW_Duration-1,age+H327&gt;=Legal_Age),IF(AND(F327=0,SPW_Payout_Freq=1),SPW_Amount_pa,IF(AND(SPW_Payout_Freq=2,MOD(F327,6)=0),SPW_Amount_pa/SPW_Payout_Freq,IF(AND(SPW_Payout_Freq=4,MOD(F327,3)=0),SPW_Amount_pa/SPW_Payout_Freq,IF(SPW_Payout_Freq=12,SPW_Amount_pa/SPW_Payout_Freq,0)))),0)+IFERROR(VLOOKUP(H327,Input!$B$68:$C$74,2,0),0)*(F327=0)*(Option_PW="Y")*(Option_SPW="N")*(age+H327&gt;=Legal_Age)</f>
        <v>0</v>
      </c>
      <c r="O327" s="148">
        <f t="shared" ref="O327:O367" ca="1" si="253">IF(N327&lt;=M327,0,1)</f>
        <v>0</v>
      </c>
      <c r="P327" s="14">
        <f ca="1">(MAX(MAX(sa-CF326*Flag_UL_Type,105%*SUM($I$7:I327))-(AD326+L327-N327)*Flag_UL_Type,0)*B327)</f>
        <v>0</v>
      </c>
      <c r="Q327" s="213">
        <f t="shared" ref="Q327:Q367" si="254">IF(B327=0,0,ROUND(P327*(_rpm1+(1+_emr1)*VLOOKUP(E327,Tab_Mort_Charge,IF(Gender="M",2,3),0))*Flag_Mort_Rider_Charge*(P327&gt;0),Round))*(0.001*IF(Model_Type="LA_PQIS",0.0833,(1/12)))</f>
        <v>0</v>
      </c>
      <c r="R327" s="14">
        <f t="shared" ref="R327:R367" ca="1" si="255">IF(AND(B327,ADB_Flag="Y",age&lt;=ADB_MAX_AGE,age&gt;=ADB_MIN_AGE,E327&lt;=age+pt),sa_adb,0)</f>
        <v>0</v>
      </c>
      <c r="S327" s="14">
        <f t="shared" ref="S327:S367" ca="1" si="256">ROUND((adb_rate*(1+adb_emr)+adb_rpm)*R327*(0.001*IF(Model_Type="LA_PQIS",0.0833,(1/12)))*Flag_Mort_Rider_Charge*IF(age+H327-1&lt;=Max_Maturity_Age,1,0),Round)</f>
        <v>0</v>
      </c>
      <c r="T327" s="14">
        <f>IFERROR(IF(WoP_Flag="Y",IF(fq=1,VLOOKUP(ppt*fq-H327,Charges!$AN$41:$AO$59,2,FALSE),IF(fq=2,VLOOKUP(ppt*fq-G327,Charges!$AP$41:$AQ$79,2,FALSE),VLOOKUP(ppt*fq-D327,Charges!$AR$41:$AS$279,2,FALSE)))*pr/fq,0),0)</f>
        <v>0</v>
      </c>
      <c r="U327" s="14">
        <f t="shared" ref="U327:U367" ca="1" si="257">IFERROR(((T327*(VLOOKUP(age_2+H327-1,Tab_Mort_Charge,IF(Gender_2="M",2,3),FALSE)*(1+_emr2)+_rpm2)/IF(Model_Type="LA_PQIS",1000/0.0833,(12*1000))))*Flag_Mort_Rider_Charge*(T327&gt;0),0)</f>
        <v>0</v>
      </c>
      <c r="V327" s="34">
        <f>ROUND(MIN(IF(H327&gt;=7,Charges!$C$12*(1+Charges!$C$14)^((H327-7+1)),VLOOKUP(H327,Charges!$B$7:$C$12,2,0))*pr,Charges!$C$13)*B327,Round)</f>
        <v>0</v>
      </c>
      <c r="W327" s="14">
        <f t="shared" ref="W327:W367" ca="1" si="258">+(AD326+L327-(N327+Q327+S327+U327+V327+BG327*IF(Model_Type="La_PQIS",1,0)+BH327+BK327+BJ327+BI327+BM327*IF(Model_Type="La_PQIS",1,0)))*B327</f>
        <v>0</v>
      </c>
      <c r="X327" s="14">
        <f t="shared" ref="X327:X367" ca="1" si="259">W327*(1+$F$3)</f>
        <v>0</v>
      </c>
      <c r="Y327" s="213">
        <f t="shared" ca="1" si="237"/>
        <v>0</v>
      </c>
      <c r="Z327" s="14">
        <f t="shared" ref="Z327:Z367" ca="1" si="260">X327-(Y327+BL327)</f>
        <v>0</v>
      </c>
      <c r="AA327" s="14">
        <f>IF(AND($H327=pt,$F327=11),SUM($K$7:K327)*VLOOKUP(pt,ROC,2,FALSE),0)</f>
        <v>0</v>
      </c>
      <c r="AB327" s="14">
        <f>IF(AND($H327=pt,$F327=11),SUM($V$7:V327)*VLOOKUP(pt,ROC,2,FALSE),0)</f>
        <v>0</v>
      </c>
      <c r="AC327" s="14">
        <f>IF(AND($H327=pt,$F327=11),SUM($Q$7:Q327)*VLOOKUP(pt,ROC,2,FALSE),0)</f>
        <v>0</v>
      </c>
      <c r="AD327" s="14">
        <f t="shared" ref="AD327:AD367" ca="1" si="261">Z327+AA327+AB327+AC327</f>
        <v>0</v>
      </c>
      <c r="AE327" s="14">
        <f ca="1">(MAX(sa-CF326*Flag_UL_Type,105%*SUM($I$7:I327),Z327)+AU327)*B327</f>
        <v>0</v>
      </c>
      <c r="AF327" s="136"/>
      <c r="AG327" s="18">
        <v>321</v>
      </c>
      <c r="AH327" s="30">
        <f t="shared" ref="AH327:AH367" ca="1" si="262">(I327+AJ327)-IF(AG327=pt*12+1,AD326,0)-IF(AG327=pt*12+1,AR326,0)-N327</f>
        <v>0</v>
      </c>
      <c r="AI327" s="58"/>
      <c r="AJ327" s="50">
        <f>IF(AND(Option_Sys_TopUp&gt;="Y",H327&gt;=sytp,H327&lt;=(dtp+sytp-1),F327=0,H327&lt;=ppt+1),atp,0)+IFERROR(VLOOKUP(H327,Input!$B$55:$C$61,2,0),0)*(F327=0)*(Option_TopUP="Y")*(Option_Sys_TopUp="N")*B327*(pt&gt;=H327+5)</f>
        <v>0</v>
      </c>
      <c r="AK327" s="50">
        <f t="shared" ref="AK327:AK367" si="263">ROUND(allctp*AJ327,0)</f>
        <v>0</v>
      </c>
      <c r="AL327" s="50">
        <f t="shared" si="238"/>
        <v>0</v>
      </c>
      <c r="AM327" s="50">
        <f t="shared" ca="1" si="239"/>
        <v>0</v>
      </c>
      <c r="AN327" s="50">
        <f>IF(B327=0,0,AT327*(_rpm1+(1+_emr1)*VLOOKUP(E327,Tab_Mort_Charge,IF(Input!$C$12="M",2,3),0))*(0.001*0.0833)*Flag_Mort_Rider_Charge*(AT327&gt;0))</f>
        <v>0</v>
      </c>
      <c r="AO327" s="50">
        <f t="shared" ref="AO327:AO367" ca="1" si="264">AM327-AN327-BM327*1-BN327*1</f>
        <v>0</v>
      </c>
      <c r="AP327" s="50">
        <f t="shared" ca="1" si="245"/>
        <v>0</v>
      </c>
      <c r="AQ327" s="50">
        <f t="shared" ref="AQ327:AQ367" ca="1" si="265">AP327*$Y$2</f>
        <v>0</v>
      </c>
      <c r="AR327" s="50">
        <f t="shared" ref="AR327:AR367" ca="1" si="266">AP327-(AQ327+BO327)</f>
        <v>0</v>
      </c>
      <c r="AS327" s="50">
        <f t="shared" ref="AS327:AS367" si="267">(AJ327*TOPUP_Cover_Level+AS326)*B327</f>
        <v>0</v>
      </c>
      <c r="AT327" s="50">
        <f ca="1">(MAX((MAX(AS327,105%*SUM($AJ$7:AJ327))-AM327*Flag_UL_Type),0)*B327)</f>
        <v>0</v>
      </c>
      <c r="AU327" s="50">
        <f ca="1">(MAX(AS327,AR327,105%*SUM($AJ$7:AJ327))*B327)</f>
        <v>0</v>
      </c>
      <c r="AV327" s="125"/>
      <c r="AW327" s="13"/>
      <c r="AX327" s="13"/>
      <c r="AY327" s="13"/>
      <c r="AZ327" s="13"/>
      <c r="BA327" s="13"/>
      <c r="BG327" s="51">
        <f t="shared" ref="BG327:BG367" si="268">ROUND(K327*Service_Tax_Rate*Flag_Service_Tax,Round)+ROUND(K327*Cess1_Rate*Flag_Service_Tax,Round)+ROUND(K327*Cess2_Rate*Flag_Service_Tax,Round)</f>
        <v>0</v>
      </c>
      <c r="BH327" s="51">
        <f t="shared" ref="BH327:BH367" si="269">ROUND(Q327*Service_Tax_Rate*Flag_Service_Tax,Round)+ROUND(Q327*Cess1_Rate*Flag_Service_Tax,Round)+ROUND(Q327*Cess2_Rate*Flag_Service_Tax,Round)</f>
        <v>0</v>
      </c>
      <c r="BI327" s="51">
        <f t="shared" ref="BI327:BI367" ca="1" si="270">ROUND(S327*Service_Tax_Rate*Flag_Service_Tax,Round)+ROUND(S327*Cess1_Rate*Flag_Service_Tax,Round)+ROUND(S327*Cess2_Rate*Flag_Service_Tax,Round)</f>
        <v>0</v>
      </c>
      <c r="BJ327" s="51">
        <f t="shared" ref="BJ327:BJ367" ca="1" si="271">ROUND(U327*Service_Tax_Rate*Flag_Service_Tax,Round)+ROUND(U327*Cess1_Rate*Flag_Service_Tax,Round)+ROUND(U327*Cess2_Rate*Flag_Service_Tax,2)</f>
        <v>0</v>
      </c>
      <c r="BK327" s="51">
        <f t="shared" ref="BK327:BK367" si="272">ROUND(V327*Service_Tax_Rate*Flag_Service_Tax,Round)+ROUND(V327*Cess1_Rate*Flag_Service_Tax,Round)+ROUND(V327*Cess2_Rate*Flag_Service_Tax,Round)</f>
        <v>0</v>
      </c>
      <c r="BL327" s="51">
        <f t="shared" ref="BL327:BL367" ca="1" si="273">Y327*Service_Tax_Rate*Flag_Service_Tax+Y327*Cess1_Rate*Flag_Service_Tax+Y327*Cess2_Rate*Flag_Service_Tax</f>
        <v>0</v>
      </c>
      <c r="BM327" s="51">
        <f t="shared" ref="BM327:BM367" si="274">ROUND(AK327*Service_Tax_Rate*Flag_Service_Tax,Round)+ROUND(AK327*Cess1_Rate*Flag_Service_Tax,Round)+ROUND(AK327*Cess2_Rate*Flag_Service_Tax,Round)</f>
        <v>0</v>
      </c>
      <c r="BN327" s="51">
        <f t="shared" ref="BN327:BN367" si="275">ROUND(AN327*Service_Tax_Rate*Flag_Service_Tax,Round)+ROUND(AN327*Cess1_Rate*Flag_Service_Tax,Round)+ROUND(AN327*Cess2_Rate*Flag_Service_Tax,Round)</f>
        <v>0</v>
      </c>
      <c r="BO327" s="51">
        <f t="shared" ref="BO327:BO367" ca="1" si="276">AQ327*Service_Tax_Rate*Flag_Service_Tax+AQ327*Cess1_Rate*Flag_Service_Tax+AQ327*Cess2_Rate*Flag_Service_Tax</f>
        <v>0</v>
      </c>
      <c r="BP327" s="51">
        <f t="shared" ref="BP327:BP367" ca="1" si="277">SUM(BG327:BO327)</f>
        <v>0</v>
      </c>
      <c r="BQ327" s="120"/>
      <c r="BR327" s="32"/>
      <c r="BS327" s="126"/>
      <c r="BT327" s="16"/>
      <c r="BU327" s="58"/>
      <c r="BW327" s="51">
        <f>IF(Input!$C$13="Offline",VLOOKUP(H327,Charges!$AT$4:$AU$33,2,FALSE)*I327,0)</f>
        <v>0</v>
      </c>
      <c r="BX327" s="51">
        <f t="shared" ref="BX327:BX367" si="278">AJ327*Commission_TOPUP</f>
        <v>0</v>
      </c>
      <c r="BY327" s="51">
        <f t="shared" si="240"/>
        <v>0</v>
      </c>
      <c r="BZ327" s="151"/>
      <c r="CA327" s="151"/>
      <c r="CB327" s="32"/>
      <c r="CC327" s="16">
        <f ca="1">SUM($N$7:$N327)</f>
        <v>0</v>
      </c>
      <c r="CD327" s="16">
        <f t="shared" ref="CD327:CD367" ca="1" si="279">IF(AND((B327=1)*(H327&gt;Lock_In_Period)),CC327-INDEX($CC$7:$CC$367,D327-24,1),0)*(E327&lt;60)</f>
        <v>0</v>
      </c>
      <c r="CE327" s="16">
        <f t="shared" ref="CE327:CE367" ca="1" si="280">(B327=1)*(H327&gt;Lock_In_Period)*(E327&gt;=60)*IFERROR((CC327-INDEX($CC$7:$CC$367,D327-24,1)),0)</f>
        <v>0</v>
      </c>
      <c r="CF327" s="7">
        <f t="shared" ref="CF327:CF367" ca="1" si="281">IF(E327&lt;60,CD327,CE327)</f>
        <v>0</v>
      </c>
      <c r="CH327" s="7">
        <f t="shared" ref="CH327:CH367" ca="1" si="282">IF(Z326&gt;(IF(option="SP",1/5*pr,2*pr)),0,1)*(H327&gt;=SPW_Start_Year)*B327</f>
        <v>0</v>
      </c>
    </row>
    <row r="328" spans="2:86" s="7" customFormat="1" x14ac:dyDescent="0.2">
      <c r="B328" s="14">
        <f t="shared" si="246"/>
        <v>0</v>
      </c>
      <c r="C328" s="12">
        <f t="shared" si="247"/>
        <v>0</v>
      </c>
      <c r="D328" s="17">
        <f t="shared" si="241"/>
        <v>322</v>
      </c>
      <c r="E328" s="17">
        <f t="shared" ca="1" si="248"/>
        <v>86</v>
      </c>
      <c r="F328" s="12">
        <f t="shared" si="243"/>
        <v>9</v>
      </c>
      <c r="G328" s="12">
        <f t="shared" si="242"/>
        <v>54</v>
      </c>
      <c r="H328" s="17">
        <f t="shared" si="244"/>
        <v>27</v>
      </c>
      <c r="I328" s="29">
        <f t="shared" si="249"/>
        <v>0</v>
      </c>
      <c r="J328" s="211">
        <f>IFERROR(VLOOKUP(H328,Charges!$T$6:$U$35,2,0)*C328,0)</f>
        <v>0</v>
      </c>
      <c r="K328" s="29">
        <f t="shared" si="250"/>
        <v>0</v>
      </c>
      <c r="L328" s="29">
        <f t="shared" si="251"/>
        <v>0</v>
      </c>
      <c r="M328" s="147">
        <f t="shared" ca="1" si="252"/>
        <v>0</v>
      </c>
      <c r="N328" s="148">
        <f ca="1">IF(AND(Option_SPW="Y",H328&gt;=Lock_In_Period,Z327&gt;SPW_Amount_pa+IF(option="Single",1/5*pr,2*pr),H328&gt;=SPW_Start_Year,H328&lt;=SPW_Start_Year+SPW_Duration-1,age+H328&gt;=Legal_Age),IF(AND(F328=0,SPW_Payout_Freq=1),SPW_Amount_pa,IF(AND(SPW_Payout_Freq=2,MOD(F328,6)=0),SPW_Amount_pa/SPW_Payout_Freq,IF(AND(SPW_Payout_Freq=4,MOD(F328,3)=0),SPW_Amount_pa/SPW_Payout_Freq,IF(SPW_Payout_Freq=12,SPW_Amount_pa/SPW_Payout_Freq,0)))),0)+IFERROR(VLOOKUP(H328,Input!$B$68:$C$74,2,0),0)*(F328=0)*(Option_PW="Y")*(Option_SPW="N")*(age+H328&gt;=Legal_Age)</f>
        <v>0</v>
      </c>
      <c r="O328" s="148">
        <f t="shared" ca="1" si="253"/>
        <v>0</v>
      </c>
      <c r="P328" s="14">
        <f ca="1">(MAX(MAX(sa-CF327*Flag_UL_Type,105%*SUM($I$7:I328))-(AD327+L328-N328)*Flag_UL_Type,0)*B328)</f>
        <v>0</v>
      </c>
      <c r="Q328" s="213">
        <f t="shared" si="254"/>
        <v>0</v>
      </c>
      <c r="R328" s="14">
        <f t="shared" ca="1" si="255"/>
        <v>0</v>
      </c>
      <c r="S328" s="14">
        <f t="shared" ca="1" si="256"/>
        <v>0</v>
      </c>
      <c r="T328" s="14">
        <f>IFERROR(IF(WoP_Flag="Y",IF(fq=1,VLOOKUP(ppt*fq-H328,Charges!$AN$41:$AO$59,2,FALSE),IF(fq=2,VLOOKUP(ppt*fq-G328,Charges!$AP$41:$AQ$79,2,FALSE),VLOOKUP(ppt*fq-D328,Charges!$AR$41:$AS$279,2,FALSE)))*pr/fq,0),0)</f>
        <v>0</v>
      </c>
      <c r="U328" s="14">
        <f t="shared" ca="1" si="257"/>
        <v>0</v>
      </c>
      <c r="V328" s="34">
        <f>ROUND(MIN(IF(H328&gt;=7,Charges!$C$12*(1+Charges!$C$14)^((H328-7+1)),VLOOKUP(H328,Charges!$B$7:$C$12,2,0))*pr,Charges!$C$13)*B328,Round)</f>
        <v>0</v>
      </c>
      <c r="W328" s="14">
        <f t="shared" ca="1" si="258"/>
        <v>0</v>
      </c>
      <c r="X328" s="14">
        <f t="shared" ca="1" si="259"/>
        <v>0</v>
      </c>
      <c r="Y328" s="213">
        <f t="shared" ref="Y328:Y367" ca="1" si="283">X328*$Y$2</f>
        <v>0</v>
      </c>
      <c r="Z328" s="14">
        <f t="shared" ca="1" si="260"/>
        <v>0</v>
      </c>
      <c r="AA328" s="14">
        <f>IF(AND($H328=pt,$F328=11),SUM($K$7:K328)*VLOOKUP(pt,ROC,2,FALSE),0)</f>
        <v>0</v>
      </c>
      <c r="AB328" s="14">
        <f>IF(AND($H328=pt,$F328=11),SUM($V$7:V328)*VLOOKUP(pt,ROC,2,FALSE),0)</f>
        <v>0</v>
      </c>
      <c r="AC328" s="14">
        <f>IF(AND($H328=pt,$F328=11),SUM($Q$7:Q328)*VLOOKUP(pt,ROC,2,FALSE),0)</f>
        <v>0</v>
      </c>
      <c r="AD328" s="14">
        <f t="shared" ca="1" si="261"/>
        <v>0</v>
      </c>
      <c r="AE328" s="14">
        <f ca="1">(MAX(sa-CF327*Flag_UL_Type,105%*SUM($I$7:I328),Z328)+AU328)*B328</f>
        <v>0</v>
      </c>
      <c r="AF328" s="136"/>
      <c r="AG328" s="18">
        <v>322</v>
      </c>
      <c r="AH328" s="30">
        <f t="shared" ca="1" si="262"/>
        <v>0</v>
      </c>
      <c r="AI328" s="58"/>
      <c r="AJ328" s="50">
        <f>IF(AND(Option_Sys_TopUp&gt;="Y",H328&gt;=sytp,H328&lt;=(dtp+sytp-1),F328=0,H328&lt;=ppt+1),atp,0)+IFERROR(VLOOKUP(H328,Input!$B$55:$C$61,2,0),0)*(F328=0)*(Option_TopUP="Y")*(Option_Sys_TopUp="N")*B328*(pt&gt;=H328+5)</f>
        <v>0</v>
      </c>
      <c r="AK328" s="50">
        <f t="shared" si="263"/>
        <v>0</v>
      </c>
      <c r="AL328" s="50">
        <f t="shared" ref="AL328:AL367" si="284">AJ328-(AK328+BM328*0)</f>
        <v>0</v>
      </c>
      <c r="AM328" s="50">
        <f t="shared" ref="AM328:AM367" ca="1" si="285">AR327+AL328</f>
        <v>0</v>
      </c>
      <c r="AN328" s="50">
        <f>IF(B328=0,0,AT328*(_rpm1+(1+_emr1)*VLOOKUP(E328,Tab_Mort_Charge,IF(Input!$C$12="M",2,3),0))*(0.001*0.0833)*Flag_Mort_Rider_Charge*(AT328&gt;0))</f>
        <v>0</v>
      </c>
      <c r="AO328" s="50">
        <f t="shared" ca="1" si="264"/>
        <v>0</v>
      </c>
      <c r="AP328" s="50">
        <f t="shared" ca="1" si="245"/>
        <v>0</v>
      </c>
      <c r="AQ328" s="50">
        <f t="shared" ca="1" si="265"/>
        <v>0</v>
      </c>
      <c r="AR328" s="50">
        <f t="shared" ca="1" si="266"/>
        <v>0</v>
      </c>
      <c r="AS328" s="50">
        <f t="shared" si="267"/>
        <v>0</v>
      </c>
      <c r="AT328" s="50">
        <f ca="1">(MAX((MAX(AS328,105%*SUM($AJ$7:AJ328))-AM328*Flag_UL_Type),0)*B328)</f>
        <v>0</v>
      </c>
      <c r="AU328" s="50">
        <f ca="1">(MAX(AS328,AR328,105%*SUM($AJ$7:AJ328))*B328)</f>
        <v>0</v>
      </c>
      <c r="AV328" s="125"/>
      <c r="AW328" s="13"/>
      <c r="AX328" s="13"/>
      <c r="AY328" s="13"/>
      <c r="AZ328" s="13"/>
      <c r="BA328" s="13"/>
      <c r="BG328" s="51">
        <f t="shared" si="268"/>
        <v>0</v>
      </c>
      <c r="BH328" s="51">
        <f t="shared" si="269"/>
        <v>0</v>
      </c>
      <c r="BI328" s="51">
        <f t="shared" ca="1" si="270"/>
        <v>0</v>
      </c>
      <c r="BJ328" s="51">
        <f t="shared" ca="1" si="271"/>
        <v>0</v>
      </c>
      <c r="BK328" s="51">
        <f t="shared" si="272"/>
        <v>0</v>
      </c>
      <c r="BL328" s="51">
        <f t="shared" ca="1" si="273"/>
        <v>0</v>
      </c>
      <c r="BM328" s="51">
        <f t="shared" si="274"/>
        <v>0</v>
      </c>
      <c r="BN328" s="51">
        <f t="shared" si="275"/>
        <v>0</v>
      </c>
      <c r="BO328" s="51">
        <f t="shared" ca="1" si="276"/>
        <v>0</v>
      </c>
      <c r="BP328" s="51">
        <f t="shared" ca="1" si="277"/>
        <v>0</v>
      </c>
      <c r="BQ328" s="120"/>
      <c r="BR328" s="32"/>
      <c r="BS328" s="126"/>
      <c r="BT328" s="16"/>
      <c r="BU328" s="58"/>
      <c r="BW328" s="51">
        <f>IF(Input!$C$13="Offline",VLOOKUP(H328,Charges!$AT$4:$AU$33,2,FALSE)*I328,0)</f>
        <v>0</v>
      </c>
      <c r="BX328" s="51">
        <f t="shared" si="278"/>
        <v>0</v>
      </c>
      <c r="BY328" s="51">
        <f t="shared" ref="BY328:BY367" si="286">SUM(BW328:BX328)</f>
        <v>0</v>
      </c>
      <c r="BZ328" s="151"/>
      <c r="CA328" s="151"/>
      <c r="CB328" s="32"/>
      <c r="CC328" s="16">
        <f ca="1">SUM($N$7:$N328)</f>
        <v>0</v>
      </c>
      <c r="CD328" s="16">
        <f t="shared" ca="1" si="279"/>
        <v>0</v>
      </c>
      <c r="CE328" s="16">
        <f t="shared" ca="1" si="280"/>
        <v>0</v>
      </c>
      <c r="CF328" s="7">
        <f t="shared" ca="1" si="281"/>
        <v>0</v>
      </c>
      <c r="CH328" s="7">
        <f t="shared" ca="1" si="282"/>
        <v>0</v>
      </c>
    </row>
    <row r="329" spans="2:86" s="7" customFormat="1" x14ac:dyDescent="0.2">
      <c r="B329" s="14">
        <f t="shared" si="246"/>
        <v>0</v>
      </c>
      <c r="C329" s="12">
        <f t="shared" si="247"/>
        <v>0</v>
      </c>
      <c r="D329" s="17">
        <f t="shared" ref="D329:D367" si="287">D328+1</f>
        <v>323</v>
      </c>
      <c r="E329" s="17">
        <f t="shared" ca="1" si="248"/>
        <v>86</v>
      </c>
      <c r="F329" s="12">
        <f t="shared" si="243"/>
        <v>10</v>
      </c>
      <c r="G329" s="12">
        <f t="shared" si="242"/>
        <v>54</v>
      </c>
      <c r="H329" s="17">
        <f t="shared" si="244"/>
        <v>27</v>
      </c>
      <c r="I329" s="29">
        <f t="shared" si="249"/>
        <v>0</v>
      </c>
      <c r="J329" s="211">
        <f>IFERROR(VLOOKUP(H329,Charges!$T$6:$U$35,2,0)*C329,0)</f>
        <v>0</v>
      </c>
      <c r="K329" s="29">
        <f t="shared" si="250"/>
        <v>0</v>
      </c>
      <c r="L329" s="29">
        <f t="shared" si="251"/>
        <v>0</v>
      </c>
      <c r="M329" s="147">
        <f t="shared" ca="1" si="252"/>
        <v>0</v>
      </c>
      <c r="N329" s="148">
        <f ca="1">IF(AND(Option_SPW="Y",H329&gt;=Lock_In_Period,Z328&gt;SPW_Amount_pa+IF(option="Single",1/5*pr,2*pr),H329&gt;=SPW_Start_Year,H329&lt;=SPW_Start_Year+SPW_Duration-1,age+H329&gt;=Legal_Age),IF(AND(F329=0,SPW_Payout_Freq=1),SPW_Amount_pa,IF(AND(SPW_Payout_Freq=2,MOD(F329,6)=0),SPW_Amount_pa/SPW_Payout_Freq,IF(AND(SPW_Payout_Freq=4,MOD(F329,3)=0),SPW_Amount_pa/SPW_Payout_Freq,IF(SPW_Payout_Freq=12,SPW_Amount_pa/SPW_Payout_Freq,0)))),0)+IFERROR(VLOOKUP(H329,Input!$B$68:$C$74,2,0),0)*(F329=0)*(Option_PW="Y")*(Option_SPW="N")*(age+H329&gt;=Legal_Age)</f>
        <v>0</v>
      </c>
      <c r="O329" s="148">
        <f t="shared" ca="1" si="253"/>
        <v>0</v>
      </c>
      <c r="P329" s="14">
        <f ca="1">(MAX(MAX(sa-CF328*Flag_UL_Type,105%*SUM($I$7:I329))-(AD328+L329-N329)*Flag_UL_Type,0)*B329)</f>
        <v>0</v>
      </c>
      <c r="Q329" s="213">
        <f t="shared" si="254"/>
        <v>0</v>
      </c>
      <c r="R329" s="14">
        <f t="shared" ca="1" si="255"/>
        <v>0</v>
      </c>
      <c r="S329" s="14">
        <f t="shared" ca="1" si="256"/>
        <v>0</v>
      </c>
      <c r="T329" s="14">
        <f>IFERROR(IF(WoP_Flag="Y",IF(fq=1,VLOOKUP(ppt*fq-H329,Charges!$AN$41:$AO$59,2,FALSE),IF(fq=2,VLOOKUP(ppt*fq-G329,Charges!$AP$41:$AQ$79,2,FALSE),VLOOKUP(ppt*fq-D329,Charges!$AR$41:$AS$279,2,FALSE)))*pr/fq,0),0)</f>
        <v>0</v>
      </c>
      <c r="U329" s="14">
        <f t="shared" ca="1" si="257"/>
        <v>0</v>
      </c>
      <c r="V329" s="34">
        <f>ROUND(MIN(IF(H329&gt;=7,Charges!$C$12*(1+Charges!$C$14)^((H329-7+1)),VLOOKUP(H329,Charges!$B$7:$C$12,2,0))*pr,Charges!$C$13)*B329,Round)</f>
        <v>0</v>
      </c>
      <c r="W329" s="14">
        <f t="shared" ca="1" si="258"/>
        <v>0</v>
      </c>
      <c r="X329" s="14">
        <f t="shared" ca="1" si="259"/>
        <v>0</v>
      </c>
      <c r="Y329" s="213">
        <f t="shared" ca="1" si="283"/>
        <v>0</v>
      </c>
      <c r="Z329" s="14">
        <f t="shared" ca="1" si="260"/>
        <v>0</v>
      </c>
      <c r="AA329" s="14">
        <f>IF(AND($H329=pt,$F329=11),SUM($K$7:K329)*VLOOKUP(pt,ROC,2,FALSE),0)</f>
        <v>0</v>
      </c>
      <c r="AB329" s="14">
        <f>IF(AND($H329=pt,$F329=11),SUM($V$7:V329)*VLOOKUP(pt,ROC,2,FALSE),0)</f>
        <v>0</v>
      </c>
      <c r="AC329" s="14">
        <f>IF(AND($H329=pt,$F329=11),SUM($Q$7:Q329)*VLOOKUP(pt,ROC,2,FALSE),0)</f>
        <v>0</v>
      </c>
      <c r="AD329" s="14">
        <f t="shared" ca="1" si="261"/>
        <v>0</v>
      </c>
      <c r="AE329" s="14">
        <f ca="1">(MAX(sa-CF328*Flag_UL_Type,105%*SUM($I$7:I329),Z329)+AU329)*B329</f>
        <v>0</v>
      </c>
      <c r="AF329" s="136"/>
      <c r="AG329" s="18">
        <v>323</v>
      </c>
      <c r="AH329" s="30">
        <f t="shared" ca="1" si="262"/>
        <v>0</v>
      </c>
      <c r="AI329" s="58"/>
      <c r="AJ329" s="50">
        <f>IF(AND(Option_Sys_TopUp&gt;="Y",H329&gt;=sytp,H329&lt;=(dtp+sytp-1),F329=0,H329&lt;=ppt+1),atp,0)+IFERROR(VLOOKUP(H329,Input!$B$55:$C$61,2,0),0)*(F329=0)*(Option_TopUP="Y")*(Option_Sys_TopUp="N")*B329*(pt&gt;=H329+5)</f>
        <v>0</v>
      </c>
      <c r="AK329" s="50">
        <f t="shared" si="263"/>
        <v>0</v>
      </c>
      <c r="AL329" s="50">
        <f t="shared" si="284"/>
        <v>0</v>
      </c>
      <c r="AM329" s="50">
        <f t="shared" ca="1" si="285"/>
        <v>0</v>
      </c>
      <c r="AN329" s="50">
        <f>IF(B329=0,0,AT329*(_rpm1+(1+_emr1)*VLOOKUP(E329,Tab_Mort_Charge,IF(Input!$C$12="M",2,3),0))*(0.001*0.0833)*Flag_Mort_Rider_Charge*(AT329&gt;0))</f>
        <v>0</v>
      </c>
      <c r="AO329" s="50">
        <f t="shared" ca="1" si="264"/>
        <v>0</v>
      </c>
      <c r="AP329" s="50">
        <f t="shared" ca="1" si="245"/>
        <v>0</v>
      </c>
      <c r="AQ329" s="50">
        <f t="shared" ca="1" si="265"/>
        <v>0</v>
      </c>
      <c r="AR329" s="50">
        <f t="shared" ca="1" si="266"/>
        <v>0</v>
      </c>
      <c r="AS329" s="50">
        <f t="shared" si="267"/>
        <v>0</v>
      </c>
      <c r="AT329" s="50">
        <f ca="1">(MAX((MAX(AS329,105%*SUM($AJ$7:AJ329))-AM329*Flag_UL_Type),0)*B329)</f>
        <v>0</v>
      </c>
      <c r="AU329" s="50">
        <f ca="1">(MAX(AS329,AR329,105%*SUM($AJ$7:AJ329))*B329)</f>
        <v>0</v>
      </c>
      <c r="AV329" s="125"/>
      <c r="AW329" s="13"/>
      <c r="AX329" s="13"/>
      <c r="AY329" s="13"/>
      <c r="AZ329" s="13"/>
      <c r="BA329" s="13"/>
      <c r="BG329" s="51">
        <f t="shared" si="268"/>
        <v>0</v>
      </c>
      <c r="BH329" s="51">
        <f t="shared" si="269"/>
        <v>0</v>
      </c>
      <c r="BI329" s="51">
        <f t="shared" ca="1" si="270"/>
        <v>0</v>
      </c>
      <c r="BJ329" s="51">
        <f t="shared" ca="1" si="271"/>
        <v>0</v>
      </c>
      <c r="BK329" s="51">
        <f t="shared" si="272"/>
        <v>0</v>
      </c>
      <c r="BL329" s="51">
        <f t="shared" ca="1" si="273"/>
        <v>0</v>
      </c>
      <c r="BM329" s="51">
        <f t="shared" si="274"/>
        <v>0</v>
      </c>
      <c r="BN329" s="51">
        <f t="shared" si="275"/>
        <v>0</v>
      </c>
      <c r="BO329" s="51">
        <f t="shared" ca="1" si="276"/>
        <v>0</v>
      </c>
      <c r="BP329" s="51">
        <f t="shared" ca="1" si="277"/>
        <v>0</v>
      </c>
      <c r="BQ329" s="120"/>
      <c r="BR329" s="32"/>
      <c r="BS329" s="126"/>
      <c r="BT329" s="16"/>
      <c r="BU329" s="58"/>
      <c r="BW329" s="51">
        <f>IF(Input!$C$13="Offline",VLOOKUP(H329,Charges!$AT$4:$AU$33,2,FALSE)*I329,0)</f>
        <v>0</v>
      </c>
      <c r="BX329" s="51">
        <f t="shared" si="278"/>
        <v>0</v>
      </c>
      <c r="BY329" s="51">
        <f t="shared" si="286"/>
        <v>0</v>
      </c>
      <c r="BZ329" s="151"/>
      <c r="CA329" s="151"/>
      <c r="CB329" s="32"/>
      <c r="CC329" s="16">
        <f ca="1">SUM($N$7:$N329)</f>
        <v>0</v>
      </c>
      <c r="CD329" s="16">
        <f t="shared" ca="1" si="279"/>
        <v>0</v>
      </c>
      <c r="CE329" s="16">
        <f t="shared" ca="1" si="280"/>
        <v>0</v>
      </c>
      <c r="CF329" s="7">
        <f t="shared" ca="1" si="281"/>
        <v>0</v>
      </c>
      <c r="CH329" s="7">
        <f t="shared" ca="1" si="282"/>
        <v>0</v>
      </c>
    </row>
    <row r="330" spans="2:86" s="7" customFormat="1" x14ac:dyDescent="0.2">
      <c r="B330" s="14">
        <f t="shared" si="246"/>
        <v>0</v>
      </c>
      <c r="C330" s="12">
        <f t="shared" si="247"/>
        <v>0</v>
      </c>
      <c r="D330" s="17">
        <f t="shared" si="287"/>
        <v>324</v>
      </c>
      <c r="E330" s="17">
        <f t="shared" ca="1" si="248"/>
        <v>86</v>
      </c>
      <c r="F330" s="12">
        <f t="shared" si="243"/>
        <v>11</v>
      </c>
      <c r="G330" s="12">
        <f t="shared" si="242"/>
        <v>54</v>
      </c>
      <c r="H330" s="17">
        <f t="shared" si="244"/>
        <v>27</v>
      </c>
      <c r="I330" s="29">
        <f t="shared" si="249"/>
        <v>0</v>
      </c>
      <c r="J330" s="211">
        <f>IFERROR(VLOOKUP(H330,Charges!$T$6:$U$35,2,0)*C330,0)</f>
        <v>0</v>
      </c>
      <c r="K330" s="29">
        <f t="shared" si="250"/>
        <v>0</v>
      </c>
      <c r="L330" s="29">
        <f t="shared" si="251"/>
        <v>0</v>
      </c>
      <c r="M330" s="147">
        <f t="shared" ca="1" si="252"/>
        <v>0</v>
      </c>
      <c r="N330" s="148">
        <f ca="1">IF(AND(Option_SPW="Y",H330&gt;=Lock_In_Period,Z329&gt;SPW_Amount_pa+IF(option="Single",1/5*pr,2*pr),H330&gt;=SPW_Start_Year,H330&lt;=SPW_Start_Year+SPW_Duration-1,age+H330&gt;=Legal_Age),IF(AND(F330=0,SPW_Payout_Freq=1),SPW_Amount_pa,IF(AND(SPW_Payout_Freq=2,MOD(F330,6)=0),SPW_Amount_pa/SPW_Payout_Freq,IF(AND(SPW_Payout_Freq=4,MOD(F330,3)=0),SPW_Amount_pa/SPW_Payout_Freq,IF(SPW_Payout_Freq=12,SPW_Amount_pa/SPW_Payout_Freq,0)))),0)+IFERROR(VLOOKUP(H330,Input!$B$68:$C$74,2,0),0)*(F330=0)*(Option_PW="Y")*(Option_SPW="N")*(age+H330&gt;=Legal_Age)</f>
        <v>0</v>
      </c>
      <c r="O330" s="148">
        <f t="shared" ca="1" si="253"/>
        <v>0</v>
      </c>
      <c r="P330" s="14">
        <f ca="1">(MAX(MAX(sa-CF329*Flag_UL_Type,105%*SUM($I$7:I330))-(AD329+L330-N330)*Flag_UL_Type,0)*B330)</f>
        <v>0</v>
      </c>
      <c r="Q330" s="213">
        <f t="shared" si="254"/>
        <v>0</v>
      </c>
      <c r="R330" s="14">
        <f t="shared" ca="1" si="255"/>
        <v>0</v>
      </c>
      <c r="S330" s="14">
        <f t="shared" ca="1" si="256"/>
        <v>0</v>
      </c>
      <c r="T330" s="14">
        <f>IFERROR(IF(WoP_Flag="Y",IF(fq=1,VLOOKUP(ppt*fq-H330,Charges!$AN$41:$AO$59,2,FALSE),IF(fq=2,VLOOKUP(ppt*fq-G330,Charges!$AP$41:$AQ$79,2,FALSE),VLOOKUP(ppt*fq-D330,Charges!$AR$41:$AS$279,2,FALSE)))*pr/fq,0),0)</f>
        <v>0</v>
      </c>
      <c r="U330" s="14">
        <f t="shared" ca="1" si="257"/>
        <v>0</v>
      </c>
      <c r="V330" s="34">
        <f>ROUND(MIN(IF(H330&gt;=7,Charges!$C$12*(1+Charges!$C$14)^((H330-7+1)),VLOOKUP(H330,Charges!$B$7:$C$12,2,0))*pr,Charges!$C$13)*B330,Round)</f>
        <v>0</v>
      </c>
      <c r="W330" s="14">
        <f t="shared" ca="1" si="258"/>
        <v>0</v>
      </c>
      <c r="X330" s="14">
        <f t="shared" ca="1" si="259"/>
        <v>0</v>
      </c>
      <c r="Y330" s="213">
        <f t="shared" ca="1" si="283"/>
        <v>0</v>
      </c>
      <c r="Z330" s="14">
        <f t="shared" ca="1" si="260"/>
        <v>0</v>
      </c>
      <c r="AA330" s="14">
        <f>IF(AND($H330=pt,$F330=11),SUM($K$7:K330)*VLOOKUP(pt,ROC,2,FALSE),0)</f>
        <v>0</v>
      </c>
      <c r="AB330" s="14">
        <f>IF(AND($H330=pt,$F330=11),SUM($V$7:V330)*VLOOKUP(pt,ROC,2,FALSE),0)</f>
        <v>0</v>
      </c>
      <c r="AC330" s="14">
        <f>IF(AND($H330=pt,$F330=11),SUM($Q$7:Q330)*VLOOKUP(pt,ROC,2,FALSE),0)</f>
        <v>0</v>
      </c>
      <c r="AD330" s="14">
        <f t="shared" ca="1" si="261"/>
        <v>0</v>
      </c>
      <c r="AE330" s="14">
        <f ca="1">(MAX(sa-CF329*Flag_UL_Type,105%*SUM($I$7:I330),Z330)+AU330)*B330</f>
        <v>0</v>
      </c>
      <c r="AF330" s="136"/>
      <c r="AG330" s="18">
        <v>324</v>
      </c>
      <c r="AH330" s="30">
        <f t="shared" ca="1" si="262"/>
        <v>0</v>
      </c>
      <c r="AI330" s="58"/>
      <c r="AJ330" s="50">
        <f>IF(AND(Option_Sys_TopUp&gt;="Y",H330&gt;=sytp,H330&lt;=(dtp+sytp-1),F330=0,H330&lt;=ppt+1),atp,0)+IFERROR(VLOOKUP(H330,Input!$B$55:$C$61,2,0),0)*(F330=0)*(Option_TopUP="Y")*(Option_Sys_TopUp="N")*B330*(pt&gt;=H330+5)</f>
        <v>0</v>
      </c>
      <c r="AK330" s="50">
        <f t="shared" si="263"/>
        <v>0</v>
      </c>
      <c r="AL330" s="50">
        <f t="shared" si="284"/>
        <v>0</v>
      </c>
      <c r="AM330" s="50">
        <f t="shared" ca="1" si="285"/>
        <v>0</v>
      </c>
      <c r="AN330" s="50">
        <f>IF(B330=0,0,AT330*(_rpm1+(1+_emr1)*VLOOKUP(E330,Tab_Mort_Charge,IF(Input!$C$12="M",2,3),0))*(0.001*0.0833)*Flag_Mort_Rider_Charge*(AT330&gt;0))</f>
        <v>0</v>
      </c>
      <c r="AO330" s="50">
        <f t="shared" ca="1" si="264"/>
        <v>0</v>
      </c>
      <c r="AP330" s="50">
        <f t="shared" ca="1" si="245"/>
        <v>0</v>
      </c>
      <c r="AQ330" s="50">
        <f t="shared" ca="1" si="265"/>
        <v>0</v>
      </c>
      <c r="AR330" s="50">
        <f t="shared" ca="1" si="266"/>
        <v>0</v>
      </c>
      <c r="AS330" s="50">
        <f t="shared" si="267"/>
        <v>0</v>
      </c>
      <c r="AT330" s="50">
        <f ca="1">(MAX((MAX(AS330,105%*SUM($AJ$7:AJ330))-AM330*Flag_UL_Type),0)*B330)</f>
        <v>0</v>
      </c>
      <c r="AU330" s="50">
        <f ca="1">(MAX(AS330,AR330,105%*SUM($AJ$7:AJ330))*B330)</f>
        <v>0</v>
      </c>
      <c r="AV330" s="125"/>
      <c r="AW330" s="13"/>
      <c r="AX330" s="13"/>
      <c r="AY330" s="13"/>
      <c r="AZ330" s="13"/>
      <c r="BA330" s="13"/>
      <c r="BG330" s="51">
        <f t="shared" si="268"/>
        <v>0</v>
      </c>
      <c r="BH330" s="51">
        <f t="shared" si="269"/>
        <v>0</v>
      </c>
      <c r="BI330" s="51">
        <f t="shared" ca="1" si="270"/>
        <v>0</v>
      </c>
      <c r="BJ330" s="51">
        <f t="shared" ca="1" si="271"/>
        <v>0</v>
      </c>
      <c r="BK330" s="51">
        <f t="shared" si="272"/>
        <v>0</v>
      </c>
      <c r="BL330" s="51">
        <f t="shared" ca="1" si="273"/>
        <v>0</v>
      </c>
      <c r="BM330" s="51">
        <f t="shared" si="274"/>
        <v>0</v>
      </c>
      <c r="BN330" s="51">
        <f t="shared" si="275"/>
        <v>0</v>
      </c>
      <c r="BO330" s="51">
        <f t="shared" ca="1" si="276"/>
        <v>0</v>
      </c>
      <c r="BP330" s="51">
        <f t="shared" ca="1" si="277"/>
        <v>0</v>
      </c>
      <c r="BQ330" s="120"/>
      <c r="BR330" s="32"/>
      <c r="BS330" s="126"/>
      <c r="BT330" s="16"/>
      <c r="BU330" s="58"/>
      <c r="BW330" s="51">
        <f>IF(Input!$C$13="Offline",VLOOKUP(H330,Charges!$AT$4:$AU$33,2,FALSE)*I330,0)</f>
        <v>0</v>
      </c>
      <c r="BX330" s="51">
        <f t="shared" si="278"/>
        <v>0</v>
      </c>
      <c r="BY330" s="51">
        <f t="shared" si="286"/>
        <v>0</v>
      </c>
      <c r="BZ330" s="151"/>
      <c r="CA330" s="151"/>
      <c r="CB330" s="32"/>
      <c r="CC330" s="16">
        <f ca="1">SUM($N$7:$N330)</f>
        <v>0</v>
      </c>
      <c r="CD330" s="16">
        <f t="shared" ca="1" si="279"/>
        <v>0</v>
      </c>
      <c r="CE330" s="16">
        <f t="shared" ca="1" si="280"/>
        <v>0</v>
      </c>
      <c r="CF330" s="7">
        <f t="shared" ca="1" si="281"/>
        <v>0</v>
      </c>
      <c r="CH330" s="7">
        <f t="shared" ca="1" si="282"/>
        <v>0</v>
      </c>
    </row>
    <row r="331" spans="2:86" s="7" customFormat="1" x14ac:dyDescent="0.2">
      <c r="B331" s="14">
        <f t="shared" si="246"/>
        <v>0</v>
      </c>
      <c r="C331" s="12">
        <f t="shared" si="247"/>
        <v>0</v>
      </c>
      <c r="D331" s="17">
        <f t="shared" si="287"/>
        <v>325</v>
      </c>
      <c r="E331" s="17">
        <f t="shared" ca="1" si="248"/>
        <v>87</v>
      </c>
      <c r="F331" s="12">
        <f t="shared" si="243"/>
        <v>0</v>
      </c>
      <c r="G331" s="12">
        <f t="shared" si="242"/>
        <v>55</v>
      </c>
      <c r="H331" s="17">
        <f t="shared" si="244"/>
        <v>28</v>
      </c>
      <c r="I331" s="29">
        <f t="shared" si="249"/>
        <v>0</v>
      </c>
      <c r="J331" s="211">
        <f>IFERROR(VLOOKUP(H331,Charges!$T$6:$U$35,2,0)*C331,0)</f>
        <v>0</v>
      </c>
      <c r="K331" s="29">
        <f t="shared" si="250"/>
        <v>0</v>
      </c>
      <c r="L331" s="29">
        <f t="shared" si="251"/>
        <v>0</v>
      </c>
      <c r="M331" s="147">
        <f t="shared" ca="1" si="252"/>
        <v>0</v>
      </c>
      <c r="N331" s="148">
        <f ca="1">IF(AND(Option_SPW="Y",H331&gt;=Lock_In_Period,Z330&gt;SPW_Amount_pa+IF(option="Single",1/5*pr,2*pr),H331&gt;=SPW_Start_Year,H331&lt;=SPW_Start_Year+SPW_Duration-1,age+H331&gt;=Legal_Age),IF(AND(F331=0,SPW_Payout_Freq=1),SPW_Amount_pa,IF(AND(SPW_Payout_Freq=2,MOD(F331,6)=0),SPW_Amount_pa/SPW_Payout_Freq,IF(AND(SPW_Payout_Freq=4,MOD(F331,3)=0),SPW_Amount_pa/SPW_Payout_Freq,IF(SPW_Payout_Freq=12,SPW_Amount_pa/SPW_Payout_Freq,0)))),0)+IFERROR(VLOOKUP(H331,Input!$B$68:$C$74,2,0),0)*(F331=0)*(Option_PW="Y")*(Option_SPW="N")*(age+H331&gt;=Legal_Age)</f>
        <v>0</v>
      </c>
      <c r="O331" s="148">
        <f t="shared" ca="1" si="253"/>
        <v>0</v>
      </c>
      <c r="P331" s="14">
        <f ca="1">(MAX(MAX(sa-CF330*Flag_UL_Type,105%*SUM($I$7:I331))-(AD330+L331-N331)*Flag_UL_Type,0)*B331)</f>
        <v>0</v>
      </c>
      <c r="Q331" s="213">
        <f t="shared" si="254"/>
        <v>0</v>
      </c>
      <c r="R331" s="14">
        <f t="shared" ca="1" si="255"/>
        <v>0</v>
      </c>
      <c r="S331" s="14">
        <f t="shared" ca="1" si="256"/>
        <v>0</v>
      </c>
      <c r="T331" s="14">
        <f>IFERROR(IF(WoP_Flag="Y",IF(fq=1,VLOOKUP(ppt*fq-H331,Charges!$AN$41:$AO$59,2,FALSE),IF(fq=2,VLOOKUP(ppt*fq-G331,Charges!$AP$41:$AQ$79,2,FALSE),VLOOKUP(ppt*fq-D331,Charges!$AR$41:$AS$279,2,FALSE)))*pr/fq,0),0)</f>
        <v>0</v>
      </c>
      <c r="U331" s="14">
        <f t="shared" ca="1" si="257"/>
        <v>0</v>
      </c>
      <c r="V331" s="34">
        <f>ROUND(MIN(IF(H331&gt;=7,Charges!$C$12*(1+Charges!$C$14)^((H331-7+1)),VLOOKUP(H331,Charges!$B$7:$C$12,2,0))*pr,Charges!$C$13)*B331,Round)</f>
        <v>0</v>
      </c>
      <c r="W331" s="14">
        <f t="shared" ca="1" si="258"/>
        <v>0</v>
      </c>
      <c r="X331" s="14">
        <f t="shared" ca="1" si="259"/>
        <v>0</v>
      </c>
      <c r="Y331" s="213">
        <f t="shared" ca="1" si="283"/>
        <v>0</v>
      </c>
      <c r="Z331" s="14">
        <f t="shared" ca="1" si="260"/>
        <v>0</v>
      </c>
      <c r="AA331" s="14">
        <f>IF(AND($H331=pt,$F331=11),SUM($K$7:K331)*VLOOKUP(pt,ROC,2,FALSE),0)</f>
        <v>0</v>
      </c>
      <c r="AB331" s="14">
        <f>IF(AND($H331=pt,$F331=11),SUM($V$7:V331)*VLOOKUP(pt,ROC,2,FALSE),0)</f>
        <v>0</v>
      </c>
      <c r="AC331" s="14">
        <f>IF(AND($H331=pt,$F331=11),SUM($Q$7:Q331)*VLOOKUP(pt,ROC,2,FALSE),0)</f>
        <v>0</v>
      </c>
      <c r="AD331" s="14">
        <f t="shared" ca="1" si="261"/>
        <v>0</v>
      </c>
      <c r="AE331" s="14">
        <f ca="1">(MAX(sa-CF330*Flag_UL_Type,105%*SUM($I$7:I331),Z331)+AU331)*B331</f>
        <v>0</v>
      </c>
      <c r="AF331" s="136"/>
      <c r="AG331" s="18">
        <v>325</v>
      </c>
      <c r="AH331" s="30">
        <f t="shared" ca="1" si="262"/>
        <v>0</v>
      </c>
      <c r="AI331" s="58"/>
      <c r="AJ331" s="50">
        <f>IF(AND(Option_Sys_TopUp&gt;="Y",H331&gt;=sytp,H331&lt;=(dtp+sytp-1),F331=0,H331&lt;=ppt+1),atp,0)+IFERROR(VLOOKUP(H331,Input!$B$55:$C$61,2,0),0)*(F331=0)*(Option_TopUP="Y")*(Option_Sys_TopUp="N")*B331*(pt&gt;=H331+5)</f>
        <v>0</v>
      </c>
      <c r="AK331" s="50">
        <f t="shared" si="263"/>
        <v>0</v>
      </c>
      <c r="AL331" s="50">
        <f t="shared" si="284"/>
        <v>0</v>
      </c>
      <c r="AM331" s="50">
        <f t="shared" ca="1" si="285"/>
        <v>0</v>
      </c>
      <c r="AN331" s="50">
        <f>IF(B331=0,0,AT331*(_rpm1+(1+_emr1)*VLOOKUP(E331,Tab_Mort_Charge,IF(Input!$C$12="M",2,3),0))*(0.001*0.0833)*Flag_Mort_Rider_Charge*(AT331&gt;0))</f>
        <v>0</v>
      </c>
      <c r="AO331" s="50">
        <f t="shared" ca="1" si="264"/>
        <v>0</v>
      </c>
      <c r="AP331" s="50">
        <f t="shared" ca="1" si="245"/>
        <v>0</v>
      </c>
      <c r="AQ331" s="50">
        <f t="shared" ca="1" si="265"/>
        <v>0</v>
      </c>
      <c r="AR331" s="50">
        <f t="shared" ca="1" si="266"/>
        <v>0</v>
      </c>
      <c r="AS331" s="50">
        <f t="shared" si="267"/>
        <v>0</v>
      </c>
      <c r="AT331" s="50">
        <f ca="1">(MAX((MAX(AS331,105%*SUM($AJ$7:AJ331))-AM331*Flag_UL_Type),0)*B331)</f>
        <v>0</v>
      </c>
      <c r="AU331" s="50">
        <f ca="1">(MAX(AS331,AR331,105%*SUM($AJ$7:AJ331))*B331)</f>
        <v>0</v>
      </c>
      <c r="AV331" s="125"/>
      <c r="AW331" s="13"/>
      <c r="AX331" s="13"/>
      <c r="AY331" s="13"/>
      <c r="AZ331" s="13"/>
      <c r="BA331" s="13"/>
      <c r="BG331" s="51">
        <f t="shared" si="268"/>
        <v>0</v>
      </c>
      <c r="BH331" s="51">
        <f t="shared" si="269"/>
        <v>0</v>
      </c>
      <c r="BI331" s="51">
        <f t="shared" ca="1" si="270"/>
        <v>0</v>
      </c>
      <c r="BJ331" s="51">
        <f t="shared" ca="1" si="271"/>
        <v>0</v>
      </c>
      <c r="BK331" s="51">
        <f t="shared" si="272"/>
        <v>0</v>
      </c>
      <c r="BL331" s="51">
        <f t="shared" ca="1" si="273"/>
        <v>0</v>
      </c>
      <c r="BM331" s="51">
        <f t="shared" si="274"/>
        <v>0</v>
      </c>
      <c r="BN331" s="51">
        <f t="shared" si="275"/>
        <v>0</v>
      </c>
      <c r="BO331" s="51">
        <f t="shared" ca="1" si="276"/>
        <v>0</v>
      </c>
      <c r="BP331" s="51">
        <f t="shared" ca="1" si="277"/>
        <v>0</v>
      </c>
      <c r="BQ331" s="120"/>
      <c r="BR331" s="32"/>
      <c r="BS331" s="126"/>
      <c r="BT331" s="16"/>
      <c r="BU331" s="58"/>
      <c r="BW331" s="51">
        <f>IF(Input!$C$13="Offline",VLOOKUP(H331,Charges!$AT$4:$AU$33,2,FALSE)*I331,0)</f>
        <v>0</v>
      </c>
      <c r="BX331" s="51">
        <f t="shared" si="278"/>
        <v>0</v>
      </c>
      <c r="BY331" s="51">
        <f t="shared" si="286"/>
        <v>0</v>
      </c>
      <c r="BZ331" s="151"/>
      <c r="CA331" s="151"/>
      <c r="CB331" s="32"/>
      <c r="CC331" s="16">
        <f ca="1">SUM($N$7:$N331)</f>
        <v>0</v>
      </c>
      <c r="CD331" s="16">
        <f t="shared" ca="1" si="279"/>
        <v>0</v>
      </c>
      <c r="CE331" s="16">
        <f t="shared" ca="1" si="280"/>
        <v>0</v>
      </c>
      <c r="CF331" s="7">
        <f t="shared" ca="1" si="281"/>
        <v>0</v>
      </c>
      <c r="CH331" s="7">
        <f t="shared" ca="1" si="282"/>
        <v>0</v>
      </c>
    </row>
    <row r="332" spans="2:86" s="7" customFormat="1" x14ac:dyDescent="0.2">
      <c r="B332" s="14">
        <f t="shared" si="246"/>
        <v>0</v>
      </c>
      <c r="C332" s="12">
        <f t="shared" si="247"/>
        <v>0</v>
      </c>
      <c r="D332" s="17">
        <f t="shared" si="287"/>
        <v>326</v>
      </c>
      <c r="E332" s="17">
        <f t="shared" ca="1" si="248"/>
        <v>87</v>
      </c>
      <c r="F332" s="12">
        <f t="shared" si="243"/>
        <v>1</v>
      </c>
      <c r="G332" s="12">
        <f t="shared" si="242"/>
        <v>55</v>
      </c>
      <c r="H332" s="17">
        <f t="shared" si="244"/>
        <v>28</v>
      </c>
      <c r="I332" s="29">
        <f t="shared" si="249"/>
        <v>0</v>
      </c>
      <c r="J332" s="211">
        <f>IFERROR(VLOOKUP(H332,Charges!$T$6:$U$35,2,0)*C332,0)</f>
        <v>0</v>
      </c>
      <c r="K332" s="29">
        <f t="shared" si="250"/>
        <v>0</v>
      </c>
      <c r="L332" s="29">
        <f t="shared" si="251"/>
        <v>0</v>
      </c>
      <c r="M332" s="147">
        <f t="shared" ca="1" si="252"/>
        <v>0</v>
      </c>
      <c r="N332" s="148">
        <f ca="1">IF(AND(Option_SPW="Y",H332&gt;=Lock_In_Period,Z331&gt;SPW_Amount_pa+IF(option="Single",1/5*pr,2*pr),H332&gt;=SPW_Start_Year,H332&lt;=SPW_Start_Year+SPW_Duration-1,age+H332&gt;=Legal_Age),IF(AND(F332=0,SPW_Payout_Freq=1),SPW_Amount_pa,IF(AND(SPW_Payout_Freq=2,MOD(F332,6)=0),SPW_Amount_pa/SPW_Payout_Freq,IF(AND(SPW_Payout_Freq=4,MOD(F332,3)=0),SPW_Amount_pa/SPW_Payout_Freq,IF(SPW_Payout_Freq=12,SPW_Amount_pa/SPW_Payout_Freq,0)))),0)+IFERROR(VLOOKUP(H332,Input!$B$68:$C$74,2,0),0)*(F332=0)*(Option_PW="Y")*(Option_SPW="N")*(age+H332&gt;=Legal_Age)</f>
        <v>0</v>
      </c>
      <c r="O332" s="148">
        <f t="shared" ca="1" si="253"/>
        <v>0</v>
      </c>
      <c r="P332" s="14">
        <f ca="1">(MAX(MAX(sa-CF331*Flag_UL_Type,105%*SUM($I$7:I332))-(AD331+L332-N332)*Flag_UL_Type,0)*B332)</f>
        <v>0</v>
      </c>
      <c r="Q332" s="213">
        <f t="shared" si="254"/>
        <v>0</v>
      </c>
      <c r="R332" s="14">
        <f t="shared" ca="1" si="255"/>
        <v>0</v>
      </c>
      <c r="S332" s="14">
        <f t="shared" ca="1" si="256"/>
        <v>0</v>
      </c>
      <c r="T332" s="14">
        <f>IFERROR(IF(WoP_Flag="Y",IF(fq=1,VLOOKUP(ppt*fq-H332,Charges!$AN$41:$AO$59,2,FALSE),IF(fq=2,VLOOKUP(ppt*fq-G332,Charges!$AP$41:$AQ$79,2,FALSE),VLOOKUP(ppt*fq-D332,Charges!$AR$41:$AS$279,2,FALSE)))*pr/fq,0),0)</f>
        <v>0</v>
      </c>
      <c r="U332" s="14">
        <f t="shared" ca="1" si="257"/>
        <v>0</v>
      </c>
      <c r="V332" s="34">
        <f>ROUND(MIN(IF(H332&gt;=7,Charges!$C$12*(1+Charges!$C$14)^((H332-7+1)),VLOOKUP(H332,Charges!$B$7:$C$12,2,0))*pr,Charges!$C$13)*B332,Round)</f>
        <v>0</v>
      </c>
      <c r="W332" s="14">
        <f t="shared" ca="1" si="258"/>
        <v>0</v>
      </c>
      <c r="X332" s="14">
        <f t="shared" ca="1" si="259"/>
        <v>0</v>
      </c>
      <c r="Y332" s="213">
        <f t="shared" ca="1" si="283"/>
        <v>0</v>
      </c>
      <c r="Z332" s="14">
        <f t="shared" ca="1" si="260"/>
        <v>0</v>
      </c>
      <c r="AA332" s="14">
        <f>IF(AND($H332=pt,$F332=11),SUM($K$7:K332)*VLOOKUP(pt,ROC,2,FALSE),0)</f>
        <v>0</v>
      </c>
      <c r="AB332" s="14">
        <f>IF(AND($H332=pt,$F332=11),SUM($V$7:V332)*VLOOKUP(pt,ROC,2,FALSE),0)</f>
        <v>0</v>
      </c>
      <c r="AC332" s="14">
        <f>IF(AND($H332=pt,$F332=11),SUM($Q$7:Q332)*VLOOKUP(pt,ROC,2,FALSE),0)</f>
        <v>0</v>
      </c>
      <c r="AD332" s="14">
        <f t="shared" ca="1" si="261"/>
        <v>0</v>
      </c>
      <c r="AE332" s="14">
        <f ca="1">(MAX(sa-CF331*Flag_UL_Type,105%*SUM($I$7:I332),Z332)+AU332)*B332</f>
        <v>0</v>
      </c>
      <c r="AF332" s="136"/>
      <c r="AG332" s="18">
        <v>326</v>
      </c>
      <c r="AH332" s="30">
        <f t="shared" ca="1" si="262"/>
        <v>0</v>
      </c>
      <c r="AI332" s="58"/>
      <c r="AJ332" s="50">
        <f>IF(AND(Option_Sys_TopUp&gt;="Y",H332&gt;=sytp,H332&lt;=(dtp+sytp-1),F332=0,H332&lt;=ppt+1),atp,0)+IFERROR(VLOOKUP(H332,Input!$B$55:$C$61,2,0),0)*(F332=0)*(Option_TopUP="Y")*(Option_Sys_TopUp="N")*B332*(pt&gt;=H332+5)</f>
        <v>0</v>
      </c>
      <c r="AK332" s="50">
        <f t="shared" si="263"/>
        <v>0</v>
      </c>
      <c r="AL332" s="50">
        <f t="shared" si="284"/>
        <v>0</v>
      </c>
      <c r="AM332" s="50">
        <f t="shared" ca="1" si="285"/>
        <v>0</v>
      </c>
      <c r="AN332" s="50">
        <f>IF(B332=0,0,AT332*(_rpm1+(1+_emr1)*VLOOKUP(E332,Tab_Mort_Charge,IF(Input!$C$12="M",2,3),0))*(0.001*0.0833)*Flag_Mort_Rider_Charge*(AT332&gt;0))</f>
        <v>0</v>
      </c>
      <c r="AO332" s="50">
        <f t="shared" ca="1" si="264"/>
        <v>0</v>
      </c>
      <c r="AP332" s="50">
        <f t="shared" ca="1" si="245"/>
        <v>0</v>
      </c>
      <c r="AQ332" s="50">
        <f t="shared" ca="1" si="265"/>
        <v>0</v>
      </c>
      <c r="AR332" s="50">
        <f t="shared" ca="1" si="266"/>
        <v>0</v>
      </c>
      <c r="AS332" s="50">
        <f t="shared" si="267"/>
        <v>0</v>
      </c>
      <c r="AT332" s="50">
        <f ca="1">(MAX((MAX(AS332,105%*SUM($AJ$7:AJ332))-AM332*Flag_UL_Type),0)*B332)</f>
        <v>0</v>
      </c>
      <c r="AU332" s="50">
        <f ca="1">(MAX(AS332,AR332,105%*SUM($AJ$7:AJ332))*B332)</f>
        <v>0</v>
      </c>
      <c r="AV332" s="125"/>
      <c r="AW332" s="13"/>
      <c r="AX332" s="13"/>
      <c r="AY332" s="13"/>
      <c r="AZ332" s="13"/>
      <c r="BA332" s="13"/>
      <c r="BG332" s="51">
        <f t="shared" si="268"/>
        <v>0</v>
      </c>
      <c r="BH332" s="51">
        <f t="shared" si="269"/>
        <v>0</v>
      </c>
      <c r="BI332" s="51">
        <f t="shared" ca="1" si="270"/>
        <v>0</v>
      </c>
      <c r="BJ332" s="51">
        <f t="shared" ca="1" si="271"/>
        <v>0</v>
      </c>
      <c r="BK332" s="51">
        <f t="shared" si="272"/>
        <v>0</v>
      </c>
      <c r="BL332" s="51">
        <f t="shared" ca="1" si="273"/>
        <v>0</v>
      </c>
      <c r="BM332" s="51">
        <f t="shared" si="274"/>
        <v>0</v>
      </c>
      <c r="BN332" s="51">
        <f t="shared" si="275"/>
        <v>0</v>
      </c>
      <c r="BO332" s="51">
        <f t="shared" ca="1" si="276"/>
        <v>0</v>
      </c>
      <c r="BP332" s="51">
        <f t="shared" ca="1" si="277"/>
        <v>0</v>
      </c>
      <c r="BQ332" s="120"/>
      <c r="BR332" s="32"/>
      <c r="BS332" s="126"/>
      <c r="BT332" s="16"/>
      <c r="BU332" s="58"/>
      <c r="BW332" s="51">
        <f>IF(Input!$C$13="Offline",VLOOKUP(H332,Charges!$AT$4:$AU$33,2,FALSE)*I332,0)</f>
        <v>0</v>
      </c>
      <c r="BX332" s="51">
        <f t="shared" si="278"/>
        <v>0</v>
      </c>
      <c r="BY332" s="51">
        <f t="shared" si="286"/>
        <v>0</v>
      </c>
      <c r="BZ332" s="151"/>
      <c r="CA332" s="151"/>
      <c r="CB332" s="32"/>
      <c r="CC332" s="16">
        <f ca="1">SUM($N$7:$N332)</f>
        <v>0</v>
      </c>
      <c r="CD332" s="16">
        <f t="shared" ca="1" si="279"/>
        <v>0</v>
      </c>
      <c r="CE332" s="16">
        <f t="shared" ca="1" si="280"/>
        <v>0</v>
      </c>
      <c r="CF332" s="7">
        <f t="shared" ca="1" si="281"/>
        <v>0</v>
      </c>
      <c r="CH332" s="7">
        <f t="shared" ca="1" si="282"/>
        <v>0</v>
      </c>
    </row>
    <row r="333" spans="2:86" s="7" customFormat="1" x14ac:dyDescent="0.2">
      <c r="B333" s="14">
        <f t="shared" si="246"/>
        <v>0</v>
      </c>
      <c r="C333" s="12">
        <f t="shared" si="247"/>
        <v>0</v>
      </c>
      <c r="D333" s="17">
        <f t="shared" si="287"/>
        <v>327</v>
      </c>
      <c r="E333" s="17">
        <f t="shared" ca="1" si="248"/>
        <v>87</v>
      </c>
      <c r="F333" s="12">
        <f t="shared" si="243"/>
        <v>2</v>
      </c>
      <c r="G333" s="12">
        <f t="shared" si="242"/>
        <v>55</v>
      </c>
      <c r="H333" s="17">
        <f t="shared" si="244"/>
        <v>28</v>
      </c>
      <c r="I333" s="29">
        <f t="shared" si="249"/>
        <v>0</v>
      </c>
      <c r="J333" s="211">
        <f>IFERROR(VLOOKUP(H333,Charges!$T$6:$U$35,2,0)*C333,0)</f>
        <v>0</v>
      </c>
      <c r="K333" s="29">
        <f t="shared" si="250"/>
        <v>0</v>
      </c>
      <c r="L333" s="29">
        <f t="shared" si="251"/>
        <v>0</v>
      </c>
      <c r="M333" s="147">
        <f t="shared" ca="1" si="252"/>
        <v>0</v>
      </c>
      <c r="N333" s="148">
        <f ca="1">IF(AND(Option_SPW="Y",H333&gt;=Lock_In_Period,Z332&gt;SPW_Amount_pa+IF(option="Single",1/5*pr,2*pr),H333&gt;=SPW_Start_Year,H333&lt;=SPW_Start_Year+SPW_Duration-1,age+H333&gt;=Legal_Age),IF(AND(F333=0,SPW_Payout_Freq=1),SPW_Amount_pa,IF(AND(SPW_Payout_Freq=2,MOD(F333,6)=0),SPW_Amount_pa/SPW_Payout_Freq,IF(AND(SPW_Payout_Freq=4,MOD(F333,3)=0),SPW_Amount_pa/SPW_Payout_Freq,IF(SPW_Payout_Freq=12,SPW_Amount_pa/SPW_Payout_Freq,0)))),0)+IFERROR(VLOOKUP(H333,Input!$B$68:$C$74,2,0),0)*(F333=0)*(Option_PW="Y")*(Option_SPW="N")*(age+H333&gt;=Legal_Age)</f>
        <v>0</v>
      </c>
      <c r="O333" s="148">
        <f t="shared" ca="1" si="253"/>
        <v>0</v>
      </c>
      <c r="P333" s="14">
        <f ca="1">(MAX(MAX(sa-CF332*Flag_UL_Type,105%*SUM($I$7:I333))-(AD332+L333-N333)*Flag_UL_Type,0)*B333)</f>
        <v>0</v>
      </c>
      <c r="Q333" s="213">
        <f t="shared" si="254"/>
        <v>0</v>
      </c>
      <c r="R333" s="14">
        <f t="shared" ca="1" si="255"/>
        <v>0</v>
      </c>
      <c r="S333" s="14">
        <f t="shared" ca="1" si="256"/>
        <v>0</v>
      </c>
      <c r="T333" s="14">
        <f>IFERROR(IF(WoP_Flag="Y",IF(fq=1,VLOOKUP(ppt*fq-H333,Charges!$AN$41:$AO$59,2,FALSE),IF(fq=2,VLOOKUP(ppt*fq-G333,Charges!$AP$41:$AQ$79,2,FALSE),VLOOKUP(ppt*fq-D333,Charges!$AR$41:$AS$279,2,FALSE)))*pr/fq,0),0)</f>
        <v>0</v>
      </c>
      <c r="U333" s="14">
        <f t="shared" ca="1" si="257"/>
        <v>0</v>
      </c>
      <c r="V333" s="34">
        <f>ROUND(MIN(IF(H333&gt;=7,Charges!$C$12*(1+Charges!$C$14)^((H333-7+1)),VLOOKUP(H333,Charges!$B$7:$C$12,2,0))*pr,Charges!$C$13)*B333,Round)</f>
        <v>0</v>
      </c>
      <c r="W333" s="14">
        <f t="shared" ca="1" si="258"/>
        <v>0</v>
      </c>
      <c r="X333" s="14">
        <f t="shared" ca="1" si="259"/>
        <v>0</v>
      </c>
      <c r="Y333" s="213">
        <f t="shared" ca="1" si="283"/>
        <v>0</v>
      </c>
      <c r="Z333" s="14">
        <f t="shared" ca="1" si="260"/>
        <v>0</v>
      </c>
      <c r="AA333" s="14">
        <f>IF(AND($H333=pt,$F333=11),SUM($K$7:K333)*VLOOKUP(pt,ROC,2,FALSE),0)</f>
        <v>0</v>
      </c>
      <c r="AB333" s="14">
        <f>IF(AND($H333=pt,$F333=11),SUM($V$7:V333)*VLOOKUP(pt,ROC,2,FALSE),0)</f>
        <v>0</v>
      </c>
      <c r="AC333" s="14">
        <f>IF(AND($H333=pt,$F333=11),SUM($Q$7:Q333)*VLOOKUP(pt,ROC,2,FALSE),0)</f>
        <v>0</v>
      </c>
      <c r="AD333" s="14">
        <f t="shared" ca="1" si="261"/>
        <v>0</v>
      </c>
      <c r="AE333" s="14">
        <f ca="1">(MAX(sa-CF332*Flag_UL_Type,105%*SUM($I$7:I333),Z333)+AU333)*B333</f>
        <v>0</v>
      </c>
      <c r="AF333" s="136"/>
      <c r="AG333" s="18">
        <v>327</v>
      </c>
      <c r="AH333" s="30">
        <f t="shared" ca="1" si="262"/>
        <v>0</v>
      </c>
      <c r="AI333" s="58"/>
      <c r="AJ333" s="50">
        <f>IF(AND(Option_Sys_TopUp&gt;="Y",H333&gt;=sytp,H333&lt;=(dtp+sytp-1),F333=0,H333&lt;=ppt+1),atp,0)+IFERROR(VLOOKUP(H333,Input!$B$55:$C$61,2,0),0)*(F333=0)*(Option_TopUP="Y")*(Option_Sys_TopUp="N")*B333*(pt&gt;=H333+5)</f>
        <v>0</v>
      </c>
      <c r="AK333" s="50">
        <f t="shared" si="263"/>
        <v>0</v>
      </c>
      <c r="AL333" s="50">
        <f t="shared" si="284"/>
        <v>0</v>
      </c>
      <c r="AM333" s="50">
        <f t="shared" ca="1" si="285"/>
        <v>0</v>
      </c>
      <c r="AN333" s="50">
        <f>IF(B333=0,0,AT333*(_rpm1+(1+_emr1)*VLOOKUP(E333,Tab_Mort_Charge,IF(Input!$C$12="M",2,3),0))*(0.001*0.0833)*Flag_Mort_Rider_Charge*(AT333&gt;0))</f>
        <v>0</v>
      </c>
      <c r="AO333" s="50">
        <f t="shared" ca="1" si="264"/>
        <v>0</v>
      </c>
      <c r="AP333" s="50">
        <f t="shared" ca="1" si="245"/>
        <v>0</v>
      </c>
      <c r="AQ333" s="50">
        <f t="shared" ca="1" si="265"/>
        <v>0</v>
      </c>
      <c r="AR333" s="50">
        <f t="shared" ca="1" si="266"/>
        <v>0</v>
      </c>
      <c r="AS333" s="50">
        <f t="shared" si="267"/>
        <v>0</v>
      </c>
      <c r="AT333" s="50">
        <f ca="1">(MAX((MAX(AS333,105%*SUM($AJ$7:AJ333))-AM333*Flag_UL_Type),0)*B333)</f>
        <v>0</v>
      </c>
      <c r="AU333" s="50">
        <f ca="1">(MAX(AS333,AR333,105%*SUM($AJ$7:AJ333))*B333)</f>
        <v>0</v>
      </c>
      <c r="AV333" s="125"/>
      <c r="AW333" s="13"/>
      <c r="AX333" s="13"/>
      <c r="AY333" s="13"/>
      <c r="AZ333" s="13"/>
      <c r="BA333" s="13"/>
      <c r="BG333" s="51">
        <f t="shared" si="268"/>
        <v>0</v>
      </c>
      <c r="BH333" s="51">
        <f t="shared" si="269"/>
        <v>0</v>
      </c>
      <c r="BI333" s="51">
        <f t="shared" ca="1" si="270"/>
        <v>0</v>
      </c>
      <c r="BJ333" s="51">
        <f t="shared" ca="1" si="271"/>
        <v>0</v>
      </c>
      <c r="BK333" s="51">
        <f t="shared" si="272"/>
        <v>0</v>
      </c>
      <c r="BL333" s="51">
        <f t="shared" ca="1" si="273"/>
        <v>0</v>
      </c>
      <c r="BM333" s="51">
        <f t="shared" si="274"/>
        <v>0</v>
      </c>
      <c r="BN333" s="51">
        <f t="shared" si="275"/>
        <v>0</v>
      </c>
      <c r="BO333" s="51">
        <f t="shared" ca="1" si="276"/>
        <v>0</v>
      </c>
      <c r="BP333" s="51">
        <f t="shared" ca="1" si="277"/>
        <v>0</v>
      </c>
      <c r="BQ333" s="120"/>
      <c r="BR333" s="32"/>
      <c r="BS333" s="126"/>
      <c r="BT333" s="16"/>
      <c r="BU333" s="58"/>
      <c r="BW333" s="51">
        <f>IF(Input!$C$13="Offline",VLOOKUP(H333,Charges!$AT$4:$AU$33,2,FALSE)*I333,0)</f>
        <v>0</v>
      </c>
      <c r="BX333" s="51">
        <f t="shared" si="278"/>
        <v>0</v>
      </c>
      <c r="BY333" s="51">
        <f t="shared" si="286"/>
        <v>0</v>
      </c>
      <c r="BZ333" s="151"/>
      <c r="CA333" s="151"/>
      <c r="CB333" s="32"/>
      <c r="CC333" s="16">
        <f ca="1">SUM($N$7:$N333)</f>
        <v>0</v>
      </c>
      <c r="CD333" s="16">
        <f t="shared" ca="1" si="279"/>
        <v>0</v>
      </c>
      <c r="CE333" s="16">
        <f t="shared" ca="1" si="280"/>
        <v>0</v>
      </c>
      <c r="CF333" s="7">
        <f t="shared" ca="1" si="281"/>
        <v>0</v>
      </c>
      <c r="CH333" s="7">
        <f t="shared" ca="1" si="282"/>
        <v>0</v>
      </c>
    </row>
    <row r="334" spans="2:86" s="7" customFormat="1" x14ac:dyDescent="0.2">
      <c r="B334" s="14">
        <f t="shared" si="246"/>
        <v>0</v>
      </c>
      <c r="C334" s="12">
        <f t="shared" si="247"/>
        <v>0</v>
      </c>
      <c r="D334" s="17">
        <f t="shared" si="287"/>
        <v>328</v>
      </c>
      <c r="E334" s="17">
        <f t="shared" ca="1" si="248"/>
        <v>87</v>
      </c>
      <c r="F334" s="12">
        <f t="shared" si="243"/>
        <v>3</v>
      </c>
      <c r="G334" s="12">
        <f t="shared" ref="G334:G367" si="288">G328+1</f>
        <v>55</v>
      </c>
      <c r="H334" s="17">
        <f t="shared" si="244"/>
        <v>28</v>
      </c>
      <c r="I334" s="29">
        <f t="shared" si="249"/>
        <v>0</v>
      </c>
      <c r="J334" s="211">
        <f>IFERROR(VLOOKUP(H334,Charges!$T$6:$U$35,2,0)*C334,0)</f>
        <v>0</v>
      </c>
      <c r="K334" s="29">
        <f t="shared" si="250"/>
        <v>0</v>
      </c>
      <c r="L334" s="29">
        <f t="shared" si="251"/>
        <v>0</v>
      </c>
      <c r="M334" s="147">
        <f t="shared" ca="1" si="252"/>
        <v>0</v>
      </c>
      <c r="N334" s="148">
        <f ca="1">IF(AND(Option_SPW="Y",H334&gt;=Lock_In_Period,Z333&gt;SPW_Amount_pa+IF(option="Single",1/5*pr,2*pr),H334&gt;=SPW_Start_Year,H334&lt;=SPW_Start_Year+SPW_Duration-1,age+H334&gt;=Legal_Age),IF(AND(F334=0,SPW_Payout_Freq=1),SPW_Amount_pa,IF(AND(SPW_Payout_Freq=2,MOD(F334,6)=0),SPW_Amount_pa/SPW_Payout_Freq,IF(AND(SPW_Payout_Freq=4,MOD(F334,3)=0),SPW_Amount_pa/SPW_Payout_Freq,IF(SPW_Payout_Freq=12,SPW_Amount_pa/SPW_Payout_Freq,0)))),0)+IFERROR(VLOOKUP(H334,Input!$B$68:$C$74,2,0),0)*(F334=0)*(Option_PW="Y")*(Option_SPW="N")*(age+H334&gt;=Legal_Age)</f>
        <v>0</v>
      </c>
      <c r="O334" s="148">
        <f t="shared" ca="1" si="253"/>
        <v>0</v>
      </c>
      <c r="P334" s="14">
        <f ca="1">(MAX(MAX(sa-CF333*Flag_UL_Type,105%*SUM($I$7:I334))-(AD333+L334-N334)*Flag_UL_Type,0)*B334)</f>
        <v>0</v>
      </c>
      <c r="Q334" s="213">
        <f t="shared" si="254"/>
        <v>0</v>
      </c>
      <c r="R334" s="14">
        <f t="shared" ca="1" si="255"/>
        <v>0</v>
      </c>
      <c r="S334" s="14">
        <f t="shared" ca="1" si="256"/>
        <v>0</v>
      </c>
      <c r="T334" s="14">
        <f>IFERROR(IF(WoP_Flag="Y",IF(fq=1,VLOOKUP(ppt*fq-H334,Charges!$AN$41:$AO$59,2,FALSE),IF(fq=2,VLOOKUP(ppt*fq-G334,Charges!$AP$41:$AQ$79,2,FALSE),VLOOKUP(ppt*fq-D334,Charges!$AR$41:$AS$279,2,FALSE)))*pr/fq,0),0)</f>
        <v>0</v>
      </c>
      <c r="U334" s="14">
        <f t="shared" ca="1" si="257"/>
        <v>0</v>
      </c>
      <c r="V334" s="34">
        <f>ROUND(MIN(IF(H334&gt;=7,Charges!$C$12*(1+Charges!$C$14)^((H334-7+1)),VLOOKUP(H334,Charges!$B$7:$C$12,2,0))*pr,Charges!$C$13)*B334,Round)</f>
        <v>0</v>
      </c>
      <c r="W334" s="14">
        <f t="shared" ca="1" si="258"/>
        <v>0</v>
      </c>
      <c r="X334" s="14">
        <f t="shared" ca="1" si="259"/>
        <v>0</v>
      </c>
      <c r="Y334" s="213">
        <f t="shared" ca="1" si="283"/>
        <v>0</v>
      </c>
      <c r="Z334" s="14">
        <f t="shared" ca="1" si="260"/>
        <v>0</v>
      </c>
      <c r="AA334" s="14">
        <f>IF(AND($H334=pt,$F334=11),SUM($K$7:K334)*VLOOKUP(pt,ROC,2,FALSE),0)</f>
        <v>0</v>
      </c>
      <c r="AB334" s="14">
        <f>IF(AND($H334=pt,$F334=11),SUM($V$7:V334)*VLOOKUP(pt,ROC,2,FALSE),0)</f>
        <v>0</v>
      </c>
      <c r="AC334" s="14">
        <f>IF(AND($H334=pt,$F334=11),SUM($Q$7:Q334)*VLOOKUP(pt,ROC,2,FALSE),0)</f>
        <v>0</v>
      </c>
      <c r="AD334" s="14">
        <f t="shared" ca="1" si="261"/>
        <v>0</v>
      </c>
      <c r="AE334" s="14">
        <f ca="1">(MAX(sa-CF333*Flag_UL_Type,105%*SUM($I$7:I334),Z334)+AU334)*B334</f>
        <v>0</v>
      </c>
      <c r="AF334" s="136"/>
      <c r="AG334" s="18">
        <v>328</v>
      </c>
      <c r="AH334" s="30">
        <f t="shared" ca="1" si="262"/>
        <v>0</v>
      </c>
      <c r="AI334" s="58"/>
      <c r="AJ334" s="50">
        <f>IF(AND(Option_Sys_TopUp&gt;="Y",H334&gt;=sytp,H334&lt;=(dtp+sytp-1),F334=0,H334&lt;=ppt+1),atp,0)+IFERROR(VLOOKUP(H334,Input!$B$55:$C$61,2,0),0)*(F334=0)*(Option_TopUP="Y")*(Option_Sys_TopUp="N")*B334*(pt&gt;=H334+5)</f>
        <v>0</v>
      </c>
      <c r="AK334" s="50">
        <f t="shared" si="263"/>
        <v>0</v>
      </c>
      <c r="AL334" s="50">
        <f t="shared" si="284"/>
        <v>0</v>
      </c>
      <c r="AM334" s="50">
        <f t="shared" ca="1" si="285"/>
        <v>0</v>
      </c>
      <c r="AN334" s="50">
        <f>IF(B334=0,0,AT334*(_rpm1+(1+_emr1)*VLOOKUP(E334,Tab_Mort_Charge,IF(Input!$C$12="M",2,3),0))*(0.001*0.0833)*Flag_Mort_Rider_Charge*(AT334&gt;0))</f>
        <v>0</v>
      </c>
      <c r="AO334" s="50">
        <f t="shared" ca="1" si="264"/>
        <v>0</v>
      </c>
      <c r="AP334" s="50">
        <f t="shared" ca="1" si="245"/>
        <v>0</v>
      </c>
      <c r="AQ334" s="50">
        <f t="shared" ca="1" si="265"/>
        <v>0</v>
      </c>
      <c r="AR334" s="50">
        <f t="shared" ca="1" si="266"/>
        <v>0</v>
      </c>
      <c r="AS334" s="50">
        <f t="shared" si="267"/>
        <v>0</v>
      </c>
      <c r="AT334" s="50">
        <f ca="1">(MAX((MAX(AS334,105%*SUM($AJ$7:AJ334))-AM334*Flag_UL_Type),0)*B334)</f>
        <v>0</v>
      </c>
      <c r="AU334" s="50">
        <f ca="1">(MAX(AS334,AR334,105%*SUM($AJ$7:AJ334))*B334)</f>
        <v>0</v>
      </c>
      <c r="AV334" s="125"/>
      <c r="AW334" s="13"/>
      <c r="AX334" s="13"/>
      <c r="AY334" s="13"/>
      <c r="AZ334" s="13"/>
      <c r="BA334" s="13"/>
      <c r="BG334" s="51">
        <f t="shared" si="268"/>
        <v>0</v>
      </c>
      <c r="BH334" s="51">
        <f t="shared" si="269"/>
        <v>0</v>
      </c>
      <c r="BI334" s="51">
        <f t="shared" ca="1" si="270"/>
        <v>0</v>
      </c>
      <c r="BJ334" s="51">
        <f t="shared" ca="1" si="271"/>
        <v>0</v>
      </c>
      <c r="BK334" s="51">
        <f t="shared" si="272"/>
        <v>0</v>
      </c>
      <c r="BL334" s="51">
        <f t="shared" ca="1" si="273"/>
        <v>0</v>
      </c>
      <c r="BM334" s="51">
        <f t="shared" si="274"/>
        <v>0</v>
      </c>
      <c r="BN334" s="51">
        <f t="shared" si="275"/>
        <v>0</v>
      </c>
      <c r="BO334" s="51">
        <f t="shared" ca="1" si="276"/>
        <v>0</v>
      </c>
      <c r="BP334" s="51">
        <f t="shared" ca="1" si="277"/>
        <v>0</v>
      </c>
      <c r="BQ334" s="120"/>
      <c r="BR334" s="32"/>
      <c r="BS334" s="126"/>
      <c r="BT334" s="16"/>
      <c r="BU334" s="58"/>
      <c r="BW334" s="51">
        <f>IF(Input!$C$13="Offline",VLOOKUP(H334,Charges!$AT$4:$AU$33,2,FALSE)*I334,0)</f>
        <v>0</v>
      </c>
      <c r="BX334" s="51">
        <f t="shared" si="278"/>
        <v>0</v>
      </c>
      <c r="BY334" s="51">
        <f t="shared" si="286"/>
        <v>0</v>
      </c>
      <c r="BZ334" s="151"/>
      <c r="CA334" s="151"/>
      <c r="CB334" s="32"/>
      <c r="CC334" s="16">
        <f ca="1">SUM($N$7:$N334)</f>
        <v>0</v>
      </c>
      <c r="CD334" s="16">
        <f t="shared" ca="1" si="279"/>
        <v>0</v>
      </c>
      <c r="CE334" s="16">
        <f t="shared" ca="1" si="280"/>
        <v>0</v>
      </c>
      <c r="CF334" s="7">
        <f t="shared" ca="1" si="281"/>
        <v>0</v>
      </c>
      <c r="CH334" s="7">
        <f t="shared" ca="1" si="282"/>
        <v>0</v>
      </c>
    </row>
    <row r="335" spans="2:86" s="7" customFormat="1" x14ac:dyDescent="0.2">
      <c r="B335" s="14">
        <f t="shared" si="246"/>
        <v>0</v>
      </c>
      <c r="C335" s="12">
        <f t="shared" si="247"/>
        <v>0</v>
      </c>
      <c r="D335" s="17">
        <f t="shared" si="287"/>
        <v>329</v>
      </c>
      <c r="E335" s="17">
        <f t="shared" ca="1" si="248"/>
        <v>87</v>
      </c>
      <c r="F335" s="12">
        <f t="shared" si="243"/>
        <v>4</v>
      </c>
      <c r="G335" s="12">
        <f t="shared" si="288"/>
        <v>55</v>
      </c>
      <c r="H335" s="17">
        <f t="shared" si="244"/>
        <v>28</v>
      </c>
      <c r="I335" s="29">
        <f t="shared" si="249"/>
        <v>0</v>
      </c>
      <c r="J335" s="211">
        <f>IFERROR(VLOOKUP(H335,Charges!$T$6:$U$35,2,0)*C335,0)</f>
        <v>0</v>
      </c>
      <c r="K335" s="29">
        <f t="shared" si="250"/>
        <v>0</v>
      </c>
      <c r="L335" s="29">
        <f t="shared" si="251"/>
        <v>0</v>
      </c>
      <c r="M335" s="147">
        <f t="shared" ca="1" si="252"/>
        <v>0</v>
      </c>
      <c r="N335" s="148">
        <f ca="1">IF(AND(Option_SPW="Y",H335&gt;=Lock_In_Period,Z334&gt;SPW_Amount_pa+IF(option="Single",1/5*pr,2*pr),H335&gt;=SPW_Start_Year,H335&lt;=SPW_Start_Year+SPW_Duration-1,age+H335&gt;=Legal_Age),IF(AND(F335=0,SPW_Payout_Freq=1),SPW_Amount_pa,IF(AND(SPW_Payout_Freq=2,MOD(F335,6)=0),SPW_Amount_pa/SPW_Payout_Freq,IF(AND(SPW_Payout_Freq=4,MOD(F335,3)=0),SPW_Amount_pa/SPW_Payout_Freq,IF(SPW_Payout_Freq=12,SPW_Amount_pa/SPW_Payout_Freq,0)))),0)+IFERROR(VLOOKUP(H335,Input!$B$68:$C$74,2,0),0)*(F335=0)*(Option_PW="Y")*(Option_SPW="N")*(age+H335&gt;=Legal_Age)</f>
        <v>0</v>
      </c>
      <c r="O335" s="148">
        <f t="shared" ca="1" si="253"/>
        <v>0</v>
      </c>
      <c r="P335" s="14">
        <f ca="1">(MAX(MAX(sa-CF334*Flag_UL_Type,105%*SUM($I$7:I335))-(AD334+L335-N335)*Flag_UL_Type,0)*B335)</f>
        <v>0</v>
      </c>
      <c r="Q335" s="213">
        <f t="shared" si="254"/>
        <v>0</v>
      </c>
      <c r="R335" s="14">
        <f t="shared" ca="1" si="255"/>
        <v>0</v>
      </c>
      <c r="S335" s="14">
        <f t="shared" ca="1" si="256"/>
        <v>0</v>
      </c>
      <c r="T335" s="14">
        <f>IFERROR(IF(WoP_Flag="Y",IF(fq=1,VLOOKUP(ppt*fq-H335,Charges!$AN$41:$AO$59,2,FALSE),IF(fq=2,VLOOKUP(ppt*fq-G335,Charges!$AP$41:$AQ$79,2,FALSE),VLOOKUP(ppt*fq-D335,Charges!$AR$41:$AS$279,2,FALSE)))*pr/fq,0),0)</f>
        <v>0</v>
      </c>
      <c r="U335" s="14">
        <f t="shared" ca="1" si="257"/>
        <v>0</v>
      </c>
      <c r="V335" s="34">
        <f>ROUND(MIN(IF(H335&gt;=7,Charges!$C$12*(1+Charges!$C$14)^((H335-7+1)),VLOOKUP(H335,Charges!$B$7:$C$12,2,0))*pr,Charges!$C$13)*B335,Round)</f>
        <v>0</v>
      </c>
      <c r="W335" s="14">
        <f t="shared" ca="1" si="258"/>
        <v>0</v>
      </c>
      <c r="X335" s="14">
        <f t="shared" ca="1" si="259"/>
        <v>0</v>
      </c>
      <c r="Y335" s="213">
        <f t="shared" ca="1" si="283"/>
        <v>0</v>
      </c>
      <c r="Z335" s="14">
        <f t="shared" ca="1" si="260"/>
        <v>0</v>
      </c>
      <c r="AA335" s="14">
        <f>IF(AND($H335=pt,$F335=11),SUM($K$7:K335)*VLOOKUP(pt,ROC,2,FALSE),0)</f>
        <v>0</v>
      </c>
      <c r="AB335" s="14">
        <f>IF(AND($H335=pt,$F335=11),SUM($V$7:V335)*VLOOKUP(pt,ROC,2,FALSE),0)</f>
        <v>0</v>
      </c>
      <c r="AC335" s="14">
        <f>IF(AND($H335=pt,$F335=11),SUM($Q$7:Q335)*VLOOKUP(pt,ROC,2,FALSE),0)</f>
        <v>0</v>
      </c>
      <c r="AD335" s="14">
        <f t="shared" ca="1" si="261"/>
        <v>0</v>
      </c>
      <c r="AE335" s="14">
        <f ca="1">(MAX(sa-CF334*Flag_UL_Type,105%*SUM($I$7:I335),Z335)+AU335)*B335</f>
        <v>0</v>
      </c>
      <c r="AF335" s="136"/>
      <c r="AG335" s="18">
        <v>329</v>
      </c>
      <c r="AH335" s="30">
        <f t="shared" ca="1" si="262"/>
        <v>0</v>
      </c>
      <c r="AI335" s="58"/>
      <c r="AJ335" s="50">
        <f>IF(AND(Option_Sys_TopUp&gt;="Y",H335&gt;=sytp,H335&lt;=(dtp+sytp-1),F335=0,H335&lt;=ppt+1),atp,0)+IFERROR(VLOOKUP(H335,Input!$B$55:$C$61,2,0),0)*(F335=0)*(Option_TopUP="Y")*(Option_Sys_TopUp="N")*B335*(pt&gt;=H335+5)</f>
        <v>0</v>
      </c>
      <c r="AK335" s="50">
        <f t="shared" si="263"/>
        <v>0</v>
      </c>
      <c r="AL335" s="50">
        <f t="shared" si="284"/>
        <v>0</v>
      </c>
      <c r="AM335" s="50">
        <f t="shared" ca="1" si="285"/>
        <v>0</v>
      </c>
      <c r="AN335" s="50">
        <f>IF(B335=0,0,AT335*(_rpm1+(1+_emr1)*VLOOKUP(E335,Tab_Mort_Charge,IF(Input!$C$12="M",2,3),0))*(0.001*0.0833)*Flag_Mort_Rider_Charge*(AT335&gt;0))</f>
        <v>0</v>
      </c>
      <c r="AO335" s="50">
        <f t="shared" ca="1" si="264"/>
        <v>0</v>
      </c>
      <c r="AP335" s="50">
        <f t="shared" ca="1" si="245"/>
        <v>0</v>
      </c>
      <c r="AQ335" s="50">
        <f t="shared" ca="1" si="265"/>
        <v>0</v>
      </c>
      <c r="AR335" s="50">
        <f t="shared" ca="1" si="266"/>
        <v>0</v>
      </c>
      <c r="AS335" s="50">
        <f t="shared" si="267"/>
        <v>0</v>
      </c>
      <c r="AT335" s="50">
        <f ca="1">(MAX((MAX(AS335,105%*SUM($AJ$7:AJ335))-AM335*Flag_UL_Type),0)*B335)</f>
        <v>0</v>
      </c>
      <c r="AU335" s="50">
        <f ca="1">(MAX(AS335,AR335,105%*SUM($AJ$7:AJ335))*B335)</f>
        <v>0</v>
      </c>
      <c r="AV335" s="125"/>
      <c r="AW335" s="13"/>
      <c r="AX335" s="13"/>
      <c r="AY335" s="13"/>
      <c r="AZ335" s="13"/>
      <c r="BA335" s="13"/>
      <c r="BG335" s="51">
        <f t="shared" si="268"/>
        <v>0</v>
      </c>
      <c r="BH335" s="51">
        <f t="shared" si="269"/>
        <v>0</v>
      </c>
      <c r="BI335" s="51">
        <f t="shared" ca="1" si="270"/>
        <v>0</v>
      </c>
      <c r="BJ335" s="51">
        <f t="shared" ca="1" si="271"/>
        <v>0</v>
      </c>
      <c r="BK335" s="51">
        <f t="shared" si="272"/>
        <v>0</v>
      </c>
      <c r="BL335" s="51">
        <f t="shared" ca="1" si="273"/>
        <v>0</v>
      </c>
      <c r="BM335" s="51">
        <f t="shared" si="274"/>
        <v>0</v>
      </c>
      <c r="BN335" s="51">
        <f t="shared" si="275"/>
        <v>0</v>
      </c>
      <c r="BO335" s="51">
        <f t="shared" ca="1" si="276"/>
        <v>0</v>
      </c>
      <c r="BP335" s="51">
        <f t="shared" ca="1" si="277"/>
        <v>0</v>
      </c>
      <c r="BQ335" s="120"/>
      <c r="BR335" s="32"/>
      <c r="BS335" s="126"/>
      <c r="BT335" s="16"/>
      <c r="BU335" s="58"/>
      <c r="BW335" s="51">
        <f>IF(Input!$C$13="Offline",VLOOKUP(H335,Charges!$AT$4:$AU$33,2,FALSE)*I335,0)</f>
        <v>0</v>
      </c>
      <c r="BX335" s="51">
        <f t="shared" si="278"/>
        <v>0</v>
      </c>
      <c r="BY335" s="51">
        <f t="shared" si="286"/>
        <v>0</v>
      </c>
      <c r="BZ335" s="151"/>
      <c r="CA335" s="151"/>
      <c r="CB335" s="32"/>
      <c r="CC335" s="16">
        <f ca="1">SUM($N$7:$N335)</f>
        <v>0</v>
      </c>
      <c r="CD335" s="16">
        <f t="shared" ca="1" si="279"/>
        <v>0</v>
      </c>
      <c r="CE335" s="16">
        <f t="shared" ca="1" si="280"/>
        <v>0</v>
      </c>
      <c r="CF335" s="7">
        <f t="shared" ca="1" si="281"/>
        <v>0</v>
      </c>
      <c r="CH335" s="7">
        <f t="shared" ca="1" si="282"/>
        <v>0</v>
      </c>
    </row>
    <row r="336" spans="2:86" s="7" customFormat="1" x14ac:dyDescent="0.2">
      <c r="B336" s="14">
        <f t="shared" si="246"/>
        <v>0</v>
      </c>
      <c r="C336" s="12">
        <f t="shared" si="247"/>
        <v>0</v>
      </c>
      <c r="D336" s="17">
        <f t="shared" si="287"/>
        <v>330</v>
      </c>
      <c r="E336" s="17">
        <f t="shared" ca="1" si="248"/>
        <v>87</v>
      </c>
      <c r="F336" s="12">
        <f t="shared" si="243"/>
        <v>5</v>
      </c>
      <c r="G336" s="12">
        <f t="shared" si="288"/>
        <v>55</v>
      </c>
      <c r="H336" s="17">
        <f t="shared" si="244"/>
        <v>28</v>
      </c>
      <c r="I336" s="29">
        <f t="shared" si="249"/>
        <v>0</v>
      </c>
      <c r="J336" s="211">
        <f>IFERROR(VLOOKUP(H336,Charges!$T$6:$U$35,2,0)*C336,0)</f>
        <v>0</v>
      </c>
      <c r="K336" s="29">
        <f t="shared" si="250"/>
        <v>0</v>
      </c>
      <c r="L336" s="29">
        <f t="shared" si="251"/>
        <v>0</v>
      </c>
      <c r="M336" s="147">
        <f t="shared" ca="1" si="252"/>
        <v>0</v>
      </c>
      <c r="N336" s="148">
        <f ca="1">IF(AND(Option_SPW="Y",H336&gt;=Lock_In_Period,Z335&gt;SPW_Amount_pa+IF(option="Single",1/5*pr,2*pr),H336&gt;=SPW_Start_Year,H336&lt;=SPW_Start_Year+SPW_Duration-1,age+H336&gt;=Legal_Age),IF(AND(F336=0,SPW_Payout_Freq=1),SPW_Amount_pa,IF(AND(SPW_Payout_Freq=2,MOD(F336,6)=0),SPW_Amount_pa/SPW_Payout_Freq,IF(AND(SPW_Payout_Freq=4,MOD(F336,3)=0),SPW_Amount_pa/SPW_Payout_Freq,IF(SPW_Payout_Freq=12,SPW_Amount_pa/SPW_Payout_Freq,0)))),0)+IFERROR(VLOOKUP(H336,Input!$B$68:$C$74,2,0),0)*(F336=0)*(Option_PW="Y")*(Option_SPW="N")*(age+H336&gt;=Legal_Age)</f>
        <v>0</v>
      </c>
      <c r="O336" s="148">
        <f t="shared" ca="1" si="253"/>
        <v>0</v>
      </c>
      <c r="P336" s="14">
        <f ca="1">(MAX(MAX(sa-CF335*Flag_UL_Type,105%*SUM($I$7:I336))-(AD335+L336-N336)*Flag_UL_Type,0)*B336)</f>
        <v>0</v>
      </c>
      <c r="Q336" s="213">
        <f t="shared" si="254"/>
        <v>0</v>
      </c>
      <c r="R336" s="14">
        <f t="shared" ca="1" si="255"/>
        <v>0</v>
      </c>
      <c r="S336" s="14">
        <f t="shared" ca="1" si="256"/>
        <v>0</v>
      </c>
      <c r="T336" s="14">
        <f>IFERROR(IF(WoP_Flag="Y",IF(fq=1,VLOOKUP(ppt*fq-H336,Charges!$AN$41:$AO$59,2,FALSE),IF(fq=2,VLOOKUP(ppt*fq-G336,Charges!$AP$41:$AQ$79,2,FALSE),VLOOKUP(ppt*fq-D336,Charges!$AR$41:$AS$279,2,FALSE)))*pr/fq,0),0)</f>
        <v>0</v>
      </c>
      <c r="U336" s="14">
        <f t="shared" ca="1" si="257"/>
        <v>0</v>
      </c>
      <c r="V336" s="34">
        <f>ROUND(MIN(IF(H336&gt;=7,Charges!$C$12*(1+Charges!$C$14)^((H336-7+1)),VLOOKUP(H336,Charges!$B$7:$C$12,2,0))*pr,Charges!$C$13)*B336,Round)</f>
        <v>0</v>
      </c>
      <c r="W336" s="14">
        <f t="shared" ca="1" si="258"/>
        <v>0</v>
      </c>
      <c r="X336" s="14">
        <f t="shared" ca="1" si="259"/>
        <v>0</v>
      </c>
      <c r="Y336" s="213">
        <f t="shared" ca="1" si="283"/>
        <v>0</v>
      </c>
      <c r="Z336" s="14">
        <f t="shared" ca="1" si="260"/>
        <v>0</v>
      </c>
      <c r="AA336" s="14">
        <f>IF(AND($H336=pt,$F336=11),SUM($K$7:K336)*VLOOKUP(pt,ROC,2,FALSE),0)</f>
        <v>0</v>
      </c>
      <c r="AB336" s="14">
        <f>IF(AND($H336=pt,$F336=11),SUM($V$7:V336)*VLOOKUP(pt,ROC,2,FALSE),0)</f>
        <v>0</v>
      </c>
      <c r="AC336" s="14">
        <f>IF(AND($H336=pt,$F336=11),SUM($Q$7:Q336)*VLOOKUP(pt,ROC,2,FALSE),0)</f>
        <v>0</v>
      </c>
      <c r="AD336" s="14">
        <f t="shared" ca="1" si="261"/>
        <v>0</v>
      </c>
      <c r="AE336" s="14">
        <f ca="1">(MAX(sa-CF335*Flag_UL_Type,105%*SUM($I$7:I336),Z336)+AU336)*B336</f>
        <v>0</v>
      </c>
      <c r="AF336" s="136"/>
      <c r="AG336" s="18">
        <v>330</v>
      </c>
      <c r="AH336" s="30">
        <f t="shared" ca="1" si="262"/>
        <v>0</v>
      </c>
      <c r="AI336" s="58"/>
      <c r="AJ336" s="50">
        <f>IF(AND(Option_Sys_TopUp&gt;="Y",H336&gt;=sytp,H336&lt;=(dtp+sytp-1),F336=0,H336&lt;=ppt+1),atp,0)+IFERROR(VLOOKUP(H336,Input!$B$55:$C$61,2,0),0)*(F336=0)*(Option_TopUP="Y")*(Option_Sys_TopUp="N")*B336*(pt&gt;=H336+5)</f>
        <v>0</v>
      </c>
      <c r="AK336" s="50">
        <f t="shared" si="263"/>
        <v>0</v>
      </c>
      <c r="AL336" s="50">
        <f t="shared" si="284"/>
        <v>0</v>
      </c>
      <c r="AM336" s="50">
        <f t="shared" ca="1" si="285"/>
        <v>0</v>
      </c>
      <c r="AN336" s="50">
        <f>IF(B336=0,0,AT336*(_rpm1+(1+_emr1)*VLOOKUP(E336,Tab_Mort_Charge,IF(Input!$C$12="M",2,3),0))*(0.001*0.0833)*Flag_Mort_Rider_Charge*(AT336&gt;0))</f>
        <v>0</v>
      </c>
      <c r="AO336" s="50">
        <f t="shared" ca="1" si="264"/>
        <v>0</v>
      </c>
      <c r="AP336" s="50">
        <f t="shared" ca="1" si="245"/>
        <v>0</v>
      </c>
      <c r="AQ336" s="50">
        <f t="shared" ca="1" si="265"/>
        <v>0</v>
      </c>
      <c r="AR336" s="50">
        <f t="shared" ca="1" si="266"/>
        <v>0</v>
      </c>
      <c r="AS336" s="50">
        <f t="shared" si="267"/>
        <v>0</v>
      </c>
      <c r="AT336" s="50">
        <f ca="1">(MAX((MAX(AS336,105%*SUM($AJ$7:AJ336))-AM336*Flag_UL_Type),0)*B336)</f>
        <v>0</v>
      </c>
      <c r="AU336" s="50">
        <f ca="1">(MAX(AS336,AR336,105%*SUM($AJ$7:AJ336))*B336)</f>
        <v>0</v>
      </c>
      <c r="AV336" s="125"/>
      <c r="AW336" s="13"/>
      <c r="AX336" s="13"/>
      <c r="AY336" s="13"/>
      <c r="AZ336" s="13"/>
      <c r="BA336" s="13"/>
      <c r="BG336" s="51">
        <f t="shared" si="268"/>
        <v>0</v>
      </c>
      <c r="BH336" s="51">
        <f t="shared" si="269"/>
        <v>0</v>
      </c>
      <c r="BI336" s="51">
        <f t="shared" ca="1" si="270"/>
        <v>0</v>
      </c>
      <c r="BJ336" s="51">
        <f t="shared" ca="1" si="271"/>
        <v>0</v>
      </c>
      <c r="BK336" s="51">
        <f t="shared" si="272"/>
        <v>0</v>
      </c>
      <c r="BL336" s="51">
        <f t="shared" ca="1" si="273"/>
        <v>0</v>
      </c>
      <c r="BM336" s="51">
        <f t="shared" si="274"/>
        <v>0</v>
      </c>
      <c r="BN336" s="51">
        <f t="shared" si="275"/>
        <v>0</v>
      </c>
      <c r="BO336" s="51">
        <f t="shared" ca="1" si="276"/>
        <v>0</v>
      </c>
      <c r="BP336" s="51">
        <f t="shared" ca="1" si="277"/>
        <v>0</v>
      </c>
      <c r="BQ336" s="120"/>
      <c r="BR336" s="32"/>
      <c r="BS336" s="126"/>
      <c r="BT336" s="16"/>
      <c r="BU336" s="58"/>
      <c r="BW336" s="51">
        <f>IF(Input!$C$13="Offline",VLOOKUP(H336,Charges!$AT$4:$AU$33,2,FALSE)*I336,0)</f>
        <v>0</v>
      </c>
      <c r="BX336" s="51">
        <f t="shared" si="278"/>
        <v>0</v>
      </c>
      <c r="BY336" s="51">
        <f t="shared" si="286"/>
        <v>0</v>
      </c>
      <c r="BZ336" s="151"/>
      <c r="CA336" s="151"/>
      <c r="CB336" s="32"/>
      <c r="CC336" s="16">
        <f ca="1">SUM($N$7:$N336)</f>
        <v>0</v>
      </c>
      <c r="CD336" s="16">
        <f t="shared" ca="1" si="279"/>
        <v>0</v>
      </c>
      <c r="CE336" s="16">
        <f t="shared" ca="1" si="280"/>
        <v>0</v>
      </c>
      <c r="CF336" s="7">
        <f t="shared" ca="1" si="281"/>
        <v>0</v>
      </c>
      <c r="CH336" s="7">
        <f t="shared" ca="1" si="282"/>
        <v>0</v>
      </c>
    </row>
    <row r="337" spans="2:86" s="7" customFormat="1" x14ac:dyDescent="0.2">
      <c r="B337" s="14">
        <f t="shared" si="246"/>
        <v>0</v>
      </c>
      <c r="C337" s="12">
        <f t="shared" si="247"/>
        <v>0</v>
      </c>
      <c r="D337" s="17">
        <f t="shared" si="287"/>
        <v>331</v>
      </c>
      <c r="E337" s="17">
        <f t="shared" ca="1" si="248"/>
        <v>87</v>
      </c>
      <c r="F337" s="12">
        <f t="shared" si="243"/>
        <v>6</v>
      </c>
      <c r="G337" s="12">
        <f t="shared" si="288"/>
        <v>56</v>
      </c>
      <c r="H337" s="17">
        <f t="shared" si="244"/>
        <v>28</v>
      </c>
      <c r="I337" s="29">
        <f t="shared" si="249"/>
        <v>0</v>
      </c>
      <c r="J337" s="211">
        <f>IFERROR(VLOOKUP(H337,Charges!$T$6:$U$35,2,0)*C337,0)</f>
        <v>0</v>
      </c>
      <c r="K337" s="29">
        <f t="shared" si="250"/>
        <v>0</v>
      </c>
      <c r="L337" s="29">
        <f t="shared" si="251"/>
        <v>0</v>
      </c>
      <c r="M337" s="147">
        <f t="shared" ca="1" si="252"/>
        <v>0</v>
      </c>
      <c r="N337" s="148">
        <f ca="1">IF(AND(Option_SPW="Y",H337&gt;=Lock_In_Period,Z336&gt;SPW_Amount_pa+IF(option="Single",1/5*pr,2*pr),H337&gt;=SPW_Start_Year,H337&lt;=SPW_Start_Year+SPW_Duration-1,age+H337&gt;=Legal_Age),IF(AND(F337=0,SPW_Payout_Freq=1),SPW_Amount_pa,IF(AND(SPW_Payout_Freq=2,MOD(F337,6)=0),SPW_Amount_pa/SPW_Payout_Freq,IF(AND(SPW_Payout_Freq=4,MOD(F337,3)=0),SPW_Amount_pa/SPW_Payout_Freq,IF(SPW_Payout_Freq=12,SPW_Amount_pa/SPW_Payout_Freq,0)))),0)+IFERROR(VLOOKUP(H337,Input!$B$68:$C$74,2,0),0)*(F337=0)*(Option_PW="Y")*(Option_SPW="N")*(age+H337&gt;=Legal_Age)</f>
        <v>0</v>
      </c>
      <c r="O337" s="148">
        <f t="shared" ca="1" si="253"/>
        <v>0</v>
      </c>
      <c r="P337" s="14">
        <f ca="1">(MAX(MAX(sa-CF336*Flag_UL_Type,105%*SUM($I$7:I337))-(AD336+L337-N337)*Flag_UL_Type,0)*B337)</f>
        <v>0</v>
      </c>
      <c r="Q337" s="213">
        <f t="shared" si="254"/>
        <v>0</v>
      </c>
      <c r="R337" s="14">
        <f t="shared" ca="1" si="255"/>
        <v>0</v>
      </c>
      <c r="S337" s="14">
        <f t="shared" ca="1" si="256"/>
        <v>0</v>
      </c>
      <c r="T337" s="14">
        <f>IFERROR(IF(WoP_Flag="Y",IF(fq=1,VLOOKUP(ppt*fq-H337,Charges!$AN$41:$AO$59,2,FALSE),IF(fq=2,VLOOKUP(ppt*fq-G337,Charges!$AP$41:$AQ$79,2,FALSE),VLOOKUP(ppt*fq-D337,Charges!$AR$41:$AS$279,2,FALSE)))*pr/fq,0),0)</f>
        <v>0</v>
      </c>
      <c r="U337" s="14">
        <f t="shared" ca="1" si="257"/>
        <v>0</v>
      </c>
      <c r="V337" s="34">
        <f>ROUND(MIN(IF(H337&gt;=7,Charges!$C$12*(1+Charges!$C$14)^((H337-7+1)),VLOOKUP(H337,Charges!$B$7:$C$12,2,0))*pr,Charges!$C$13)*B337,Round)</f>
        <v>0</v>
      </c>
      <c r="W337" s="14">
        <f t="shared" ca="1" si="258"/>
        <v>0</v>
      </c>
      <c r="X337" s="14">
        <f t="shared" ca="1" si="259"/>
        <v>0</v>
      </c>
      <c r="Y337" s="213">
        <f t="shared" ca="1" si="283"/>
        <v>0</v>
      </c>
      <c r="Z337" s="14">
        <f t="shared" ca="1" si="260"/>
        <v>0</v>
      </c>
      <c r="AA337" s="14">
        <f>IF(AND($H337=pt,$F337=11),SUM($K$7:K337)*VLOOKUP(pt,ROC,2,FALSE),0)</f>
        <v>0</v>
      </c>
      <c r="AB337" s="14">
        <f>IF(AND($H337=pt,$F337=11),SUM($V$7:V337)*VLOOKUP(pt,ROC,2,FALSE),0)</f>
        <v>0</v>
      </c>
      <c r="AC337" s="14">
        <f>IF(AND($H337=pt,$F337=11),SUM($Q$7:Q337)*VLOOKUP(pt,ROC,2,FALSE),0)</f>
        <v>0</v>
      </c>
      <c r="AD337" s="14">
        <f t="shared" ca="1" si="261"/>
        <v>0</v>
      </c>
      <c r="AE337" s="14">
        <f ca="1">(MAX(sa-CF336*Flag_UL_Type,105%*SUM($I$7:I337),Z337)+AU337)*B337</f>
        <v>0</v>
      </c>
      <c r="AF337" s="136"/>
      <c r="AG337" s="18">
        <v>331</v>
      </c>
      <c r="AH337" s="30">
        <f t="shared" ca="1" si="262"/>
        <v>0</v>
      </c>
      <c r="AI337" s="58"/>
      <c r="AJ337" s="50">
        <f>IF(AND(Option_Sys_TopUp&gt;="Y",H337&gt;=sytp,H337&lt;=(dtp+sytp-1),F337=0,H337&lt;=ppt+1),atp,0)+IFERROR(VLOOKUP(H337,Input!$B$55:$C$61,2,0),0)*(F337=0)*(Option_TopUP="Y")*(Option_Sys_TopUp="N")*B337*(pt&gt;=H337+5)</f>
        <v>0</v>
      </c>
      <c r="AK337" s="50">
        <f t="shared" si="263"/>
        <v>0</v>
      </c>
      <c r="AL337" s="50">
        <f t="shared" si="284"/>
        <v>0</v>
      </c>
      <c r="AM337" s="50">
        <f t="shared" ca="1" si="285"/>
        <v>0</v>
      </c>
      <c r="AN337" s="50">
        <f>IF(B337=0,0,AT337*(_rpm1+(1+_emr1)*VLOOKUP(E337,Tab_Mort_Charge,IF(Input!$C$12="M",2,3),0))*(0.001*0.0833)*Flag_Mort_Rider_Charge*(AT337&gt;0))</f>
        <v>0</v>
      </c>
      <c r="AO337" s="50">
        <f t="shared" ca="1" si="264"/>
        <v>0</v>
      </c>
      <c r="AP337" s="50">
        <f t="shared" ca="1" si="245"/>
        <v>0</v>
      </c>
      <c r="AQ337" s="50">
        <f t="shared" ca="1" si="265"/>
        <v>0</v>
      </c>
      <c r="AR337" s="50">
        <f t="shared" ca="1" si="266"/>
        <v>0</v>
      </c>
      <c r="AS337" s="50">
        <f t="shared" si="267"/>
        <v>0</v>
      </c>
      <c r="AT337" s="50">
        <f ca="1">(MAX((MAX(AS337,105%*SUM($AJ$7:AJ337))-AM337*Flag_UL_Type),0)*B337)</f>
        <v>0</v>
      </c>
      <c r="AU337" s="50">
        <f ca="1">(MAX(AS337,AR337,105%*SUM($AJ$7:AJ337))*B337)</f>
        <v>0</v>
      </c>
      <c r="AV337" s="125"/>
      <c r="AW337" s="13"/>
      <c r="AX337" s="13"/>
      <c r="AY337" s="13"/>
      <c r="AZ337" s="13"/>
      <c r="BA337" s="13"/>
      <c r="BG337" s="51">
        <f t="shared" si="268"/>
        <v>0</v>
      </c>
      <c r="BH337" s="51">
        <f t="shared" si="269"/>
        <v>0</v>
      </c>
      <c r="BI337" s="51">
        <f t="shared" ca="1" si="270"/>
        <v>0</v>
      </c>
      <c r="BJ337" s="51">
        <f t="shared" ca="1" si="271"/>
        <v>0</v>
      </c>
      <c r="BK337" s="51">
        <f t="shared" si="272"/>
        <v>0</v>
      </c>
      <c r="BL337" s="51">
        <f t="shared" ca="1" si="273"/>
        <v>0</v>
      </c>
      <c r="BM337" s="51">
        <f t="shared" si="274"/>
        <v>0</v>
      </c>
      <c r="BN337" s="51">
        <f t="shared" si="275"/>
        <v>0</v>
      </c>
      <c r="BO337" s="51">
        <f t="shared" ca="1" si="276"/>
        <v>0</v>
      </c>
      <c r="BP337" s="51">
        <f t="shared" ca="1" si="277"/>
        <v>0</v>
      </c>
      <c r="BQ337" s="120"/>
      <c r="BR337" s="32"/>
      <c r="BS337" s="126"/>
      <c r="BT337" s="16"/>
      <c r="BU337" s="58"/>
      <c r="BW337" s="51">
        <f>IF(Input!$C$13="Offline",VLOOKUP(H337,Charges!$AT$4:$AU$33,2,FALSE)*I337,0)</f>
        <v>0</v>
      </c>
      <c r="BX337" s="51">
        <f t="shared" si="278"/>
        <v>0</v>
      </c>
      <c r="BY337" s="51">
        <f t="shared" si="286"/>
        <v>0</v>
      </c>
      <c r="BZ337" s="151"/>
      <c r="CA337" s="151"/>
      <c r="CB337" s="32"/>
      <c r="CC337" s="16">
        <f ca="1">SUM($N$7:$N337)</f>
        <v>0</v>
      </c>
      <c r="CD337" s="16">
        <f t="shared" ca="1" si="279"/>
        <v>0</v>
      </c>
      <c r="CE337" s="16">
        <f t="shared" ca="1" si="280"/>
        <v>0</v>
      </c>
      <c r="CF337" s="7">
        <f t="shared" ca="1" si="281"/>
        <v>0</v>
      </c>
      <c r="CH337" s="7">
        <f t="shared" ca="1" si="282"/>
        <v>0</v>
      </c>
    </row>
    <row r="338" spans="2:86" s="7" customFormat="1" x14ac:dyDescent="0.2">
      <c r="B338" s="14">
        <f t="shared" si="246"/>
        <v>0</v>
      </c>
      <c r="C338" s="12">
        <f t="shared" si="247"/>
        <v>0</v>
      </c>
      <c r="D338" s="17">
        <f t="shared" si="287"/>
        <v>332</v>
      </c>
      <c r="E338" s="17">
        <f t="shared" ca="1" si="248"/>
        <v>87</v>
      </c>
      <c r="F338" s="12">
        <f t="shared" si="243"/>
        <v>7</v>
      </c>
      <c r="G338" s="12">
        <f t="shared" si="288"/>
        <v>56</v>
      </c>
      <c r="H338" s="17">
        <f t="shared" si="244"/>
        <v>28</v>
      </c>
      <c r="I338" s="29">
        <f t="shared" si="249"/>
        <v>0</v>
      </c>
      <c r="J338" s="211">
        <f>IFERROR(VLOOKUP(H338,Charges!$T$6:$U$35,2,0)*C338,0)</f>
        <v>0</v>
      </c>
      <c r="K338" s="29">
        <f t="shared" si="250"/>
        <v>0</v>
      </c>
      <c r="L338" s="29">
        <f t="shared" si="251"/>
        <v>0</v>
      </c>
      <c r="M338" s="147">
        <f t="shared" ca="1" si="252"/>
        <v>0</v>
      </c>
      <c r="N338" s="148">
        <f ca="1">IF(AND(Option_SPW="Y",H338&gt;=Lock_In_Period,Z337&gt;SPW_Amount_pa+IF(option="Single",1/5*pr,2*pr),H338&gt;=SPW_Start_Year,H338&lt;=SPW_Start_Year+SPW_Duration-1,age+H338&gt;=Legal_Age),IF(AND(F338=0,SPW_Payout_Freq=1),SPW_Amount_pa,IF(AND(SPW_Payout_Freq=2,MOD(F338,6)=0),SPW_Amount_pa/SPW_Payout_Freq,IF(AND(SPW_Payout_Freq=4,MOD(F338,3)=0),SPW_Amount_pa/SPW_Payout_Freq,IF(SPW_Payout_Freq=12,SPW_Amount_pa/SPW_Payout_Freq,0)))),0)+IFERROR(VLOOKUP(H338,Input!$B$68:$C$74,2,0),0)*(F338=0)*(Option_PW="Y")*(Option_SPW="N")*(age+H338&gt;=Legal_Age)</f>
        <v>0</v>
      </c>
      <c r="O338" s="148">
        <f t="shared" ca="1" si="253"/>
        <v>0</v>
      </c>
      <c r="P338" s="14">
        <f ca="1">(MAX(MAX(sa-CF337*Flag_UL_Type,105%*SUM($I$7:I338))-(AD337+L338-N338)*Flag_UL_Type,0)*B338)</f>
        <v>0</v>
      </c>
      <c r="Q338" s="213">
        <f t="shared" si="254"/>
        <v>0</v>
      </c>
      <c r="R338" s="14">
        <f t="shared" ca="1" si="255"/>
        <v>0</v>
      </c>
      <c r="S338" s="14">
        <f t="shared" ca="1" si="256"/>
        <v>0</v>
      </c>
      <c r="T338" s="14">
        <f>IFERROR(IF(WoP_Flag="Y",IF(fq=1,VLOOKUP(ppt*fq-H338,Charges!$AN$41:$AO$59,2,FALSE),IF(fq=2,VLOOKUP(ppt*fq-G338,Charges!$AP$41:$AQ$79,2,FALSE),VLOOKUP(ppt*fq-D338,Charges!$AR$41:$AS$279,2,FALSE)))*pr/fq,0),0)</f>
        <v>0</v>
      </c>
      <c r="U338" s="14">
        <f t="shared" ca="1" si="257"/>
        <v>0</v>
      </c>
      <c r="V338" s="34">
        <f>ROUND(MIN(IF(H338&gt;=7,Charges!$C$12*(1+Charges!$C$14)^((H338-7+1)),VLOOKUP(H338,Charges!$B$7:$C$12,2,0))*pr,Charges!$C$13)*B338,Round)</f>
        <v>0</v>
      </c>
      <c r="W338" s="14">
        <f t="shared" ca="1" si="258"/>
        <v>0</v>
      </c>
      <c r="X338" s="14">
        <f t="shared" ca="1" si="259"/>
        <v>0</v>
      </c>
      <c r="Y338" s="213">
        <f t="shared" ca="1" si="283"/>
        <v>0</v>
      </c>
      <c r="Z338" s="14">
        <f t="shared" ca="1" si="260"/>
        <v>0</v>
      </c>
      <c r="AA338" s="14">
        <f>IF(AND($H338=pt,$F338=11),SUM($K$7:K338)*VLOOKUP(pt,ROC,2,FALSE),0)</f>
        <v>0</v>
      </c>
      <c r="AB338" s="14">
        <f>IF(AND($H338=pt,$F338=11),SUM($V$7:V338)*VLOOKUP(pt,ROC,2,FALSE),0)</f>
        <v>0</v>
      </c>
      <c r="AC338" s="14">
        <f>IF(AND($H338=pt,$F338=11),SUM($Q$7:Q338)*VLOOKUP(pt,ROC,2,FALSE),0)</f>
        <v>0</v>
      </c>
      <c r="AD338" s="14">
        <f t="shared" ca="1" si="261"/>
        <v>0</v>
      </c>
      <c r="AE338" s="14">
        <f ca="1">(MAX(sa-CF337*Flag_UL_Type,105%*SUM($I$7:I338),Z338)+AU338)*B338</f>
        <v>0</v>
      </c>
      <c r="AF338" s="136"/>
      <c r="AG338" s="18">
        <v>332</v>
      </c>
      <c r="AH338" s="30">
        <f t="shared" ca="1" si="262"/>
        <v>0</v>
      </c>
      <c r="AI338" s="58"/>
      <c r="AJ338" s="50">
        <f>IF(AND(Option_Sys_TopUp&gt;="Y",H338&gt;=sytp,H338&lt;=(dtp+sytp-1),F338=0,H338&lt;=ppt+1),atp,0)+IFERROR(VLOOKUP(H338,Input!$B$55:$C$61,2,0),0)*(F338=0)*(Option_TopUP="Y")*(Option_Sys_TopUp="N")*B338*(pt&gt;=H338+5)</f>
        <v>0</v>
      </c>
      <c r="AK338" s="50">
        <f t="shared" si="263"/>
        <v>0</v>
      </c>
      <c r="AL338" s="50">
        <f t="shared" si="284"/>
        <v>0</v>
      </c>
      <c r="AM338" s="50">
        <f t="shared" ca="1" si="285"/>
        <v>0</v>
      </c>
      <c r="AN338" s="50">
        <f>IF(B338=0,0,AT338*(_rpm1+(1+_emr1)*VLOOKUP(E338,Tab_Mort_Charge,IF(Input!$C$12="M",2,3),0))*(0.001*0.0833)*Flag_Mort_Rider_Charge*(AT338&gt;0))</f>
        <v>0</v>
      </c>
      <c r="AO338" s="50">
        <f t="shared" ca="1" si="264"/>
        <v>0</v>
      </c>
      <c r="AP338" s="50">
        <f t="shared" ca="1" si="245"/>
        <v>0</v>
      </c>
      <c r="AQ338" s="50">
        <f t="shared" ca="1" si="265"/>
        <v>0</v>
      </c>
      <c r="AR338" s="50">
        <f t="shared" ca="1" si="266"/>
        <v>0</v>
      </c>
      <c r="AS338" s="50">
        <f t="shared" si="267"/>
        <v>0</v>
      </c>
      <c r="AT338" s="50">
        <f ca="1">(MAX((MAX(AS338,105%*SUM($AJ$7:AJ338))-AM338*Flag_UL_Type),0)*B338)</f>
        <v>0</v>
      </c>
      <c r="AU338" s="50">
        <f ca="1">(MAX(AS338,AR338,105%*SUM($AJ$7:AJ338))*B338)</f>
        <v>0</v>
      </c>
      <c r="AV338" s="125"/>
      <c r="AW338" s="13"/>
      <c r="AX338" s="13"/>
      <c r="AY338" s="13"/>
      <c r="AZ338" s="13"/>
      <c r="BA338" s="13"/>
      <c r="BG338" s="51">
        <f t="shared" si="268"/>
        <v>0</v>
      </c>
      <c r="BH338" s="51">
        <f t="shared" si="269"/>
        <v>0</v>
      </c>
      <c r="BI338" s="51">
        <f t="shared" ca="1" si="270"/>
        <v>0</v>
      </c>
      <c r="BJ338" s="51">
        <f t="shared" ca="1" si="271"/>
        <v>0</v>
      </c>
      <c r="BK338" s="51">
        <f t="shared" si="272"/>
        <v>0</v>
      </c>
      <c r="BL338" s="51">
        <f t="shared" ca="1" si="273"/>
        <v>0</v>
      </c>
      <c r="BM338" s="51">
        <f t="shared" si="274"/>
        <v>0</v>
      </c>
      <c r="BN338" s="51">
        <f t="shared" si="275"/>
        <v>0</v>
      </c>
      <c r="BO338" s="51">
        <f t="shared" ca="1" si="276"/>
        <v>0</v>
      </c>
      <c r="BP338" s="51">
        <f t="shared" ca="1" si="277"/>
        <v>0</v>
      </c>
      <c r="BQ338" s="120"/>
      <c r="BR338" s="32"/>
      <c r="BS338" s="126"/>
      <c r="BT338" s="16"/>
      <c r="BU338" s="58"/>
      <c r="BW338" s="51">
        <f>IF(Input!$C$13="Offline",VLOOKUP(H338,Charges!$AT$4:$AU$33,2,FALSE)*I338,0)</f>
        <v>0</v>
      </c>
      <c r="BX338" s="51">
        <f t="shared" si="278"/>
        <v>0</v>
      </c>
      <c r="BY338" s="51">
        <f t="shared" si="286"/>
        <v>0</v>
      </c>
      <c r="BZ338" s="151"/>
      <c r="CA338" s="151"/>
      <c r="CB338" s="32"/>
      <c r="CC338" s="16">
        <f ca="1">SUM($N$7:$N338)</f>
        <v>0</v>
      </c>
      <c r="CD338" s="16">
        <f t="shared" ca="1" si="279"/>
        <v>0</v>
      </c>
      <c r="CE338" s="16">
        <f t="shared" ca="1" si="280"/>
        <v>0</v>
      </c>
      <c r="CF338" s="7">
        <f t="shared" ca="1" si="281"/>
        <v>0</v>
      </c>
      <c r="CH338" s="7">
        <f t="shared" ca="1" si="282"/>
        <v>0</v>
      </c>
    </row>
    <row r="339" spans="2:86" s="7" customFormat="1" x14ac:dyDescent="0.2">
      <c r="B339" s="14">
        <f t="shared" si="246"/>
        <v>0</v>
      </c>
      <c r="C339" s="12">
        <f t="shared" si="247"/>
        <v>0</v>
      </c>
      <c r="D339" s="17">
        <f t="shared" si="287"/>
        <v>333</v>
      </c>
      <c r="E339" s="17">
        <f t="shared" ca="1" si="248"/>
        <v>87</v>
      </c>
      <c r="F339" s="12">
        <f t="shared" si="243"/>
        <v>8</v>
      </c>
      <c r="G339" s="12">
        <f t="shared" si="288"/>
        <v>56</v>
      </c>
      <c r="H339" s="17">
        <f t="shared" si="244"/>
        <v>28</v>
      </c>
      <c r="I339" s="29">
        <f t="shared" si="249"/>
        <v>0</v>
      </c>
      <c r="J339" s="211">
        <f>IFERROR(VLOOKUP(H339,Charges!$T$6:$U$35,2,0)*C339,0)</f>
        <v>0</v>
      </c>
      <c r="K339" s="29">
        <f t="shared" si="250"/>
        <v>0</v>
      </c>
      <c r="L339" s="29">
        <f t="shared" si="251"/>
        <v>0</v>
      </c>
      <c r="M339" s="147">
        <f t="shared" ca="1" si="252"/>
        <v>0</v>
      </c>
      <c r="N339" s="148">
        <f ca="1">IF(AND(Option_SPW="Y",H339&gt;=Lock_In_Period,Z338&gt;SPW_Amount_pa+IF(option="Single",1/5*pr,2*pr),H339&gt;=SPW_Start_Year,H339&lt;=SPW_Start_Year+SPW_Duration-1,age+H339&gt;=Legal_Age),IF(AND(F339=0,SPW_Payout_Freq=1),SPW_Amount_pa,IF(AND(SPW_Payout_Freq=2,MOD(F339,6)=0),SPW_Amount_pa/SPW_Payout_Freq,IF(AND(SPW_Payout_Freq=4,MOD(F339,3)=0),SPW_Amount_pa/SPW_Payout_Freq,IF(SPW_Payout_Freq=12,SPW_Amount_pa/SPW_Payout_Freq,0)))),0)+IFERROR(VLOOKUP(H339,Input!$B$68:$C$74,2,0),0)*(F339=0)*(Option_PW="Y")*(Option_SPW="N")*(age+H339&gt;=Legal_Age)</f>
        <v>0</v>
      </c>
      <c r="O339" s="148">
        <f t="shared" ca="1" si="253"/>
        <v>0</v>
      </c>
      <c r="P339" s="14">
        <f ca="1">(MAX(MAX(sa-CF338*Flag_UL_Type,105%*SUM($I$7:I339))-(AD338+L339-N339)*Flag_UL_Type,0)*B339)</f>
        <v>0</v>
      </c>
      <c r="Q339" s="213">
        <f t="shared" si="254"/>
        <v>0</v>
      </c>
      <c r="R339" s="14">
        <f t="shared" ca="1" si="255"/>
        <v>0</v>
      </c>
      <c r="S339" s="14">
        <f t="shared" ca="1" si="256"/>
        <v>0</v>
      </c>
      <c r="T339" s="14">
        <f>IFERROR(IF(WoP_Flag="Y",IF(fq=1,VLOOKUP(ppt*fq-H339,Charges!$AN$41:$AO$59,2,FALSE),IF(fq=2,VLOOKUP(ppt*fq-G339,Charges!$AP$41:$AQ$79,2,FALSE),VLOOKUP(ppt*fq-D339,Charges!$AR$41:$AS$279,2,FALSE)))*pr/fq,0),0)</f>
        <v>0</v>
      </c>
      <c r="U339" s="14">
        <f t="shared" ca="1" si="257"/>
        <v>0</v>
      </c>
      <c r="V339" s="34">
        <f>ROUND(MIN(IF(H339&gt;=7,Charges!$C$12*(1+Charges!$C$14)^((H339-7+1)),VLOOKUP(H339,Charges!$B$7:$C$12,2,0))*pr,Charges!$C$13)*B339,Round)</f>
        <v>0</v>
      </c>
      <c r="W339" s="14">
        <f t="shared" ca="1" si="258"/>
        <v>0</v>
      </c>
      <c r="X339" s="14">
        <f t="shared" ca="1" si="259"/>
        <v>0</v>
      </c>
      <c r="Y339" s="213">
        <f t="shared" ca="1" si="283"/>
        <v>0</v>
      </c>
      <c r="Z339" s="14">
        <f t="shared" ca="1" si="260"/>
        <v>0</v>
      </c>
      <c r="AA339" s="14">
        <f>IF(AND($H339=pt,$F339=11),SUM($K$7:K339)*VLOOKUP(pt,ROC,2,FALSE),0)</f>
        <v>0</v>
      </c>
      <c r="AB339" s="14">
        <f>IF(AND($H339=pt,$F339=11),SUM($V$7:V339)*VLOOKUP(pt,ROC,2,FALSE),0)</f>
        <v>0</v>
      </c>
      <c r="AC339" s="14">
        <f>IF(AND($H339=pt,$F339=11),SUM($Q$7:Q339)*VLOOKUP(pt,ROC,2,FALSE),0)</f>
        <v>0</v>
      </c>
      <c r="AD339" s="14">
        <f t="shared" ca="1" si="261"/>
        <v>0</v>
      </c>
      <c r="AE339" s="14">
        <f ca="1">(MAX(sa-CF338*Flag_UL_Type,105%*SUM($I$7:I339),Z339)+AU339)*B339</f>
        <v>0</v>
      </c>
      <c r="AF339" s="136"/>
      <c r="AG339" s="18">
        <v>333</v>
      </c>
      <c r="AH339" s="30">
        <f t="shared" ca="1" si="262"/>
        <v>0</v>
      </c>
      <c r="AI339" s="58"/>
      <c r="AJ339" s="50">
        <f>IF(AND(Option_Sys_TopUp&gt;="Y",H339&gt;=sytp,H339&lt;=(dtp+sytp-1),F339=0,H339&lt;=ppt+1),atp,0)+IFERROR(VLOOKUP(H339,Input!$B$55:$C$61,2,0),0)*(F339=0)*(Option_TopUP="Y")*(Option_Sys_TopUp="N")*B339*(pt&gt;=H339+5)</f>
        <v>0</v>
      </c>
      <c r="AK339" s="50">
        <f t="shared" si="263"/>
        <v>0</v>
      </c>
      <c r="AL339" s="50">
        <f t="shared" si="284"/>
        <v>0</v>
      </c>
      <c r="AM339" s="50">
        <f t="shared" ca="1" si="285"/>
        <v>0</v>
      </c>
      <c r="AN339" s="50">
        <f>IF(B339=0,0,AT339*(_rpm1+(1+_emr1)*VLOOKUP(E339,Tab_Mort_Charge,IF(Input!$C$12="M",2,3),0))*(0.001*0.0833)*Flag_Mort_Rider_Charge*(AT339&gt;0))</f>
        <v>0</v>
      </c>
      <c r="AO339" s="50">
        <f t="shared" ca="1" si="264"/>
        <v>0</v>
      </c>
      <c r="AP339" s="50">
        <f t="shared" ca="1" si="245"/>
        <v>0</v>
      </c>
      <c r="AQ339" s="50">
        <f t="shared" ca="1" si="265"/>
        <v>0</v>
      </c>
      <c r="AR339" s="50">
        <f t="shared" ca="1" si="266"/>
        <v>0</v>
      </c>
      <c r="AS339" s="50">
        <f t="shared" si="267"/>
        <v>0</v>
      </c>
      <c r="AT339" s="50">
        <f ca="1">(MAX((MAX(AS339,105%*SUM($AJ$7:AJ339))-AM339*Flag_UL_Type),0)*B339)</f>
        <v>0</v>
      </c>
      <c r="AU339" s="50">
        <f ca="1">(MAX(AS339,AR339,105%*SUM($AJ$7:AJ339))*B339)</f>
        <v>0</v>
      </c>
      <c r="AV339" s="125"/>
      <c r="AW339" s="13"/>
      <c r="AX339" s="13"/>
      <c r="AY339" s="13"/>
      <c r="AZ339" s="13"/>
      <c r="BA339" s="13"/>
      <c r="BG339" s="51">
        <f t="shared" si="268"/>
        <v>0</v>
      </c>
      <c r="BH339" s="51">
        <f t="shared" si="269"/>
        <v>0</v>
      </c>
      <c r="BI339" s="51">
        <f t="shared" ca="1" si="270"/>
        <v>0</v>
      </c>
      <c r="BJ339" s="51">
        <f t="shared" ca="1" si="271"/>
        <v>0</v>
      </c>
      <c r="BK339" s="51">
        <f t="shared" si="272"/>
        <v>0</v>
      </c>
      <c r="BL339" s="51">
        <f t="shared" ca="1" si="273"/>
        <v>0</v>
      </c>
      <c r="BM339" s="51">
        <f t="shared" si="274"/>
        <v>0</v>
      </c>
      <c r="BN339" s="51">
        <f t="shared" si="275"/>
        <v>0</v>
      </c>
      <c r="BO339" s="51">
        <f t="shared" ca="1" si="276"/>
        <v>0</v>
      </c>
      <c r="BP339" s="51">
        <f t="shared" ca="1" si="277"/>
        <v>0</v>
      </c>
      <c r="BQ339" s="120"/>
      <c r="BR339" s="32"/>
      <c r="BS339" s="126"/>
      <c r="BT339" s="16"/>
      <c r="BU339" s="58"/>
      <c r="BW339" s="51">
        <f>IF(Input!$C$13="Offline",VLOOKUP(H339,Charges!$AT$4:$AU$33,2,FALSE)*I339,0)</f>
        <v>0</v>
      </c>
      <c r="BX339" s="51">
        <f t="shared" si="278"/>
        <v>0</v>
      </c>
      <c r="BY339" s="51">
        <f t="shared" si="286"/>
        <v>0</v>
      </c>
      <c r="BZ339" s="151"/>
      <c r="CA339" s="151"/>
      <c r="CB339" s="32"/>
      <c r="CC339" s="16">
        <f ca="1">SUM($N$7:$N339)</f>
        <v>0</v>
      </c>
      <c r="CD339" s="16">
        <f t="shared" ca="1" si="279"/>
        <v>0</v>
      </c>
      <c r="CE339" s="16">
        <f t="shared" ca="1" si="280"/>
        <v>0</v>
      </c>
      <c r="CF339" s="7">
        <f t="shared" ca="1" si="281"/>
        <v>0</v>
      </c>
      <c r="CH339" s="7">
        <f t="shared" ca="1" si="282"/>
        <v>0</v>
      </c>
    </row>
    <row r="340" spans="2:86" s="7" customFormat="1" x14ac:dyDescent="0.2">
      <c r="B340" s="14">
        <f t="shared" si="246"/>
        <v>0</v>
      </c>
      <c r="C340" s="12">
        <f t="shared" si="247"/>
        <v>0</v>
      </c>
      <c r="D340" s="17">
        <f t="shared" si="287"/>
        <v>334</v>
      </c>
      <c r="E340" s="17">
        <f t="shared" ca="1" si="248"/>
        <v>87</v>
      </c>
      <c r="F340" s="12">
        <f t="shared" ref="F340:F367" si="289">F328</f>
        <v>9</v>
      </c>
      <c r="G340" s="12">
        <f t="shared" si="288"/>
        <v>56</v>
      </c>
      <c r="H340" s="17">
        <f t="shared" ref="H340:H367" si="290">+H328+1</f>
        <v>28</v>
      </c>
      <c r="I340" s="29">
        <f t="shared" si="249"/>
        <v>0</v>
      </c>
      <c r="J340" s="211">
        <f>IFERROR(VLOOKUP(H340,Charges!$T$6:$U$35,2,0)*C340,0)</f>
        <v>0</v>
      </c>
      <c r="K340" s="29">
        <f t="shared" si="250"/>
        <v>0</v>
      </c>
      <c r="L340" s="29">
        <f t="shared" si="251"/>
        <v>0</v>
      </c>
      <c r="M340" s="147">
        <f t="shared" ca="1" si="252"/>
        <v>0</v>
      </c>
      <c r="N340" s="148">
        <f ca="1">IF(AND(Option_SPW="Y",H340&gt;=Lock_In_Period,Z339&gt;SPW_Amount_pa+IF(option="Single",1/5*pr,2*pr),H340&gt;=SPW_Start_Year,H340&lt;=SPW_Start_Year+SPW_Duration-1,age+H340&gt;=Legal_Age),IF(AND(F340=0,SPW_Payout_Freq=1),SPW_Amount_pa,IF(AND(SPW_Payout_Freq=2,MOD(F340,6)=0),SPW_Amount_pa/SPW_Payout_Freq,IF(AND(SPW_Payout_Freq=4,MOD(F340,3)=0),SPW_Amount_pa/SPW_Payout_Freq,IF(SPW_Payout_Freq=12,SPW_Amount_pa/SPW_Payout_Freq,0)))),0)+IFERROR(VLOOKUP(H340,Input!$B$68:$C$74,2,0),0)*(F340=0)*(Option_PW="Y")*(Option_SPW="N")*(age+H340&gt;=Legal_Age)</f>
        <v>0</v>
      </c>
      <c r="O340" s="148">
        <f t="shared" ca="1" si="253"/>
        <v>0</v>
      </c>
      <c r="P340" s="14">
        <f ca="1">(MAX(MAX(sa-CF339*Flag_UL_Type,105%*SUM($I$7:I340))-(AD339+L340-N340)*Flag_UL_Type,0)*B340)</f>
        <v>0</v>
      </c>
      <c r="Q340" s="213">
        <f t="shared" si="254"/>
        <v>0</v>
      </c>
      <c r="R340" s="14">
        <f t="shared" ca="1" si="255"/>
        <v>0</v>
      </c>
      <c r="S340" s="14">
        <f t="shared" ca="1" si="256"/>
        <v>0</v>
      </c>
      <c r="T340" s="14">
        <f>IFERROR(IF(WoP_Flag="Y",IF(fq=1,VLOOKUP(ppt*fq-H340,Charges!$AN$41:$AO$59,2,FALSE),IF(fq=2,VLOOKUP(ppt*fq-G340,Charges!$AP$41:$AQ$79,2,FALSE),VLOOKUP(ppt*fq-D340,Charges!$AR$41:$AS$279,2,FALSE)))*pr/fq,0),0)</f>
        <v>0</v>
      </c>
      <c r="U340" s="14">
        <f t="shared" ca="1" si="257"/>
        <v>0</v>
      </c>
      <c r="V340" s="34">
        <f>ROUND(MIN(IF(H340&gt;=7,Charges!$C$12*(1+Charges!$C$14)^((H340-7+1)),VLOOKUP(H340,Charges!$B$7:$C$12,2,0))*pr,Charges!$C$13)*B340,Round)</f>
        <v>0</v>
      </c>
      <c r="W340" s="14">
        <f t="shared" ca="1" si="258"/>
        <v>0</v>
      </c>
      <c r="X340" s="14">
        <f t="shared" ca="1" si="259"/>
        <v>0</v>
      </c>
      <c r="Y340" s="213">
        <f t="shared" ca="1" si="283"/>
        <v>0</v>
      </c>
      <c r="Z340" s="14">
        <f t="shared" ca="1" si="260"/>
        <v>0</v>
      </c>
      <c r="AA340" s="14">
        <f>IF(AND($H340=pt,$F340=11),SUM($K$7:K340)*VLOOKUP(pt,ROC,2,FALSE),0)</f>
        <v>0</v>
      </c>
      <c r="AB340" s="14">
        <f>IF(AND($H340=pt,$F340=11),SUM($V$7:V340)*VLOOKUP(pt,ROC,2,FALSE),0)</f>
        <v>0</v>
      </c>
      <c r="AC340" s="14">
        <f>IF(AND($H340=pt,$F340=11),SUM($Q$7:Q340)*VLOOKUP(pt,ROC,2,FALSE),0)</f>
        <v>0</v>
      </c>
      <c r="AD340" s="14">
        <f t="shared" ca="1" si="261"/>
        <v>0</v>
      </c>
      <c r="AE340" s="14">
        <f ca="1">(MAX(sa-CF339*Flag_UL_Type,105%*SUM($I$7:I340),Z340)+AU340)*B340</f>
        <v>0</v>
      </c>
      <c r="AF340" s="136"/>
      <c r="AG340" s="18">
        <v>334</v>
      </c>
      <c r="AH340" s="30">
        <f t="shared" ca="1" si="262"/>
        <v>0</v>
      </c>
      <c r="AI340" s="58"/>
      <c r="AJ340" s="50">
        <f>IF(AND(Option_Sys_TopUp&gt;="Y",H340&gt;=sytp,H340&lt;=(dtp+sytp-1),F340=0,H340&lt;=ppt+1),atp,0)+IFERROR(VLOOKUP(H340,Input!$B$55:$C$61,2,0),0)*(F340=0)*(Option_TopUP="Y")*(Option_Sys_TopUp="N")*B340*(pt&gt;=H340+5)</f>
        <v>0</v>
      </c>
      <c r="AK340" s="50">
        <f t="shared" si="263"/>
        <v>0</v>
      </c>
      <c r="AL340" s="50">
        <f t="shared" si="284"/>
        <v>0</v>
      </c>
      <c r="AM340" s="50">
        <f t="shared" ca="1" si="285"/>
        <v>0</v>
      </c>
      <c r="AN340" s="50">
        <f>IF(B340=0,0,AT340*(_rpm1+(1+_emr1)*VLOOKUP(E340,Tab_Mort_Charge,IF(Input!$C$12="M",2,3),0))*(0.001*0.0833)*Flag_Mort_Rider_Charge*(AT340&gt;0))</f>
        <v>0</v>
      </c>
      <c r="AO340" s="50">
        <f t="shared" ca="1" si="264"/>
        <v>0</v>
      </c>
      <c r="AP340" s="50">
        <f t="shared" ca="1" si="245"/>
        <v>0</v>
      </c>
      <c r="AQ340" s="50">
        <f t="shared" ca="1" si="265"/>
        <v>0</v>
      </c>
      <c r="AR340" s="50">
        <f t="shared" ca="1" si="266"/>
        <v>0</v>
      </c>
      <c r="AS340" s="50">
        <f t="shared" si="267"/>
        <v>0</v>
      </c>
      <c r="AT340" s="50">
        <f ca="1">(MAX((MAX(AS340,105%*SUM($AJ$7:AJ340))-AM340*Flag_UL_Type),0)*B340)</f>
        <v>0</v>
      </c>
      <c r="AU340" s="50">
        <f ca="1">(MAX(AS340,AR340,105%*SUM($AJ$7:AJ340))*B340)</f>
        <v>0</v>
      </c>
      <c r="AV340" s="125"/>
      <c r="AW340" s="13"/>
      <c r="AX340" s="13"/>
      <c r="AY340" s="13"/>
      <c r="AZ340" s="13"/>
      <c r="BA340" s="13"/>
      <c r="BG340" s="51">
        <f t="shared" si="268"/>
        <v>0</v>
      </c>
      <c r="BH340" s="51">
        <f t="shared" si="269"/>
        <v>0</v>
      </c>
      <c r="BI340" s="51">
        <f t="shared" ca="1" si="270"/>
        <v>0</v>
      </c>
      <c r="BJ340" s="51">
        <f t="shared" ca="1" si="271"/>
        <v>0</v>
      </c>
      <c r="BK340" s="51">
        <f t="shared" si="272"/>
        <v>0</v>
      </c>
      <c r="BL340" s="51">
        <f t="shared" ca="1" si="273"/>
        <v>0</v>
      </c>
      <c r="BM340" s="51">
        <f t="shared" si="274"/>
        <v>0</v>
      </c>
      <c r="BN340" s="51">
        <f t="shared" si="275"/>
        <v>0</v>
      </c>
      <c r="BO340" s="51">
        <f t="shared" ca="1" si="276"/>
        <v>0</v>
      </c>
      <c r="BP340" s="51">
        <f t="shared" ca="1" si="277"/>
        <v>0</v>
      </c>
      <c r="BQ340" s="120"/>
      <c r="BR340" s="32"/>
      <c r="BS340" s="126"/>
      <c r="BT340" s="16"/>
      <c r="BU340" s="58"/>
      <c r="BW340" s="51">
        <f>IF(Input!$C$13="Offline",VLOOKUP(H340,Charges!$AT$4:$AU$33,2,FALSE)*I340,0)</f>
        <v>0</v>
      </c>
      <c r="BX340" s="51">
        <f t="shared" si="278"/>
        <v>0</v>
      </c>
      <c r="BY340" s="51">
        <f t="shared" si="286"/>
        <v>0</v>
      </c>
      <c r="BZ340" s="151"/>
      <c r="CA340" s="151"/>
      <c r="CB340" s="32"/>
      <c r="CC340" s="16">
        <f ca="1">SUM($N$7:$N340)</f>
        <v>0</v>
      </c>
      <c r="CD340" s="16">
        <f t="shared" ca="1" si="279"/>
        <v>0</v>
      </c>
      <c r="CE340" s="16">
        <f t="shared" ca="1" si="280"/>
        <v>0</v>
      </c>
      <c r="CF340" s="7">
        <f t="shared" ca="1" si="281"/>
        <v>0</v>
      </c>
      <c r="CH340" s="7">
        <f t="shared" ca="1" si="282"/>
        <v>0</v>
      </c>
    </row>
    <row r="341" spans="2:86" s="7" customFormat="1" x14ac:dyDescent="0.2">
      <c r="B341" s="14">
        <f t="shared" si="246"/>
        <v>0</v>
      </c>
      <c r="C341" s="12">
        <f t="shared" si="247"/>
        <v>0</v>
      </c>
      <c r="D341" s="17">
        <f t="shared" si="287"/>
        <v>335</v>
      </c>
      <c r="E341" s="17">
        <f t="shared" ca="1" si="248"/>
        <v>87</v>
      </c>
      <c r="F341" s="12">
        <f t="shared" si="289"/>
        <v>10</v>
      </c>
      <c r="G341" s="12">
        <f t="shared" si="288"/>
        <v>56</v>
      </c>
      <c r="H341" s="17">
        <f t="shared" si="290"/>
        <v>28</v>
      </c>
      <c r="I341" s="29">
        <f t="shared" si="249"/>
        <v>0</v>
      </c>
      <c r="J341" s="211">
        <f>IFERROR(VLOOKUP(H341,Charges!$T$6:$U$35,2,0)*C341,0)</f>
        <v>0</v>
      </c>
      <c r="K341" s="29">
        <f t="shared" si="250"/>
        <v>0</v>
      </c>
      <c r="L341" s="29">
        <f t="shared" si="251"/>
        <v>0</v>
      </c>
      <c r="M341" s="147">
        <f t="shared" ca="1" si="252"/>
        <v>0</v>
      </c>
      <c r="N341" s="148">
        <f ca="1">IF(AND(Option_SPW="Y",H341&gt;=Lock_In_Period,Z340&gt;SPW_Amount_pa+IF(option="Single",1/5*pr,2*pr),H341&gt;=SPW_Start_Year,H341&lt;=SPW_Start_Year+SPW_Duration-1,age+H341&gt;=Legal_Age),IF(AND(F341=0,SPW_Payout_Freq=1),SPW_Amount_pa,IF(AND(SPW_Payout_Freq=2,MOD(F341,6)=0),SPW_Amount_pa/SPW_Payout_Freq,IF(AND(SPW_Payout_Freq=4,MOD(F341,3)=0),SPW_Amount_pa/SPW_Payout_Freq,IF(SPW_Payout_Freq=12,SPW_Amount_pa/SPW_Payout_Freq,0)))),0)+IFERROR(VLOOKUP(H341,Input!$B$68:$C$74,2,0),0)*(F341=0)*(Option_PW="Y")*(Option_SPW="N")*(age+H341&gt;=Legal_Age)</f>
        <v>0</v>
      </c>
      <c r="O341" s="148">
        <f t="shared" ca="1" si="253"/>
        <v>0</v>
      </c>
      <c r="P341" s="14">
        <f ca="1">(MAX(MAX(sa-CF340*Flag_UL_Type,105%*SUM($I$7:I341))-(AD340+L341-N341)*Flag_UL_Type,0)*B341)</f>
        <v>0</v>
      </c>
      <c r="Q341" s="213">
        <f t="shared" si="254"/>
        <v>0</v>
      </c>
      <c r="R341" s="14">
        <f t="shared" ca="1" si="255"/>
        <v>0</v>
      </c>
      <c r="S341" s="14">
        <f t="shared" ca="1" si="256"/>
        <v>0</v>
      </c>
      <c r="T341" s="14">
        <f>IFERROR(IF(WoP_Flag="Y",IF(fq=1,VLOOKUP(ppt*fq-H341,Charges!$AN$41:$AO$59,2,FALSE),IF(fq=2,VLOOKUP(ppt*fq-G341,Charges!$AP$41:$AQ$79,2,FALSE),VLOOKUP(ppt*fq-D341,Charges!$AR$41:$AS$279,2,FALSE)))*pr/fq,0),0)</f>
        <v>0</v>
      </c>
      <c r="U341" s="14">
        <f t="shared" ca="1" si="257"/>
        <v>0</v>
      </c>
      <c r="V341" s="34">
        <f>ROUND(MIN(IF(H341&gt;=7,Charges!$C$12*(1+Charges!$C$14)^((H341-7+1)),VLOOKUP(H341,Charges!$B$7:$C$12,2,0))*pr,Charges!$C$13)*B341,Round)</f>
        <v>0</v>
      </c>
      <c r="W341" s="14">
        <f t="shared" ca="1" si="258"/>
        <v>0</v>
      </c>
      <c r="X341" s="14">
        <f t="shared" ca="1" si="259"/>
        <v>0</v>
      </c>
      <c r="Y341" s="213">
        <f t="shared" ca="1" si="283"/>
        <v>0</v>
      </c>
      <c r="Z341" s="14">
        <f t="shared" ca="1" si="260"/>
        <v>0</v>
      </c>
      <c r="AA341" s="14">
        <f>IF(AND($H341=pt,$F341=11),SUM($K$7:K341)*VLOOKUP(pt,ROC,2,FALSE),0)</f>
        <v>0</v>
      </c>
      <c r="AB341" s="14">
        <f>IF(AND($H341=pt,$F341=11),SUM($V$7:V341)*VLOOKUP(pt,ROC,2,FALSE),0)</f>
        <v>0</v>
      </c>
      <c r="AC341" s="14">
        <f>IF(AND($H341=pt,$F341=11),SUM($Q$7:Q341)*VLOOKUP(pt,ROC,2,FALSE),0)</f>
        <v>0</v>
      </c>
      <c r="AD341" s="14">
        <f t="shared" ca="1" si="261"/>
        <v>0</v>
      </c>
      <c r="AE341" s="14">
        <f ca="1">(MAX(sa-CF340*Flag_UL_Type,105%*SUM($I$7:I341),Z341)+AU341)*B341</f>
        <v>0</v>
      </c>
      <c r="AF341" s="136"/>
      <c r="AG341" s="18">
        <v>335</v>
      </c>
      <c r="AH341" s="30">
        <f t="shared" ca="1" si="262"/>
        <v>0</v>
      </c>
      <c r="AI341" s="58"/>
      <c r="AJ341" s="50">
        <f>IF(AND(Option_Sys_TopUp&gt;="Y",H341&gt;=sytp,H341&lt;=(dtp+sytp-1),F341=0,H341&lt;=ppt+1),atp,0)+IFERROR(VLOOKUP(H341,Input!$B$55:$C$61,2,0),0)*(F341=0)*(Option_TopUP="Y")*(Option_Sys_TopUp="N")*B341*(pt&gt;=H341+5)</f>
        <v>0</v>
      </c>
      <c r="AK341" s="50">
        <f t="shared" si="263"/>
        <v>0</v>
      </c>
      <c r="AL341" s="50">
        <f t="shared" si="284"/>
        <v>0</v>
      </c>
      <c r="AM341" s="50">
        <f t="shared" ca="1" si="285"/>
        <v>0</v>
      </c>
      <c r="AN341" s="50">
        <f>IF(B341=0,0,AT341*(_rpm1+(1+_emr1)*VLOOKUP(E341,Tab_Mort_Charge,IF(Input!$C$12="M",2,3),0))*(0.001*0.0833)*Flag_Mort_Rider_Charge*(AT341&gt;0))</f>
        <v>0</v>
      </c>
      <c r="AO341" s="50">
        <f t="shared" ca="1" si="264"/>
        <v>0</v>
      </c>
      <c r="AP341" s="50">
        <f t="shared" ca="1" si="245"/>
        <v>0</v>
      </c>
      <c r="AQ341" s="50">
        <f t="shared" ca="1" si="265"/>
        <v>0</v>
      </c>
      <c r="AR341" s="50">
        <f t="shared" ca="1" si="266"/>
        <v>0</v>
      </c>
      <c r="AS341" s="50">
        <f t="shared" si="267"/>
        <v>0</v>
      </c>
      <c r="AT341" s="50">
        <f ca="1">(MAX((MAX(AS341,105%*SUM($AJ$7:AJ341))-AM341*Flag_UL_Type),0)*B341)</f>
        <v>0</v>
      </c>
      <c r="AU341" s="50">
        <f ca="1">(MAX(AS341,AR341,105%*SUM($AJ$7:AJ341))*B341)</f>
        <v>0</v>
      </c>
      <c r="AV341" s="125"/>
      <c r="AW341" s="13"/>
      <c r="AX341" s="13"/>
      <c r="AY341" s="13"/>
      <c r="AZ341" s="13"/>
      <c r="BA341" s="13"/>
      <c r="BG341" s="51">
        <f t="shared" si="268"/>
        <v>0</v>
      </c>
      <c r="BH341" s="51">
        <f t="shared" si="269"/>
        <v>0</v>
      </c>
      <c r="BI341" s="51">
        <f t="shared" ca="1" si="270"/>
        <v>0</v>
      </c>
      <c r="BJ341" s="51">
        <f t="shared" ca="1" si="271"/>
        <v>0</v>
      </c>
      <c r="BK341" s="51">
        <f t="shared" si="272"/>
        <v>0</v>
      </c>
      <c r="BL341" s="51">
        <f t="shared" ca="1" si="273"/>
        <v>0</v>
      </c>
      <c r="BM341" s="51">
        <f t="shared" si="274"/>
        <v>0</v>
      </c>
      <c r="BN341" s="51">
        <f t="shared" si="275"/>
        <v>0</v>
      </c>
      <c r="BO341" s="51">
        <f t="shared" ca="1" si="276"/>
        <v>0</v>
      </c>
      <c r="BP341" s="51">
        <f t="shared" ca="1" si="277"/>
        <v>0</v>
      </c>
      <c r="BQ341" s="120"/>
      <c r="BR341" s="32"/>
      <c r="BS341" s="126"/>
      <c r="BT341" s="16"/>
      <c r="BU341" s="58"/>
      <c r="BW341" s="51">
        <f>IF(Input!$C$13="Offline",VLOOKUP(H341,Charges!$AT$4:$AU$33,2,FALSE)*I341,0)</f>
        <v>0</v>
      </c>
      <c r="BX341" s="51">
        <f t="shared" si="278"/>
        <v>0</v>
      </c>
      <c r="BY341" s="51">
        <f t="shared" si="286"/>
        <v>0</v>
      </c>
      <c r="BZ341" s="151"/>
      <c r="CA341" s="151"/>
      <c r="CB341" s="32"/>
      <c r="CC341" s="16">
        <f ca="1">SUM($N$7:$N341)</f>
        <v>0</v>
      </c>
      <c r="CD341" s="16">
        <f t="shared" ca="1" si="279"/>
        <v>0</v>
      </c>
      <c r="CE341" s="16">
        <f t="shared" ca="1" si="280"/>
        <v>0</v>
      </c>
      <c r="CF341" s="7">
        <f t="shared" ca="1" si="281"/>
        <v>0</v>
      </c>
      <c r="CH341" s="7">
        <f t="shared" ca="1" si="282"/>
        <v>0</v>
      </c>
    </row>
    <row r="342" spans="2:86" s="7" customFormat="1" x14ac:dyDescent="0.2">
      <c r="B342" s="14">
        <f t="shared" si="246"/>
        <v>0</v>
      </c>
      <c r="C342" s="12">
        <f t="shared" si="247"/>
        <v>0</v>
      </c>
      <c r="D342" s="17">
        <f t="shared" si="287"/>
        <v>336</v>
      </c>
      <c r="E342" s="17">
        <f t="shared" ca="1" si="248"/>
        <v>87</v>
      </c>
      <c r="F342" s="12">
        <f t="shared" si="289"/>
        <v>11</v>
      </c>
      <c r="G342" s="12">
        <f t="shared" si="288"/>
        <v>56</v>
      </c>
      <c r="H342" s="17">
        <f t="shared" si="290"/>
        <v>28</v>
      </c>
      <c r="I342" s="29">
        <f t="shared" si="249"/>
        <v>0</v>
      </c>
      <c r="J342" s="211">
        <f>IFERROR(VLOOKUP(H342,Charges!$T$6:$U$35,2,0)*C342,0)</f>
        <v>0</v>
      </c>
      <c r="K342" s="29">
        <f t="shared" si="250"/>
        <v>0</v>
      </c>
      <c r="L342" s="29">
        <f t="shared" si="251"/>
        <v>0</v>
      </c>
      <c r="M342" s="147">
        <f t="shared" ca="1" si="252"/>
        <v>0</v>
      </c>
      <c r="N342" s="148">
        <f ca="1">IF(AND(Option_SPW="Y",H342&gt;=Lock_In_Period,Z341&gt;SPW_Amount_pa+IF(option="Single",1/5*pr,2*pr),H342&gt;=SPW_Start_Year,H342&lt;=SPW_Start_Year+SPW_Duration-1,age+H342&gt;=Legal_Age),IF(AND(F342=0,SPW_Payout_Freq=1),SPW_Amount_pa,IF(AND(SPW_Payout_Freq=2,MOD(F342,6)=0),SPW_Amount_pa/SPW_Payout_Freq,IF(AND(SPW_Payout_Freq=4,MOD(F342,3)=0),SPW_Amount_pa/SPW_Payout_Freq,IF(SPW_Payout_Freq=12,SPW_Amount_pa/SPW_Payout_Freq,0)))),0)+IFERROR(VLOOKUP(H342,Input!$B$68:$C$74,2,0),0)*(F342=0)*(Option_PW="Y")*(Option_SPW="N")*(age+H342&gt;=Legal_Age)</f>
        <v>0</v>
      </c>
      <c r="O342" s="148">
        <f t="shared" ca="1" si="253"/>
        <v>0</v>
      </c>
      <c r="P342" s="14">
        <f ca="1">(MAX(MAX(sa-CF341*Flag_UL_Type,105%*SUM($I$7:I342))-(AD341+L342-N342)*Flag_UL_Type,0)*B342)</f>
        <v>0</v>
      </c>
      <c r="Q342" s="213">
        <f t="shared" si="254"/>
        <v>0</v>
      </c>
      <c r="R342" s="14">
        <f t="shared" ca="1" si="255"/>
        <v>0</v>
      </c>
      <c r="S342" s="14">
        <f t="shared" ca="1" si="256"/>
        <v>0</v>
      </c>
      <c r="T342" s="14">
        <f>IFERROR(IF(WoP_Flag="Y",IF(fq=1,VLOOKUP(ppt*fq-H342,Charges!$AN$41:$AO$59,2,FALSE),IF(fq=2,VLOOKUP(ppt*fq-G342,Charges!$AP$41:$AQ$79,2,FALSE),VLOOKUP(ppt*fq-D342,Charges!$AR$41:$AS$279,2,FALSE)))*pr/fq,0),0)</f>
        <v>0</v>
      </c>
      <c r="U342" s="14">
        <f t="shared" ca="1" si="257"/>
        <v>0</v>
      </c>
      <c r="V342" s="34">
        <f>ROUND(MIN(IF(H342&gt;=7,Charges!$C$12*(1+Charges!$C$14)^((H342-7+1)),VLOOKUP(H342,Charges!$B$7:$C$12,2,0))*pr,Charges!$C$13)*B342,Round)</f>
        <v>0</v>
      </c>
      <c r="W342" s="14">
        <f t="shared" ca="1" si="258"/>
        <v>0</v>
      </c>
      <c r="X342" s="14">
        <f t="shared" ca="1" si="259"/>
        <v>0</v>
      </c>
      <c r="Y342" s="213">
        <f t="shared" ca="1" si="283"/>
        <v>0</v>
      </c>
      <c r="Z342" s="14">
        <f t="shared" ca="1" si="260"/>
        <v>0</v>
      </c>
      <c r="AA342" s="14">
        <f>IF(AND($H342=pt,$F342=11),SUM($K$7:K342)*VLOOKUP(pt,ROC,2,FALSE),0)</f>
        <v>0</v>
      </c>
      <c r="AB342" s="14">
        <f>IF(AND($H342=pt,$F342=11),SUM($V$7:V342)*VLOOKUP(pt,ROC,2,FALSE),0)</f>
        <v>0</v>
      </c>
      <c r="AC342" s="14">
        <f>IF(AND($H342=pt,$F342=11),SUM($Q$7:Q342)*VLOOKUP(pt,ROC,2,FALSE),0)</f>
        <v>0</v>
      </c>
      <c r="AD342" s="14">
        <f t="shared" ca="1" si="261"/>
        <v>0</v>
      </c>
      <c r="AE342" s="14">
        <f ca="1">(MAX(sa-CF341*Flag_UL_Type,105%*SUM($I$7:I342),Z342)+AU342)*B342</f>
        <v>0</v>
      </c>
      <c r="AF342" s="136"/>
      <c r="AG342" s="18">
        <v>336</v>
      </c>
      <c r="AH342" s="30">
        <f t="shared" ca="1" si="262"/>
        <v>0</v>
      </c>
      <c r="AI342" s="58"/>
      <c r="AJ342" s="50">
        <f>IF(AND(Option_Sys_TopUp&gt;="Y",H342&gt;=sytp,H342&lt;=(dtp+sytp-1),F342=0,H342&lt;=ppt+1),atp,0)+IFERROR(VLOOKUP(H342,Input!$B$55:$C$61,2,0),0)*(F342=0)*(Option_TopUP="Y")*(Option_Sys_TopUp="N")*B342*(pt&gt;=H342+5)</f>
        <v>0</v>
      </c>
      <c r="AK342" s="50">
        <f t="shared" si="263"/>
        <v>0</v>
      </c>
      <c r="AL342" s="50">
        <f t="shared" si="284"/>
        <v>0</v>
      </c>
      <c r="AM342" s="50">
        <f t="shared" ca="1" si="285"/>
        <v>0</v>
      </c>
      <c r="AN342" s="50">
        <f>IF(B342=0,0,AT342*(_rpm1+(1+_emr1)*VLOOKUP(E342,Tab_Mort_Charge,IF(Input!$C$12="M",2,3),0))*(0.001*0.0833)*Flag_Mort_Rider_Charge*(AT342&gt;0))</f>
        <v>0</v>
      </c>
      <c r="AO342" s="50">
        <f t="shared" ca="1" si="264"/>
        <v>0</v>
      </c>
      <c r="AP342" s="50">
        <f t="shared" ca="1" si="245"/>
        <v>0</v>
      </c>
      <c r="AQ342" s="50">
        <f t="shared" ca="1" si="265"/>
        <v>0</v>
      </c>
      <c r="AR342" s="50">
        <f t="shared" ca="1" si="266"/>
        <v>0</v>
      </c>
      <c r="AS342" s="50">
        <f t="shared" si="267"/>
        <v>0</v>
      </c>
      <c r="AT342" s="50">
        <f ca="1">(MAX((MAX(AS342,105%*SUM($AJ$7:AJ342))-AM342*Flag_UL_Type),0)*B342)</f>
        <v>0</v>
      </c>
      <c r="AU342" s="50">
        <f ca="1">(MAX(AS342,AR342,105%*SUM($AJ$7:AJ342))*B342)</f>
        <v>0</v>
      </c>
      <c r="AV342" s="125"/>
      <c r="AW342" s="13"/>
      <c r="AX342" s="13"/>
      <c r="AY342" s="13"/>
      <c r="AZ342" s="13"/>
      <c r="BA342" s="13"/>
      <c r="BG342" s="51">
        <f t="shared" si="268"/>
        <v>0</v>
      </c>
      <c r="BH342" s="51">
        <f t="shared" si="269"/>
        <v>0</v>
      </c>
      <c r="BI342" s="51">
        <f t="shared" ca="1" si="270"/>
        <v>0</v>
      </c>
      <c r="BJ342" s="51">
        <f t="shared" ca="1" si="271"/>
        <v>0</v>
      </c>
      <c r="BK342" s="51">
        <f t="shared" si="272"/>
        <v>0</v>
      </c>
      <c r="BL342" s="51">
        <f t="shared" ca="1" si="273"/>
        <v>0</v>
      </c>
      <c r="BM342" s="51">
        <f t="shared" si="274"/>
        <v>0</v>
      </c>
      <c r="BN342" s="51">
        <f t="shared" si="275"/>
        <v>0</v>
      </c>
      <c r="BO342" s="51">
        <f t="shared" ca="1" si="276"/>
        <v>0</v>
      </c>
      <c r="BP342" s="51">
        <f t="shared" ca="1" si="277"/>
        <v>0</v>
      </c>
      <c r="BQ342" s="120"/>
      <c r="BR342" s="32"/>
      <c r="BS342" s="126"/>
      <c r="BT342" s="16"/>
      <c r="BU342" s="58"/>
      <c r="BW342" s="51">
        <f>IF(Input!$C$13="Offline",VLOOKUP(H342,Charges!$AT$4:$AU$33,2,FALSE)*I342,0)</f>
        <v>0</v>
      </c>
      <c r="BX342" s="51">
        <f t="shared" si="278"/>
        <v>0</v>
      </c>
      <c r="BY342" s="51">
        <f t="shared" si="286"/>
        <v>0</v>
      </c>
      <c r="BZ342" s="151"/>
      <c r="CA342" s="151"/>
      <c r="CB342" s="32"/>
      <c r="CC342" s="16">
        <f ca="1">SUM($N$7:$N342)</f>
        <v>0</v>
      </c>
      <c r="CD342" s="16">
        <f t="shared" ca="1" si="279"/>
        <v>0</v>
      </c>
      <c r="CE342" s="16">
        <f t="shared" ca="1" si="280"/>
        <v>0</v>
      </c>
      <c r="CF342" s="7">
        <f t="shared" ca="1" si="281"/>
        <v>0</v>
      </c>
      <c r="CH342" s="7">
        <f t="shared" ca="1" si="282"/>
        <v>0</v>
      </c>
    </row>
    <row r="343" spans="2:86" s="7" customFormat="1" x14ac:dyDescent="0.2">
      <c r="B343" s="14">
        <f t="shared" si="246"/>
        <v>0</v>
      </c>
      <c r="C343" s="12">
        <f t="shared" si="247"/>
        <v>0</v>
      </c>
      <c r="D343" s="17">
        <f t="shared" si="287"/>
        <v>337</v>
      </c>
      <c r="E343" s="17">
        <f t="shared" ca="1" si="248"/>
        <v>88</v>
      </c>
      <c r="F343" s="12">
        <f t="shared" si="289"/>
        <v>0</v>
      </c>
      <c r="G343" s="12">
        <f t="shared" si="288"/>
        <v>57</v>
      </c>
      <c r="H343" s="17">
        <f t="shared" si="290"/>
        <v>29</v>
      </c>
      <c r="I343" s="29">
        <f t="shared" si="249"/>
        <v>0</v>
      </c>
      <c r="J343" s="211">
        <f>IFERROR(VLOOKUP(H343,Charges!$T$6:$U$35,2,0)*C343,0)</f>
        <v>0</v>
      </c>
      <c r="K343" s="29">
        <f t="shared" si="250"/>
        <v>0</v>
      </c>
      <c r="L343" s="29">
        <f t="shared" si="251"/>
        <v>0</v>
      </c>
      <c r="M343" s="147">
        <f t="shared" ca="1" si="252"/>
        <v>0</v>
      </c>
      <c r="N343" s="148">
        <f ca="1">IF(AND(Option_SPW="Y",H343&gt;=Lock_In_Period,Z342&gt;SPW_Amount_pa+IF(option="Single",1/5*pr,2*pr),H343&gt;=SPW_Start_Year,H343&lt;=SPW_Start_Year+SPW_Duration-1,age+H343&gt;=Legal_Age),IF(AND(F343=0,SPW_Payout_Freq=1),SPW_Amount_pa,IF(AND(SPW_Payout_Freq=2,MOD(F343,6)=0),SPW_Amount_pa/SPW_Payout_Freq,IF(AND(SPW_Payout_Freq=4,MOD(F343,3)=0),SPW_Amount_pa/SPW_Payout_Freq,IF(SPW_Payout_Freq=12,SPW_Amount_pa/SPW_Payout_Freq,0)))),0)+IFERROR(VLOOKUP(H343,Input!$B$68:$C$74,2,0),0)*(F343=0)*(Option_PW="Y")*(Option_SPW="N")*(age+H343&gt;=Legal_Age)</f>
        <v>0</v>
      </c>
      <c r="O343" s="148">
        <f t="shared" ca="1" si="253"/>
        <v>0</v>
      </c>
      <c r="P343" s="14">
        <f ca="1">(MAX(MAX(sa-CF342*Flag_UL_Type,105%*SUM($I$7:I343))-(AD342+L343-N343)*Flag_UL_Type,0)*B343)</f>
        <v>0</v>
      </c>
      <c r="Q343" s="213">
        <f t="shared" si="254"/>
        <v>0</v>
      </c>
      <c r="R343" s="14">
        <f t="shared" ca="1" si="255"/>
        <v>0</v>
      </c>
      <c r="S343" s="14">
        <f t="shared" ca="1" si="256"/>
        <v>0</v>
      </c>
      <c r="T343" s="14">
        <f>IFERROR(IF(WoP_Flag="Y",IF(fq=1,VLOOKUP(ppt*fq-H343,Charges!$AN$41:$AO$59,2,FALSE),IF(fq=2,VLOOKUP(ppt*fq-G343,Charges!$AP$41:$AQ$79,2,FALSE),VLOOKUP(ppt*fq-D343,Charges!$AR$41:$AS$279,2,FALSE)))*pr/fq,0),0)</f>
        <v>0</v>
      </c>
      <c r="U343" s="14">
        <f t="shared" ca="1" si="257"/>
        <v>0</v>
      </c>
      <c r="V343" s="34">
        <f>ROUND(MIN(IF(H343&gt;=7,Charges!$C$12*(1+Charges!$C$14)^((H343-7+1)),VLOOKUP(H343,Charges!$B$7:$C$12,2,0))*pr,Charges!$C$13)*B343,Round)</f>
        <v>0</v>
      </c>
      <c r="W343" s="14">
        <f t="shared" ca="1" si="258"/>
        <v>0</v>
      </c>
      <c r="X343" s="14">
        <f t="shared" ca="1" si="259"/>
        <v>0</v>
      </c>
      <c r="Y343" s="213">
        <f t="shared" ca="1" si="283"/>
        <v>0</v>
      </c>
      <c r="Z343" s="14">
        <f t="shared" ca="1" si="260"/>
        <v>0</v>
      </c>
      <c r="AA343" s="14">
        <f>IF(AND($H343=pt,$F343=11),SUM($K$7:K343)*VLOOKUP(pt,ROC,2,FALSE),0)</f>
        <v>0</v>
      </c>
      <c r="AB343" s="14">
        <f>IF(AND($H343=pt,$F343=11),SUM($V$7:V343)*VLOOKUP(pt,ROC,2,FALSE),0)</f>
        <v>0</v>
      </c>
      <c r="AC343" s="14">
        <f>IF(AND($H343=pt,$F343=11),SUM($Q$7:Q343)*VLOOKUP(pt,ROC,2,FALSE),0)</f>
        <v>0</v>
      </c>
      <c r="AD343" s="14">
        <f t="shared" ca="1" si="261"/>
        <v>0</v>
      </c>
      <c r="AE343" s="14">
        <f ca="1">(MAX(sa-CF342*Flag_UL_Type,105%*SUM($I$7:I343),Z343)+AU343)*B343</f>
        <v>0</v>
      </c>
      <c r="AF343" s="136"/>
      <c r="AG343" s="18">
        <v>337</v>
      </c>
      <c r="AH343" s="30">
        <f t="shared" ca="1" si="262"/>
        <v>0</v>
      </c>
      <c r="AI343" s="58"/>
      <c r="AJ343" s="50">
        <f>IF(AND(Option_Sys_TopUp&gt;="Y",H343&gt;=sytp,H343&lt;=(dtp+sytp-1),F343=0,H343&lt;=ppt+1),atp,0)+IFERROR(VLOOKUP(H343,Input!$B$55:$C$61,2,0),0)*(F343=0)*(Option_TopUP="Y")*(Option_Sys_TopUp="N")*B343*(pt&gt;=H343+5)</f>
        <v>0</v>
      </c>
      <c r="AK343" s="50">
        <f t="shared" si="263"/>
        <v>0</v>
      </c>
      <c r="AL343" s="50">
        <f t="shared" si="284"/>
        <v>0</v>
      </c>
      <c r="AM343" s="50">
        <f t="shared" ca="1" si="285"/>
        <v>0</v>
      </c>
      <c r="AN343" s="50">
        <f>IF(B343=0,0,AT343*(_rpm1+(1+_emr1)*VLOOKUP(E343,Tab_Mort_Charge,IF(Input!$C$12="M",2,3),0))*(0.001*0.0833)*Flag_Mort_Rider_Charge*(AT343&gt;0))</f>
        <v>0</v>
      </c>
      <c r="AO343" s="50">
        <f t="shared" ca="1" si="264"/>
        <v>0</v>
      </c>
      <c r="AP343" s="50">
        <f t="shared" ca="1" si="245"/>
        <v>0</v>
      </c>
      <c r="AQ343" s="50">
        <f t="shared" ca="1" si="265"/>
        <v>0</v>
      </c>
      <c r="AR343" s="50">
        <f t="shared" ca="1" si="266"/>
        <v>0</v>
      </c>
      <c r="AS343" s="50">
        <f t="shared" si="267"/>
        <v>0</v>
      </c>
      <c r="AT343" s="50">
        <f ca="1">(MAX((MAX(AS343,105%*SUM($AJ$7:AJ343))-AM343*Flag_UL_Type),0)*B343)</f>
        <v>0</v>
      </c>
      <c r="AU343" s="50">
        <f ca="1">(MAX(AS343,AR343,105%*SUM($AJ$7:AJ343))*B343)</f>
        <v>0</v>
      </c>
      <c r="AV343" s="125"/>
      <c r="AW343" s="13"/>
      <c r="AX343" s="13"/>
      <c r="AY343" s="13"/>
      <c r="AZ343" s="13"/>
      <c r="BA343" s="13"/>
      <c r="BG343" s="51">
        <f t="shared" si="268"/>
        <v>0</v>
      </c>
      <c r="BH343" s="51">
        <f t="shared" si="269"/>
        <v>0</v>
      </c>
      <c r="BI343" s="51">
        <f t="shared" ca="1" si="270"/>
        <v>0</v>
      </c>
      <c r="BJ343" s="51">
        <f t="shared" ca="1" si="271"/>
        <v>0</v>
      </c>
      <c r="BK343" s="51">
        <f t="shared" si="272"/>
        <v>0</v>
      </c>
      <c r="BL343" s="51">
        <f t="shared" ca="1" si="273"/>
        <v>0</v>
      </c>
      <c r="BM343" s="51">
        <f t="shared" si="274"/>
        <v>0</v>
      </c>
      <c r="BN343" s="51">
        <f t="shared" si="275"/>
        <v>0</v>
      </c>
      <c r="BO343" s="51">
        <f t="shared" ca="1" si="276"/>
        <v>0</v>
      </c>
      <c r="BP343" s="51">
        <f t="shared" ca="1" si="277"/>
        <v>0</v>
      </c>
      <c r="BQ343" s="120"/>
      <c r="BR343" s="32"/>
      <c r="BS343" s="126"/>
      <c r="BT343" s="16"/>
      <c r="BU343" s="58"/>
      <c r="BW343" s="51">
        <f>IF(Input!$C$13="Offline",VLOOKUP(H343,Charges!$AT$4:$AU$33,2,FALSE)*I343,0)</f>
        <v>0</v>
      </c>
      <c r="BX343" s="51">
        <f t="shared" si="278"/>
        <v>0</v>
      </c>
      <c r="BY343" s="51">
        <f t="shared" si="286"/>
        <v>0</v>
      </c>
      <c r="BZ343" s="151"/>
      <c r="CA343" s="151"/>
      <c r="CB343" s="32"/>
      <c r="CC343" s="16">
        <f ca="1">SUM($N$7:$N343)</f>
        <v>0</v>
      </c>
      <c r="CD343" s="16">
        <f t="shared" ca="1" si="279"/>
        <v>0</v>
      </c>
      <c r="CE343" s="16">
        <f t="shared" ca="1" si="280"/>
        <v>0</v>
      </c>
      <c r="CF343" s="7">
        <f t="shared" ca="1" si="281"/>
        <v>0</v>
      </c>
      <c r="CH343" s="7">
        <f t="shared" ca="1" si="282"/>
        <v>0</v>
      </c>
    </row>
    <row r="344" spans="2:86" s="7" customFormat="1" x14ac:dyDescent="0.2">
      <c r="B344" s="14">
        <f t="shared" si="246"/>
        <v>0</v>
      </c>
      <c r="C344" s="12">
        <f t="shared" si="247"/>
        <v>0</v>
      </c>
      <c r="D344" s="17">
        <f t="shared" si="287"/>
        <v>338</v>
      </c>
      <c r="E344" s="17">
        <f t="shared" ca="1" si="248"/>
        <v>88</v>
      </c>
      <c r="F344" s="12">
        <f t="shared" si="289"/>
        <v>1</v>
      </c>
      <c r="G344" s="12">
        <f t="shared" si="288"/>
        <v>57</v>
      </c>
      <c r="H344" s="17">
        <f t="shared" si="290"/>
        <v>29</v>
      </c>
      <c r="I344" s="29">
        <f t="shared" si="249"/>
        <v>0</v>
      </c>
      <c r="J344" s="211">
        <f>IFERROR(VLOOKUP(H344,Charges!$T$6:$U$35,2,0)*C344,0)</f>
        <v>0</v>
      </c>
      <c r="K344" s="29">
        <f t="shared" si="250"/>
        <v>0</v>
      </c>
      <c r="L344" s="29">
        <f t="shared" si="251"/>
        <v>0</v>
      </c>
      <c r="M344" s="147">
        <f t="shared" ca="1" si="252"/>
        <v>0</v>
      </c>
      <c r="N344" s="148">
        <f ca="1">IF(AND(Option_SPW="Y",H344&gt;=Lock_In_Period,Z343&gt;SPW_Amount_pa+IF(option="Single",1/5*pr,2*pr),H344&gt;=SPW_Start_Year,H344&lt;=SPW_Start_Year+SPW_Duration-1,age+H344&gt;=Legal_Age),IF(AND(F344=0,SPW_Payout_Freq=1),SPW_Amount_pa,IF(AND(SPW_Payout_Freq=2,MOD(F344,6)=0),SPW_Amount_pa/SPW_Payout_Freq,IF(AND(SPW_Payout_Freq=4,MOD(F344,3)=0),SPW_Amount_pa/SPW_Payout_Freq,IF(SPW_Payout_Freq=12,SPW_Amount_pa/SPW_Payout_Freq,0)))),0)+IFERROR(VLOOKUP(H344,Input!$B$68:$C$74,2,0),0)*(F344=0)*(Option_PW="Y")*(Option_SPW="N")*(age+H344&gt;=Legal_Age)</f>
        <v>0</v>
      </c>
      <c r="O344" s="148">
        <f t="shared" ca="1" si="253"/>
        <v>0</v>
      </c>
      <c r="P344" s="14">
        <f ca="1">(MAX(MAX(sa-CF343*Flag_UL_Type,105%*SUM($I$7:I344))-(AD343+L344-N344)*Flag_UL_Type,0)*B344)</f>
        <v>0</v>
      </c>
      <c r="Q344" s="213">
        <f t="shared" si="254"/>
        <v>0</v>
      </c>
      <c r="R344" s="14">
        <f t="shared" ca="1" si="255"/>
        <v>0</v>
      </c>
      <c r="S344" s="14">
        <f t="shared" ca="1" si="256"/>
        <v>0</v>
      </c>
      <c r="T344" s="14">
        <f>IFERROR(IF(WoP_Flag="Y",IF(fq=1,VLOOKUP(ppt*fq-H344,Charges!$AN$41:$AO$59,2,FALSE),IF(fq=2,VLOOKUP(ppt*fq-G344,Charges!$AP$41:$AQ$79,2,FALSE),VLOOKUP(ppt*fq-D344,Charges!$AR$41:$AS$279,2,FALSE)))*pr/fq,0),0)</f>
        <v>0</v>
      </c>
      <c r="U344" s="14">
        <f t="shared" ca="1" si="257"/>
        <v>0</v>
      </c>
      <c r="V344" s="34">
        <f>ROUND(MIN(IF(H344&gt;=7,Charges!$C$12*(1+Charges!$C$14)^((H344-7+1)),VLOOKUP(H344,Charges!$B$7:$C$12,2,0))*pr,Charges!$C$13)*B344,Round)</f>
        <v>0</v>
      </c>
      <c r="W344" s="14">
        <f t="shared" ca="1" si="258"/>
        <v>0</v>
      </c>
      <c r="X344" s="14">
        <f t="shared" ca="1" si="259"/>
        <v>0</v>
      </c>
      <c r="Y344" s="213">
        <f t="shared" ca="1" si="283"/>
        <v>0</v>
      </c>
      <c r="Z344" s="14">
        <f t="shared" ca="1" si="260"/>
        <v>0</v>
      </c>
      <c r="AA344" s="14">
        <f>IF(AND($H344=pt,$F344=11),SUM($K$7:K344)*VLOOKUP(pt,ROC,2,FALSE),0)</f>
        <v>0</v>
      </c>
      <c r="AB344" s="14">
        <f>IF(AND($H344=pt,$F344=11),SUM($V$7:V344)*VLOOKUP(pt,ROC,2,FALSE),0)</f>
        <v>0</v>
      </c>
      <c r="AC344" s="14">
        <f>IF(AND($H344=pt,$F344=11),SUM($Q$7:Q344)*VLOOKUP(pt,ROC,2,FALSE),0)</f>
        <v>0</v>
      </c>
      <c r="AD344" s="14">
        <f t="shared" ca="1" si="261"/>
        <v>0</v>
      </c>
      <c r="AE344" s="14">
        <f ca="1">(MAX(sa-CF343*Flag_UL_Type,105%*SUM($I$7:I344),Z344)+AU344)*B344</f>
        <v>0</v>
      </c>
      <c r="AF344" s="136"/>
      <c r="AG344" s="18">
        <v>338</v>
      </c>
      <c r="AH344" s="30">
        <f t="shared" ca="1" si="262"/>
        <v>0</v>
      </c>
      <c r="AI344" s="58"/>
      <c r="AJ344" s="50">
        <f>IF(AND(Option_Sys_TopUp&gt;="Y",H344&gt;=sytp,H344&lt;=(dtp+sytp-1),F344=0,H344&lt;=ppt+1),atp,0)+IFERROR(VLOOKUP(H344,Input!$B$55:$C$61,2,0),0)*(F344=0)*(Option_TopUP="Y")*(Option_Sys_TopUp="N")*B344*(pt&gt;=H344+5)</f>
        <v>0</v>
      </c>
      <c r="AK344" s="50">
        <f t="shared" si="263"/>
        <v>0</v>
      </c>
      <c r="AL344" s="50">
        <f t="shared" si="284"/>
        <v>0</v>
      </c>
      <c r="AM344" s="50">
        <f t="shared" ca="1" si="285"/>
        <v>0</v>
      </c>
      <c r="AN344" s="50">
        <f>IF(B344=0,0,AT344*(_rpm1+(1+_emr1)*VLOOKUP(E344,Tab_Mort_Charge,IF(Input!$C$12="M",2,3),0))*(0.001*0.0833)*Flag_Mort_Rider_Charge*(AT344&gt;0))</f>
        <v>0</v>
      </c>
      <c r="AO344" s="50">
        <f t="shared" ca="1" si="264"/>
        <v>0</v>
      </c>
      <c r="AP344" s="50">
        <f t="shared" ca="1" si="245"/>
        <v>0</v>
      </c>
      <c r="AQ344" s="50">
        <f t="shared" ca="1" si="265"/>
        <v>0</v>
      </c>
      <c r="AR344" s="50">
        <f t="shared" ca="1" si="266"/>
        <v>0</v>
      </c>
      <c r="AS344" s="50">
        <f t="shared" si="267"/>
        <v>0</v>
      </c>
      <c r="AT344" s="50">
        <f ca="1">(MAX((MAX(AS344,105%*SUM($AJ$7:AJ344))-AM344*Flag_UL_Type),0)*B344)</f>
        <v>0</v>
      </c>
      <c r="AU344" s="50">
        <f ca="1">(MAX(AS344,AR344,105%*SUM($AJ$7:AJ344))*B344)</f>
        <v>0</v>
      </c>
      <c r="AV344" s="125"/>
      <c r="AW344" s="13"/>
      <c r="AX344" s="13"/>
      <c r="AY344" s="13"/>
      <c r="AZ344" s="13"/>
      <c r="BA344" s="13"/>
      <c r="BG344" s="51">
        <f t="shared" si="268"/>
        <v>0</v>
      </c>
      <c r="BH344" s="51">
        <f t="shared" si="269"/>
        <v>0</v>
      </c>
      <c r="BI344" s="51">
        <f t="shared" ca="1" si="270"/>
        <v>0</v>
      </c>
      <c r="BJ344" s="51">
        <f t="shared" ca="1" si="271"/>
        <v>0</v>
      </c>
      <c r="BK344" s="51">
        <f t="shared" si="272"/>
        <v>0</v>
      </c>
      <c r="BL344" s="51">
        <f t="shared" ca="1" si="273"/>
        <v>0</v>
      </c>
      <c r="BM344" s="51">
        <f t="shared" si="274"/>
        <v>0</v>
      </c>
      <c r="BN344" s="51">
        <f t="shared" si="275"/>
        <v>0</v>
      </c>
      <c r="BO344" s="51">
        <f t="shared" ca="1" si="276"/>
        <v>0</v>
      </c>
      <c r="BP344" s="51">
        <f t="shared" ca="1" si="277"/>
        <v>0</v>
      </c>
      <c r="BQ344" s="120"/>
      <c r="BR344" s="32"/>
      <c r="BS344" s="126"/>
      <c r="BT344" s="16"/>
      <c r="BU344" s="58"/>
      <c r="BW344" s="51">
        <f>IF(Input!$C$13="Offline",VLOOKUP(H344,Charges!$AT$4:$AU$33,2,FALSE)*I344,0)</f>
        <v>0</v>
      </c>
      <c r="BX344" s="51">
        <f t="shared" si="278"/>
        <v>0</v>
      </c>
      <c r="BY344" s="51">
        <f t="shared" si="286"/>
        <v>0</v>
      </c>
      <c r="BZ344" s="151"/>
      <c r="CA344" s="151"/>
      <c r="CB344" s="32"/>
      <c r="CC344" s="16">
        <f ca="1">SUM($N$7:$N344)</f>
        <v>0</v>
      </c>
      <c r="CD344" s="16">
        <f t="shared" ca="1" si="279"/>
        <v>0</v>
      </c>
      <c r="CE344" s="16">
        <f t="shared" ca="1" si="280"/>
        <v>0</v>
      </c>
      <c r="CF344" s="7">
        <f t="shared" ca="1" si="281"/>
        <v>0</v>
      </c>
      <c r="CH344" s="7">
        <f t="shared" ca="1" si="282"/>
        <v>0</v>
      </c>
    </row>
    <row r="345" spans="2:86" s="7" customFormat="1" x14ac:dyDescent="0.2">
      <c r="B345" s="14">
        <f t="shared" si="246"/>
        <v>0</v>
      </c>
      <c r="C345" s="12">
        <f t="shared" si="247"/>
        <v>0</v>
      </c>
      <c r="D345" s="17">
        <f t="shared" si="287"/>
        <v>339</v>
      </c>
      <c r="E345" s="17">
        <f t="shared" ca="1" si="248"/>
        <v>88</v>
      </c>
      <c r="F345" s="12">
        <f t="shared" si="289"/>
        <v>2</v>
      </c>
      <c r="G345" s="12">
        <f t="shared" si="288"/>
        <v>57</v>
      </c>
      <c r="H345" s="17">
        <f t="shared" si="290"/>
        <v>29</v>
      </c>
      <c r="I345" s="29">
        <f t="shared" si="249"/>
        <v>0</v>
      </c>
      <c r="J345" s="211">
        <f>IFERROR(VLOOKUP(H345,Charges!$T$6:$U$35,2,0)*C345,0)</f>
        <v>0</v>
      </c>
      <c r="K345" s="29">
        <f t="shared" si="250"/>
        <v>0</v>
      </c>
      <c r="L345" s="29">
        <f t="shared" si="251"/>
        <v>0</v>
      </c>
      <c r="M345" s="147">
        <f t="shared" ca="1" si="252"/>
        <v>0</v>
      </c>
      <c r="N345" s="148">
        <f ca="1">IF(AND(Option_SPW="Y",H345&gt;=Lock_In_Period,Z344&gt;SPW_Amount_pa+IF(option="Single",1/5*pr,2*pr),H345&gt;=SPW_Start_Year,H345&lt;=SPW_Start_Year+SPW_Duration-1,age+H345&gt;=Legal_Age),IF(AND(F345=0,SPW_Payout_Freq=1),SPW_Amount_pa,IF(AND(SPW_Payout_Freq=2,MOD(F345,6)=0),SPW_Amount_pa/SPW_Payout_Freq,IF(AND(SPW_Payout_Freq=4,MOD(F345,3)=0),SPW_Amount_pa/SPW_Payout_Freq,IF(SPW_Payout_Freq=12,SPW_Amount_pa/SPW_Payout_Freq,0)))),0)+IFERROR(VLOOKUP(H345,Input!$B$68:$C$74,2,0),0)*(F345=0)*(Option_PW="Y")*(Option_SPW="N")*(age+H345&gt;=Legal_Age)</f>
        <v>0</v>
      </c>
      <c r="O345" s="148">
        <f t="shared" ca="1" si="253"/>
        <v>0</v>
      </c>
      <c r="P345" s="14">
        <f ca="1">(MAX(MAX(sa-CF344*Flag_UL_Type,105%*SUM($I$7:I345))-(AD344+L345-N345)*Flag_UL_Type,0)*B345)</f>
        <v>0</v>
      </c>
      <c r="Q345" s="213">
        <f t="shared" si="254"/>
        <v>0</v>
      </c>
      <c r="R345" s="14">
        <f t="shared" ca="1" si="255"/>
        <v>0</v>
      </c>
      <c r="S345" s="14">
        <f t="shared" ca="1" si="256"/>
        <v>0</v>
      </c>
      <c r="T345" s="14">
        <f>IFERROR(IF(WoP_Flag="Y",IF(fq=1,VLOOKUP(ppt*fq-H345,Charges!$AN$41:$AO$59,2,FALSE),IF(fq=2,VLOOKUP(ppt*fq-G345,Charges!$AP$41:$AQ$79,2,FALSE),VLOOKUP(ppt*fq-D345,Charges!$AR$41:$AS$279,2,FALSE)))*pr/fq,0),0)</f>
        <v>0</v>
      </c>
      <c r="U345" s="14">
        <f t="shared" ca="1" si="257"/>
        <v>0</v>
      </c>
      <c r="V345" s="34">
        <f>ROUND(MIN(IF(H345&gt;=7,Charges!$C$12*(1+Charges!$C$14)^((H345-7+1)),VLOOKUP(H345,Charges!$B$7:$C$12,2,0))*pr,Charges!$C$13)*B345,Round)</f>
        <v>0</v>
      </c>
      <c r="W345" s="14">
        <f t="shared" ca="1" si="258"/>
        <v>0</v>
      </c>
      <c r="X345" s="14">
        <f t="shared" ca="1" si="259"/>
        <v>0</v>
      </c>
      <c r="Y345" s="213">
        <f t="shared" ca="1" si="283"/>
        <v>0</v>
      </c>
      <c r="Z345" s="14">
        <f t="shared" ca="1" si="260"/>
        <v>0</v>
      </c>
      <c r="AA345" s="14">
        <f>IF(AND($H345=pt,$F345=11),SUM($K$7:K345)*VLOOKUP(pt,ROC,2,FALSE),0)</f>
        <v>0</v>
      </c>
      <c r="AB345" s="14">
        <f>IF(AND($H345=pt,$F345=11),SUM($V$7:V345)*VLOOKUP(pt,ROC,2,FALSE),0)</f>
        <v>0</v>
      </c>
      <c r="AC345" s="14">
        <f>IF(AND($H345=pt,$F345=11),SUM($Q$7:Q345)*VLOOKUP(pt,ROC,2,FALSE),0)</f>
        <v>0</v>
      </c>
      <c r="AD345" s="14">
        <f t="shared" ca="1" si="261"/>
        <v>0</v>
      </c>
      <c r="AE345" s="14">
        <f ca="1">(MAX(sa-CF344*Flag_UL_Type,105%*SUM($I$7:I345),Z345)+AU345)*B345</f>
        <v>0</v>
      </c>
      <c r="AF345" s="136"/>
      <c r="AG345" s="18">
        <v>339</v>
      </c>
      <c r="AH345" s="30">
        <f t="shared" ca="1" si="262"/>
        <v>0</v>
      </c>
      <c r="AI345" s="58"/>
      <c r="AJ345" s="50">
        <f>IF(AND(Option_Sys_TopUp&gt;="Y",H345&gt;=sytp,H345&lt;=(dtp+sytp-1),F345=0,H345&lt;=ppt+1),atp,0)+IFERROR(VLOOKUP(H345,Input!$B$55:$C$61,2,0),0)*(F345=0)*(Option_TopUP="Y")*(Option_Sys_TopUp="N")*B345*(pt&gt;=H345+5)</f>
        <v>0</v>
      </c>
      <c r="AK345" s="50">
        <f t="shared" si="263"/>
        <v>0</v>
      </c>
      <c r="AL345" s="50">
        <f t="shared" si="284"/>
        <v>0</v>
      </c>
      <c r="AM345" s="50">
        <f t="shared" ca="1" si="285"/>
        <v>0</v>
      </c>
      <c r="AN345" s="50">
        <f>IF(B345=0,0,AT345*(_rpm1+(1+_emr1)*VLOOKUP(E345,Tab_Mort_Charge,IF(Input!$C$12="M",2,3),0))*(0.001*0.0833)*Flag_Mort_Rider_Charge*(AT345&gt;0))</f>
        <v>0</v>
      </c>
      <c r="AO345" s="50">
        <f t="shared" ca="1" si="264"/>
        <v>0</v>
      </c>
      <c r="AP345" s="50">
        <f t="shared" ca="1" si="245"/>
        <v>0</v>
      </c>
      <c r="AQ345" s="50">
        <f t="shared" ca="1" si="265"/>
        <v>0</v>
      </c>
      <c r="AR345" s="50">
        <f t="shared" ca="1" si="266"/>
        <v>0</v>
      </c>
      <c r="AS345" s="50">
        <f t="shared" si="267"/>
        <v>0</v>
      </c>
      <c r="AT345" s="50">
        <f ca="1">(MAX((MAX(AS345,105%*SUM($AJ$7:AJ345))-AM345*Flag_UL_Type),0)*B345)</f>
        <v>0</v>
      </c>
      <c r="AU345" s="50">
        <f ca="1">(MAX(AS345,AR345,105%*SUM($AJ$7:AJ345))*B345)</f>
        <v>0</v>
      </c>
      <c r="AV345" s="125"/>
      <c r="AW345" s="13"/>
      <c r="AX345" s="13"/>
      <c r="AY345" s="13"/>
      <c r="AZ345" s="13"/>
      <c r="BA345" s="13"/>
      <c r="BG345" s="51">
        <f t="shared" si="268"/>
        <v>0</v>
      </c>
      <c r="BH345" s="51">
        <f t="shared" si="269"/>
        <v>0</v>
      </c>
      <c r="BI345" s="51">
        <f t="shared" ca="1" si="270"/>
        <v>0</v>
      </c>
      <c r="BJ345" s="51">
        <f t="shared" ca="1" si="271"/>
        <v>0</v>
      </c>
      <c r="BK345" s="51">
        <f t="shared" si="272"/>
        <v>0</v>
      </c>
      <c r="BL345" s="51">
        <f t="shared" ca="1" si="273"/>
        <v>0</v>
      </c>
      <c r="BM345" s="51">
        <f t="shared" si="274"/>
        <v>0</v>
      </c>
      <c r="BN345" s="51">
        <f t="shared" si="275"/>
        <v>0</v>
      </c>
      <c r="BO345" s="51">
        <f t="shared" ca="1" si="276"/>
        <v>0</v>
      </c>
      <c r="BP345" s="51">
        <f t="shared" ca="1" si="277"/>
        <v>0</v>
      </c>
      <c r="BQ345" s="120"/>
      <c r="BR345" s="32"/>
      <c r="BS345" s="126"/>
      <c r="BT345" s="16"/>
      <c r="BU345" s="58"/>
      <c r="BW345" s="51">
        <f>IF(Input!$C$13="Offline",VLOOKUP(H345,Charges!$AT$4:$AU$33,2,FALSE)*I345,0)</f>
        <v>0</v>
      </c>
      <c r="BX345" s="51">
        <f t="shared" si="278"/>
        <v>0</v>
      </c>
      <c r="BY345" s="51">
        <f t="shared" si="286"/>
        <v>0</v>
      </c>
      <c r="BZ345" s="151"/>
      <c r="CA345" s="151"/>
      <c r="CB345" s="32"/>
      <c r="CC345" s="16">
        <f ca="1">SUM($N$7:$N345)</f>
        <v>0</v>
      </c>
      <c r="CD345" s="16">
        <f t="shared" ca="1" si="279"/>
        <v>0</v>
      </c>
      <c r="CE345" s="16">
        <f t="shared" ca="1" si="280"/>
        <v>0</v>
      </c>
      <c r="CF345" s="7">
        <f t="shared" ca="1" si="281"/>
        <v>0</v>
      </c>
      <c r="CH345" s="7">
        <f t="shared" ca="1" si="282"/>
        <v>0</v>
      </c>
    </row>
    <row r="346" spans="2:86" s="7" customFormat="1" x14ac:dyDescent="0.2">
      <c r="B346" s="14">
        <f t="shared" si="246"/>
        <v>0</v>
      </c>
      <c r="C346" s="12">
        <f t="shared" si="247"/>
        <v>0</v>
      </c>
      <c r="D346" s="17">
        <f t="shared" si="287"/>
        <v>340</v>
      </c>
      <c r="E346" s="17">
        <f t="shared" ca="1" si="248"/>
        <v>88</v>
      </c>
      <c r="F346" s="12">
        <f t="shared" si="289"/>
        <v>3</v>
      </c>
      <c r="G346" s="12">
        <f t="shared" si="288"/>
        <v>57</v>
      </c>
      <c r="H346" s="17">
        <f t="shared" si="290"/>
        <v>29</v>
      </c>
      <c r="I346" s="29">
        <f t="shared" si="249"/>
        <v>0</v>
      </c>
      <c r="J346" s="211">
        <f>IFERROR(VLOOKUP(H346,Charges!$T$6:$U$35,2,0)*C346,0)</f>
        <v>0</v>
      </c>
      <c r="K346" s="29">
        <f t="shared" si="250"/>
        <v>0</v>
      </c>
      <c r="L346" s="29">
        <f t="shared" si="251"/>
        <v>0</v>
      </c>
      <c r="M346" s="147">
        <f t="shared" ca="1" si="252"/>
        <v>0</v>
      </c>
      <c r="N346" s="148">
        <f ca="1">IF(AND(Option_SPW="Y",H346&gt;=Lock_In_Period,Z345&gt;SPW_Amount_pa+IF(option="Single",1/5*pr,2*pr),H346&gt;=SPW_Start_Year,H346&lt;=SPW_Start_Year+SPW_Duration-1,age+H346&gt;=Legal_Age),IF(AND(F346=0,SPW_Payout_Freq=1),SPW_Amount_pa,IF(AND(SPW_Payout_Freq=2,MOD(F346,6)=0),SPW_Amount_pa/SPW_Payout_Freq,IF(AND(SPW_Payout_Freq=4,MOD(F346,3)=0),SPW_Amount_pa/SPW_Payout_Freq,IF(SPW_Payout_Freq=12,SPW_Amount_pa/SPW_Payout_Freq,0)))),0)+IFERROR(VLOOKUP(H346,Input!$B$68:$C$74,2,0),0)*(F346=0)*(Option_PW="Y")*(Option_SPW="N")*(age+H346&gt;=Legal_Age)</f>
        <v>0</v>
      </c>
      <c r="O346" s="148">
        <f t="shared" ca="1" si="253"/>
        <v>0</v>
      </c>
      <c r="P346" s="14">
        <f ca="1">(MAX(MAX(sa-CF345*Flag_UL_Type,105%*SUM($I$7:I346))-(AD345+L346-N346)*Flag_UL_Type,0)*B346)</f>
        <v>0</v>
      </c>
      <c r="Q346" s="213">
        <f t="shared" si="254"/>
        <v>0</v>
      </c>
      <c r="R346" s="14">
        <f t="shared" ca="1" si="255"/>
        <v>0</v>
      </c>
      <c r="S346" s="14">
        <f t="shared" ca="1" si="256"/>
        <v>0</v>
      </c>
      <c r="T346" s="14">
        <f>IFERROR(IF(WoP_Flag="Y",IF(fq=1,VLOOKUP(ppt*fq-H346,Charges!$AN$41:$AO$59,2,FALSE),IF(fq=2,VLOOKUP(ppt*fq-G346,Charges!$AP$41:$AQ$79,2,FALSE),VLOOKUP(ppt*fq-D346,Charges!$AR$41:$AS$279,2,FALSE)))*pr/fq,0),0)</f>
        <v>0</v>
      </c>
      <c r="U346" s="14">
        <f t="shared" ca="1" si="257"/>
        <v>0</v>
      </c>
      <c r="V346" s="34">
        <f>ROUND(MIN(IF(H346&gt;=7,Charges!$C$12*(1+Charges!$C$14)^((H346-7+1)),VLOOKUP(H346,Charges!$B$7:$C$12,2,0))*pr,Charges!$C$13)*B346,Round)</f>
        <v>0</v>
      </c>
      <c r="W346" s="14">
        <f t="shared" ca="1" si="258"/>
        <v>0</v>
      </c>
      <c r="X346" s="14">
        <f t="shared" ca="1" si="259"/>
        <v>0</v>
      </c>
      <c r="Y346" s="213">
        <f t="shared" ca="1" si="283"/>
        <v>0</v>
      </c>
      <c r="Z346" s="14">
        <f t="shared" ca="1" si="260"/>
        <v>0</v>
      </c>
      <c r="AA346" s="14">
        <f>IF(AND($H346=pt,$F346=11),SUM($K$7:K346)*VLOOKUP(pt,ROC,2,FALSE),0)</f>
        <v>0</v>
      </c>
      <c r="AB346" s="14">
        <f>IF(AND($H346=pt,$F346=11),SUM($V$7:V346)*VLOOKUP(pt,ROC,2,FALSE),0)</f>
        <v>0</v>
      </c>
      <c r="AC346" s="14">
        <f>IF(AND($H346=pt,$F346=11),SUM($Q$7:Q346)*VLOOKUP(pt,ROC,2,FALSE),0)</f>
        <v>0</v>
      </c>
      <c r="AD346" s="14">
        <f t="shared" ca="1" si="261"/>
        <v>0</v>
      </c>
      <c r="AE346" s="14">
        <f ca="1">(MAX(sa-CF345*Flag_UL_Type,105%*SUM($I$7:I346),Z346)+AU346)*B346</f>
        <v>0</v>
      </c>
      <c r="AF346" s="136"/>
      <c r="AG346" s="18">
        <v>340</v>
      </c>
      <c r="AH346" s="30">
        <f t="shared" ca="1" si="262"/>
        <v>0</v>
      </c>
      <c r="AI346" s="58"/>
      <c r="AJ346" s="50">
        <f>IF(AND(Option_Sys_TopUp&gt;="Y",H346&gt;=sytp,H346&lt;=(dtp+sytp-1),F346=0,H346&lt;=ppt+1),atp,0)+IFERROR(VLOOKUP(H346,Input!$B$55:$C$61,2,0),0)*(F346=0)*(Option_TopUP="Y")*(Option_Sys_TopUp="N")*B346*(pt&gt;=H346+5)</f>
        <v>0</v>
      </c>
      <c r="AK346" s="50">
        <f t="shared" si="263"/>
        <v>0</v>
      </c>
      <c r="AL346" s="50">
        <f t="shared" si="284"/>
        <v>0</v>
      </c>
      <c r="AM346" s="50">
        <f t="shared" ca="1" si="285"/>
        <v>0</v>
      </c>
      <c r="AN346" s="50">
        <f>IF(B346=0,0,AT346*(_rpm1+(1+_emr1)*VLOOKUP(E346,Tab_Mort_Charge,IF(Input!$C$12="M",2,3),0))*(0.001*0.0833)*Flag_Mort_Rider_Charge*(AT346&gt;0))</f>
        <v>0</v>
      </c>
      <c r="AO346" s="50">
        <f t="shared" ca="1" si="264"/>
        <v>0</v>
      </c>
      <c r="AP346" s="50">
        <f t="shared" ca="1" si="245"/>
        <v>0</v>
      </c>
      <c r="AQ346" s="50">
        <f t="shared" ca="1" si="265"/>
        <v>0</v>
      </c>
      <c r="AR346" s="50">
        <f t="shared" ca="1" si="266"/>
        <v>0</v>
      </c>
      <c r="AS346" s="50">
        <f t="shared" si="267"/>
        <v>0</v>
      </c>
      <c r="AT346" s="50">
        <f ca="1">(MAX((MAX(AS346,105%*SUM($AJ$7:AJ346))-AM346*Flag_UL_Type),0)*B346)</f>
        <v>0</v>
      </c>
      <c r="AU346" s="50">
        <f ca="1">(MAX(AS346,AR346,105%*SUM($AJ$7:AJ346))*B346)</f>
        <v>0</v>
      </c>
      <c r="AV346" s="125"/>
      <c r="AW346" s="13"/>
      <c r="AX346" s="13"/>
      <c r="AY346" s="13"/>
      <c r="AZ346" s="13"/>
      <c r="BA346" s="13"/>
      <c r="BG346" s="51">
        <f t="shared" si="268"/>
        <v>0</v>
      </c>
      <c r="BH346" s="51">
        <f t="shared" si="269"/>
        <v>0</v>
      </c>
      <c r="BI346" s="51">
        <f t="shared" ca="1" si="270"/>
        <v>0</v>
      </c>
      <c r="BJ346" s="51">
        <f t="shared" ca="1" si="271"/>
        <v>0</v>
      </c>
      <c r="BK346" s="51">
        <f t="shared" si="272"/>
        <v>0</v>
      </c>
      <c r="BL346" s="51">
        <f t="shared" ca="1" si="273"/>
        <v>0</v>
      </c>
      <c r="BM346" s="51">
        <f t="shared" si="274"/>
        <v>0</v>
      </c>
      <c r="BN346" s="51">
        <f t="shared" si="275"/>
        <v>0</v>
      </c>
      <c r="BO346" s="51">
        <f t="shared" ca="1" si="276"/>
        <v>0</v>
      </c>
      <c r="BP346" s="51">
        <f t="shared" ca="1" si="277"/>
        <v>0</v>
      </c>
      <c r="BQ346" s="120"/>
      <c r="BR346" s="32"/>
      <c r="BS346" s="126"/>
      <c r="BT346" s="16"/>
      <c r="BU346" s="58"/>
      <c r="BW346" s="51">
        <f>IF(Input!$C$13="Offline",VLOOKUP(H346,Charges!$AT$4:$AU$33,2,FALSE)*I346,0)</f>
        <v>0</v>
      </c>
      <c r="BX346" s="51">
        <f t="shared" si="278"/>
        <v>0</v>
      </c>
      <c r="BY346" s="51">
        <f t="shared" si="286"/>
        <v>0</v>
      </c>
      <c r="BZ346" s="151"/>
      <c r="CA346" s="151"/>
      <c r="CB346" s="32"/>
      <c r="CC346" s="16">
        <f ca="1">SUM($N$7:$N346)</f>
        <v>0</v>
      </c>
      <c r="CD346" s="16">
        <f t="shared" ca="1" si="279"/>
        <v>0</v>
      </c>
      <c r="CE346" s="16">
        <f t="shared" ca="1" si="280"/>
        <v>0</v>
      </c>
      <c r="CF346" s="7">
        <f t="shared" ca="1" si="281"/>
        <v>0</v>
      </c>
      <c r="CH346" s="7">
        <f t="shared" ca="1" si="282"/>
        <v>0</v>
      </c>
    </row>
    <row r="347" spans="2:86" s="7" customFormat="1" x14ac:dyDescent="0.2">
      <c r="B347" s="14">
        <f t="shared" si="246"/>
        <v>0</v>
      </c>
      <c r="C347" s="12">
        <f t="shared" si="247"/>
        <v>0</v>
      </c>
      <c r="D347" s="17">
        <f t="shared" si="287"/>
        <v>341</v>
      </c>
      <c r="E347" s="17">
        <f t="shared" ca="1" si="248"/>
        <v>88</v>
      </c>
      <c r="F347" s="12">
        <f t="shared" si="289"/>
        <v>4</v>
      </c>
      <c r="G347" s="12">
        <f t="shared" si="288"/>
        <v>57</v>
      </c>
      <c r="H347" s="17">
        <f t="shared" si="290"/>
        <v>29</v>
      </c>
      <c r="I347" s="29">
        <f t="shared" si="249"/>
        <v>0</v>
      </c>
      <c r="J347" s="211">
        <f>IFERROR(VLOOKUP(H347,Charges!$T$6:$U$35,2,0)*C347,0)</f>
        <v>0</v>
      </c>
      <c r="K347" s="29">
        <f t="shared" si="250"/>
        <v>0</v>
      </c>
      <c r="L347" s="29">
        <f t="shared" si="251"/>
        <v>0</v>
      </c>
      <c r="M347" s="147">
        <f t="shared" ca="1" si="252"/>
        <v>0</v>
      </c>
      <c r="N347" s="148">
        <f ca="1">IF(AND(Option_SPW="Y",H347&gt;=Lock_In_Period,Z346&gt;SPW_Amount_pa+IF(option="Single",1/5*pr,2*pr),H347&gt;=SPW_Start_Year,H347&lt;=SPW_Start_Year+SPW_Duration-1,age+H347&gt;=Legal_Age),IF(AND(F347=0,SPW_Payout_Freq=1),SPW_Amount_pa,IF(AND(SPW_Payout_Freq=2,MOD(F347,6)=0),SPW_Amount_pa/SPW_Payout_Freq,IF(AND(SPW_Payout_Freq=4,MOD(F347,3)=0),SPW_Amount_pa/SPW_Payout_Freq,IF(SPW_Payout_Freq=12,SPW_Amount_pa/SPW_Payout_Freq,0)))),0)+IFERROR(VLOOKUP(H347,Input!$B$68:$C$74,2,0),0)*(F347=0)*(Option_PW="Y")*(Option_SPW="N")*(age+H347&gt;=Legal_Age)</f>
        <v>0</v>
      </c>
      <c r="O347" s="148">
        <f t="shared" ca="1" si="253"/>
        <v>0</v>
      </c>
      <c r="P347" s="14">
        <f ca="1">(MAX(MAX(sa-CF346*Flag_UL_Type,105%*SUM($I$7:I347))-(AD346+L347-N347)*Flag_UL_Type,0)*B347)</f>
        <v>0</v>
      </c>
      <c r="Q347" s="213">
        <f t="shared" si="254"/>
        <v>0</v>
      </c>
      <c r="R347" s="14">
        <f t="shared" ca="1" si="255"/>
        <v>0</v>
      </c>
      <c r="S347" s="14">
        <f t="shared" ca="1" si="256"/>
        <v>0</v>
      </c>
      <c r="T347" s="14">
        <f>IFERROR(IF(WoP_Flag="Y",IF(fq=1,VLOOKUP(ppt*fq-H347,Charges!$AN$41:$AO$59,2,FALSE),IF(fq=2,VLOOKUP(ppt*fq-G347,Charges!$AP$41:$AQ$79,2,FALSE),VLOOKUP(ppt*fq-D347,Charges!$AR$41:$AS$279,2,FALSE)))*pr/fq,0),0)</f>
        <v>0</v>
      </c>
      <c r="U347" s="14">
        <f t="shared" ca="1" si="257"/>
        <v>0</v>
      </c>
      <c r="V347" s="34">
        <f>ROUND(MIN(IF(H347&gt;=7,Charges!$C$12*(1+Charges!$C$14)^((H347-7+1)),VLOOKUP(H347,Charges!$B$7:$C$12,2,0))*pr,Charges!$C$13)*B347,Round)</f>
        <v>0</v>
      </c>
      <c r="W347" s="14">
        <f t="shared" ca="1" si="258"/>
        <v>0</v>
      </c>
      <c r="X347" s="14">
        <f t="shared" ca="1" si="259"/>
        <v>0</v>
      </c>
      <c r="Y347" s="213">
        <f t="shared" ca="1" si="283"/>
        <v>0</v>
      </c>
      <c r="Z347" s="14">
        <f t="shared" ca="1" si="260"/>
        <v>0</v>
      </c>
      <c r="AA347" s="14">
        <f>IF(AND($H347=pt,$F347=11),SUM($K$7:K347)*VLOOKUP(pt,ROC,2,FALSE),0)</f>
        <v>0</v>
      </c>
      <c r="AB347" s="14">
        <f>IF(AND($H347=pt,$F347=11),SUM($V$7:V347)*VLOOKUP(pt,ROC,2,FALSE),0)</f>
        <v>0</v>
      </c>
      <c r="AC347" s="14">
        <f>IF(AND($H347=pt,$F347=11),SUM($Q$7:Q347)*VLOOKUP(pt,ROC,2,FALSE),0)</f>
        <v>0</v>
      </c>
      <c r="AD347" s="14">
        <f t="shared" ca="1" si="261"/>
        <v>0</v>
      </c>
      <c r="AE347" s="14">
        <f ca="1">(MAX(sa-CF346*Flag_UL_Type,105%*SUM($I$7:I347),Z347)+AU347)*B347</f>
        <v>0</v>
      </c>
      <c r="AF347" s="136"/>
      <c r="AG347" s="18">
        <v>341</v>
      </c>
      <c r="AH347" s="30">
        <f t="shared" ca="1" si="262"/>
        <v>0</v>
      </c>
      <c r="AI347" s="58"/>
      <c r="AJ347" s="50">
        <f>IF(AND(Option_Sys_TopUp&gt;="Y",H347&gt;=sytp,H347&lt;=(dtp+sytp-1),F347=0,H347&lt;=ppt+1),atp,0)+IFERROR(VLOOKUP(H347,Input!$B$55:$C$61,2,0),0)*(F347=0)*(Option_TopUP="Y")*(Option_Sys_TopUp="N")*B347*(pt&gt;=H347+5)</f>
        <v>0</v>
      </c>
      <c r="AK347" s="50">
        <f t="shared" si="263"/>
        <v>0</v>
      </c>
      <c r="AL347" s="50">
        <f t="shared" si="284"/>
        <v>0</v>
      </c>
      <c r="AM347" s="50">
        <f t="shared" ca="1" si="285"/>
        <v>0</v>
      </c>
      <c r="AN347" s="50">
        <f>IF(B347=0,0,AT347*(_rpm1+(1+_emr1)*VLOOKUP(E347,Tab_Mort_Charge,IF(Input!$C$12="M",2,3),0))*(0.001*0.0833)*Flag_Mort_Rider_Charge*(AT347&gt;0))</f>
        <v>0</v>
      </c>
      <c r="AO347" s="50">
        <f t="shared" ca="1" si="264"/>
        <v>0</v>
      </c>
      <c r="AP347" s="50">
        <f t="shared" ref="AP347:AP367" ca="1" si="291">AO347*(1+$F$3)*B347</f>
        <v>0</v>
      </c>
      <c r="AQ347" s="50">
        <f t="shared" ca="1" si="265"/>
        <v>0</v>
      </c>
      <c r="AR347" s="50">
        <f t="shared" ca="1" si="266"/>
        <v>0</v>
      </c>
      <c r="AS347" s="50">
        <f t="shared" si="267"/>
        <v>0</v>
      </c>
      <c r="AT347" s="50">
        <f ca="1">(MAX((MAX(AS347,105%*SUM($AJ$7:AJ347))-AM347*Flag_UL_Type),0)*B347)</f>
        <v>0</v>
      </c>
      <c r="AU347" s="50">
        <f ca="1">(MAX(AS347,AR347,105%*SUM($AJ$7:AJ347))*B347)</f>
        <v>0</v>
      </c>
      <c r="AV347" s="125"/>
      <c r="AW347" s="13"/>
      <c r="AX347" s="13"/>
      <c r="AY347" s="13"/>
      <c r="AZ347" s="13"/>
      <c r="BA347" s="13"/>
      <c r="BG347" s="51">
        <f t="shared" si="268"/>
        <v>0</v>
      </c>
      <c r="BH347" s="51">
        <f t="shared" si="269"/>
        <v>0</v>
      </c>
      <c r="BI347" s="51">
        <f t="shared" ca="1" si="270"/>
        <v>0</v>
      </c>
      <c r="BJ347" s="51">
        <f t="shared" ca="1" si="271"/>
        <v>0</v>
      </c>
      <c r="BK347" s="51">
        <f t="shared" si="272"/>
        <v>0</v>
      </c>
      <c r="BL347" s="51">
        <f t="shared" ca="1" si="273"/>
        <v>0</v>
      </c>
      <c r="BM347" s="51">
        <f t="shared" si="274"/>
        <v>0</v>
      </c>
      <c r="BN347" s="51">
        <f t="shared" si="275"/>
        <v>0</v>
      </c>
      <c r="BO347" s="51">
        <f t="shared" ca="1" si="276"/>
        <v>0</v>
      </c>
      <c r="BP347" s="51">
        <f t="shared" ca="1" si="277"/>
        <v>0</v>
      </c>
      <c r="BQ347" s="120"/>
      <c r="BR347" s="32"/>
      <c r="BS347" s="126"/>
      <c r="BT347" s="16"/>
      <c r="BU347" s="58"/>
      <c r="BW347" s="51">
        <f>IF(Input!$C$13="Offline",VLOOKUP(H347,Charges!$AT$4:$AU$33,2,FALSE)*I347,0)</f>
        <v>0</v>
      </c>
      <c r="BX347" s="51">
        <f t="shared" si="278"/>
        <v>0</v>
      </c>
      <c r="BY347" s="51">
        <f t="shared" si="286"/>
        <v>0</v>
      </c>
      <c r="BZ347" s="151"/>
      <c r="CA347" s="151"/>
      <c r="CB347" s="32"/>
      <c r="CC347" s="16">
        <f ca="1">SUM($N$7:$N347)</f>
        <v>0</v>
      </c>
      <c r="CD347" s="16">
        <f t="shared" ca="1" si="279"/>
        <v>0</v>
      </c>
      <c r="CE347" s="16">
        <f t="shared" ca="1" si="280"/>
        <v>0</v>
      </c>
      <c r="CF347" s="7">
        <f t="shared" ca="1" si="281"/>
        <v>0</v>
      </c>
      <c r="CH347" s="7">
        <f t="shared" ca="1" si="282"/>
        <v>0</v>
      </c>
    </row>
    <row r="348" spans="2:86" s="7" customFormat="1" x14ac:dyDescent="0.2">
      <c r="B348" s="14">
        <f t="shared" si="246"/>
        <v>0</v>
      </c>
      <c r="C348" s="12">
        <f t="shared" si="247"/>
        <v>0</v>
      </c>
      <c r="D348" s="17">
        <f t="shared" si="287"/>
        <v>342</v>
      </c>
      <c r="E348" s="17">
        <f t="shared" ca="1" si="248"/>
        <v>88</v>
      </c>
      <c r="F348" s="12">
        <f t="shared" si="289"/>
        <v>5</v>
      </c>
      <c r="G348" s="12">
        <f t="shared" si="288"/>
        <v>57</v>
      </c>
      <c r="H348" s="17">
        <f t="shared" si="290"/>
        <v>29</v>
      </c>
      <c r="I348" s="29">
        <f t="shared" si="249"/>
        <v>0</v>
      </c>
      <c r="J348" s="211">
        <f>IFERROR(VLOOKUP(H348,Charges!$T$6:$U$35,2,0)*C348,0)</f>
        <v>0</v>
      </c>
      <c r="K348" s="29">
        <f t="shared" si="250"/>
        <v>0</v>
      </c>
      <c r="L348" s="29">
        <f t="shared" si="251"/>
        <v>0</v>
      </c>
      <c r="M348" s="147">
        <f t="shared" ca="1" si="252"/>
        <v>0</v>
      </c>
      <c r="N348" s="148">
        <f ca="1">IF(AND(Option_SPW="Y",H348&gt;=Lock_In_Period,Z347&gt;SPW_Amount_pa+IF(option="Single",1/5*pr,2*pr),H348&gt;=SPW_Start_Year,H348&lt;=SPW_Start_Year+SPW_Duration-1,age+H348&gt;=Legal_Age),IF(AND(F348=0,SPW_Payout_Freq=1),SPW_Amount_pa,IF(AND(SPW_Payout_Freq=2,MOD(F348,6)=0),SPW_Amount_pa/SPW_Payout_Freq,IF(AND(SPW_Payout_Freq=4,MOD(F348,3)=0),SPW_Amount_pa/SPW_Payout_Freq,IF(SPW_Payout_Freq=12,SPW_Amount_pa/SPW_Payout_Freq,0)))),0)+IFERROR(VLOOKUP(H348,Input!$B$68:$C$74,2,0),0)*(F348=0)*(Option_PW="Y")*(Option_SPW="N")*(age+H348&gt;=Legal_Age)</f>
        <v>0</v>
      </c>
      <c r="O348" s="148">
        <f t="shared" ca="1" si="253"/>
        <v>0</v>
      </c>
      <c r="P348" s="14">
        <f ca="1">(MAX(MAX(sa-CF347*Flag_UL_Type,105%*SUM($I$7:I348))-(AD347+L348-N348)*Flag_UL_Type,0)*B348)</f>
        <v>0</v>
      </c>
      <c r="Q348" s="213">
        <f t="shared" si="254"/>
        <v>0</v>
      </c>
      <c r="R348" s="14">
        <f t="shared" ca="1" si="255"/>
        <v>0</v>
      </c>
      <c r="S348" s="14">
        <f t="shared" ca="1" si="256"/>
        <v>0</v>
      </c>
      <c r="T348" s="14">
        <f>IFERROR(IF(WoP_Flag="Y",IF(fq=1,VLOOKUP(ppt*fq-H348,Charges!$AN$41:$AO$59,2,FALSE),IF(fq=2,VLOOKUP(ppt*fq-G348,Charges!$AP$41:$AQ$79,2,FALSE),VLOOKUP(ppt*fq-D348,Charges!$AR$41:$AS$279,2,FALSE)))*pr/fq,0),0)</f>
        <v>0</v>
      </c>
      <c r="U348" s="14">
        <f t="shared" ca="1" si="257"/>
        <v>0</v>
      </c>
      <c r="V348" s="34">
        <f>ROUND(MIN(IF(H348&gt;=7,Charges!$C$12*(1+Charges!$C$14)^((H348-7+1)),VLOOKUP(H348,Charges!$B$7:$C$12,2,0))*pr,Charges!$C$13)*B348,Round)</f>
        <v>0</v>
      </c>
      <c r="W348" s="14">
        <f t="shared" ca="1" si="258"/>
        <v>0</v>
      </c>
      <c r="X348" s="14">
        <f t="shared" ca="1" si="259"/>
        <v>0</v>
      </c>
      <c r="Y348" s="213">
        <f t="shared" ca="1" si="283"/>
        <v>0</v>
      </c>
      <c r="Z348" s="14">
        <f t="shared" ca="1" si="260"/>
        <v>0</v>
      </c>
      <c r="AA348" s="14">
        <f>IF(AND($H348=pt,$F348=11),SUM($K$7:K348)*VLOOKUP(pt,ROC,2,FALSE),0)</f>
        <v>0</v>
      </c>
      <c r="AB348" s="14">
        <f>IF(AND($H348=pt,$F348=11),SUM($V$7:V348)*VLOOKUP(pt,ROC,2,FALSE),0)</f>
        <v>0</v>
      </c>
      <c r="AC348" s="14">
        <f>IF(AND($H348=pt,$F348=11),SUM($Q$7:Q348)*VLOOKUP(pt,ROC,2,FALSE),0)</f>
        <v>0</v>
      </c>
      <c r="AD348" s="14">
        <f t="shared" ca="1" si="261"/>
        <v>0</v>
      </c>
      <c r="AE348" s="14">
        <f ca="1">(MAX(sa-CF347*Flag_UL_Type,105%*SUM($I$7:I348),Z348)+AU348)*B348</f>
        <v>0</v>
      </c>
      <c r="AF348" s="136"/>
      <c r="AG348" s="18">
        <v>342</v>
      </c>
      <c r="AH348" s="30">
        <f t="shared" ca="1" si="262"/>
        <v>0</v>
      </c>
      <c r="AI348" s="58"/>
      <c r="AJ348" s="50">
        <f>IF(AND(Option_Sys_TopUp&gt;="Y",H348&gt;=sytp,H348&lt;=(dtp+sytp-1),F348=0,H348&lt;=ppt+1),atp,0)+IFERROR(VLOOKUP(H348,Input!$B$55:$C$61,2,0),0)*(F348=0)*(Option_TopUP="Y")*(Option_Sys_TopUp="N")*B348*(pt&gt;=H348+5)</f>
        <v>0</v>
      </c>
      <c r="AK348" s="50">
        <f t="shared" si="263"/>
        <v>0</v>
      </c>
      <c r="AL348" s="50">
        <f t="shared" si="284"/>
        <v>0</v>
      </c>
      <c r="AM348" s="50">
        <f t="shared" ca="1" si="285"/>
        <v>0</v>
      </c>
      <c r="AN348" s="50">
        <f>IF(B348=0,0,AT348*(_rpm1+(1+_emr1)*VLOOKUP(E348,Tab_Mort_Charge,IF(Input!$C$12="M",2,3),0))*(0.001*0.0833)*Flag_Mort_Rider_Charge*(AT348&gt;0))</f>
        <v>0</v>
      </c>
      <c r="AO348" s="50">
        <f t="shared" ca="1" si="264"/>
        <v>0</v>
      </c>
      <c r="AP348" s="50">
        <f t="shared" ca="1" si="291"/>
        <v>0</v>
      </c>
      <c r="AQ348" s="50">
        <f t="shared" ca="1" si="265"/>
        <v>0</v>
      </c>
      <c r="AR348" s="50">
        <f t="shared" ca="1" si="266"/>
        <v>0</v>
      </c>
      <c r="AS348" s="50">
        <f t="shared" si="267"/>
        <v>0</v>
      </c>
      <c r="AT348" s="50">
        <f ca="1">(MAX((MAX(AS348,105%*SUM($AJ$7:AJ348))-AM348*Flag_UL_Type),0)*B348)</f>
        <v>0</v>
      </c>
      <c r="AU348" s="50">
        <f ca="1">(MAX(AS348,AR348,105%*SUM($AJ$7:AJ348))*B348)</f>
        <v>0</v>
      </c>
      <c r="AV348" s="125"/>
      <c r="AW348" s="13"/>
      <c r="AX348" s="13"/>
      <c r="AY348" s="13"/>
      <c r="AZ348" s="13"/>
      <c r="BA348" s="13"/>
      <c r="BG348" s="51">
        <f t="shared" si="268"/>
        <v>0</v>
      </c>
      <c r="BH348" s="51">
        <f t="shared" si="269"/>
        <v>0</v>
      </c>
      <c r="BI348" s="51">
        <f t="shared" ca="1" si="270"/>
        <v>0</v>
      </c>
      <c r="BJ348" s="51">
        <f t="shared" ca="1" si="271"/>
        <v>0</v>
      </c>
      <c r="BK348" s="51">
        <f t="shared" si="272"/>
        <v>0</v>
      </c>
      <c r="BL348" s="51">
        <f t="shared" ca="1" si="273"/>
        <v>0</v>
      </c>
      <c r="BM348" s="51">
        <f t="shared" si="274"/>
        <v>0</v>
      </c>
      <c r="BN348" s="51">
        <f t="shared" si="275"/>
        <v>0</v>
      </c>
      <c r="BO348" s="51">
        <f t="shared" ca="1" si="276"/>
        <v>0</v>
      </c>
      <c r="BP348" s="51">
        <f t="shared" ca="1" si="277"/>
        <v>0</v>
      </c>
      <c r="BQ348" s="120"/>
      <c r="BR348" s="32"/>
      <c r="BS348" s="126"/>
      <c r="BT348" s="16"/>
      <c r="BU348" s="58"/>
      <c r="BW348" s="51">
        <f>IF(Input!$C$13="Offline",VLOOKUP(H348,Charges!$AT$4:$AU$33,2,FALSE)*I348,0)</f>
        <v>0</v>
      </c>
      <c r="BX348" s="51">
        <f t="shared" si="278"/>
        <v>0</v>
      </c>
      <c r="BY348" s="51">
        <f t="shared" si="286"/>
        <v>0</v>
      </c>
      <c r="BZ348" s="151"/>
      <c r="CA348" s="151"/>
      <c r="CB348" s="32"/>
      <c r="CC348" s="16">
        <f ca="1">SUM($N$7:$N348)</f>
        <v>0</v>
      </c>
      <c r="CD348" s="16">
        <f t="shared" ca="1" si="279"/>
        <v>0</v>
      </c>
      <c r="CE348" s="16">
        <f t="shared" ca="1" si="280"/>
        <v>0</v>
      </c>
      <c r="CF348" s="7">
        <f t="shared" ca="1" si="281"/>
        <v>0</v>
      </c>
      <c r="CH348" s="7">
        <f t="shared" ca="1" si="282"/>
        <v>0</v>
      </c>
    </row>
    <row r="349" spans="2:86" s="7" customFormat="1" x14ac:dyDescent="0.2">
      <c r="B349" s="14">
        <f t="shared" si="246"/>
        <v>0</v>
      </c>
      <c r="C349" s="12">
        <f t="shared" si="247"/>
        <v>0</v>
      </c>
      <c r="D349" s="17">
        <f t="shared" si="287"/>
        <v>343</v>
      </c>
      <c r="E349" s="17">
        <f t="shared" ca="1" si="248"/>
        <v>88</v>
      </c>
      <c r="F349" s="12">
        <f t="shared" si="289"/>
        <v>6</v>
      </c>
      <c r="G349" s="12">
        <f t="shared" si="288"/>
        <v>58</v>
      </c>
      <c r="H349" s="17">
        <f t="shared" si="290"/>
        <v>29</v>
      </c>
      <c r="I349" s="29">
        <f t="shared" si="249"/>
        <v>0</v>
      </c>
      <c r="J349" s="211">
        <f>IFERROR(VLOOKUP(H349,Charges!$T$6:$U$35,2,0)*C349,0)</f>
        <v>0</v>
      </c>
      <c r="K349" s="29">
        <f t="shared" si="250"/>
        <v>0</v>
      </c>
      <c r="L349" s="29">
        <f t="shared" si="251"/>
        <v>0</v>
      </c>
      <c r="M349" s="147">
        <f t="shared" ca="1" si="252"/>
        <v>0</v>
      </c>
      <c r="N349" s="148">
        <f ca="1">IF(AND(Option_SPW="Y",H349&gt;=Lock_In_Period,Z348&gt;SPW_Amount_pa+IF(option="Single",1/5*pr,2*pr),H349&gt;=SPW_Start_Year,H349&lt;=SPW_Start_Year+SPW_Duration-1,age+H349&gt;=Legal_Age),IF(AND(F349=0,SPW_Payout_Freq=1),SPW_Amount_pa,IF(AND(SPW_Payout_Freq=2,MOD(F349,6)=0),SPW_Amount_pa/SPW_Payout_Freq,IF(AND(SPW_Payout_Freq=4,MOD(F349,3)=0),SPW_Amount_pa/SPW_Payout_Freq,IF(SPW_Payout_Freq=12,SPW_Amount_pa/SPW_Payout_Freq,0)))),0)+IFERROR(VLOOKUP(H349,Input!$B$68:$C$74,2,0),0)*(F349=0)*(Option_PW="Y")*(Option_SPW="N")*(age+H349&gt;=Legal_Age)</f>
        <v>0</v>
      </c>
      <c r="O349" s="148">
        <f t="shared" ca="1" si="253"/>
        <v>0</v>
      </c>
      <c r="P349" s="14">
        <f ca="1">(MAX(MAX(sa-CF348*Flag_UL_Type,105%*SUM($I$7:I349))-(AD348+L349-N349)*Flag_UL_Type,0)*B349)</f>
        <v>0</v>
      </c>
      <c r="Q349" s="213">
        <f t="shared" si="254"/>
        <v>0</v>
      </c>
      <c r="R349" s="14">
        <f t="shared" ca="1" si="255"/>
        <v>0</v>
      </c>
      <c r="S349" s="14">
        <f t="shared" ca="1" si="256"/>
        <v>0</v>
      </c>
      <c r="T349" s="14">
        <f>IFERROR(IF(WoP_Flag="Y",IF(fq=1,VLOOKUP(ppt*fq-H349,Charges!$AN$41:$AO$59,2,FALSE),IF(fq=2,VLOOKUP(ppt*fq-G349,Charges!$AP$41:$AQ$79,2,FALSE),VLOOKUP(ppt*fq-D349,Charges!$AR$41:$AS$279,2,FALSE)))*pr/fq,0),0)</f>
        <v>0</v>
      </c>
      <c r="U349" s="14">
        <f t="shared" ca="1" si="257"/>
        <v>0</v>
      </c>
      <c r="V349" s="34">
        <f>ROUND(MIN(IF(H349&gt;=7,Charges!$C$12*(1+Charges!$C$14)^((H349-7+1)),VLOOKUP(H349,Charges!$B$7:$C$12,2,0))*pr,Charges!$C$13)*B349,Round)</f>
        <v>0</v>
      </c>
      <c r="W349" s="14">
        <f t="shared" ca="1" si="258"/>
        <v>0</v>
      </c>
      <c r="X349" s="14">
        <f t="shared" ca="1" si="259"/>
        <v>0</v>
      </c>
      <c r="Y349" s="213">
        <f t="shared" ca="1" si="283"/>
        <v>0</v>
      </c>
      <c r="Z349" s="14">
        <f t="shared" ca="1" si="260"/>
        <v>0</v>
      </c>
      <c r="AA349" s="14">
        <f>IF(AND($H349=pt,$F349=11),SUM($K$7:K349)*VLOOKUP(pt,ROC,2,FALSE),0)</f>
        <v>0</v>
      </c>
      <c r="AB349" s="14">
        <f>IF(AND($H349=pt,$F349=11),SUM($V$7:V349)*VLOOKUP(pt,ROC,2,FALSE),0)</f>
        <v>0</v>
      </c>
      <c r="AC349" s="14">
        <f>IF(AND($H349=pt,$F349=11),SUM($Q$7:Q349)*VLOOKUP(pt,ROC,2,FALSE),0)</f>
        <v>0</v>
      </c>
      <c r="AD349" s="14">
        <f t="shared" ca="1" si="261"/>
        <v>0</v>
      </c>
      <c r="AE349" s="14">
        <f ca="1">(MAX(sa-CF348*Flag_UL_Type,105%*SUM($I$7:I349),Z349)+AU349)*B349</f>
        <v>0</v>
      </c>
      <c r="AF349" s="136"/>
      <c r="AG349" s="18">
        <v>343</v>
      </c>
      <c r="AH349" s="30">
        <f t="shared" ca="1" si="262"/>
        <v>0</v>
      </c>
      <c r="AI349" s="58"/>
      <c r="AJ349" s="50">
        <f>IF(AND(Option_Sys_TopUp&gt;="Y",H349&gt;=sytp,H349&lt;=(dtp+sytp-1),F349=0,H349&lt;=ppt+1),atp,0)+IFERROR(VLOOKUP(H349,Input!$B$55:$C$61,2,0),0)*(F349=0)*(Option_TopUP="Y")*(Option_Sys_TopUp="N")*B349*(pt&gt;=H349+5)</f>
        <v>0</v>
      </c>
      <c r="AK349" s="50">
        <f t="shared" si="263"/>
        <v>0</v>
      </c>
      <c r="AL349" s="50">
        <f t="shared" si="284"/>
        <v>0</v>
      </c>
      <c r="AM349" s="50">
        <f t="shared" ca="1" si="285"/>
        <v>0</v>
      </c>
      <c r="AN349" s="50">
        <f>IF(B349=0,0,AT349*(_rpm1+(1+_emr1)*VLOOKUP(E349,Tab_Mort_Charge,IF(Input!$C$12="M",2,3),0))*(0.001*0.0833)*Flag_Mort_Rider_Charge*(AT349&gt;0))</f>
        <v>0</v>
      </c>
      <c r="AO349" s="50">
        <f t="shared" ca="1" si="264"/>
        <v>0</v>
      </c>
      <c r="AP349" s="50">
        <f t="shared" ca="1" si="291"/>
        <v>0</v>
      </c>
      <c r="AQ349" s="50">
        <f t="shared" ca="1" si="265"/>
        <v>0</v>
      </c>
      <c r="AR349" s="50">
        <f t="shared" ca="1" si="266"/>
        <v>0</v>
      </c>
      <c r="AS349" s="50">
        <f t="shared" si="267"/>
        <v>0</v>
      </c>
      <c r="AT349" s="50">
        <f ca="1">(MAX((MAX(AS349,105%*SUM($AJ$7:AJ349))-AM349*Flag_UL_Type),0)*B349)</f>
        <v>0</v>
      </c>
      <c r="AU349" s="50">
        <f ca="1">(MAX(AS349,AR349,105%*SUM($AJ$7:AJ349))*B349)</f>
        <v>0</v>
      </c>
      <c r="AV349" s="125"/>
      <c r="AW349" s="13"/>
      <c r="AX349" s="13"/>
      <c r="AY349" s="13"/>
      <c r="AZ349" s="13"/>
      <c r="BA349" s="13"/>
      <c r="BG349" s="51">
        <f t="shared" si="268"/>
        <v>0</v>
      </c>
      <c r="BH349" s="51">
        <f t="shared" si="269"/>
        <v>0</v>
      </c>
      <c r="BI349" s="51">
        <f t="shared" ca="1" si="270"/>
        <v>0</v>
      </c>
      <c r="BJ349" s="51">
        <f t="shared" ca="1" si="271"/>
        <v>0</v>
      </c>
      <c r="BK349" s="51">
        <f t="shared" si="272"/>
        <v>0</v>
      </c>
      <c r="BL349" s="51">
        <f t="shared" ca="1" si="273"/>
        <v>0</v>
      </c>
      <c r="BM349" s="51">
        <f t="shared" si="274"/>
        <v>0</v>
      </c>
      <c r="BN349" s="51">
        <f t="shared" si="275"/>
        <v>0</v>
      </c>
      <c r="BO349" s="51">
        <f t="shared" ca="1" si="276"/>
        <v>0</v>
      </c>
      <c r="BP349" s="51">
        <f t="shared" ca="1" si="277"/>
        <v>0</v>
      </c>
      <c r="BQ349" s="120"/>
      <c r="BR349" s="32"/>
      <c r="BS349" s="126"/>
      <c r="BT349" s="16"/>
      <c r="BU349" s="58"/>
      <c r="BW349" s="51">
        <f>IF(Input!$C$13="Offline",VLOOKUP(H349,Charges!$AT$4:$AU$33,2,FALSE)*I349,0)</f>
        <v>0</v>
      </c>
      <c r="BX349" s="51">
        <f t="shared" si="278"/>
        <v>0</v>
      </c>
      <c r="BY349" s="51">
        <f t="shared" si="286"/>
        <v>0</v>
      </c>
      <c r="BZ349" s="151"/>
      <c r="CA349" s="151"/>
      <c r="CB349" s="32"/>
      <c r="CC349" s="16">
        <f ca="1">SUM($N$7:$N349)</f>
        <v>0</v>
      </c>
      <c r="CD349" s="16">
        <f t="shared" ca="1" si="279"/>
        <v>0</v>
      </c>
      <c r="CE349" s="16">
        <f t="shared" ca="1" si="280"/>
        <v>0</v>
      </c>
      <c r="CF349" s="7">
        <f t="shared" ca="1" si="281"/>
        <v>0</v>
      </c>
      <c r="CH349" s="7">
        <f t="shared" ca="1" si="282"/>
        <v>0</v>
      </c>
    </row>
    <row r="350" spans="2:86" s="7" customFormat="1" x14ac:dyDescent="0.2">
      <c r="B350" s="14">
        <f t="shared" si="246"/>
        <v>0</v>
      </c>
      <c r="C350" s="12">
        <f t="shared" si="247"/>
        <v>0</v>
      </c>
      <c r="D350" s="17">
        <f t="shared" si="287"/>
        <v>344</v>
      </c>
      <c r="E350" s="17">
        <f t="shared" ca="1" si="248"/>
        <v>88</v>
      </c>
      <c r="F350" s="12">
        <f t="shared" si="289"/>
        <v>7</v>
      </c>
      <c r="G350" s="12">
        <f t="shared" si="288"/>
        <v>58</v>
      </c>
      <c r="H350" s="17">
        <f t="shared" si="290"/>
        <v>29</v>
      </c>
      <c r="I350" s="29">
        <f t="shared" si="249"/>
        <v>0</v>
      </c>
      <c r="J350" s="211">
        <f>IFERROR(VLOOKUP(H350,Charges!$T$6:$U$35,2,0)*C350,0)</f>
        <v>0</v>
      </c>
      <c r="K350" s="29">
        <f t="shared" si="250"/>
        <v>0</v>
      </c>
      <c r="L350" s="29">
        <f t="shared" si="251"/>
        <v>0</v>
      </c>
      <c r="M350" s="147">
        <f t="shared" ca="1" si="252"/>
        <v>0</v>
      </c>
      <c r="N350" s="148">
        <f ca="1">IF(AND(Option_SPW="Y",H350&gt;=Lock_In_Period,Z349&gt;SPW_Amount_pa+IF(option="Single",1/5*pr,2*pr),H350&gt;=SPW_Start_Year,H350&lt;=SPW_Start_Year+SPW_Duration-1,age+H350&gt;=Legal_Age),IF(AND(F350=0,SPW_Payout_Freq=1),SPW_Amount_pa,IF(AND(SPW_Payout_Freq=2,MOD(F350,6)=0),SPW_Amount_pa/SPW_Payout_Freq,IF(AND(SPW_Payout_Freq=4,MOD(F350,3)=0),SPW_Amount_pa/SPW_Payout_Freq,IF(SPW_Payout_Freq=12,SPW_Amount_pa/SPW_Payout_Freq,0)))),0)+IFERROR(VLOOKUP(H350,Input!$B$68:$C$74,2,0),0)*(F350=0)*(Option_PW="Y")*(Option_SPW="N")*(age+H350&gt;=Legal_Age)</f>
        <v>0</v>
      </c>
      <c r="O350" s="148">
        <f t="shared" ca="1" si="253"/>
        <v>0</v>
      </c>
      <c r="P350" s="14">
        <f ca="1">(MAX(MAX(sa-CF349*Flag_UL_Type,105%*SUM($I$7:I350))-(AD349+L350-N350)*Flag_UL_Type,0)*B350)</f>
        <v>0</v>
      </c>
      <c r="Q350" s="213">
        <f t="shared" si="254"/>
        <v>0</v>
      </c>
      <c r="R350" s="14">
        <f t="shared" ca="1" si="255"/>
        <v>0</v>
      </c>
      <c r="S350" s="14">
        <f t="shared" ca="1" si="256"/>
        <v>0</v>
      </c>
      <c r="T350" s="14">
        <f>IFERROR(IF(WoP_Flag="Y",IF(fq=1,VLOOKUP(ppt*fq-H350,Charges!$AN$41:$AO$59,2,FALSE),IF(fq=2,VLOOKUP(ppt*fq-G350,Charges!$AP$41:$AQ$79,2,FALSE),VLOOKUP(ppt*fq-D350,Charges!$AR$41:$AS$279,2,FALSE)))*pr/fq,0),0)</f>
        <v>0</v>
      </c>
      <c r="U350" s="14">
        <f t="shared" ca="1" si="257"/>
        <v>0</v>
      </c>
      <c r="V350" s="34">
        <f>ROUND(MIN(IF(H350&gt;=7,Charges!$C$12*(1+Charges!$C$14)^((H350-7+1)),VLOOKUP(H350,Charges!$B$7:$C$12,2,0))*pr,Charges!$C$13)*B350,Round)</f>
        <v>0</v>
      </c>
      <c r="W350" s="14">
        <f t="shared" ca="1" si="258"/>
        <v>0</v>
      </c>
      <c r="X350" s="14">
        <f t="shared" ca="1" si="259"/>
        <v>0</v>
      </c>
      <c r="Y350" s="213">
        <f t="shared" ca="1" si="283"/>
        <v>0</v>
      </c>
      <c r="Z350" s="14">
        <f t="shared" ca="1" si="260"/>
        <v>0</v>
      </c>
      <c r="AA350" s="14">
        <f>IF(AND($H350=pt,$F350=11),SUM($K$7:K350)*VLOOKUP(pt,ROC,2,FALSE),0)</f>
        <v>0</v>
      </c>
      <c r="AB350" s="14">
        <f>IF(AND($H350=pt,$F350=11),SUM($V$7:V350)*VLOOKUP(pt,ROC,2,FALSE),0)</f>
        <v>0</v>
      </c>
      <c r="AC350" s="14">
        <f>IF(AND($H350=pt,$F350=11),SUM($Q$7:Q350)*VLOOKUP(pt,ROC,2,FALSE),0)</f>
        <v>0</v>
      </c>
      <c r="AD350" s="14">
        <f t="shared" ca="1" si="261"/>
        <v>0</v>
      </c>
      <c r="AE350" s="14">
        <f ca="1">(MAX(sa-CF349*Flag_UL_Type,105%*SUM($I$7:I350),Z350)+AU350)*B350</f>
        <v>0</v>
      </c>
      <c r="AF350" s="136"/>
      <c r="AG350" s="18">
        <v>344</v>
      </c>
      <c r="AH350" s="30">
        <f t="shared" ca="1" si="262"/>
        <v>0</v>
      </c>
      <c r="AI350" s="58"/>
      <c r="AJ350" s="50">
        <f>IF(AND(Option_Sys_TopUp&gt;="Y",H350&gt;=sytp,H350&lt;=(dtp+sytp-1),F350=0,H350&lt;=ppt+1),atp,0)+IFERROR(VLOOKUP(H350,Input!$B$55:$C$61,2,0),0)*(F350=0)*(Option_TopUP="Y")*(Option_Sys_TopUp="N")*B350*(pt&gt;=H350+5)</f>
        <v>0</v>
      </c>
      <c r="AK350" s="50">
        <f t="shared" si="263"/>
        <v>0</v>
      </c>
      <c r="AL350" s="50">
        <f t="shared" si="284"/>
        <v>0</v>
      </c>
      <c r="AM350" s="50">
        <f t="shared" ca="1" si="285"/>
        <v>0</v>
      </c>
      <c r="AN350" s="50">
        <f>IF(B350=0,0,AT350*(_rpm1+(1+_emr1)*VLOOKUP(E350,Tab_Mort_Charge,IF(Input!$C$12="M",2,3),0))*(0.001*0.0833)*Flag_Mort_Rider_Charge*(AT350&gt;0))</f>
        <v>0</v>
      </c>
      <c r="AO350" s="50">
        <f t="shared" ca="1" si="264"/>
        <v>0</v>
      </c>
      <c r="AP350" s="50">
        <f t="shared" ca="1" si="291"/>
        <v>0</v>
      </c>
      <c r="AQ350" s="50">
        <f t="shared" ca="1" si="265"/>
        <v>0</v>
      </c>
      <c r="AR350" s="50">
        <f t="shared" ca="1" si="266"/>
        <v>0</v>
      </c>
      <c r="AS350" s="50">
        <f t="shared" si="267"/>
        <v>0</v>
      </c>
      <c r="AT350" s="50">
        <f ca="1">(MAX((MAX(AS350,105%*SUM($AJ$7:AJ350))-AM350*Flag_UL_Type),0)*B350)</f>
        <v>0</v>
      </c>
      <c r="AU350" s="50">
        <f ca="1">(MAX(AS350,AR350,105%*SUM($AJ$7:AJ350))*B350)</f>
        <v>0</v>
      </c>
      <c r="AV350" s="125"/>
      <c r="AW350" s="13"/>
      <c r="AX350" s="13"/>
      <c r="AY350" s="13"/>
      <c r="AZ350" s="13"/>
      <c r="BA350" s="13"/>
      <c r="BG350" s="51">
        <f t="shared" si="268"/>
        <v>0</v>
      </c>
      <c r="BH350" s="51">
        <f t="shared" si="269"/>
        <v>0</v>
      </c>
      <c r="BI350" s="51">
        <f t="shared" ca="1" si="270"/>
        <v>0</v>
      </c>
      <c r="BJ350" s="51">
        <f t="shared" ca="1" si="271"/>
        <v>0</v>
      </c>
      <c r="BK350" s="51">
        <f t="shared" si="272"/>
        <v>0</v>
      </c>
      <c r="BL350" s="51">
        <f t="shared" ca="1" si="273"/>
        <v>0</v>
      </c>
      <c r="BM350" s="51">
        <f t="shared" si="274"/>
        <v>0</v>
      </c>
      <c r="BN350" s="51">
        <f t="shared" si="275"/>
        <v>0</v>
      </c>
      <c r="BO350" s="51">
        <f t="shared" ca="1" si="276"/>
        <v>0</v>
      </c>
      <c r="BP350" s="51">
        <f t="shared" ca="1" si="277"/>
        <v>0</v>
      </c>
      <c r="BQ350" s="120"/>
      <c r="BR350" s="32"/>
      <c r="BS350" s="126"/>
      <c r="BT350" s="16"/>
      <c r="BU350" s="58"/>
      <c r="BW350" s="51">
        <f>IF(Input!$C$13="Offline",VLOOKUP(H350,Charges!$AT$4:$AU$33,2,FALSE)*I350,0)</f>
        <v>0</v>
      </c>
      <c r="BX350" s="51">
        <f t="shared" si="278"/>
        <v>0</v>
      </c>
      <c r="BY350" s="51">
        <f t="shared" si="286"/>
        <v>0</v>
      </c>
      <c r="BZ350" s="151"/>
      <c r="CA350" s="151"/>
      <c r="CB350" s="32"/>
      <c r="CC350" s="16">
        <f ca="1">SUM($N$7:$N350)</f>
        <v>0</v>
      </c>
      <c r="CD350" s="16">
        <f t="shared" ca="1" si="279"/>
        <v>0</v>
      </c>
      <c r="CE350" s="16">
        <f t="shared" ca="1" si="280"/>
        <v>0</v>
      </c>
      <c r="CF350" s="7">
        <f t="shared" ca="1" si="281"/>
        <v>0</v>
      </c>
      <c r="CH350" s="7">
        <f t="shared" ca="1" si="282"/>
        <v>0</v>
      </c>
    </row>
    <row r="351" spans="2:86" s="7" customFormat="1" x14ac:dyDescent="0.2">
      <c r="B351" s="14">
        <f t="shared" si="246"/>
        <v>0</v>
      </c>
      <c r="C351" s="12">
        <f t="shared" si="247"/>
        <v>0</v>
      </c>
      <c r="D351" s="17">
        <f t="shared" si="287"/>
        <v>345</v>
      </c>
      <c r="E351" s="17">
        <f t="shared" ca="1" si="248"/>
        <v>88</v>
      </c>
      <c r="F351" s="12">
        <f t="shared" si="289"/>
        <v>8</v>
      </c>
      <c r="G351" s="12">
        <f t="shared" si="288"/>
        <v>58</v>
      </c>
      <c r="H351" s="17">
        <f t="shared" si="290"/>
        <v>29</v>
      </c>
      <c r="I351" s="29">
        <f t="shared" si="249"/>
        <v>0</v>
      </c>
      <c r="J351" s="211">
        <f>IFERROR(VLOOKUP(H351,Charges!$T$6:$U$35,2,0)*C351,0)</f>
        <v>0</v>
      </c>
      <c r="K351" s="29">
        <f t="shared" si="250"/>
        <v>0</v>
      </c>
      <c r="L351" s="29">
        <f t="shared" si="251"/>
        <v>0</v>
      </c>
      <c r="M351" s="147">
        <f t="shared" ca="1" si="252"/>
        <v>0</v>
      </c>
      <c r="N351" s="148">
        <f ca="1">IF(AND(Option_SPW="Y",H351&gt;=Lock_In_Period,Z350&gt;SPW_Amount_pa+IF(option="Single",1/5*pr,2*pr),H351&gt;=SPW_Start_Year,H351&lt;=SPW_Start_Year+SPW_Duration-1,age+H351&gt;=Legal_Age),IF(AND(F351=0,SPW_Payout_Freq=1),SPW_Amount_pa,IF(AND(SPW_Payout_Freq=2,MOD(F351,6)=0),SPW_Amount_pa/SPW_Payout_Freq,IF(AND(SPW_Payout_Freq=4,MOD(F351,3)=0),SPW_Amount_pa/SPW_Payout_Freq,IF(SPW_Payout_Freq=12,SPW_Amount_pa/SPW_Payout_Freq,0)))),0)+IFERROR(VLOOKUP(H351,Input!$B$68:$C$74,2,0),0)*(F351=0)*(Option_PW="Y")*(Option_SPW="N")*(age+H351&gt;=Legal_Age)</f>
        <v>0</v>
      </c>
      <c r="O351" s="148">
        <f t="shared" ca="1" si="253"/>
        <v>0</v>
      </c>
      <c r="P351" s="14">
        <f ca="1">(MAX(MAX(sa-CF350*Flag_UL_Type,105%*SUM($I$7:I351))-(AD350+L351-N351)*Flag_UL_Type,0)*B351)</f>
        <v>0</v>
      </c>
      <c r="Q351" s="213">
        <f t="shared" si="254"/>
        <v>0</v>
      </c>
      <c r="R351" s="14">
        <f t="shared" ca="1" si="255"/>
        <v>0</v>
      </c>
      <c r="S351" s="14">
        <f t="shared" ca="1" si="256"/>
        <v>0</v>
      </c>
      <c r="T351" s="14">
        <f>IFERROR(IF(WoP_Flag="Y",IF(fq=1,VLOOKUP(ppt*fq-H351,Charges!$AN$41:$AO$59,2,FALSE),IF(fq=2,VLOOKUP(ppt*fq-G351,Charges!$AP$41:$AQ$79,2,FALSE),VLOOKUP(ppt*fq-D351,Charges!$AR$41:$AS$279,2,FALSE)))*pr/fq,0),0)</f>
        <v>0</v>
      </c>
      <c r="U351" s="14">
        <f t="shared" ca="1" si="257"/>
        <v>0</v>
      </c>
      <c r="V351" s="34">
        <f>ROUND(MIN(IF(H351&gt;=7,Charges!$C$12*(1+Charges!$C$14)^((H351-7+1)),VLOOKUP(H351,Charges!$B$7:$C$12,2,0))*pr,Charges!$C$13)*B351,Round)</f>
        <v>0</v>
      </c>
      <c r="W351" s="14">
        <f t="shared" ca="1" si="258"/>
        <v>0</v>
      </c>
      <c r="X351" s="14">
        <f t="shared" ca="1" si="259"/>
        <v>0</v>
      </c>
      <c r="Y351" s="213">
        <f t="shared" ca="1" si="283"/>
        <v>0</v>
      </c>
      <c r="Z351" s="14">
        <f t="shared" ca="1" si="260"/>
        <v>0</v>
      </c>
      <c r="AA351" s="14">
        <f>IF(AND($H351=pt,$F351=11),SUM($K$7:K351)*VLOOKUP(pt,ROC,2,FALSE),0)</f>
        <v>0</v>
      </c>
      <c r="AB351" s="14">
        <f>IF(AND($H351=pt,$F351=11),SUM($V$7:V351)*VLOOKUP(pt,ROC,2,FALSE),0)</f>
        <v>0</v>
      </c>
      <c r="AC351" s="14">
        <f>IF(AND($H351=pt,$F351=11),SUM($Q$7:Q351)*VLOOKUP(pt,ROC,2,FALSE),0)</f>
        <v>0</v>
      </c>
      <c r="AD351" s="14">
        <f t="shared" ca="1" si="261"/>
        <v>0</v>
      </c>
      <c r="AE351" s="14">
        <f ca="1">(MAX(sa-CF350*Flag_UL_Type,105%*SUM($I$7:I351),Z351)+AU351)*B351</f>
        <v>0</v>
      </c>
      <c r="AF351" s="136"/>
      <c r="AG351" s="18">
        <v>345</v>
      </c>
      <c r="AH351" s="30">
        <f t="shared" ca="1" si="262"/>
        <v>0</v>
      </c>
      <c r="AI351" s="58"/>
      <c r="AJ351" s="50">
        <f>IF(AND(Option_Sys_TopUp&gt;="Y",H351&gt;=sytp,H351&lt;=(dtp+sytp-1),F351=0,H351&lt;=ppt+1),atp,0)+IFERROR(VLOOKUP(H351,Input!$B$55:$C$61,2,0),0)*(F351=0)*(Option_TopUP="Y")*(Option_Sys_TopUp="N")*B351*(pt&gt;=H351+5)</f>
        <v>0</v>
      </c>
      <c r="AK351" s="50">
        <f t="shared" si="263"/>
        <v>0</v>
      </c>
      <c r="AL351" s="50">
        <f t="shared" si="284"/>
        <v>0</v>
      </c>
      <c r="AM351" s="50">
        <f t="shared" ca="1" si="285"/>
        <v>0</v>
      </c>
      <c r="AN351" s="50">
        <f>IF(B351=0,0,AT351*(_rpm1+(1+_emr1)*VLOOKUP(E351,Tab_Mort_Charge,IF(Input!$C$12="M",2,3),0))*(0.001*0.0833)*Flag_Mort_Rider_Charge*(AT351&gt;0))</f>
        <v>0</v>
      </c>
      <c r="AO351" s="50">
        <f t="shared" ca="1" si="264"/>
        <v>0</v>
      </c>
      <c r="AP351" s="50">
        <f t="shared" ca="1" si="291"/>
        <v>0</v>
      </c>
      <c r="AQ351" s="50">
        <f t="shared" ca="1" si="265"/>
        <v>0</v>
      </c>
      <c r="AR351" s="50">
        <f t="shared" ca="1" si="266"/>
        <v>0</v>
      </c>
      <c r="AS351" s="50">
        <f t="shared" si="267"/>
        <v>0</v>
      </c>
      <c r="AT351" s="50">
        <f ca="1">(MAX((MAX(AS351,105%*SUM($AJ$7:AJ351))-AM351*Flag_UL_Type),0)*B351)</f>
        <v>0</v>
      </c>
      <c r="AU351" s="50">
        <f ca="1">(MAX(AS351,AR351,105%*SUM($AJ$7:AJ351))*B351)</f>
        <v>0</v>
      </c>
      <c r="AV351" s="125"/>
      <c r="AW351" s="13"/>
      <c r="AX351" s="13"/>
      <c r="AY351" s="13"/>
      <c r="AZ351" s="13"/>
      <c r="BA351" s="13"/>
      <c r="BG351" s="51">
        <f t="shared" si="268"/>
        <v>0</v>
      </c>
      <c r="BH351" s="51">
        <f t="shared" si="269"/>
        <v>0</v>
      </c>
      <c r="BI351" s="51">
        <f t="shared" ca="1" si="270"/>
        <v>0</v>
      </c>
      <c r="BJ351" s="51">
        <f t="shared" ca="1" si="271"/>
        <v>0</v>
      </c>
      <c r="BK351" s="51">
        <f t="shared" si="272"/>
        <v>0</v>
      </c>
      <c r="BL351" s="51">
        <f t="shared" ca="1" si="273"/>
        <v>0</v>
      </c>
      <c r="BM351" s="51">
        <f t="shared" si="274"/>
        <v>0</v>
      </c>
      <c r="BN351" s="51">
        <f t="shared" si="275"/>
        <v>0</v>
      </c>
      <c r="BO351" s="51">
        <f t="shared" ca="1" si="276"/>
        <v>0</v>
      </c>
      <c r="BP351" s="51">
        <f t="shared" ca="1" si="277"/>
        <v>0</v>
      </c>
      <c r="BQ351" s="120"/>
      <c r="BR351" s="32"/>
      <c r="BS351" s="126"/>
      <c r="BT351" s="16"/>
      <c r="BU351" s="58"/>
      <c r="BW351" s="51">
        <f>IF(Input!$C$13="Offline",VLOOKUP(H351,Charges!$AT$4:$AU$33,2,FALSE)*I351,0)</f>
        <v>0</v>
      </c>
      <c r="BX351" s="51">
        <f t="shared" si="278"/>
        <v>0</v>
      </c>
      <c r="BY351" s="51">
        <f t="shared" si="286"/>
        <v>0</v>
      </c>
      <c r="BZ351" s="151"/>
      <c r="CA351" s="151"/>
      <c r="CB351" s="32"/>
      <c r="CC351" s="16">
        <f ca="1">SUM($N$7:$N351)</f>
        <v>0</v>
      </c>
      <c r="CD351" s="16">
        <f t="shared" ca="1" si="279"/>
        <v>0</v>
      </c>
      <c r="CE351" s="16">
        <f t="shared" ca="1" si="280"/>
        <v>0</v>
      </c>
      <c r="CF351" s="7">
        <f t="shared" ca="1" si="281"/>
        <v>0</v>
      </c>
      <c r="CH351" s="7">
        <f t="shared" ca="1" si="282"/>
        <v>0</v>
      </c>
    </row>
    <row r="352" spans="2:86" s="7" customFormat="1" x14ac:dyDescent="0.2">
      <c r="B352" s="14">
        <f t="shared" si="246"/>
        <v>0</v>
      </c>
      <c r="C352" s="12">
        <f t="shared" si="247"/>
        <v>0</v>
      </c>
      <c r="D352" s="17">
        <f t="shared" si="287"/>
        <v>346</v>
      </c>
      <c r="E352" s="17">
        <f t="shared" ca="1" si="248"/>
        <v>88</v>
      </c>
      <c r="F352" s="12">
        <f t="shared" si="289"/>
        <v>9</v>
      </c>
      <c r="G352" s="12">
        <f t="shared" si="288"/>
        <v>58</v>
      </c>
      <c r="H352" s="17">
        <f t="shared" si="290"/>
        <v>29</v>
      </c>
      <c r="I352" s="29">
        <f t="shared" si="249"/>
        <v>0</v>
      </c>
      <c r="J352" s="211">
        <f>IFERROR(VLOOKUP(H352,Charges!$T$6:$U$35,2,0)*C352,0)</f>
        <v>0</v>
      </c>
      <c r="K352" s="29">
        <f t="shared" si="250"/>
        <v>0</v>
      </c>
      <c r="L352" s="29">
        <f t="shared" si="251"/>
        <v>0</v>
      </c>
      <c r="M352" s="147">
        <f t="shared" ca="1" si="252"/>
        <v>0</v>
      </c>
      <c r="N352" s="148">
        <f ca="1">IF(AND(Option_SPW="Y",H352&gt;=Lock_In_Period,Z351&gt;SPW_Amount_pa+IF(option="Single",1/5*pr,2*pr),H352&gt;=SPW_Start_Year,H352&lt;=SPW_Start_Year+SPW_Duration-1,age+H352&gt;=Legal_Age),IF(AND(F352=0,SPW_Payout_Freq=1),SPW_Amount_pa,IF(AND(SPW_Payout_Freq=2,MOD(F352,6)=0),SPW_Amount_pa/SPW_Payout_Freq,IF(AND(SPW_Payout_Freq=4,MOD(F352,3)=0),SPW_Amount_pa/SPW_Payout_Freq,IF(SPW_Payout_Freq=12,SPW_Amount_pa/SPW_Payout_Freq,0)))),0)+IFERROR(VLOOKUP(H352,Input!$B$68:$C$74,2,0),0)*(F352=0)*(Option_PW="Y")*(Option_SPW="N")*(age+H352&gt;=Legal_Age)</f>
        <v>0</v>
      </c>
      <c r="O352" s="148">
        <f t="shared" ca="1" si="253"/>
        <v>0</v>
      </c>
      <c r="P352" s="14">
        <f ca="1">(MAX(MAX(sa-CF351*Flag_UL_Type,105%*SUM($I$7:I352))-(AD351+L352-N352)*Flag_UL_Type,0)*B352)</f>
        <v>0</v>
      </c>
      <c r="Q352" s="213">
        <f t="shared" si="254"/>
        <v>0</v>
      </c>
      <c r="R352" s="14">
        <f t="shared" ca="1" si="255"/>
        <v>0</v>
      </c>
      <c r="S352" s="14">
        <f t="shared" ca="1" si="256"/>
        <v>0</v>
      </c>
      <c r="T352" s="14">
        <f>IFERROR(IF(WoP_Flag="Y",IF(fq=1,VLOOKUP(ppt*fq-H352,Charges!$AN$41:$AO$59,2,FALSE),IF(fq=2,VLOOKUP(ppt*fq-G352,Charges!$AP$41:$AQ$79,2,FALSE),VLOOKUP(ppt*fq-D352,Charges!$AR$41:$AS$279,2,FALSE)))*pr/fq,0),0)</f>
        <v>0</v>
      </c>
      <c r="U352" s="14">
        <f t="shared" ca="1" si="257"/>
        <v>0</v>
      </c>
      <c r="V352" s="34">
        <f>ROUND(MIN(IF(H352&gt;=7,Charges!$C$12*(1+Charges!$C$14)^((H352-7+1)),VLOOKUP(H352,Charges!$B$7:$C$12,2,0))*pr,Charges!$C$13)*B352,Round)</f>
        <v>0</v>
      </c>
      <c r="W352" s="14">
        <f t="shared" ca="1" si="258"/>
        <v>0</v>
      </c>
      <c r="X352" s="14">
        <f t="shared" ca="1" si="259"/>
        <v>0</v>
      </c>
      <c r="Y352" s="213">
        <f t="shared" ca="1" si="283"/>
        <v>0</v>
      </c>
      <c r="Z352" s="14">
        <f t="shared" ca="1" si="260"/>
        <v>0</v>
      </c>
      <c r="AA352" s="14">
        <f>IF(AND($H352=pt,$F352=11),SUM($K$7:K352)*VLOOKUP(pt,ROC,2,FALSE),0)</f>
        <v>0</v>
      </c>
      <c r="AB352" s="14">
        <f>IF(AND($H352=pt,$F352=11),SUM($V$7:V352)*VLOOKUP(pt,ROC,2,FALSE),0)</f>
        <v>0</v>
      </c>
      <c r="AC352" s="14">
        <f>IF(AND($H352=pt,$F352=11),SUM($Q$7:Q352)*VLOOKUP(pt,ROC,2,FALSE),0)</f>
        <v>0</v>
      </c>
      <c r="AD352" s="14">
        <f t="shared" ca="1" si="261"/>
        <v>0</v>
      </c>
      <c r="AE352" s="14">
        <f ca="1">(MAX(sa-CF351*Flag_UL_Type,105%*SUM($I$7:I352),Z352)+AU352)*B352</f>
        <v>0</v>
      </c>
      <c r="AF352" s="136"/>
      <c r="AG352" s="18">
        <v>346</v>
      </c>
      <c r="AH352" s="30">
        <f t="shared" ca="1" si="262"/>
        <v>0</v>
      </c>
      <c r="AI352" s="58"/>
      <c r="AJ352" s="50">
        <f>IF(AND(Option_Sys_TopUp&gt;="Y",H352&gt;=sytp,H352&lt;=(dtp+sytp-1),F352=0,H352&lt;=ppt+1),atp,0)+IFERROR(VLOOKUP(H352,Input!$B$55:$C$61,2,0),0)*(F352=0)*(Option_TopUP="Y")*(Option_Sys_TopUp="N")*B352*(pt&gt;=H352+5)</f>
        <v>0</v>
      </c>
      <c r="AK352" s="50">
        <f t="shared" si="263"/>
        <v>0</v>
      </c>
      <c r="AL352" s="50">
        <f t="shared" si="284"/>
        <v>0</v>
      </c>
      <c r="AM352" s="50">
        <f t="shared" ca="1" si="285"/>
        <v>0</v>
      </c>
      <c r="AN352" s="50">
        <f>IF(B352=0,0,AT352*(_rpm1+(1+_emr1)*VLOOKUP(E352,Tab_Mort_Charge,IF(Input!$C$12="M",2,3),0))*(0.001*0.0833)*Flag_Mort_Rider_Charge*(AT352&gt;0))</f>
        <v>0</v>
      </c>
      <c r="AO352" s="50">
        <f t="shared" ca="1" si="264"/>
        <v>0</v>
      </c>
      <c r="AP352" s="50">
        <f t="shared" ca="1" si="291"/>
        <v>0</v>
      </c>
      <c r="AQ352" s="50">
        <f t="shared" ca="1" si="265"/>
        <v>0</v>
      </c>
      <c r="AR352" s="50">
        <f t="shared" ca="1" si="266"/>
        <v>0</v>
      </c>
      <c r="AS352" s="50">
        <f t="shared" si="267"/>
        <v>0</v>
      </c>
      <c r="AT352" s="50">
        <f ca="1">(MAX((MAX(AS352,105%*SUM($AJ$7:AJ352))-AM352*Flag_UL_Type),0)*B352)</f>
        <v>0</v>
      </c>
      <c r="AU352" s="50">
        <f ca="1">(MAX(AS352,AR352,105%*SUM($AJ$7:AJ352))*B352)</f>
        <v>0</v>
      </c>
      <c r="AV352" s="125"/>
      <c r="AW352" s="13"/>
      <c r="AX352" s="13"/>
      <c r="AY352" s="13"/>
      <c r="AZ352" s="13"/>
      <c r="BA352" s="13"/>
      <c r="BG352" s="51">
        <f t="shared" si="268"/>
        <v>0</v>
      </c>
      <c r="BH352" s="51">
        <f t="shared" si="269"/>
        <v>0</v>
      </c>
      <c r="BI352" s="51">
        <f t="shared" ca="1" si="270"/>
        <v>0</v>
      </c>
      <c r="BJ352" s="51">
        <f t="shared" ca="1" si="271"/>
        <v>0</v>
      </c>
      <c r="BK352" s="51">
        <f t="shared" si="272"/>
        <v>0</v>
      </c>
      <c r="BL352" s="51">
        <f t="shared" ca="1" si="273"/>
        <v>0</v>
      </c>
      <c r="BM352" s="51">
        <f t="shared" si="274"/>
        <v>0</v>
      </c>
      <c r="BN352" s="51">
        <f t="shared" si="275"/>
        <v>0</v>
      </c>
      <c r="BO352" s="51">
        <f t="shared" ca="1" si="276"/>
        <v>0</v>
      </c>
      <c r="BP352" s="51">
        <f t="shared" ca="1" si="277"/>
        <v>0</v>
      </c>
      <c r="BQ352" s="120"/>
      <c r="BR352" s="32"/>
      <c r="BS352" s="126"/>
      <c r="BT352" s="16"/>
      <c r="BU352" s="58"/>
      <c r="BW352" s="51">
        <f>IF(Input!$C$13="Offline",VLOOKUP(H352,Charges!$AT$4:$AU$33,2,FALSE)*I352,0)</f>
        <v>0</v>
      </c>
      <c r="BX352" s="51">
        <f t="shared" si="278"/>
        <v>0</v>
      </c>
      <c r="BY352" s="51">
        <f t="shared" si="286"/>
        <v>0</v>
      </c>
      <c r="BZ352" s="151"/>
      <c r="CA352" s="151"/>
      <c r="CB352" s="32"/>
      <c r="CC352" s="16">
        <f ca="1">SUM($N$7:$N352)</f>
        <v>0</v>
      </c>
      <c r="CD352" s="16">
        <f t="shared" ca="1" si="279"/>
        <v>0</v>
      </c>
      <c r="CE352" s="16">
        <f t="shared" ca="1" si="280"/>
        <v>0</v>
      </c>
      <c r="CF352" s="7">
        <f t="shared" ca="1" si="281"/>
        <v>0</v>
      </c>
      <c r="CH352" s="7">
        <f t="shared" ca="1" si="282"/>
        <v>0</v>
      </c>
    </row>
    <row r="353" spans="2:86" s="7" customFormat="1" x14ac:dyDescent="0.2">
      <c r="B353" s="14">
        <f t="shared" si="246"/>
        <v>0</v>
      </c>
      <c r="C353" s="12">
        <f t="shared" si="247"/>
        <v>0</v>
      </c>
      <c r="D353" s="17">
        <f t="shared" si="287"/>
        <v>347</v>
      </c>
      <c r="E353" s="17">
        <f t="shared" ca="1" si="248"/>
        <v>88</v>
      </c>
      <c r="F353" s="12">
        <f t="shared" si="289"/>
        <v>10</v>
      </c>
      <c r="G353" s="12">
        <f t="shared" si="288"/>
        <v>58</v>
      </c>
      <c r="H353" s="17">
        <f t="shared" si="290"/>
        <v>29</v>
      </c>
      <c r="I353" s="29">
        <f t="shared" si="249"/>
        <v>0</v>
      </c>
      <c r="J353" s="211">
        <f>IFERROR(VLOOKUP(H353,Charges!$T$6:$U$35,2,0)*C353,0)</f>
        <v>0</v>
      </c>
      <c r="K353" s="29">
        <f t="shared" si="250"/>
        <v>0</v>
      </c>
      <c r="L353" s="29">
        <f t="shared" si="251"/>
        <v>0</v>
      </c>
      <c r="M353" s="147">
        <f t="shared" ca="1" si="252"/>
        <v>0</v>
      </c>
      <c r="N353" s="148">
        <f ca="1">IF(AND(Option_SPW="Y",H353&gt;=Lock_In_Period,Z352&gt;SPW_Amount_pa+IF(option="Single",1/5*pr,2*pr),H353&gt;=SPW_Start_Year,H353&lt;=SPW_Start_Year+SPW_Duration-1,age+H353&gt;=Legal_Age),IF(AND(F353=0,SPW_Payout_Freq=1),SPW_Amount_pa,IF(AND(SPW_Payout_Freq=2,MOD(F353,6)=0),SPW_Amount_pa/SPW_Payout_Freq,IF(AND(SPW_Payout_Freq=4,MOD(F353,3)=0),SPW_Amount_pa/SPW_Payout_Freq,IF(SPW_Payout_Freq=12,SPW_Amount_pa/SPW_Payout_Freq,0)))),0)+IFERROR(VLOOKUP(H353,Input!$B$68:$C$74,2,0),0)*(F353=0)*(Option_PW="Y")*(Option_SPW="N")*(age+H353&gt;=Legal_Age)</f>
        <v>0</v>
      </c>
      <c r="O353" s="148">
        <f t="shared" ca="1" si="253"/>
        <v>0</v>
      </c>
      <c r="P353" s="14">
        <f ca="1">(MAX(MAX(sa-CF352*Flag_UL_Type,105%*SUM($I$7:I353))-(AD352+L353-N353)*Flag_UL_Type,0)*B353)</f>
        <v>0</v>
      </c>
      <c r="Q353" s="213">
        <f t="shared" si="254"/>
        <v>0</v>
      </c>
      <c r="R353" s="14">
        <f t="shared" ca="1" si="255"/>
        <v>0</v>
      </c>
      <c r="S353" s="14">
        <f t="shared" ca="1" si="256"/>
        <v>0</v>
      </c>
      <c r="T353" s="14">
        <f>IFERROR(IF(WoP_Flag="Y",IF(fq=1,VLOOKUP(ppt*fq-H353,Charges!$AN$41:$AO$59,2,FALSE),IF(fq=2,VLOOKUP(ppt*fq-G353,Charges!$AP$41:$AQ$79,2,FALSE),VLOOKUP(ppt*fq-D353,Charges!$AR$41:$AS$279,2,FALSE)))*pr/fq,0),0)</f>
        <v>0</v>
      </c>
      <c r="U353" s="14">
        <f t="shared" ca="1" si="257"/>
        <v>0</v>
      </c>
      <c r="V353" s="34">
        <f>ROUND(MIN(IF(H353&gt;=7,Charges!$C$12*(1+Charges!$C$14)^((H353-7+1)),VLOOKUP(H353,Charges!$B$7:$C$12,2,0))*pr,Charges!$C$13)*B353,Round)</f>
        <v>0</v>
      </c>
      <c r="W353" s="14">
        <f t="shared" ca="1" si="258"/>
        <v>0</v>
      </c>
      <c r="X353" s="14">
        <f t="shared" ca="1" si="259"/>
        <v>0</v>
      </c>
      <c r="Y353" s="213">
        <f t="shared" ca="1" si="283"/>
        <v>0</v>
      </c>
      <c r="Z353" s="14">
        <f t="shared" ca="1" si="260"/>
        <v>0</v>
      </c>
      <c r="AA353" s="14">
        <f>IF(AND($H353=pt,$F353=11),SUM($K$7:K353)*VLOOKUP(pt,ROC,2,FALSE),0)</f>
        <v>0</v>
      </c>
      <c r="AB353" s="14">
        <f>IF(AND($H353=pt,$F353=11),SUM($V$7:V353)*VLOOKUP(pt,ROC,2,FALSE),0)</f>
        <v>0</v>
      </c>
      <c r="AC353" s="14">
        <f>IF(AND($H353=pt,$F353=11),SUM($Q$7:Q353)*VLOOKUP(pt,ROC,2,FALSE),0)</f>
        <v>0</v>
      </c>
      <c r="AD353" s="14">
        <f t="shared" ca="1" si="261"/>
        <v>0</v>
      </c>
      <c r="AE353" s="14">
        <f ca="1">(MAX(sa-CF352*Flag_UL_Type,105%*SUM($I$7:I353),Z353)+AU353)*B353</f>
        <v>0</v>
      </c>
      <c r="AF353" s="136"/>
      <c r="AG353" s="18">
        <v>347</v>
      </c>
      <c r="AH353" s="30">
        <f t="shared" ca="1" si="262"/>
        <v>0</v>
      </c>
      <c r="AI353" s="58"/>
      <c r="AJ353" s="50">
        <f>IF(AND(Option_Sys_TopUp&gt;="Y",H353&gt;=sytp,H353&lt;=(dtp+sytp-1),F353=0,H353&lt;=ppt+1),atp,0)+IFERROR(VLOOKUP(H353,Input!$B$55:$C$61,2,0),0)*(F353=0)*(Option_TopUP="Y")*(Option_Sys_TopUp="N")*B353*(pt&gt;=H353+5)</f>
        <v>0</v>
      </c>
      <c r="AK353" s="50">
        <f t="shared" si="263"/>
        <v>0</v>
      </c>
      <c r="AL353" s="50">
        <f t="shared" si="284"/>
        <v>0</v>
      </c>
      <c r="AM353" s="50">
        <f t="shared" ca="1" si="285"/>
        <v>0</v>
      </c>
      <c r="AN353" s="50">
        <f>IF(B353=0,0,AT353*(_rpm1+(1+_emr1)*VLOOKUP(E353,Tab_Mort_Charge,IF(Input!$C$12="M",2,3),0))*(0.001*0.0833)*Flag_Mort_Rider_Charge*(AT353&gt;0))</f>
        <v>0</v>
      </c>
      <c r="AO353" s="50">
        <f t="shared" ca="1" si="264"/>
        <v>0</v>
      </c>
      <c r="AP353" s="50">
        <f t="shared" ca="1" si="291"/>
        <v>0</v>
      </c>
      <c r="AQ353" s="50">
        <f t="shared" ca="1" si="265"/>
        <v>0</v>
      </c>
      <c r="AR353" s="50">
        <f t="shared" ca="1" si="266"/>
        <v>0</v>
      </c>
      <c r="AS353" s="50">
        <f t="shared" si="267"/>
        <v>0</v>
      </c>
      <c r="AT353" s="50">
        <f ca="1">(MAX((MAX(AS353,105%*SUM($AJ$7:AJ353))-AM353*Flag_UL_Type),0)*B353)</f>
        <v>0</v>
      </c>
      <c r="AU353" s="50">
        <f ca="1">(MAX(AS353,AR353,105%*SUM($AJ$7:AJ353))*B353)</f>
        <v>0</v>
      </c>
      <c r="AV353" s="125"/>
      <c r="AW353" s="13"/>
      <c r="AX353" s="13"/>
      <c r="AY353" s="13"/>
      <c r="AZ353" s="13"/>
      <c r="BA353" s="13"/>
      <c r="BG353" s="51">
        <f t="shared" si="268"/>
        <v>0</v>
      </c>
      <c r="BH353" s="51">
        <f t="shared" si="269"/>
        <v>0</v>
      </c>
      <c r="BI353" s="51">
        <f t="shared" ca="1" si="270"/>
        <v>0</v>
      </c>
      <c r="BJ353" s="51">
        <f t="shared" ca="1" si="271"/>
        <v>0</v>
      </c>
      <c r="BK353" s="51">
        <f t="shared" si="272"/>
        <v>0</v>
      </c>
      <c r="BL353" s="51">
        <f t="shared" ca="1" si="273"/>
        <v>0</v>
      </c>
      <c r="BM353" s="51">
        <f t="shared" si="274"/>
        <v>0</v>
      </c>
      <c r="BN353" s="51">
        <f t="shared" si="275"/>
        <v>0</v>
      </c>
      <c r="BO353" s="51">
        <f t="shared" ca="1" si="276"/>
        <v>0</v>
      </c>
      <c r="BP353" s="51">
        <f t="shared" ca="1" si="277"/>
        <v>0</v>
      </c>
      <c r="BQ353" s="120"/>
      <c r="BR353" s="32"/>
      <c r="BS353" s="126"/>
      <c r="BT353" s="16"/>
      <c r="BU353" s="58"/>
      <c r="BW353" s="51">
        <f>IF(Input!$C$13="Offline",VLOOKUP(H353,Charges!$AT$4:$AU$33,2,FALSE)*I353,0)</f>
        <v>0</v>
      </c>
      <c r="BX353" s="51">
        <f t="shared" si="278"/>
        <v>0</v>
      </c>
      <c r="BY353" s="51">
        <f t="shared" si="286"/>
        <v>0</v>
      </c>
      <c r="BZ353" s="151"/>
      <c r="CA353" s="151"/>
      <c r="CB353" s="32"/>
      <c r="CC353" s="16">
        <f ca="1">SUM($N$7:$N353)</f>
        <v>0</v>
      </c>
      <c r="CD353" s="16">
        <f t="shared" ca="1" si="279"/>
        <v>0</v>
      </c>
      <c r="CE353" s="16">
        <f t="shared" ca="1" si="280"/>
        <v>0</v>
      </c>
      <c r="CF353" s="7">
        <f t="shared" ca="1" si="281"/>
        <v>0</v>
      </c>
      <c r="CH353" s="7">
        <f t="shared" ca="1" si="282"/>
        <v>0</v>
      </c>
    </row>
    <row r="354" spans="2:86" s="7" customFormat="1" x14ac:dyDescent="0.2">
      <c r="B354" s="14">
        <f t="shared" si="246"/>
        <v>0</v>
      </c>
      <c r="C354" s="12">
        <f t="shared" si="247"/>
        <v>0</v>
      </c>
      <c r="D354" s="17">
        <f t="shared" si="287"/>
        <v>348</v>
      </c>
      <c r="E354" s="17">
        <f t="shared" ca="1" si="248"/>
        <v>88</v>
      </c>
      <c r="F354" s="12">
        <f t="shared" si="289"/>
        <v>11</v>
      </c>
      <c r="G354" s="12">
        <f t="shared" si="288"/>
        <v>58</v>
      </c>
      <c r="H354" s="17">
        <f t="shared" si="290"/>
        <v>29</v>
      </c>
      <c r="I354" s="29">
        <f t="shared" si="249"/>
        <v>0</v>
      </c>
      <c r="J354" s="211">
        <f>IFERROR(VLOOKUP(H354,Charges!$T$6:$U$35,2,0)*C354,0)</f>
        <v>0</v>
      </c>
      <c r="K354" s="29">
        <f t="shared" si="250"/>
        <v>0</v>
      </c>
      <c r="L354" s="29">
        <f t="shared" si="251"/>
        <v>0</v>
      </c>
      <c r="M354" s="147">
        <f t="shared" ca="1" si="252"/>
        <v>0</v>
      </c>
      <c r="N354" s="148">
        <f ca="1">IF(AND(Option_SPW="Y",H354&gt;=Lock_In_Period,Z353&gt;SPW_Amount_pa+IF(option="Single",1/5*pr,2*pr),H354&gt;=SPW_Start_Year,H354&lt;=SPW_Start_Year+SPW_Duration-1,age+H354&gt;=Legal_Age),IF(AND(F354=0,SPW_Payout_Freq=1),SPW_Amount_pa,IF(AND(SPW_Payout_Freq=2,MOD(F354,6)=0),SPW_Amount_pa/SPW_Payout_Freq,IF(AND(SPW_Payout_Freq=4,MOD(F354,3)=0),SPW_Amount_pa/SPW_Payout_Freq,IF(SPW_Payout_Freq=12,SPW_Amount_pa/SPW_Payout_Freq,0)))),0)+IFERROR(VLOOKUP(H354,Input!$B$68:$C$74,2,0),0)*(F354=0)*(Option_PW="Y")*(Option_SPW="N")*(age+H354&gt;=Legal_Age)</f>
        <v>0</v>
      </c>
      <c r="O354" s="148">
        <f t="shared" ca="1" si="253"/>
        <v>0</v>
      </c>
      <c r="P354" s="14">
        <f ca="1">(MAX(MAX(sa-CF353*Flag_UL_Type,105%*SUM($I$7:I354))-(AD353+L354-N354)*Flag_UL_Type,0)*B354)</f>
        <v>0</v>
      </c>
      <c r="Q354" s="213">
        <f t="shared" si="254"/>
        <v>0</v>
      </c>
      <c r="R354" s="14">
        <f t="shared" ca="1" si="255"/>
        <v>0</v>
      </c>
      <c r="S354" s="14">
        <f t="shared" ca="1" si="256"/>
        <v>0</v>
      </c>
      <c r="T354" s="14">
        <f>IFERROR(IF(WoP_Flag="Y",IF(fq=1,VLOOKUP(ppt*fq-H354,Charges!$AN$41:$AO$59,2,FALSE),IF(fq=2,VLOOKUP(ppt*fq-G354,Charges!$AP$41:$AQ$79,2,FALSE),VLOOKUP(ppt*fq-D354,Charges!$AR$41:$AS$279,2,FALSE)))*pr/fq,0),0)</f>
        <v>0</v>
      </c>
      <c r="U354" s="14">
        <f t="shared" ca="1" si="257"/>
        <v>0</v>
      </c>
      <c r="V354" s="34">
        <f>ROUND(MIN(IF(H354&gt;=7,Charges!$C$12*(1+Charges!$C$14)^((H354-7+1)),VLOOKUP(H354,Charges!$B$7:$C$12,2,0))*pr,Charges!$C$13)*B354,Round)</f>
        <v>0</v>
      </c>
      <c r="W354" s="14">
        <f t="shared" ca="1" si="258"/>
        <v>0</v>
      </c>
      <c r="X354" s="14">
        <f t="shared" ca="1" si="259"/>
        <v>0</v>
      </c>
      <c r="Y354" s="213">
        <f t="shared" ca="1" si="283"/>
        <v>0</v>
      </c>
      <c r="Z354" s="14">
        <f t="shared" ca="1" si="260"/>
        <v>0</v>
      </c>
      <c r="AA354" s="14">
        <f>IF(AND($H354=pt,$F354=11),SUM($K$7:K354)*VLOOKUP(pt,ROC,2,FALSE),0)</f>
        <v>0</v>
      </c>
      <c r="AB354" s="14">
        <f>IF(AND($H354=pt,$F354=11),SUM($V$7:V354)*VLOOKUP(pt,ROC,2,FALSE),0)</f>
        <v>0</v>
      </c>
      <c r="AC354" s="14">
        <f>IF(AND($H354=pt,$F354=11),SUM($Q$7:Q354)*VLOOKUP(pt,ROC,2,FALSE),0)</f>
        <v>0</v>
      </c>
      <c r="AD354" s="14">
        <f t="shared" ca="1" si="261"/>
        <v>0</v>
      </c>
      <c r="AE354" s="14">
        <f ca="1">(MAX(sa-CF353*Flag_UL_Type,105%*SUM($I$7:I354),Z354)+AU354)*B354</f>
        <v>0</v>
      </c>
      <c r="AF354" s="136"/>
      <c r="AG354" s="18">
        <v>348</v>
      </c>
      <c r="AH354" s="30">
        <f t="shared" ca="1" si="262"/>
        <v>0</v>
      </c>
      <c r="AI354" s="58"/>
      <c r="AJ354" s="50">
        <f>IF(AND(Option_Sys_TopUp&gt;="Y",H354&gt;=sytp,H354&lt;=(dtp+sytp-1),F354=0,H354&lt;=ppt+1),atp,0)+IFERROR(VLOOKUP(H354,Input!$B$55:$C$61,2,0),0)*(F354=0)*(Option_TopUP="Y")*(Option_Sys_TopUp="N")*B354*(pt&gt;=H354+5)</f>
        <v>0</v>
      </c>
      <c r="AK354" s="50">
        <f t="shared" si="263"/>
        <v>0</v>
      </c>
      <c r="AL354" s="50">
        <f t="shared" si="284"/>
        <v>0</v>
      </c>
      <c r="AM354" s="50">
        <f t="shared" ca="1" si="285"/>
        <v>0</v>
      </c>
      <c r="AN354" s="50">
        <f>IF(B354=0,0,AT354*(_rpm1+(1+_emr1)*VLOOKUP(E354,Tab_Mort_Charge,IF(Input!$C$12="M",2,3),0))*(0.001*0.0833)*Flag_Mort_Rider_Charge*(AT354&gt;0))</f>
        <v>0</v>
      </c>
      <c r="AO354" s="50">
        <f t="shared" ca="1" si="264"/>
        <v>0</v>
      </c>
      <c r="AP354" s="50">
        <f t="shared" ca="1" si="291"/>
        <v>0</v>
      </c>
      <c r="AQ354" s="50">
        <f t="shared" ca="1" si="265"/>
        <v>0</v>
      </c>
      <c r="AR354" s="50">
        <f t="shared" ca="1" si="266"/>
        <v>0</v>
      </c>
      <c r="AS354" s="50">
        <f t="shared" si="267"/>
        <v>0</v>
      </c>
      <c r="AT354" s="50">
        <f ca="1">(MAX((MAX(AS354,105%*SUM($AJ$7:AJ354))-AM354*Flag_UL_Type),0)*B354)</f>
        <v>0</v>
      </c>
      <c r="AU354" s="50">
        <f ca="1">(MAX(AS354,AR354,105%*SUM($AJ$7:AJ354))*B354)</f>
        <v>0</v>
      </c>
      <c r="AV354" s="125"/>
      <c r="AW354" s="13"/>
      <c r="AX354" s="13"/>
      <c r="AY354" s="13"/>
      <c r="AZ354" s="13"/>
      <c r="BA354" s="13"/>
      <c r="BG354" s="51">
        <f t="shared" si="268"/>
        <v>0</v>
      </c>
      <c r="BH354" s="51">
        <f t="shared" si="269"/>
        <v>0</v>
      </c>
      <c r="BI354" s="51">
        <f t="shared" ca="1" si="270"/>
        <v>0</v>
      </c>
      <c r="BJ354" s="51">
        <f t="shared" ca="1" si="271"/>
        <v>0</v>
      </c>
      <c r="BK354" s="51">
        <f t="shared" si="272"/>
        <v>0</v>
      </c>
      <c r="BL354" s="51">
        <f t="shared" ca="1" si="273"/>
        <v>0</v>
      </c>
      <c r="BM354" s="51">
        <f t="shared" si="274"/>
        <v>0</v>
      </c>
      <c r="BN354" s="51">
        <f t="shared" si="275"/>
        <v>0</v>
      </c>
      <c r="BO354" s="51">
        <f t="shared" ca="1" si="276"/>
        <v>0</v>
      </c>
      <c r="BP354" s="51">
        <f t="shared" ca="1" si="277"/>
        <v>0</v>
      </c>
      <c r="BQ354" s="120"/>
      <c r="BR354" s="32"/>
      <c r="BS354" s="126"/>
      <c r="BT354" s="16"/>
      <c r="BU354" s="58"/>
      <c r="BW354" s="51">
        <f>IF(Input!$C$13="Offline",VLOOKUP(H354,Charges!$AT$4:$AU$33,2,FALSE)*I354,0)</f>
        <v>0</v>
      </c>
      <c r="BX354" s="51">
        <f t="shared" si="278"/>
        <v>0</v>
      </c>
      <c r="BY354" s="51">
        <f t="shared" si="286"/>
        <v>0</v>
      </c>
      <c r="BZ354" s="151"/>
      <c r="CA354" s="151"/>
      <c r="CB354" s="32"/>
      <c r="CC354" s="16">
        <f ca="1">SUM($N$7:$N354)</f>
        <v>0</v>
      </c>
      <c r="CD354" s="16">
        <f t="shared" ca="1" si="279"/>
        <v>0</v>
      </c>
      <c r="CE354" s="16">
        <f t="shared" ca="1" si="280"/>
        <v>0</v>
      </c>
      <c r="CF354" s="7">
        <f t="shared" ca="1" si="281"/>
        <v>0</v>
      </c>
      <c r="CH354" s="7">
        <f t="shared" ca="1" si="282"/>
        <v>0</v>
      </c>
    </row>
    <row r="355" spans="2:86" s="7" customFormat="1" x14ac:dyDescent="0.2">
      <c r="B355" s="14">
        <f t="shared" si="246"/>
        <v>0</v>
      </c>
      <c r="C355" s="12">
        <f t="shared" si="247"/>
        <v>0</v>
      </c>
      <c r="D355" s="17">
        <f t="shared" si="287"/>
        <v>349</v>
      </c>
      <c r="E355" s="17">
        <f t="shared" ca="1" si="248"/>
        <v>89</v>
      </c>
      <c r="F355" s="12">
        <f t="shared" si="289"/>
        <v>0</v>
      </c>
      <c r="G355" s="12">
        <f t="shared" si="288"/>
        <v>59</v>
      </c>
      <c r="H355" s="17">
        <f t="shared" si="290"/>
        <v>30</v>
      </c>
      <c r="I355" s="29">
        <f t="shared" si="249"/>
        <v>0</v>
      </c>
      <c r="J355" s="211">
        <f>IFERROR(VLOOKUP(H355,Charges!$T$6:$U$35,2,0)*C355,0)</f>
        <v>0</v>
      </c>
      <c r="K355" s="29">
        <f t="shared" si="250"/>
        <v>0</v>
      </c>
      <c r="L355" s="29">
        <f t="shared" si="251"/>
        <v>0</v>
      </c>
      <c r="M355" s="147">
        <f t="shared" ca="1" si="252"/>
        <v>0</v>
      </c>
      <c r="N355" s="148">
        <f ca="1">IF(AND(Option_SPW="Y",H355&gt;=Lock_In_Period,Z354&gt;SPW_Amount_pa+IF(option="Single",1/5*pr,2*pr),H355&gt;=SPW_Start_Year,H355&lt;=SPW_Start_Year+SPW_Duration-1,age+H355&gt;=Legal_Age),IF(AND(F355=0,SPW_Payout_Freq=1),SPW_Amount_pa,IF(AND(SPW_Payout_Freq=2,MOD(F355,6)=0),SPW_Amount_pa/SPW_Payout_Freq,IF(AND(SPW_Payout_Freq=4,MOD(F355,3)=0),SPW_Amount_pa/SPW_Payout_Freq,IF(SPW_Payout_Freq=12,SPW_Amount_pa/SPW_Payout_Freq,0)))),0)+IFERROR(VLOOKUP(H355,Input!$B$68:$C$74,2,0),0)*(F355=0)*(Option_PW="Y")*(Option_SPW="N")*(age+H355&gt;=Legal_Age)</f>
        <v>0</v>
      </c>
      <c r="O355" s="148">
        <f t="shared" ca="1" si="253"/>
        <v>0</v>
      </c>
      <c r="P355" s="14">
        <f ca="1">(MAX(MAX(sa-CF354*Flag_UL_Type,105%*SUM($I$7:I355))-(AD354+L355-N355)*Flag_UL_Type,0)*B355)</f>
        <v>0</v>
      </c>
      <c r="Q355" s="213">
        <f t="shared" si="254"/>
        <v>0</v>
      </c>
      <c r="R355" s="14">
        <f t="shared" ca="1" si="255"/>
        <v>0</v>
      </c>
      <c r="S355" s="14">
        <f t="shared" ca="1" si="256"/>
        <v>0</v>
      </c>
      <c r="T355" s="14">
        <f>IFERROR(IF(WoP_Flag="Y",IF(fq=1,VLOOKUP(ppt*fq-H355,Charges!$AN$41:$AO$59,2,FALSE),IF(fq=2,VLOOKUP(ppt*fq-G355,Charges!$AP$41:$AQ$79,2,FALSE),VLOOKUP(ppt*fq-D355,Charges!$AR$41:$AS$279,2,FALSE)))*pr/fq,0),0)</f>
        <v>0</v>
      </c>
      <c r="U355" s="14">
        <f t="shared" ca="1" si="257"/>
        <v>0</v>
      </c>
      <c r="V355" s="34">
        <f>ROUND(MIN(IF(H355&gt;=7,Charges!$C$12*(1+Charges!$C$14)^((H355-7+1)),VLOOKUP(H355,Charges!$B$7:$C$12,2,0))*pr,Charges!$C$13)*B355,Round)</f>
        <v>0</v>
      </c>
      <c r="W355" s="14">
        <f t="shared" ca="1" si="258"/>
        <v>0</v>
      </c>
      <c r="X355" s="14">
        <f t="shared" ca="1" si="259"/>
        <v>0</v>
      </c>
      <c r="Y355" s="213">
        <f t="shared" ca="1" si="283"/>
        <v>0</v>
      </c>
      <c r="Z355" s="14">
        <f t="shared" ca="1" si="260"/>
        <v>0</v>
      </c>
      <c r="AA355" s="14">
        <f>IF(AND($H355=pt,$F355=11),SUM($K$7:K355)*VLOOKUP(pt,ROC,2,FALSE),0)</f>
        <v>0</v>
      </c>
      <c r="AB355" s="14">
        <f>IF(AND($H355=pt,$F355=11),SUM($V$7:V355)*VLOOKUP(pt,ROC,2,FALSE),0)</f>
        <v>0</v>
      </c>
      <c r="AC355" s="14">
        <f>IF(AND($H355=pt,$F355=11),SUM($Q$7:Q355)*VLOOKUP(pt,ROC,2,FALSE),0)</f>
        <v>0</v>
      </c>
      <c r="AD355" s="14">
        <f t="shared" ca="1" si="261"/>
        <v>0</v>
      </c>
      <c r="AE355" s="14">
        <f ca="1">(MAX(sa-CF354*Flag_UL_Type,105%*SUM($I$7:I355),Z355)+AU355)*B355</f>
        <v>0</v>
      </c>
      <c r="AF355" s="136"/>
      <c r="AG355" s="18">
        <v>349</v>
      </c>
      <c r="AH355" s="30">
        <f t="shared" ca="1" si="262"/>
        <v>0</v>
      </c>
      <c r="AI355" s="58"/>
      <c r="AJ355" s="50">
        <f>IF(AND(Option_Sys_TopUp&gt;="Y",H355&gt;=sytp,H355&lt;=(dtp+sytp-1),F355=0,H355&lt;=ppt+1),atp,0)+IFERROR(VLOOKUP(H355,Input!$B$55:$C$61,2,0),0)*(F355=0)*(Option_TopUP="Y")*(Option_Sys_TopUp="N")*B355*(pt&gt;=H355+5)</f>
        <v>0</v>
      </c>
      <c r="AK355" s="50">
        <f t="shared" si="263"/>
        <v>0</v>
      </c>
      <c r="AL355" s="50">
        <f t="shared" si="284"/>
        <v>0</v>
      </c>
      <c r="AM355" s="50">
        <f t="shared" ca="1" si="285"/>
        <v>0</v>
      </c>
      <c r="AN355" s="50">
        <f>IF(B355=0,0,AT355*(_rpm1+(1+_emr1)*VLOOKUP(E355,Tab_Mort_Charge,IF(Input!$C$12="M",2,3),0))*(0.001*0.0833)*Flag_Mort_Rider_Charge*(AT355&gt;0))</f>
        <v>0</v>
      </c>
      <c r="AO355" s="50">
        <f t="shared" ca="1" si="264"/>
        <v>0</v>
      </c>
      <c r="AP355" s="50">
        <f t="shared" ca="1" si="291"/>
        <v>0</v>
      </c>
      <c r="AQ355" s="50">
        <f t="shared" ca="1" si="265"/>
        <v>0</v>
      </c>
      <c r="AR355" s="50">
        <f t="shared" ca="1" si="266"/>
        <v>0</v>
      </c>
      <c r="AS355" s="50">
        <f t="shared" si="267"/>
        <v>0</v>
      </c>
      <c r="AT355" s="50">
        <f ca="1">(MAX((MAX(AS355,105%*SUM($AJ$7:AJ355))-AM355*Flag_UL_Type),0)*B355)</f>
        <v>0</v>
      </c>
      <c r="AU355" s="50">
        <f ca="1">(MAX(AS355,AR355,105%*SUM($AJ$7:AJ355))*B355)</f>
        <v>0</v>
      </c>
      <c r="AV355" s="125"/>
      <c r="AW355" s="13"/>
      <c r="AX355" s="13"/>
      <c r="AY355" s="13"/>
      <c r="AZ355" s="13"/>
      <c r="BA355" s="13"/>
      <c r="BG355" s="51">
        <f t="shared" si="268"/>
        <v>0</v>
      </c>
      <c r="BH355" s="51">
        <f t="shared" si="269"/>
        <v>0</v>
      </c>
      <c r="BI355" s="51">
        <f t="shared" ca="1" si="270"/>
        <v>0</v>
      </c>
      <c r="BJ355" s="51">
        <f t="shared" ca="1" si="271"/>
        <v>0</v>
      </c>
      <c r="BK355" s="51">
        <f t="shared" si="272"/>
        <v>0</v>
      </c>
      <c r="BL355" s="51">
        <f t="shared" ca="1" si="273"/>
        <v>0</v>
      </c>
      <c r="BM355" s="51">
        <f t="shared" si="274"/>
        <v>0</v>
      </c>
      <c r="BN355" s="51">
        <f t="shared" si="275"/>
        <v>0</v>
      </c>
      <c r="BO355" s="51">
        <f t="shared" ca="1" si="276"/>
        <v>0</v>
      </c>
      <c r="BP355" s="51">
        <f t="shared" ca="1" si="277"/>
        <v>0</v>
      </c>
      <c r="BQ355" s="120"/>
      <c r="BR355" s="32"/>
      <c r="BS355" s="126"/>
      <c r="BT355" s="16"/>
      <c r="BU355" s="58"/>
      <c r="BW355" s="51">
        <f>IF(Input!$C$13="Offline",VLOOKUP(H355,Charges!$AT$4:$AU$33,2,FALSE)*I355,0)</f>
        <v>0</v>
      </c>
      <c r="BX355" s="51">
        <f t="shared" si="278"/>
        <v>0</v>
      </c>
      <c r="BY355" s="51">
        <f t="shared" si="286"/>
        <v>0</v>
      </c>
      <c r="BZ355" s="151"/>
      <c r="CA355" s="151"/>
      <c r="CB355" s="32"/>
      <c r="CC355" s="16">
        <f ca="1">SUM($N$7:$N355)</f>
        <v>0</v>
      </c>
      <c r="CD355" s="16">
        <f t="shared" ca="1" si="279"/>
        <v>0</v>
      </c>
      <c r="CE355" s="16">
        <f t="shared" ca="1" si="280"/>
        <v>0</v>
      </c>
      <c r="CF355" s="7">
        <f t="shared" ca="1" si="281"/>
        <v>0</v>
      </c>
      <c r="CH355" s="7">
        <f t="shared" ca="1" si="282"/>
        <v>0</v>
      </c>
    </row>
    <row r="356" spans="2:86" s="7" customFormat="1" x14ac:dyDescent="0.2">
      <c r="B356" s="14">
        <f t="shared" si="246"/>
        <v>0</v>
      </c>
      <c r="C356" s="12">
        <f t="shared" si="247"/>
        <v>0</v>
      </c>
      <c r="D356" s="17">
        <f t="shared" si="287"/>
        <v>350</v>
      </c>
      <c r="E356" s="17">
        <f t="shared" ca="1" si="248"/>
        <v>89</v>
      </c>
      <c r="F356" s="12">
        <f t="shared" si="289"/>
        <v>1</v>
      </c>
      <c r="G356" s="12">
        <f t="shared" si="288"/>
        <v>59</v>
      </c>
      <c r="H356" s="17">
        <f t="shared" si="290"/>
        <v>30</v>
      </c>
      <c r="I356" s="29">
        <f t="shared" si="249"/>
        <v>0</v>
      </c>
      <c r="J356" s="211">
        <f>IFERROR(VLOOKUP(H356,Charges!$T$6:$U$35,2,0)*C356,0)</f>
        <v>0</v>
      </c>
      <c r="K356" s="29">
        <f t="shared" si="250"/>
        <v>0</v>
      </c>
      <c r="L356" s="29">
        <f t="shared" si="251"/>
        <v>0</v>
      </c>
      <c r="M356" s="147">
        <f t="shared" ca="1" si="252"/>
        <v>0</v>
      </c>
      <c r="N356" s="148">
        <f ca="1">IF(AND(Option_SPW="Y",H356&gt;=Lock_In_Period,Z355&gt;SPW_Amount_pa+IF(option="Single",1/5*pr,2*pr),H356&gt;=SPW_Start_Year,H356&lt;=SPW_Start_Year+SPW_Duration-1,age+H356&gt;=Legal_Age),IF(AND(F356=0,SPW_Payout_Freq=1),SPW_Amount_pa,IF(AND(SPW_Payout_Freq=2,MOD(F356,6)=0),SPW_Amount_pa/SPW_Payout_Freq,IF(AND(SPW_Payout_Freq=4,MOD(F356,3)=0),SPW_Amount_pa/SPW_Payout_Freq,IF(SPW_Payout_Freq=12,SPW_Amount_pa/SPW_Payout_Freq,0)))),0)+IFERROR(VLOOKUP(H356,Input!$B$68:$C$74,2,0),0)*(F356=0)*(Option_PW="Y")*(Option_SPW="N")*(age+H356&gt;=Legal_Age)</f>
        <v>0</v>
      </c>
      <c r="O356" s="148">
        <f t="shared" ca="1" si="253"/>
        <v>0</v>
      </c>
      <c r="P356" s="14">
        <f ca="1">(MAX(MAX(sa-CF355*Flag_UL_Type,105%*SUM($I$7:I356))-(AD355+L356-N356)*Flag_UL_Type,0)*B356)</f>
        <v>0</v>
      </c>
      <c r="Q356" s="213">
        <f t="shared" si="254"/>
        <v>0</v>
      </c>
      <c r="R356" s="14">
        <f t="shared" ca="1" si="255"/>
        <v>0</v>
      </c>
      <c r="S356" s="14">
        <f t="shared" ca="1" si="256"/>
        <v>0</v>
      </c>
      <c r="T356" s="14">
        <f>IFERROR(IF(WoP_Flag="Y",IF(fq=1,VLOOKUP(ppt*fq-H356,Charges!$AN$41:$AO$59,2,FALSE),IF(fq=2,VLOOKUP(ppt*fq-G356,Charges!$AP$41:$AQ$79,2,FALSE),VLOOKUP(ppt*fq-D356,Charges!$AR$41:$AS$279,2,FALSE)))*pr/fq,0),0)</f>
        <v>0</v>
      </c>
      <c r="U356" s="14">
        <f t="shared" ca="1" si="257"/>
        <v>0</v>
      </c>
      <c r="V356" s="34">
        <f>ROUND(MIN(IF(H356&gt;=7,Charges!$C$12*(1+Charges!$C$14)^((H356-7+1)),VLOOKUP(H356,Charges!$B$7:$C$12,2,0))*pr,Charges!$C$13)*B356,Round)</f>
        <v>0</v>
      </c>
      <c r="W356" s="14">
        <f t="shared" ca="1" si="258"/>
        <v>0</v>
      </c>
      <c r="X356" s="14">
        <f t="shared" ca="1" si="259"/>
        <v>0</v>
      </c>
      <c r="Y356" s="213">
        <f t="shared" ca="1" si="283"/>
        <v>0</v>
      </c>
      <c r="Z356" s="14">
        <f t="shared" ca="1" si="260"/>
        <v>0</v>
      </c>
      <c r="AA356" s="14">
        <f>IF(AND($H356=pt,$F356=11),SUM($K$7:K356)*VLOOKUP(pt,ROC,2,FALSE),0)</f>
        <v>0</v>
      </c>
      <c r="AB356" s="14">
        <f>IF(AND($H356=pt,$F356=11),SUM($V$7:V356)*VLOOKUP(pt,ROC,2,FALSE),0)</f>
        <v>0</v>
      </c>
      <c r="AC356" s="14">
        <f>IF(AND($H356=pt,$F356=11),SUM($Q$7:Q356)*VLOOKUP(pt,ROC,2,FALSE),0)</f>
        <v>0</v>
      </c>
      <c r="AD356" s="14">
        <f t="shared" ca="1" si="261"/>
        <v>0</v>
      </c>
      <c r="AE356" s="14">
        <f ca="1">(MAX(sa-CF355*Flag_UL_Type,105%*SUM($I$7:I356),Z356)+AU356)*B356</f>
        <v>0</v>
      </c>
      <c r="AF356" s="136"/>
      <c r="AG356" s="18">
        <v>350</v>
      </c>
      <c r="AH356" s="30">
        <f t="shared" ca="1" si="262"/>
        <v>0</v>
      </c>
      <c r="AI356" s="58"/>
      <c r="AJ356" s="50">
        <f>IF(AND(Option_Sys_TopUp&gt;="Y",H356&gt;=sytp,H356&lt;=(dtp+sytp-1),F356=0,H356&lt;=ppt+1),atp,0)+IFERROR(VLOOKUP(H356,Input!$B$55:$C$61,2,0),0)*(F356=0)*(Option_TopUP="Y")*(Option_Sys_TopUp="N")*B356*(pt&gt;=H356+5)</f>
        <v>0</v>
      </c>
      <c r="AK356" s="50">
        <f t="shared" si="263"/>
        <v>0</v>
      </c>
      <c r="AL356" s="50">
        <f t="shared" si="284"/>
        <v>0</v>
      </c>
      <c r="AM356" s="50">
        <f t="shared" ca="1" si="285"/>
        <v>0</v>
      </c>
      <c r="AN356" s="50">
        <f>IF(B356=0,0,AT356*(_rpm1+(1+_emr1)*VLOOKUP(E356,Tab_Mort_Charge,IF(Input!$C$12="M",2,3),0))*(0.001*0.0833)*Flag_Mort_Rider_Charge*(AT356&gt;0))</f>
        <v>0</v>
      </c>
      <c r="AO356" s="50">
        <f t="shared" ca="1" si="264"/>
        <v>0</v>
      </c>
      <c r="AP356" s="50">
        <f t="shared" ca="1" si="291"/>
        <v>0</v>
      </c>
      <c r="AQ356" s="50">
        <f t="shared" ca="1" si="265"/>
        <v>0</v>
      </c>
      <c r="AR356" s="50">
        <f t="shared" ca="1" si="266"/>
        <v>0</v>
      </c>
      <c r="AS356" s="50">
        <f t="shared" si="267"/>
        <v>0</v>
      </c>
      <c r="AT356" s="50">
        <f ca="1">(MAX((MAX(AS356,105%*SUM($AJ$7:AJ356))-AM356*Flag_UL_Type),0)*B356)</f>
        <v>0</v>
      </c>
      <c r="AU356" s="50">
        <f ca="1">(MAX(AS356,AR356,105%*SUM($AJ$7:AJ356))*B356)</f>
        <v>0</v>
      </c>
      <c r="AV356" s="125"/>
      <c r="AW356" s="13"/>
      <c r="AX356" s="13"/>
      <c r="AY356" s="13"/>
      <c r="AZ356" s="13"/>
      <c r="BA356" s="13"/>
      <c r="BG356" s="51">
        <f t="shared" si="268"/>
        <v>0</v>
      </c>
      <c r="BH356" s="51">
        <f t="shared" si="269"/>
        <v>0</v>
      </c>
      <c r="BI356" s="51">
        <f t="shared" ca="1" si="270"/>
        <v>0</v>
      </c>
      <c r="BJ356" s="51">
        <f t="shared" ca="1" si="271"/>
        <v>0</v>
      </c>
      <c r="BK356" s="51">
        <f t="shared" si="272"/>
        <v>0</v>
      </c>
      <c r="BL356" s="51">
        <f t="shared" ca="1" si="273"/>
        <v>0</v>
      </c>
      <c r="BM356" s="51">
        <f t="shared" si="274"/>
        <v>0</v>
      </c>
      <c r="BN356" s="51">
        <f t="shared" si="275"/>
        <v>0</v>
      </c>
      <c r="BO356" s="51">
        <f t="shared" ca="1" si="276"/>
        <v>0</v>
      </c>
      <c r="BP356" s="51">
        <f t="shared" ca="1" si="277"/>
        <v>0</v>
      </c>
      <c r="BQ356" s="120"/>
      <c r="BR356" s="32"/>
      <c r="BS356" s="126"/>
      <c r="BT356" s="16"/>
      <c r="BU356" s="58"/>
      <c r="BW356" s="51">
        <f>IF(Input!$C$13="Offline",VLOOKUP(H356,Charges!$AT$4:$AU$33,2,FALSE)*I356,0)</f>
        <v>0</v>
      </c>
      <c r="BX356" s="51">
        <f t="shared" si="278"/>
        <v>0</v>
      </c>
      <c r="BY356" s="51">
        <f t="shared" si="286"/>
        <v>0</v>
      </c>
      <c r="BZ356" s="151"/>
      <c r="CA356" s="151"/>
      <c r="CB356" s="32"/>
      <c r="CC356" s="16">
        <f ca="1">SUM($N$7:$N356)</f>
        <v>0</v>
      </c>
      <c r="CD356" s="16">
        <f t="shared" ca="1" si="279"/>
        <v>0</v>
      </c>
      <c r="CE356" s="16">
        <f t="shared" ca="1" si="280"/>
        <v>0</v>
      </c>
      <c r="CF356" s="7">
        <f t="shared" ca="1" si="281"/>
        <v>0</v>
      </c>
      <c r="CH356" s="7">
        <f t="shared" ca="1" si="282"/>
        <v>0</v>
      </c>
    </row>
    <row r="357" spans="2:86" s="7" customFormat="1" x14ac:dyDescent="0.2">
      <c r="B357" s="14">
        <f t="shared" si="246"/>
        <v>0</v>
      </c>
      <c r="C357" s="12">
        <f t="shared" si="247"/>
        <v>0</v>
      </c>
      <c r="D357" s="17">
        <f t="shared" si="287"/>
        <v>351</v>
      </c>
      <c r="E357" s="17">
        <f t="shared" ca="1" si="248"/>
        <v>89</v>
      </c>
      <c r="F357" s="12">
        <f t="shared" si="289"/>
        <v>2</v>
      </c>
      <c r="G357" s="12">
        <f t="shared" si="288"/>
        <v>59</v>
      </c>
      <c r="H357" s="17">
        <f t="shared" si="290"/>
        <v>30</v>
      </c>
      <c r="I357" s="29">
        <f t="shared" si="249"/>
        <v>0</v>
      </c>
      <c r="J357" s="211">
        <f>IFERROR(VLOOKUP(H357,Charges!$T$6:$U$35,2,0)*C357,0)</f>
        <v>0</v>
      </c>
      <c r="K357" s="29">
        <f t="shared" si="250"/>
        <v>0</v>
      </c>
      <c r="L357" s="29">
        <f t="shared" si="251"/>
        <v>0</v>
      </c>
      <c r="M357" s="147">
        <f t="shared" ca="1" si="252"/>
        <v>0</v>
      </c>
      <c r="N357" s="148">
        <f ca="1">IF(AND(Option_SPW="Y",H357&gt;=Lock_In_Period,Z356&gt;SPW_Amount_pa+IF(option="Single",1/5*pr,2*pr),H357&gt;=SPW_Start_Year,H357&lt;=SPW_Start_Year+SPW_Duration-1,age+H357&gt;=Legal_Age),IF(AND(F357=0,SPW_Payout_Freq=1),SPW_Amount_pa,IF(AND(SPW_Payout_Freq=2,MOD(F357,6)=0),SPW_Amount_pa/SPW_Payout_Freq,IF(AND(SPW_Payout_Freq=4,MOD(F357,3)=0),SPW_Amount_pa/SPW_Payout_Freq,IF(SPW_Payout_Freq=12,SPW_Amount_pa/SPW_Payout_Freq,0)))),0)+IFERROR(VLOOKUP(H357,Input!$B$68:$C$74,2,0),0)*(F357=0)*(Option_PW="Y")*(Option_SPW="N")*(age+H357&gt;=Legal_Age)</f>
        <v>0</v>
      </c>
      <c r="O357" s="148">
        <f t="shared" ca="1" si="253"/>
        <v>0</v>
      </c>
      <c r="P357" s="14">
        <f ca="1">(MAX(MAX(sa-CF356*Flag_UL_Type,105%*SUM($I$7:I357))-(AD356+L357-N357)*Flag_UL_Type,0)*B357)</f>
        <v>0</v>
      </c>
      <c r="Q357" s="213">
        <f t="shared" si="254"/>
        <v>0</v>
      </c>
      <c r="R357" s="14">
        <f t="shared" ca="1" si="255"/>
        <v>0</v>
      </c>
      <c r="S357" s="14">
        <f t="shared" ca="1" si="256"/>
        <v>0</v>
      </c>
      <c r="T357" s="14">
        <f>IFERROR(IF(WoP_Flag="Y",IF(fq=1,VLOOKUP(ppt*fq-H357,Charges!$AN$41:$AO$59,2,FALSE),IF(fq=2,VLOOKUP(ppt*fq-G357,Charges!$AP$41:$AQ$79,2,FALSE),VLOOKUP(ppt*fq-D357,Charges!$AR$41:$AS$279,2,FALSE)))*pr/fq,0),0)</f>
        <v>0</v>
      </c>
      <c r="U357" s="14">
        <f t="shared" ca="1" si="257"/>
        <v>0</v>
      </c>
      <c r="V357" s="34">
        <f>ROUND(MIN(IF(H357&gt;=7,Charges!$C$12*(1+Charges!$C$14)^((H357-7+1)),VLOOKUP(H357,Charges!$B$7:$C$12,2,0))*pr,Charges!$C$13)*B357,Round)</f>
        <v>0</v>
      </c>
      <c r="W357" s="14">
        <f t="shared" ca="1" si="258"/>
        <v>0</v>
      </c>
      <c r="X357" s="14">
        <f t="shared" ca="1" si="259"/>
        <v>0</v>
      </c>
      <c r="Y357" s="213">
        <f t="shared" ca="1" si="283"/>
        <v>0</v>
      </c>
      <c r="Z357" s="14">
        <f t="shared" ca="1" si="260"/>
        <v>0</v>
      </c>
      <c r="AA357" s="14">
        <f>IF(AND($H357=pt,$F357=11),SUM($K$7:K357)*VLOOKUP(pt,ROC,2,FALSE),0)</f>
        <v>0</v>
      </c>
      <c r="AB357" s="14">
        <f>IF(AND($H357=pt,$F357=11),SUM($V$7:V357)*VLOOKUP(pt,ROC,2,FALSE),0)</f>
        <v>0</v>
      </c>
      <c r="AC357" s="14">
        <f>IF(AND($H357=pt,$F357=11),SUM($Q$7:Q357)*VLOOKUP(pt,ROC,2,FALSE),0)</f>
        <v>0</v>
      </c>
      <c r="AD357" s="14">
        <f t="shared" ca="1" si="261"/>
        <v>0</v>
      </c>
      <c r="AE357" s="14">
        <f ca="1">(MAX(sa-CF356*Flag_UL_Type,105%*SUM($I$7:I357),Z357)+AU357)*B357</f>
        <v>0</v>
      </c>
      <c r="AF357" s="136"/>
      <c r="AG357" s="18">
        <v>351</v>
      </c>
      <c r="AH357" s="30">
        <f t="shared" ca="1" si="262"/>
        <v>0</v>
      </c>
      <c r="AI357" s="58"/>
      <c r="AJ357" s="50">
        <f>IF(AND(Option_Sys_TopUp&gt;="Y",H357&gt;=sytp,H357&lt;=(dtp+sytp-1),F357=0,H357&lt;=ppt+1),atp,0)+IFERROR(VLOOKUP(H357,Input!$B$55:$C$61,2,0),0)*(F357=0)*(Option_TopUP="Y")*(Option_Sys_TopUp="N")*B357*(pt&gt;=H357+5)</f>
        <v>0</v>
      </c>
      <c r="AK357" s="50">
        <f t="shared" si="263"/>
        <v>0</v>
      </c>
      <c r="AL357" s="50">
        <f t="shared" si="284"/>
        <v>0</v>
      </c>
      <c r="AM357" s="50">
        <f t="shared" ca="1" si="285"/>
        <v>0</v>
      </c>
      <c r="AN357" s="50">
        <f>IF(B357=0,0,AT357*(_rpm1+(1+_emr1)*VLOOKUP(E357,Tab_Mort_Charge,IF(Input!$C$12="M",2,3),0))*(0.001*0.0833)*Flag_Mort_Rider_Charge*(AT357&gt;0))</f>
        <v>0</v>
      </c>
      <c r="AO357" s="50">
        <f t="shared" ca="1" si="264"/>
        <v>0</v>
      </c>
      <c r="AP357" s="50">
        <f t="shared" ca="1" si="291"/>
        <v>0</v>
      </c>
      <c r="AQ357" s="50">
        <f t="shared" ca="1" si="265"/>
        <v>0</v>
      </c>
      <c r="AR357" s="50">
        <f t="shared" ca="1" si="266"/>
        <v>0</v>
      </c>
      <c r="AS357" s="50">
        <f t="shared" si="267"/>
        <v>0</v>
      </c>
      <c r="AT357" s="50">
        <f ca="1">(MAX((MAX(AS357,105%*SUM($AJ$7:AJ357))-AM357*Flag_UL_Type),0)*B357)</f>
        <v>0</v>
      </c>
      <c r="AU357" s="50">
        <f ca="1">(MAX(AS357,AR357,105%*SUM($AJ$7:AJ357))*B357)</f>
        <v>0</v>
      </c>
      <c r="AV357" s="125"/>
      <c r="AW357" s="13"/>
      <c r="AX357" s="13"/>
      <c r="AY357" s="13"/>
      <c r="AZ357" s="13"/>
      <c r="BA357" s="13"/>
      <c r="BG357" s="51">
        <f t="shared" si="268"/>
        <v>0</v>
      </c>
      <c r="BH357" s="51">
        <f t="shared" si="269"/>
        <v>0</v>
      </c>
      <c r="BI357" s="51">
        <f t="shared" ca="1" si="270"/>
        <v>0</v>
      </c>
      <c r="BJ357" s="51">
        <f t="shared" ca="1" si="271"/>
        <v>0</v>
      </c>
      <c r="BK357" s="51">
        <f t="shared" si="272"/>
        <v>0</v>
      </c>
      <c r="BL357" s="51">
        <f t="shared" ca="1" si="273"/>
        <v>0</v>
      </c>
      <c r="BM357" s="51">
        <f t="shared" si="274"/>
        <v>0</v>
      </c>
      <c r="BN357" s="51">
        <f t="shared" si="275"/>
        <v>0</v>
      </c>
      <c r="BO357" s="51">
        <f t="shared" ca="1" si="276"/>
        <v>0</v>
      </c>
      <c r="BP357" s="51">
        <f t="shared" ca="1" si="277"/>
        <v>0</v>
      </c>
      <c r="BQ357" s="120"/>
      <c r="BR357" s="32"/>
      <c r="BS357" s="126"/>
      <c r="BT357" s="16"/>
      <c r="BU357" s="58"/>
      <c r="BW357" s="51">
        <f>IF(Input!$C$13="Offline",VLOOKUP(H357,Charges!$AT$4:$AU$33,2,FALSE)*I357,0)</f>
        <v>0</v>
      </c>
      <c r="BX357" s="51">
        <f t="shared" si="278"/>
        <v>0</v>
      </c>
      <c r="BY357" s="51">
        <f t="shared" si="286"/>
        <v>0</v>
      </c>
      <c r="BZ357" s="151"/>
      <c r="CA357" s="151"/>
      <c r="CB357" s="32"/>
      <c r="CC357" s="16">
        <f ca="1">SUM($N$7:$N357)</f>
        <v>0</v>
      </c>
      <c r="CD357" s="16">
        <f t="shared" ca="1" si="279"/>
        <v>0</v>
      </c>
      <c r="CE357" s="16">
        <f t="shared" ca="1" si="280"/>
        <v>0</v>
      </c>
      <c r="CF357" s="7">
        <f t="shared" ca="1" si="281"/>
        <v>0</v>
      </c>
      <c r="CH357" s="7">
        <f t="shared" ca="1" si="282"/>
        <v>0</v>
      </c>
    </row>
    <row r="358" spans="2:86" s="7" customFormat="1" x14ac:dyDescent="0.2">
      <c r="B358" s="14">
        <f t="shared" si="246"/>
        <v>0</v>
      </c>
      <c r="C358" s="12">
        <f t="shared" si="247"/>
        <v>0</v>
      </c>
      <c r="D358" s="17">
        <f t="shared" si="287"/>
        <v>352</v>
      </c>
      <c r="E358" s="17">
        <f t="shared" ca="1" si="248"/>
        <v>89</v>
      </c>
      <c r="F358" s="12">
        <f t="shared" si="289"/>
        <v>3</v>
      </c>
      <c r="G358" s="12">
        <f t="shared" si="288"/>
        <v>59</v>
      </c>
      <c r="H358" s="17">
        <f t="shared" si="290"/>
        <v>30</v>
      </c>
      <c r="I358" s="29">
        <f t="shared" si="249"/>
        <v>0</v>
      </c>
      <c r="J358" s="211">
        <f>IFERROR(VLOOKUP(H358,Charges!$T$6:$U$35,2,0)*C358,0)</f>
        <v>0</v>
      </c>
      <c r="K358" s="29">
        <f t="shared" si="250"/>
        <v>0</v>
      </c>
      <c r="L358" s="29">
        <f t="shared" si="251"/>
        <v>0</v>
      </c>
      <c r="M358" s="147">
        <f t="shared" ca="1" si="252"/>
        <v>0</v>
      </c>
      <c r="N358" s="148">
        <f ca="1">IF(AND(Option_SPW="Y",H358&gt;=Lock_In_Period,Z357&gt;SPW_Amount_pa+IF(option="Single",1/5*pr,2*pr),H358&gt;=SPW_Start_Year,H358&lt;=SPW_Start_Year+SPW_Duration-1,age+H358&gt;=Legal_Age),IF(AND(F358=0,SPW_Payout_Freq=1),SPW_Amount_pa,IF(AND(SPW_Payout_Freq=2,MOD(F358,6)=0),SPW_Amount_pa/SPW_Payout_Freq,IF(AND(SPW_Payout_Freq=4,MOD(F358,3)=0),SPW_Amount_pa/SPW_Payout_Freq,IF(SPW_Payout_Freq=12,SPW_Amount_pa/SPW_Payout_Freq,0)))),0)+IFERROR(VLOOKUP(H358,Input!$B$68:$C$74,2,0),0)*(F358=0)*(Option_PW="Y")*(Option_SPW="N")*(age+H358&gt;=Legal_Age)</f>
        <v>0</v>
      </c>
      <c r="O358" s="148">
        <f t="shared" ca="1" si="253"/>
        <v>0</v>
      </c>
      <c r="P358" s="14">
        <f ca="1">(MAX(MAX(sa-CF357*Flag_UL_Type,105%*SUM($I$7:I358))-(AD357+L358-N358)*Flag_UL_Type,0)*B358)</f>
        <v>0</v>
      </c>
      <c r="Q358" s="213">
        <f t="shared" si="254"/>
        <v>0</v>
      </c>
      <c r="R358" s="14">
        <f t="shared" ca="1" si="255"/>
        <v>0</v>
      </c>
      <c r="S358" s="14">
        <f t="shared" ca="1" si="256"/>
        <v>0</v>
      </c>
      <c r="T358" s="14">
        <f>IFERROR(IF(WoP_Flag="Y",IF(fq=1,VLOOKUP(ppt*fq-H358,Charges!$AN$41:$AO$59,2,FALSE),IF(fq=2,VLOOKUP(ppt*fq-G358,Charges!$AP$41:$AQ$79,2,FALSE),VLOOKUP(ppt*fq-D358,Charges!$AR$41:$AS$279,2,FALSE)))*pr/fq,0),0)</f>
        <v>0</v>
      </c>
      <c r="U358" s="14">
        <f t="shared" ca="1" si="257"/>
        <v>0</v>
      </c>
      <c r="V358" s="34">
        <f>ROUND(MIN(IF(H358&gt;=7,Charges!$C$12*(1+Charges!$C$14)^((H358-7+1)),VLOOKUP(H358,Charges!$B$7:$C$12,2,0))*pr,Charges!$C$13)*B358,Round)</f>
        <v>0</v>
      </c>
      <c r="W358" s="14">
        <f t="shared" ca="1" si="258"/>
        <v>0</v>
      </c>
      <c r="X358" s="14">
        <f t="shared" ca="1" si="259"/>
        <v>0</v>
      </c>
      <c r="Y358" s="213">
        <f t="shared" ca="1" si="283"/>
        <v>0</v>
      </c>
      <c r="Z358" s="14">
        <f t="shared" ca="1" si="260"/>
        <v>0</v>
      </c>
      <c r="AA358" s="14">
        <f>IF(AND($H358=pt,$F358=11),SUM($K$7:K358)*VLOOKUP(pt,ROC,2,FALSE),0)</f>
        <v>0</v>
      </c>
      <c r="AB358" s="14">
        <f>IF(AND($H358=pt,$F358=11),SUM($V$7:V358)*VLOOKUP(pt,ROC,2,FALSE),0)</f>
        <v>0</v>
      </c>
      <c r="AC358" s="14">
        <f>IF(AND($H358=pt,$F358=11),SUM($Q$7:Q358)*VLOOKUP(pt,ROC,2,FALSE),0)</f>
        <v>0</v>
      </c>
      <c r="AD358" s="14">
        <f t="shared" ca="1" si="261"/>
        <v>0</v>
      </c>
      <c r="AE358" s="14">
        <f ca="1">(MAX(sa-CF357*Flag_UL_Type,105%*SUM($I$7:I358),Z358)+AU358)*B358</f>
        <v>0</v>
      </c>
      <c r="AF358" s="136"/>
      <c r="AG358" s="18">
        <v>352</v>
      </c>
      <c r="AH358" s="30">
        <f t="shared" ca="1" si="262"/>
        <v>0</v>
      </c>
      <c r="AI358" s="58"/>
      <c r="AJ358" s="50">
        <f>IF(AND(Option_Sys_TopUp&gt;="Y",H358&gt;=sytp,H358&lt;=(dtp+sytp-1),F358=0,H358&lt;=ppt+1),atp,0)+IFERROR(VLOOKUP(H358,Input!$B$55:$C$61,2,0),0)*(F358=0)*(Option_TopUP="Y")*(Option_Sys_TopUp="N")*B358*(pt&gt;=H358+5)</f>
        <v>0</v>
      </c>
      <c r="AK358" s="50">
        <f t="shared" si="263"/>
        <v>0</v>
      </c>
      <c r="AL358" s="50">
        <f t="shared" si="284"/>
        <v>0</v>
      </c>
      <c r="AM358" s="50">
        <f t="shared" ca="1" si="285"/>
        <v>0</v>
      </c>
      <c r="AN358" s="50">
        <f>IF(B358=0,0,AT358*(_rpm1+(1+_emr1)*VLOOKUP(E358,Tab_Mort_Charge,IF(Input!$C$12="M",2,3),0))*(0.001*0.0833)*Flag_Mort_Rider_Charge*(AT358&gt;0))</f>
        <v>0</v>
      </c>
      <c r="AO358" s="50">
        <f t="shared" ca="1" si="264"/>
        <v>0</v>
      </c>
      <c r="AP358" s="50">
        <f t="shared" ca="1" si="291"/>
        <v>0</v>
      </c>
      <c r="AQ358" s="50">
        <f t="shared" ca="1" si="265"/>
        <v>0</v>
      </c>
      <c r="AR358" s="50">
        <f t="shared" ca="1" si="266"/>
        <v>0</v>
      </c>
      <c r="AS358" s="50">
        <f t="shared" si="267"/>
        <v>0</v>
      </c>
      <c r="AT358" s="50">
        <f ca="1">(MAX((MAX(AS358,105%*SUM($AJ$7:AJ358))-AM358*Flag_UL_Type),0)*B358)</f>
        <v>0</v>
      </c>
      <c r="AU358" s="50">
        <f ca="1">(MAX(AS358,AR358,105%*SUM($AJ$7:AJ358))*B358)</f>
        <v>0</v>
      </c>
      <c r="AV358" s="125"/>
      <c r="AW358" s="13"/>
      <c r="AX358" s="13"/>
      <c r="AY358" s="13"/>
      <c r="AZ358" s="13"/>
      <c r="BA358" s="13"/>
      <c r="BG358" s="51">
        <f t="shared" si="268"/>
        <v>0</v>
      </c>
      <c r="BH358" s="51">
        <f t="shared" si="269"/>
        <v>0</v>
      </c>
      <c r="BI358" s="51">
        <f t="shared" ca="1" si="270"/>
        <v>0</v>
      </c>
      <c r="BJ358" s="51">
        <f t="shared" ca="1" si="271"/>
        <v>0</v>
      </c>
      <c r="BK358" s="51">
        <f t="shared" si="272"/>
        <v>0</v>
      </c>
      <c r="BL358" s="51">
        <f t="shared" ca="1" si="273"/>
        <v>0</v>
      </c>
      <c r="BM358" s="51">
        <f t="shared" si="274"/>
        <v>0</v>
      </c>
      <c r="BN358" s="51">
        <f t="shared" si="275"/>
        <v>0</v>
      </c>
      <c r="BO358" s="51">
        <f t="shared" ca="1" si="276"/>
        <v>0</v>
      </c>
      <c r="BP358" s="51">
        <f t="shared" ca="1" si="277"/>
        <v>0</v>
      </c>
      <c r="BQ358" s="120"/>
      <c r="BR358" s="32"/>
      <c r="BS358" s="126"/>
      <c r="BT358" s="16"/>
      <c r="BU358" s="58"/>
      <c r="BW358" s="51">
        <f>IF(Input!$C$13="Offline",VLOOKUP(H358,Charges!$AT$4:$AU$33,2,FALSE)*I358,0)</f>
        <v>0</v>
      </c>
      <c r="BX358" s="51">
        <f t="shared" si="278"/>
        <v>0</v>
      </c>
      <c r="BY358" s="51">
        <f t="shared" si="286"/>
        <v>0</v>
      </c>
      <c r="BZ358" s="151"/>
      <c r="CA358" s="151"/>
      <c r="CB358" s="32"/>
      <c r="CC358" s="16">
        <f ca="1">SUM($N$7:$N358)</f>
        <v>0</v>
      </c>
      <c r="CD358" s="16">
        <f t="shared" ca="1" si="279"/>
        <v>0</v>
      </c>
      <c r="CE358" s="16">
        <f t="shared" ca="1" si="280"/>
        <v>0</v>
      </c>
      <c r="CF358" s="7">
        <f t="shared" ca="1" si="281"/>
        <v>0</v>
      </c>
      <c r="CH358" s="7">
        <f t="shared" ca="1" si="282"/>
        <v>0</v>
      </c>
    </row>
    <row r="359" spans="2:86" s="7" customFormat="1" x14ac:dyDescent="0.2">
      <c r="B359" s="14">
        <f t="shared" si="246"/>
        <v>0</v>
      </c>
      <c r="C359" s="12">
        <f t="shared" si="247"/>
        <v>0</v>
      </c>
      <c r="D359" s="17">
        <f t="shared" si="287"/>
        <v>353</v>
      </c>
      <c r="E359" s="17">
        <f t="shared" ca="1" si="248"/>
        <v>89</v>
      </c>
      <c r="F359" s="12">
        <f t="shared" si="289"/>
        <v>4</v>
      </c>
      <c r="G359" s="12">
        <f t="shared" si="288"/>
        <v>59</v>
      </c>
      <c r="H359" s="17">
        <f t="shared" si="290"/>
        <v>30</v>
      </c>
      <c r="I359" s="29">
        <f t="shared" si="249"/>
        <v>0</v>
      </c>
      <c r="J359" s="211">
        <f>IFERROR(VLOOKUP(H359,Charges!$T$6:$U$35,2,0)*C359,0)</f>
        <v>0</v>
      </c>
      <c r="K359" s="29">
        <f t="shared" si="250"/>
        <v>0</v>
      </c>
      <c r="L359" s="29">
        <f t="shared" si="251"/>
        <v>0</v>
      </c>
      <c r="M359" s="147">
        <f t="shared" ca="1" si="252"/>
        <v>0</v>
      </c>
      <c r="N359" s="148">
        <f ca="1">IF(AND(Option_SPW="Y",H359&gt;=Lock_In_Period,Z358&gt;SPW_Amount_pa+IF(option="Single",1/5*pr,2*pr),H359&gt;=SPW_Start_Year,H359&lt;=SPW_Start_Year+SPW_Duration-1,age+H359&gt;=Legal_Age),IF(AND(F359=0,SPW_Payout_Freq=1),SPW_Amount_pa,IF(AND(SPW_Payout_Freq=2,MOD(F359,6)=0),SPW_Amount_pa/SPW_Payout_Freq,IF(AND(SPW_Payout_Freq=4,MOD(F359,3)=0),SPW_Amount_pa/SPW_Payout_Freq,IF(SPW_Payout_Freq=12,SPW_Amount_pa/SPW_Payout_Freq,0)))),0)+IFERROR(VLOOKUP(H359,Input!$B$68:$C$74,2,0),0)*(F359=0)*(Option_PW="Y")*(Option_SPW="N")*(age+H359&gt;=Legal_Age)</f>
        <v>0</v>
      </c>
      <c r="O359" s="148">
        <f t="shared" ca="1" si="253"/>
        <v>0</v>
      </c>
      <c r="P359" s="14">
        <f ca="1">(MAX(MAX(sa-CF358*Flag_UL_Type,105%*SUM($I$7:I359))-(AD358+L359-N359)*Flag_UL_Type,0)*B359)</f>
        <v>0</v>
      </c>
      <c r="Q359" s="213">
        <f t="shared" si="254"/>
        <v>0</v>
      </c>
      <c r="R359" s="14">
        <f t="shared" ca="1" si="255"/>
        <v>0</v>
      </c>
      <c r="S359" s="14">
        <f t="shared" ca="1" si="256"/>
        <v>0</v>
      </c>
      <c r="T359" s="14">
        <f>IFERROR(IF(WoP_Flag="Y",IF(fq=1,VLOOKUP(ppt*fq-H359,Charges!$AN$41:$AO$59,2,FALSE),IF(fq=2,VLOOKUP(ppt*fq-G359,Charges!$AP$41:$AQ$79,2,FALSE),VLOOKUP(ppt*fq-D359,Charges!$AR$41:$AS$279,2,FALSE)))*pr/fq,0),0)</f>
        <v>0</v>
      </c>
      <c r="U359" s="14">
        <f t="shared" ca="1" si="257"/>
        <v>0</v>
      </c>
      <c r="V359" s="34">
        <f>ROUND(MIN(IF(H359&gt;=7,Charges!$C$12*(1+Charges!$C$14)^((H359-7+1)),VLOOKUP(H359,Charges!$B$7:$C$12,2,0))*pr,Charges!$C$13)*B359,Round)</f>
        <v>0</v>
      </c>
      <c r="W359" s="14">
        <f t="shared" ca="1" si="258"/>
        <v>0</v>
      </c>
      <c r="X359" s="14">
        <f t="shared" ca="1" si="259"/>
        <v>0</v>
      </c>
      <c r="Y359" s="213">
        <f t="shared" ca="1" si="283"/>
        <v>0</v>
      </c>
      <c r="Z359" s="14">
        <f t="shared" ca="1" si="260"/>
        <v>0</v>
      </c>
      <c r="AA359" s="14">
        <f>IF(AND($H359=pt,$F359=11),SUM($K$7:K359)*VLOOKUP(pt,ROC,2,FALSE),0)</f>
        <v>0</v>
      </c>
      <c r="AB359" s="14">
        <f>IF(AND($H359=pt,$F359=11),SUM($V$7:V359)*VLOOKUP(pt,ROC,2,FALSE),0)</f>
        <v>0</v>
      </c>
      <c r="AC359" s="14">
        <f>IF(AND($H359=pt,$F359=11),SUM($Q$7:Q359)*VLOOKUP(pt,ROC,2,FALSE),0)</f>
        <v>0</v>
      </c>
      <c r="AD359" s="14">
        <f t="shared" ca="1" si="261"/>
        <v>0</v>
      </c>
      <c r="AE359" s="14">
        <f ca="1">(MAX(sa-CF358*Flag_UL_Type,105%*SUM($I$7:I359),Z359)+AU359)*B359</f>
        <v>0</v>
      </c>
      <c r="AF359" s="136"/>
      <c r="AG359" s="18">
        <v>353</v>
      </c>
      <c r="AH359" s="30">
        <f t="shared" ca="1" si="262"/>
        <v>0</v>
      </c>
      <c r="AI359" s="58"/>
      <c r="AJ359" s="50">
        <f>IF(AND(Option_Sys_TopUp&gt;="Y",H359&gt;=sytp,H359&lt;=(dtp+sytp-1),F359=0,H359&lt;=ppt+1),atp,0)+IFERROR(VLOOKUP(H359,Input!$B$55:$C$61,2,0),0)*(F359=0)*(Option_TopUP="Y")*(Option_Sys_TopUp="N")*B359*(pt&gt;=H359+5)</f>
        <v>0</v>
      </c>
      <c r="AK359" s="50">
        <f t="shared" si="263"/>
        <v>0</v>
      </c>
      <c r="AL359" s="50">
        <f t="shared" si="284"/>
        <v>0</v>
      </c>
      <c r="AM359" s="50">
        <f t="shared" ca="1" si="285"/>
        <v>0</v>
      </c>
      <c r="AN359" s="50">
        <f>IF(B359=0,0,AT359*(_rpm1+(1+_emr1)*VLOOKUP(E359,Tab_Mort_Charge,IF(Input!$C$12="M",2,3),0))*(0.001*0.0833)*Flag_Mort_Rider_Charge*(AT359&gt;0))</f>
        <v>0</v>
      </c>
      <c r="AO359" s="50">
        <f t="shared" ca="1" si="264"/>
        <v>0</v>
      </c>
      <c r="AP359" s="50">
        <f t="shared" ca="1" si="291"/>
        <v>0</v>
      </c>
      <c r="AQ359" s="50">
        <f t="shared" ca="1" si="265"/>
        <v>0</v>
      </c>
      <c r="AR359" s="50">
        <f t="shared" ca="1" si="266"/>
        <v>0</v>
      </c>
      <c r="AS359" s="50">
        <f t="shared" si="267"/>
        <v>0</v>
      </c>
      <c r="AT359" s="50">
        <f ca="1">(MAX((MAX(AS359,105%*SUM($AJ$7:AJ359))-AM359*Flag_UL_Type),0)*B359)</f>
        <v>0</v>
      </c>
      <c r="AU359" s="50">
        <f ca="1">(MAX(AS359,AR359,105%*SUM($AJ$7:AJ359))*B359)</f>
        <v>0</v>
      </c>
      <c r="AV359" s="125"/>
      <c r="AW359" s="13"/>
      <c r="AX359" s="13"/>
      <c r="AY359" s="13"/>
      <c r="AZ359" s="13"/>
      <c r="BA359" s="13"/>
      <c r="BG359" s="51">
        <f t="shared" si="268"/>
        <v>0</v>
      </c>
      <c r="BH359" s="51">
        <f t="shared" si="269"/>
        <v>0</v>
      </c>
      <c r="BI359" s="51">
        <f t="shared" ca="1" si="270"/>
        <v>0</v>
      </c>
      <c r="BJ359" s="51">
        <f t="shared" ca="1" si="271"/>
        <v>0</v>
      </c>
      <c r="BK359" s="51">
        <f t="shared" si="272"/>
        <v>0</v>
      </c>
      <c r="BL359" s="51">
        <f t="shared" ca="1" si="273"/>
        <v>0</v>
      </c>
      <c r="BM359" s="51">
        <f t="shared" si="274"/>
        <v>0</v>
      </c>
      <c r="BN359" s="51">
        <f t="shared" si="275"/>
        <v>0</v>
      </c>
      <c r="BO359" s="51">
        <f t="shared" ca="1" si="276"/>
        <v>0</v>
      </c>
      <c r="BP359" s="51">
        <f t="shared" ca="1" si="277"/>
        <v>0</v>
      </c>
      <c r="BQ359" s="120"/>
      <c r="BR359" s="32"/>
      <c r="BS359" s="126"/>
      <c r="BT359" s="16"/>
      <c r="BU359" s="58"/>
      <c r="BW359" s="51">
        <f>IF(Input!$C$13="Offline",VLOOKUP(H359,Charges!$AT$4:$AU$33,2,FALSE)*I359,0)</f>
        <v>0</v>
      </c>
      <c r="BX359" s="51">
        <f t="shared" si="278"/>
        <v>0</v>
      </c>
      <c r="BY359" s="51">
        <f t="shared" si="286"/>
        <v>0</v>
      </c>
      <c r="BZ359" s="151"/>
      <c r="CA359" s="151"/>
      <c r="CB359" s="32"/>
      <c r="CC359" s="16">
        <f ca="1">SUM($N$7:$N359)</f>
        <v>0</v>
      </c>
      <c r="CD359" s="16">
        <f t="shared" ca="1" si="279"/>
        <v>0</v>
      </c>
      <c r="CE359" s="16">
        <f t="shared" ca="1" si="280"/>
        <v>0</v>
      </c>
      <c r="CF359" s="7">
        <f t="shared" ca="1" si="281"/>
        <v>0</v>
      </c>
      <c r="CH359" s="7">
        <f t="shared" ca="1" si="282"/>
        <v>0</v>
      </c>
    </row>
    <row r="360" spans="2:86" s="7" customFormat="1" x14ac:dyDescent="0.2">
      <c r="B360" s="14">
        <f t="shared" si="246"/>
        <v>0</v>
      </c>
      <c r="C360" s="12">
        <f t="shared" si="247"/>
        <v>0</v>
      </c>
      <c r="D360" s="17">
        <f t="shared" si="287"/>
        <v>354</v>
      </c>
      <c r="E360" s="17">
        <f t="shared" ca="1" si="248"/>
        <v>89</v>
      </c>
      <c r="F360" s="12">
        <f t="shared" si="289"/>
        <v>5</v>
      </c>
      <c r="G360" s="12">
        <f t="shared" si="288"/>
        <v>59</v>
      </c>
      <c r="H360" s="17">
        <f t="shared" si="290"/>
        <v>30</v>
      </c>
      <c r="I360" s="29">
        <f t="shared" si="249"/>
        <v>0</v>
      </c>
      <c r="J360" s="211">
        <f>IFERROR(VLOOKUP(H360,Charges!$T$6:$U$35,2,0)*C360,0)</f>
        <v>0</v>
      </c>
      <c r="K360" s="29">
        <f t="shared" si="250"/>
        <v>0</v>
      </c>
      <c r="L360" s="29">
        <f t="shared" si="251"/>
        <v>0</v>
      </c>
      <c r="M360" s="147">
        <f t="shared" ca="1" si="252"/>
        <v>0</v>
      </c>
      <c r="N360" s="148">
        <f ca="1">IF(AND(Option_SPW="Y",H360&gt;=Lock_In_Period,Z359&gt;SPW_Amount_pa+IF(option="Single",1/5*pr,2*pr),H360&gt;=SPW_Start_Year,H360&lt;=SPW_Start_Year+SPW_Duration-1,age+H360&gt;=Legal_Age),IF(AND(F360=0,SPW_Payout_Freq=1),SPW_Amount_pa,IF(AND(SPW_Payout_Freq=2,MOD(F360,6)=0),SPW_Amount_pa/SPW_Payout_Freq,IF(AND(SPW_Payout_Freq=4,MOD(F360,3)=0),SPW_Amount_pa/SPW_Payout_Freq,IF(SPW_Payout_Freq=12,SPW_Amount_pa/SPW_Payout_Freq,0)))),0)+IFERROR(VLOOKUP(H360,Input!$B$68:$C$74,2,0),0)*(F360=0)*(Option_PW="Y")*(Option_SPW="N")*(age+H360&gt;=Legal_Age)</f>
        <v>0</v>
      </c>
      <c r="O360" s="148">
        <f t="shared" ca="1" si="253"/>
        <v>0</v>
      </c>
      <c r="P360" s="14">
        <f ca="1">(MAX(MAX(sa-CF359*Flag_UL_Type,105%*SUM($I$7:I360))-(AD359+L360-N360)*Flag_UL_Type,0)*B360)</f>
        <v>0</v>
      </c>
      <c r="Q360" s="213">
        <f t="shared" si="254"/>
        <v>0</v>
      </c>
      <c r="R360" s="14">
        <f t="shared" ca="1" si="255"/>
        <v>0</v>
      </c>
      <c r="S360" s="14">
        <f t="shared" ca="1" si="256"/>
        <v>0</v>
      </c>
      <c r="T360" s="14">
        <f>IFERROR(IF(WoP_Flag="Y",IF(fq=1,VLOOKUP(ppt*fq-H360,Charges!$AN$41:$AO$59,2,FALSE),IF(fq=2,VLOOKUP(ppt*fq-G360,Charges!$AP$41:$AQ$79,2,FALSE),VLOOKUP(ppt*fq-D360,Charges!$AR$41:$AS$279,2,FALSE)))*pr/fq,0),0)</f>
        <v>0</v>
      </c>
      <c r="U360" s="14">
        <f t="shared" ca="1" si="257"/>
        <v>0</v>
      </c>
      <c r="V360" s="34">
        <f>ROUND(MIN(IF(H360&gt;=7,Charges!$C$12*(1+Charges!$C$14)^((H360-7+1)),VLOOKUP(H360,Charges!$B$7:$C$12,2,0))*pr,Charges!$C$13)*B360,Round)</f>
        <v>0</v>
      </c>
      <c r="W360" s="14">
        <f t="shared" ca="1" si="258"/>
        <v>0</v>
      </c>
      <c r="X360" s="14">
        <f t="shared" ca="1" si="259"/>
        <v>0</v>
      </c>
      <c r="Y360" s="213">
        <f t="shared" ca="1" si="283"/>
        <v>0</v>
      </c>
      <c r="Z360" s="14">
        <f t="shared" ca="1" si="260"/>
        <v>0</v>
      </c>
      <c r="AA360" s="14">
        <f>IF(AND($H360=pt,$F360=11),SUM($K$7:K360)*VLOOKUP(pt,ROC,2,FALSE),0)</f>
        <v>0</v>
      </c>
      <c r="AB360" s="14">
        <f>IF(AND($H360=pt,$F360=11),SUM($V$7:V360)*VLOOKUP(pt,ROC,2,FALSE),0)</f>
        <v>0</v>
      </c>
      <c r="AC360" s="14">
        <f>IF(AND($H360=pt,$F360=11),SUM($Q$7:Q360)*VLOOKUP(pt,ROC,2,FALSE),0)</f>
        <v>0</v>
      </c>
      <c r="AD360" s="14">
        <f t="shared" ca="1" si="261"/>
        <v>0</v>
      </c>
      <c r="AE360" s="14">
        <f ca="1">(MAX(sa-CF359*Flag_UL_Type,105%*SUM($I$7:I360),Z360)+AU360)*B360</f>
        <v>0</v>
      </c>
      <c r="AF360" s="136"/>
      <c r="AG360" s="18">
        <v>354</v>
      </c>
      <c r="AH360" s="30">
        <f t="shared" ca="1" si="262"/>
        <v>0</v>
      </c>
      <c r="AI360" s="58"/>
      <c r="AJ360" s="50">
        <f>IF(AND(Option_Sys_TopUp&gt;="Y",H360&gt;=sytp,H360&lt;=(dtp+sytp-1),F360=0,H360&lt;=ppt+1),atp,0)+IFERROR(VLOOKUP(H360,Input!$B$55:$C$61,2,0),0)*(F360=0)*(Option_TopUP="Y")*(Option_Sys_TopUp="N")*B360*(pt&gt;=H360+5)</f>
        <v>0</v>
      </c>
      <c r="AK360" s="50">
        <f t="shared" si="263"/>
        <v>0</v>
      </c>
      <c r="AL360" s="50">
        <f t="shared" si="284"/>
        <v>0</v>
      </c>
      <c r="AM360" s="50">
        <f t="shared" ca="1" si="285"/>
        <v>0</v>
      </c>
      <c r="AN360" s="50">
        <f>IF(B360=0,0,AT360*(_rpm1+(1+_emr1)*VLOOKUP(E360,Tab_Mort_Charge,IF(Input!$C$12="M",2,3),0))*(0.001*0.0833)*Flag_Mort_Rider_Charge*(AT360&gt;0))</f>
        <v>0</v>
      </c>
      <c r="AO360" s="50">
        <f t="shared" ca="1" si="264"/>
        <v>0</v>
      </c>
      <c r="AP360" s="50">
        <f t="shared" ca="1" si="291"/>
        <v>0</v>
      </c>
      <c r="AQ360" s="50">
        <f t="shared" ca="1" si="265"/>
        <v>0</v>
      </c>
      <c r="AR360" s="50">
        <f t="shared" ca="1" si="266"/>
        <v>0</v>
      </c>
      <c r="AS360" s="50">
        <f t="shared" si="267"/>
        <v>0</v>
      </c>
      <c r="AT360" s="50">
        <f ca="1">(MAX((MAX(AS360,105%*SUM($AJ$7:AJ360))-AM360*Flag_UL_Type),0)*B360)</f>
        <v>0</v>
      </c>
      <c r="AU360" s="50">
        <f ca="1">(MAX(AS360,AR360,105%*SUM($AJ$7:AJ360))*B360)</f>
        <v>0</v>
      </c>
      <c r="AV360" s="125"/>
      <c r="AW360" s="13"/>
      <c r="AX360" s="13"/>
      <c r="AY360" s="13"/>
      <c r="AZ360" s="13"/>
      <c r="BA360" s="13"/>
      <c r="BG360" s="51">
        <f t="shared" si="268"/>
        <v>0</v>
      </c>
      <c r="BH360" s="51">
        <f t="shared" si="269"/>
        <v>0</v>
      </c>
      <c r="BI360" s="51">
        <f t="shared" ca="1" si="270"/>
        <v>0</v>
      </c>
      <c r="BJ360" s="51">
        <f t="shared" ca="1" si="271"/>
        <v>0</v>
      </c>
      <c r="BK360" s="51">
        <f t="shared" si="272"/>
        <v>0</v>
      </c>
      <c r="BL360" s="51">
        <f t="shared" ca="1" si="273"/>
        <v>0</v>
      </c>
      <c r="BM360" s="51">
        <f t="shared" si="274"/>
        <v>0</v>
      </c>
      <c r="BN360" s="51">
        <f t="shared" si="275"/>
        <v>0</v>
      </c>
      <c r="BO360" s="51">
        <f t="shared" ca="1" si="276"/>
        <v>0</v>
      </c>
      <c r="BP360" s="51">
        <f t="shared" ca="1" si="277"/>
        <v>0</v>
      </c>
      <c r="BQ360" s="120"/>
      <c r="BR360" s="32"/>
      <c r="BS360" s="126"/>
      <c r="BT360" s="16"/>
      <c r="BU360" s="58"/>
      <c r="BW360" s="51">
        <f>IF(Input!$C$13="Offline",VLOOKUP(H360,Charges!$AT$4:$AU$33,2,FALSE)*I360,0)</f>
        <v>0</v>
      </c>
      <c r="BX360" s="51">
        <f t="shared" si="278"/>
        <v>0</v>
      </c>
      <c r="BY360" s="51">
        <f t="shared" si="286"/>
        <v>0</v>
      </c>
      <c r="BZ360" s="151"/>
      <c r="CA360" s="151"/>
      <c r="CB360" s="32"/>
      <c r="CC360" s="16">
        <f ca="1">SUM($N$7:$N360)</f>
        <v>0</v>
      </c>
      <c r="CD360" s="16">
        <f t="shared" ca="1" si="279"/>
        <v>0</v>
      </c>
      <c r="CE360" s="16">
        <f t="shared" ca="1" si="280"/>
        <v>0</v>
      </c>
      <c r="CF360" s="7">
        <f t="shared" ca="1" si="281"/>
        <v>0</v>
      </c>
      <c r="CH360" s="7">
        <f t="shared" ca="1" si="282"/>
        <v>0</v>
      </c>
    </row>
    <row r="361" spans="2:86" s="7" customFormat="1" x14ac:dyDescent="0.2">
      <c r="B361" s="14">
        <f t="shared" si="246"/>
        <v>0</v>
      </c>
      <c r="C361" s="12">
        <f t="shared" si="247"/>
        <v>0</v>
      </c>
      <c r="D361" s="17">
        <f t="shared" si="287"/>
        <v>355</v>
      </c>
      <c r="E361" s="17">
        <f t="shared" ca="1" si="248"/>
        <v>89</v>
      </c>
      <c r="F361" s="12">
        <f t="shared" si="289"/>
        <v>6</v>
      </c>
      <c r="G361" s="12">
        <f t="shared" si="288"/>
        <v>60</v>
      </c>
      <c r="H361" s="17">
        <f t="shared" si="290"/>
        <v>30</v>
      </c>
      <c r="I361" s="29">
        <f t="shared" si="249"/>
        <v>0</v>
      </c>
      <c r="J361" s="211">
        <f>IFERROR(VLOOKUP(H361,Charges!$T$6:$U$35,2,0)*C361,0)</f>
        <v>0</v>
      </c>
      <c r="K361" s="29">
        <f t="shared" si="250"/>
        <v>0</v>
      </c>
      <c r="L361" s="29">
        <f t="shared" si="251"/>
        <v>0</v>
      </c>
      <c r="M361" s="147">
        <f t="shared" ca="1" si="252"/>
        <v>0</v>
      </c>
      <c r="N361" s="148">
        <f ca="1">IF(AND(Option_SPW="Y",H361&gt;=Lock_In_Period,Z360&gt;SPW_Amount_pa+IF(option="Single",1/5*pr,2*pr),H361&gt;=SPW_Start_Year,H361&lt;=SPW_Start_Year+SPW_Duration-1,age+H361&gt;=Legal_Age),IF(AND(F361=0,SPW_Payout_Freq=1),SPW_Amount_pa,IF(AND(SPW_Payout_Freq=2,MOD(F361,6)=0),SPW_Amount_pa/SPW_Payout_Freq,IF(AND(SPW_Payout_Freq=4,MOD(F361,3)=0),SPW_Amount_pa/SPW_Payout_Freq,IF(SPW_Payout_Freq=12,SPW_Amount_pa/SPW_Payout_Freq,0)))),0)+IFERROR(VLOOKUP(H361,Input!$B$68:$C$74,2,0),0)*(F361=0)*(Option_PW="Y")*(Option_SPW="N")*(age+H361&gt;=Legal_Age)</f>
        <v>0</v>
      </c>
      <c r="O361" s="148">
        <f t="shared" ca="1" si="253"/>
        <v>0</v>
      </c>
      <c r="P361" s="14">
        <f ca="1">(MAX(MAX(sa-CF360*Flag_UL_Type,105%*SUM($I$7:I361))-(AD360+L361-N361)*Flag_UL_Type,0)*B361)</f>
        <v>0</v>
      </c>
      <c r="Q361" s="213">
        <f t="shared" si="254"/>
        <v>0</v>
      </c>
      <c r="R361" s="14">
        <f t="shared" ca="1" si="255"/>
        <v>0</v>
      </c>
      <c r="S361" s="14">
        <f t="shared" ca="1" si="256"/>
        <v>0</v>
      </c>
      <c r="T361" s="14">
        <f>IFERROR(IF(WoP_Flag="Y",IF(fq=1,VLOOKUP(ppt*fq-H361,Charges!$AN$41:$AO$59,2,FALSE),IF(fq=2,VLOOKUP(ppt*fq-G361,Charges!$AP$41:$AQ$79,2,FALSE),VLOOKUP(ppt*fq-D361,Charges!$AR$41:$AS$279,2,FALSE)))*pr/fq,0),0)</f>
        <v>0</v>
      </c>
      <c r="U361" s="14">
        <f t="shared" ca="1" si="257"/>
        <v>0</v>
      </c>
      <c r="V361" s="34">
        <f>ROUND(MIN(IF(H361&gt;=7,Charges!$C$12*(1+Charges!$C$14)^((H361-7+1)),VLOOKUP(H361,Charges!$B$7:$C$12,2,0))*pr,Charges!$C$13)*B361,Round)</f>
        <v>0</v>
      </c>
      <c r="W361" s="14">
        <f t="shared" ca="1" si="258"/>
        <v>0</v>
      </c>
      <c r="X361" s="14">
        <f t="shared" ca="1" si="259"/>
        <v>0</v>
      </c>
      <c r="Y361" s="213">
        <f t="shared" ca="1" si="283"/>
        <v>0</v>
      </c>
      <c r="Z361" s="14">
        <f t="shared" ca="1" si="260"/>
        <v>0</v>
      </c>
      <c r="AA361" s="14">
        <f>IF(AND($H361=pt,$F361=11),SUM($K$7:K361)*VLOOKUP(pt,ROC,2,FALSE),0)</f>
        <v>0</v>
      </c>
      <c r="AB361" s="14">
        <f>IF(AND($H361=pt,$F361=11),SUM($V$7:V361)*VLOOKUP(pt,ROC,2,FALSE),0)</f>
        <v>0</v>
      </c>
      <c r="AC361" s="14">
        <f>IF(AND($H361=pt,$F361=11),SUM($Q$7:Q361)*VLOOKUP(pt,ROC,2,FALSE),0)</f>
        <v>0</v>
      </c>
      <c r="AD361" s="14">
        <f t="shared" ca="1" si="261"/>
        <v>0</v>
      </c>
      <c r="AE361" s="14">
        <f ca="1">(MAX(sa-CF360*Flag_UL_Type,105%*SUM($I$7:I361),Z361)+AU361)*B361</f>
        <v>0</v>
      </c>
      <c r="AF361" s="136"/>
      <c r="AG361" s="18">
        <v>355</v>
      </c>
      <c r="AH361" s="30">
        <f t="shared" ca="1" si="262"/>
        <v>0</v>
      </c>
      <c r="AI361" s="58"/>
      <c r="AJ361" s="50">
        <f>IF(AND(Option_Sys_TopUp&gt;="Y",H361&gt;=sytp,H361&lt;=(dtp+sytp-1),F361=0,H361&lt;=ppt+1),atp,0)+IFERROR(VLOOKUP(H361,Input!$B$55:$C$61,2,0),0)*(F361=0)*(Option_TopUP="Y")*(Option_Sys_TopUp="N")*B361*(pt&gt;=H361+5)</f>
        <v>0</v>
      </c>
      <c r="AK361" s="50">
        <f t="shared" si="263"/>
        <v>0</v>
      </c>
      <c r="AL361" s="50">
        <f t="shared" si="284"/>
        <v>0</v>
      </c>
      <c r="AM361" s="50">
        <f t="shared" ca="1" si="285"/>
        <v>0</v>
      </c>
      <c r="AN361" s="50">
        <f>IF(B361=0,0,AT361*(_rpm1+(1+_emr1)*VLOOKUP(E361,Tab_Mort_Charge,IF(Input!$C$12="M",2,3),0))*(0.001*0.0833)*Flag_Mort_Rider_Charge*(AT361&gt;0))</f>
        <v>0</v>
      </c>
      <c r="AO361" s="50">
        <f t="shared" ca="1" si="264"/>
        <v>0</v>
      </c>
      <c r="AP361" s="50">
        <f t="shared" ca="1" si="291"/>
        <v>0</v>
      </c>
      <c r="AQ361" s="50">
        <f t="shared" ca="1" si="265"/>
        <v>0</v>
      </c>
      <c r="AR361" s="50">
        <f t="shared" ca="1" si="266"/>
        <v>0</v>
      </c>
      <c r="AS361" s="50">
        <f t="shared" si="267"/>
        <v>0</v>
      </c>
      <c r="AT361" s="50">
        <f ca="1">(MAX((MAX(AS361,105%*SUM($AJ$7:AJ361))-AM361*Flag_UL_Type),0)*B361)</f>
        <v>0</v>
      </c>
      <c r="AU361" s="50">
        <f ca="1">(MAX(AS361,AR361,105%*SUM($AJ$7:AJ361))*B361)</f>
        <v>0</v>
      </c>
      <c r="AV361" s="125"/>
      <c r="AW361" s="13"/>
      <c r="AX361" s="13"/>
      <c r="AY361" s="13"/>
      <c r="AZ361" s="13"/>
      <c r="BA361" s="13"/>
      <c r="BG361" s="51">
        <f t="shared" si="268"/>
        <v>0</v>
      </c>
      <c r="BH361" s="51">
        <f t="shared" si="269"/>
        <v>0</v>
      </c>
      <c r="BI361" s="51">
        <f t="shared" ca="1" si="270"/>
        <v>0</v>
      </c>
      <c r="BJ361" s="51">
        <f t="shared" ca="1" si="271"/>
        <v>0</v>
      </c>
      <c r="BK361" s="51">
        <f t="shared" si="272"/>
        <v>0</v>
      </c>
      <c r="BL361" s="51">
        <f t="shared" ca="1" si="273"/>
        <v>0</v>
      </c>
      <c r="BM361" s="51">
        <f t="shared" si="274"/>
        <v>0</v>
      </c>
      <c r="BN361" s="51">
        <f t="shared" si="275"/>
        <v>0</v>
      </c>
      <c r="BO361" s="51">
        <f t="shared" ca="1" si="276"/>
        <v>0</v>
      </c>
      <c r="BP361" s="51">
        <f t="shared" ca="1" si="277"/>
        <v>0</v>
      </c>
      <c r="BQ361" s="120"/>
      <c r="BR361" s="32"/>
      <c r="BS361" s="126"/>
      <c r="BT361" s="16"/>
      <c r="BU361" s="58"/>
      <c r="BW361" s="51">
        <f>IF(Input!$C$13="Offline",VLOOKUP(H361,Charges!$AT$4:$AU$33,2,FALSE)*I361,0)</f>
        <v>0</v>
      </c>
      <c r="BX361" s="51">
        <f t="shared" si="278"/>
        <v>0</v>
      </c>
      <c r="BY361" s="51">
        <f t="shared" si="286"/>
        <v>0</v>
      </c>
      <c r="BZ361" s="151"/>
      <c r="CA361" s="151"/>
      <c r="CB361" s="32"/>
      <c r="CC361" s="16">
        <f ca="1">SUM($N$7:$N361)</f>
        <v>0</v>
      </c>
      <c r="CD361" s="16">
        <f t="shared" ca="1" si="279"/>
        <v>0</v>
      </c>
      <c r="CE361" s="16">
        <f t="shared" ca="1" si="280"/>
        <v>0</v>
      </c>
      <c r="CF361" s="7">
        <f t="shared" ca="1" si="281"/>
        <v>0</v>
      </c>
      <c r="CH361" s="7">
        <f t="shared" ca="1" si="282"/>
        <v>0</v>
      </c>
    </row>
    <row r="362" spans="2:86" s="7" customFormat="1" x14ac:dyDescent="0.2">
      <c r="B362" s="14">
        <f t="shared" si="246"/>
        <v>0</v>
      </c>
      <c r="C362" s="12">
        <f t="shared" si="247"/>
        <v>0</v>
      </c>
      <c r="D362" s="17">
        <f t="shared" si="287"/>
        <v>356</v>
      </c>
      <c r="E362" s="17">
        <f t="shared" ca="1" si="248"/>
        <v>89</v>
      </c>
      <c r="F362" s="12">
        <f t="shared" si="289"/>
        <v>7</v>
      </c>
      <c r="G362" s="12">
        <f t="shared" si="288"/>
        <v>60</v>
      </c>
      <c r="H362" s="17">
        <f t="shared" si="290"/>
        <v>30</v>
      </c>
      <c r="I362" s="29">
        <f t="shared" si="249"/>
        <v>0</v>
      </c>
      <c r="J362" s="211">
        <f>IFERROR(VLOOKUP(H362,Charges!$T$6:$U$35,2,0)*C362,0)</f>
        <v>0</v>
      </c>
      <c r="K362" s="29">
        <f t="shared" si="250"/>
        <v>0</v>
      </c>
      <c r="L362" s="29">
        <f t="shared" si="251"/>
        <v>0</v>
      </c>
      <c r="M362" s="147">
        <f t="shared" ca="1" si="252"/>
        <v>0</v>
      </c>
      <c r="N362" s="148">
        <f ca="1">IF(AND(Option_SPW="Y",H362&gt;=Lock_In_Period,Z361&gt;SPW_Amount_pa+IF(option="Single",1/5*pr,2*pr),H362&gt;=SPW_Start_Year,H362&lt;=SPW_Start_Year+SPW_Duration-1,age+H362&gt;=Legal_Age),IF(AND(F362=0,SPW_Payout_Freq=1),SPW_Amount_pa,IF(AND(SPW_Payout_Freq=2,MOD(F362,6)=0),SPW_Amount_pa/SPW_Payout_Freq,IF(AND(SPW_Payout_Freq=4,MOD(F362,3)=0),SPW_Amount_pa/SPW_Payout_Freq,IF(SPW_Payout_Freq=12,SPW_Amount_pa/SPW_Payout_Freq,0)))),0)+IFERROR(VLOOKUP(H362,Input!$B$68:$C$74,2,0),0)*(F362=0)*(Option_PW="Y")*(Option_SPW="N")*(age+H362&gt;=Legal_Age)</f>
        <v>0</v>
      </c>
      <c r="O362" s="148">
        <f t="shared" ca="1" si="253"/>
        <v>0</v>
      </c>
      <c r="P362" s="14">
        <f ca="1">(MAX(MAX(sa-CF361*Flag_UL_Type,105%*SUM($I$7:I362))-(AD361+L362-N362)*Flag_UL_Type,0)*B362)</f>
        <v>0</v>
      </c>
      <c r="Q362" s="213">
        <f t="shared" si="254"/>
        <v>0</v>
      </c>
      <c r="R362" s="14">
        <f t="shared" ca="1" si="255"/>
        <v>0</v>
      </c>
      <c r="S362" s="14">
        <f t="shared" ca="1" si="256"/>
        <v>0</v>
      </c>
      <c r="T362" s="14">
        <f>IFERROR(IF(WoP_Flag="Y",IF(fq=1,VLOOKUP(ppt*fq-H362,Charges!$AN$41:$AO$59,2,FALSE),IF(fq=2,VLOOKUP(ppt*fq-G362,Charges!$AP$41:$AQ$79,2,FALSE),VLOOKUP(ppt*fq-D362,Charges!$AR$41:$AS$279,2,FALSE)))*pr/fq,0),0)</f>
        <v>0</v>
      </c>
      <c r="U362" s="14">
        <f t="shared" ca="1" si="257"/>
        <v>0</v>
      </c>
      <c r="V362" s="34">
        <f>ROUND(MIN(IF(H362&gt;=7,Charges!$C$12*(1+Charges!$C$14)^((H362-7+1)),VLOOKUP(H362,Charges!$B$7:$C$12,2,0))*pr,Charges!$C$13)*B362,Round)</f>
        <v>0</v>
      </c>
      <c r="W362" s="14">
        <f t="shared" ca="1" si="258"/>
        <v>0</v>
      </c>
      <c r="X362" s="14">
        <f t="shared" ca="1" si="259"/>
        <v>0</v>
      </c>
      <c r="Y362" s="213">
        <f t="shared" ca="1" si="283"/>
        <v>0</v>
      </c>
      <c r="Z362" s="14">
        <f t="shared" ca="1" si="260"/>
        <v>0</v>
      </c>
      <c r="AA362" s="14">
        <f>IF(AND($H362=pt,$F362=11),SUM($K$7:K362)*VLOOKUP(pt,ROC,2,FALSE),0)</f>
        <v>0</v>
      </c>
      <c r="AB362" s="14">
        <f>IF(AND($H362=pt,$F362=11),SUM($V$7:V362)*VLOOKUP(pt,ROC,2,FALSE),0)</f>
        <v>0</v>
      </c>
      <c r="AC362" s="14">
        <f>IF(AND($H362=pt,$F362=11),SUM($Q$7:Q362)*VLOOKUP(pt,ROC,2,FALSE),0)</f>
        <v>0</v>
      </c>
      <c r="AD362" s="14">
        <f t="shared" ca="1" si="261"/>
        <v>0</v>
      </c>
      <c r="AE362" s="14">
        <f ca="1">(MAX(sa-CF361*Flag_UL_Type,105%*SUM($I$7:I362),Z362)+AU362)*B362</f>
        <v>0</v>
      </c>
      <c r="AF362" s="136"/>
      <c r="AG362" s="18">
        <v>356</v>
      </c>
      <c r="AH362" s="30">
        <f t="shared" ca="1" si="262"/>
        <v>0</v>
      </c>
      <c r="AI362" s="58"/>
      <c r="AJ362" s="50">
        <f>IF(AND(Option_Sys_TopUp&gt;="Y",H362&gt;=sytp,H362&lt;=(dtp+sytp-1),F362=0,H362&lt;=ppt+1),atp,0)+IFERROR(VLOOKUP(H362,Input!$B$55:$C$61,2,0),0)*(F362=0)*(Option_TopUP="Y")*(Option_Sys_TopUp="N")*B362*(pt&gt;=H362+5)</f>
        <v>0</v>
      </c>
      <c r="AK362" s="50">
        <f t="shared" si="263"/>
        <v>0</v>
      </c>
      <c r="AL362" s="50">
        <f t="shared" si="284"/>
        <v>0</v>
      </c>
      <c r="AM362" s="50">
        <f t="shared" ca="1" si="285"/>
        <v>0</v>
      </c>
      <c r="AN362" s="50">
        <f>IF(B362=0,0,AT362*(_rpm1+(1+_emr1)*VLOOKUP(E362,Tab_Mort_Charge,IF(Input!$C$12="M",2,3),0))*(0.001*0.0833)*Flag_Mort_Rider_Charge*(AT362&gt;0))</f>
        <v>0</v>
      </c>
      <c r="AO362" s="50">
        <f t="shared" ca="1" si="264"/>
        <v>0</v>
      </c>
      <c r="AP362" s="50">
        <f t="shared" ca="1" si="291"/>
        <v>0</v>
      </c>
      <c r="AQ362" s="50">
        <f t="shared" ca="1" si="265"/>
        <v>0</v>
      </c>
      <c r="AR362" s="50">
        <f t="shared" ca="1" si="266"/>
        <v>0</v>
      </c>
      <c r="AS362" s="50">
        <f t="shared" si="267"/>
        <v>0</v>
      </c>
      <c r="AT362" s="50">
        <f ca="1">(MAX((MAX(AS362,105%*SUM($AJ$7:AJ362))-AM362*Flag_UL_Type),0)*B362)</f>
        <v>0</v>
      </c>
      <c r="AU362" s="50">
        <f ca="1">(MAX(AS362,AR362,105%*SUM($AJ$7:AJ362))*B362)</f>
        <v>0</v>
      </c>
      <c r="AV362" s="125"/>
      <c r="AW362" s="13"/>
      <c r="AX362" s="13"/>
      <c r="AY362" s="13"/>
      <c r="AZ362" s="13"/>
      <c r="BA362" s="13"/>
      <c r="BG362" s="51">
        <f t="shared" si="268"/>
        <v>0</v>
      </c>
      <c r="BH362" s="51">
        <f t="shared" si="269"/>
        <v>0</v>
      </c>
      <c r="BI362" s="51">
        <f t="shared" ca="1" si="270"/>
        <v>0</v>
      </c>
      <c r="BJ362" s="51">
        <f t="shared" ca="1" si="271"/>
        <v>0</v>
      </c>
      <c r="BK362" s="51">
        <f t="shared" si="272"/>
        <v>0</v>
      </c>
      <c r="BL362" s="51">
        <f t="shared" ca="1" si="273"/>
        <v>0</v>
      </c>
      <c r="BM362" s="51">
        <f t="shared" si="274"/>
        <v>0</v>
      </c>
      <c r="BN362" s="51">
        <f t="shared" si="275"/>
        <v>0</v>
      </c>
      <c r="BO362" s="51">
        <f t="shared" ca="1" si="276"/>
        <v>0</v>
      </c>
      <c r="BP362" s="51">
        <f t="shared" ca="1" si="277"/>
        <v>0</v>
      </c>
      <c r="BQ362" s="120"/>
      <c r="BR362" s="32"/>
      <c r="BS362" s="126"/>
      <c r="BT362" s="16"/>
      <c r="BU362" s="58"/>
      <c r="BW362" s="51">
        <f>IF(Input!$C$13="Offline",VLOOKUP(H362,Charges!$AT$4:$AU$33,2,FALSE)*I362,0)</f>
        <v>0</v>
      </c>
      <c r="BX362" s="51">
        <f t="shared" si="278"/>
        <v>0</v>
      </c>
      <c r="BY362" s="51">
        <f t="shared" si="286"/>
        <v>0</v>
      </c>
      <c r="BZ362" s="151"/>
      <c r="CA362" s="151"/>
      <c r="CB362" s="32"/>
      <c r="CC362" s="16">
        <f ca="1">SUM($N$7:$N362)</f>
        <v>0</v>
      </c>
      <c r="CD362" s="16">
        <f t="shared" ca="1" si="279"/>
        <v>0</v>
      </c>
      <c r="CE362" s="16">
        <f t="shared" ca="1" si="280"/>
        <v>0</v>
      </c>
      <c r="CF362" s="7">
        <f t="shared" ca="1" si="281"/>
        <v>0</v>
      </c>
      <c r="CH362" s="7">
        <f t="shared" ca="1" si="282"/>
        <v>0</v>
      </c>
    </row>
    <row r="363" spans="2:86" s="7" customFormat="1" x14ac:dyDescent="0.2">
      <c r="B363" s="14">
        <f t="shared" si="246"/>
        <v>0</v>
      </c>
      <c r="C363" s="12">
        <f t="shared" si="247"/>
        <v>0</v>
      </c>
      <c r="D363" s="17">
        <f t="shared" si="287"/>
        <v>357</v>
      </c>
      <c r="E363" s="17">
        <f t="shared" ca="1" si="248"/>
        <v>89</v>
      </c>
      <c r="F363" s="12">
        <f t="shared" si="289"/>
        <v>8</v>
      </c>
      <c r="G363" s="12">
        <f t="shared" si="288"/>
        <v>60</v>
      </c>
      <c r="H363" s="17">
        <f t="shared" si="290"/>
        <v>30</v>
      </c>
      <c r="I363" s="29">
        <f t="shared" si="249"/>
        <v>0</v>
      </c>
      <c r="J363" s="211">
        <f>IFERROR(VLOOKUP(H363,Charges!$T$6:$U$35,2,0)*C363,0)</f>
        <v>0</v>
      </c>
      <c r="K363" s="29">
        <f t="shared" si="250"/>
        <v>0</v>
      </c>
      <c r="L363" s="29">
        <f t="shared" si="251"/>
        <v>0</v>
      </c>
      <c r="M363" s="147">
        <f t="shared" ca="1" si="252"/>
        <v>0</v>
      </c>
      <c r="N363" s="148">
        <f ca="1">IF(AND(Option_SPW="Y",H363&gt;=Lock_In_Period,Z362&gt;SPW_Amount_pa+IF(option="Single",1/5*pr,2*pr),H363&gt;=SPW_Start_Year,H363&lt;=SPW_Start_Year+SPW_Duration-1,age+H363&gt;=Legal_Age),IF(AND(F363=0,SPW_Payout_Freq=1),SPW_Amount_pa,IF(AND(SPW_Payout_Freq=2,MOD(F363,6)=0),SPW_Amount_pa/SPW_Payout_Freq,IF(AND(SPW_Payout_Freq=4,MOD(F363,3)=0),SPW_Amount_pa/SPW_Payout_Freq,IF(SPW_Payout_Freq=12,SPW_Amount_pa/SPW_Payout_Freq,0)))),0)+IFERROR(VLOOKUP(H363,Input!$B$68:$C$74,2,0),0)*(F363=0)*(Option_PW="Y")*(Option_SPW="N")*(age+H363&gt;=Legal_Age)</f>
        <v>0</v>
      </c>
      <c r="O363" s="148">
        <f t="shared" ca="1" si="253"/>
        <v>0</v>
      </c>
      <c r="P363" s="14">
        <f ca="1">(MAX(MAX(sa-CF362*Flag_UL_Type,105%*SUM($I$7:I363))-(AD362+L363-N363)*Flag_UL_Type,0)*B363)</f>
        <v>0</v>
      </c>
      <c r="Q363" s="213">
        <f t="shared" si="254"/>
        <v>0</v>
      </c>
      <c r="R363" s="14">
        <f t="shared" ca="1" si="255"/>
        <v>0</v>
      </c>
      <c r="S363" s="14">
        <f t="shared" ca="1" si="256"/>
        <v>0</v>
      </c>
      <c r="T363" s="14">
        <f>IFERROR(IF(WoP_Flag="Y",IF(fq=1,VLOOKUP(ppt*fq-H363,Charges!$AN$41:$AO$59,2,FALSE),IF(fq=2,VLOOKUP(ppt*fq-G363,Charges!$AP$41:$AQ$79,2,FALSE),VLOOKUP(ppt*fq-D363,Charges!$AR$41:$AS$279,2,FALSE)))*pr/fq,0),0)</f>
        <v>0</v>
      </c>
      <c r="U363" s="14">
        <f t="shared" ca="1" si="257"/>
        <v>0</v>
      </c>
      <c r="V363" s="34">
        <f>ROUND(MIN(IF(H363&gt;=7,Charges!$C$12*(1+Charges!$C$14)^((H363-7+1)),VLOOKUP(H363,Charges!$B$7:$C$12,2,0))*pr,Charges!$C$13)*B363,Round)</f>
        <v>0</v>
      </c>
      <c r="W363" s="14">
        <f t="shared" ca="1" si="258"/>
        <v>0</v>
      </c>
      <c r="X363" s="14">
        <f t="shared" ca="1" si="259"/>
        <v>0</v>
      </c>
      <c r="Y363" s="213">
        <f t="shared" ca="1" si="283"/>
        <v>0</v>
      </c>
      <c r="Z363" s="14">
        <f t="shared" ca="1" si="260"/>
        <v>0</v>
      </c>
      <c r="AA363" s="14">
        <f>IF(AND($H363=pt,$F363=11),SUM($K$7:K363)*VLOOKUP(pt,ROC,2,FALSE),0)</f>
        <v>0</v>
      </c>
      <c r="AB363" s="14">
        <f>IF(AND($H363=pt,$F363=11),SUM($V$7:V363)*VLOOKUP(pt,ROC,2,FALSE),0)</f>
        <v>0</v>
      </c>
      <c r="AC363" s="14">
        <f>IF(AND($H363=pt,$F363=11),SUM($Q$7:Q363)*VLOOKUP(pt,ROC,2,FALSE),0)</f>
        <v>0</v>
      </c>
      <c r="AD363" s="14">
        <f t="shared" ca="1" si="261"/>
        <v>0</v>
      </c>
      <c r="AE363" s="14">
        <f ca="1">(MAX(sa-CF362*Flag_UL_Type,105%*SUM($I$7:I363),Z363)+AU363)*B363</f>
        <v>0</v>
      </c>
      <c r="AF363" s="136"/>
      <c r="AG363" s="18">
        <v>357</v>
      </c>
      <c r="AH363" s="30">
        <f t="shared" ca="1" si="262"/>
        <v>0</v>
      </c>
      <c r="AI363" s="58"/>
      <c r="AJ363" s="50">
        <f>IF(AND(Option_Sys_TopUp&gt;="Y",H363&gt;=sytp,H363&lt;=(dtp+sytp-1),F363=0,H363&lt;=ppt+1),atp,0)+IFERROR(VLOOKUP(H363,Input!$B$55:$C$61,2,0),0)*(F363=0)*(Option_TopUP="Y")*(Option_Sys_TopUp="N")*B363*(pt&gt;=H363+5)</f>
        <v>0</v>
      </c>
      <c r="AK363" s="50">
        <f t="shared" si="263"/>
        <v>0</v>
      </c>
      <c r="AL363" s="50">
        <f t="shared" si="284"/>
        <v>0</v>
      </c>
      <c r="AM363" s="50">
        <f t="shared" ca="1" si="285"/>
        <v>0</v>
      </c>
      <c r="AN363" s="50">
        <f>IF(B363=0,0,AT363*(_rpm1+(1+_emr1)*VLOOKUP(E363,Tab_Mort_Charge,IF(Input!$C$12="M",2,3),0))*(0.001*0.0833)*Flag_Mort_Rider_Charge*(AT363&gt;0))</f>
        <v>0</v>
      </c>
      <c r="AO363" s="50">
        <f t="shared" ca="1" si="264"/>
        <v>0</v>
      </c>
      <c r="AP363" s="50">
        <f t="shared" ca="1" si="291"/>
        <v>0</v>
      </c>
      <c r="AQ363" s="50">
        <f t="shared" ca="1" si="265"/>
        <v>0</v>
      </c>
      <c r="AR363" s="50">
        <f t="shared" ca="1" si="266"/>
        <v>0</v>
      </c>
      <c r="AS363" s="50">
        <f t="shared" si="267"/>
        <v>0</v>
      </c>
      <c r="AT363" s="50">
        <f ca="1">(MAX((MAX(AS363,105%*SUM($AJ$7:AJ363))-AM363*Flag_UL_Type),0)*B363)</f>
        <v>0</v>
      </c>
      <c r="AU363" s="50">
        <f ca="1">(MAX(AS363,AR363,105%*SUM($AJ$7:AJ363))*B363)</f>
        <v>0</v>
      </c>
      <c r="AV363" s="125"/>
      <c r="AW363" s="13"/>
      <c r="AX363" s="13"/>
      <c r="AY363" s="13"/>
      <c r="AZ363" s="13"/>
      <c r="BA363" s="13"/>
      <c r="BG363" s="51">
        <f t="shared" si="268"/>
        <v>0</v>
      </c>
      <c r="BH363" s="51">
        <f t="shared" si="269"/>
        <v>0</v>
      </c>
      <c r="BI363" s="51">
        <f t="shared" ca="1" si="270"/>
        <v>0</v>
      </c>
      <c r="BJ363" s="51">
        <f t="shared" ca="1" si="271"/>
        <v>0</v>
      </c>
      <c r="BK363" s="51">
        <f t="shared" si="272"/>
        <v>0</v>
      </c>
      <c r="BL363" s="51">
        <f t="shared" ca="1" si="273"/>
        <v>0</v>
      </c>
      <c r="BM363" s="51">
        <f t="shared" si="274"/>
        <v>0</v>
      </c>
      <c r="BN363" s="51">
        <f t="shared" si="275"/>
        <v>0</v>
      </c>
      <c r="BO363" s="51">
        <f t="shared" ca="1" si="276"/>
        <v>0</v>
      </c>
      <c r="BP363" s="51">
        <f t="shared" ca="1" si="277"/>
        <v>0</v>
      </c>
      <c r="BQ363" s="120"/>
      <c r="BR363" s="32"/>
      <c r="BS363" s="126"/>
      <c r="BT363" s="16"/>
      <c r="BU363" s="58"/>
      <c r="BW363" s="51">
        <f>IF(Input!$C$13="Offline",VLOOKUP(H363,Charges!$AT$4:$AU$33,2,FALSE)*I363,0)</f>
        <v>0</v>
      </c>
      <c r="BX363" s="51">
        <f t="shared" si="278"/>
        <v>0</v>
      </c>
      <c r="BY363" s="51">
        <f t="shared" si="286"/>
        <v>0</v>
      </c>
      <c r="BZ363" s="151"/>
      <c r="CA363" s="151"/>
      <c r="CB363" s="32"/>
      <c r="CC363" s="16">
        <f ca="1">SUM($N$7:$N363)</f>
        <v>0</v>
      </c>
      <c r="CD363" s="16">
        <f t="shared" ca="1" si="279"/>
        <v>0</v>
      </c>
      <c r="CE363" s="16">
        <f t="shared" ca="1" si="280"/>
        <v>0</v>
      </c>
      <c r="CF363" s="7">
        <f t="shared" ca="1" si="281"/>
        <v>0</v>
      </c>
      <c r="CH363" s="7">
        <f t="shared" ca="1" si="282"/>
        <v>0</v>
      </c>
    </row>
    <row r="364" spans="2:86" s="7" customFormat="1" x14ac:dyDescent="0.2">
      <c r="B364" s="14">
        <f t="shared" si="246"/>
        <v>0</v>
      </c>
      <c r="C364" s="12">
        <f t="shared" si="247"/>
        <v>0</v>
      </c>
      <c r="D364" s="17">
        <f t="shared" si="287"/>
        <v>358</v>
      </c>
      <c r="E364" s="17">
        <f t="shared" ca="1" si="248"/>
        <v>89</v>
      </c>
      <c r="F364" s="12">
        <f t="shared" si="289"/>
        <v>9</v>
      </c>
      <c r="G364" s="12">
        <f t="shared" si="288"/>
        <v>60</v>
      </c>
      <c r="H364" s="17">
        <f t="shared" si="290"/>
        <v>30</v>
      </c>
      <c r="I364" s="29">
        <f t="shared" si="249"/>
        <v>0</v>
      </c>
      <c r="J364" s="211">
        <f>IFERROR(VLOOKUP(H364,Charges!$T$6:$U$35,2,0)*C364,0)</f>
        <v>0</v>
      </c>
      <c r="K364" s="29">
        <f t="shared" si="250"/>
        <v>0</v>
      </c>
      <c r="L364" s="29">
        <f t="shared" si="251"/>
        <v>0</v>
      </c>
      <c r="M364" s="147">
        <f t="shared" ca="1" si="252"/>
        <v>0</v>
      </c>
      <c r="N364" s="148">
        <f ca="1">IF(AND(Option_SPW="Y",H364&gt;=Lock_In_Period,Z363&gt;SPW_Amount_pa+IF(option="Single",1/5*pr,2*pr),H364&gt;=SPW_Start_Year,H364&lt;=SPW_Start_Year+SPW_Duration-1,age+H364&gt;=Legal_Age),IF(AND(F364=0,SPW_Payout_Freq=1),SPW_Amount_pa,IF(AND(SPW_Payout_Freq=2,MOD(F364,6)=0),SPW_Amount_pa/SPW_Payout_Freq,IF(AND(SPW_Payout_Freq=4,MOD(F364,3)=0),SPW_Amount_pa/SPW_Payout_Freq,IF(SPW_Payout_Freq=12,SPW_Amount_pa/SPW_Payout_Freq,0)))),0)+IFERROR(VLOOKUP(H364,Input!$B$68:$C$74,2,0),0)*(F364=0)*(Option_PW="Y")*(Option_SPW="N")*(age+H364&gt;=Legal_Age)</f>
        <v>0</v>
      </c>
      <c r="O364" s="148">
        <f t="shared" ca="1" si="253"/>
        <v>0</v>
      </c>
      <c r="P364" s="14">
        <f ca="1">(MAX(MAX(sa-CF363*Flag_UL_Type,105%*SUM($I$7:I364))-(AD363+L364-N364)*Flag_UL_Type,0)*B364)</f>
        <v>0</v>
      </c>
      <c r="Q364" s="213">
        <f t="shared" si="254"/>
        <v>0</v>
      </c>
      <c r="R364" s="14">
        <f t="shared" ca="1" si="255"/>
        <v>0</v>
      </c>
      <c r="S364" s="14">
        <f t="shared" ca="1" si="256"/>
        <v>0</v>
      </c>
      <c r="T364" s="14">
        <f>IFERROR(IF(WoP_Flag="Y",IF(fq=1,VLOOKUP(ppt*fq-H364,Charges!$AN$41:$AO$59,2,FALSE),IF(fq=2,VLOOKUP(ppt*fq-G364,Charges!$AP$41:$AQ$79,2,FALSE),VLOOKUP(ppt*fq-D364,Charges!$AR$41:$AS$279,2,FALSE)))*pr/fq,0),0)</f>
        <v>0</v>
      </c>
      <c r="U364" s="14">
        <f t="shared" ca="1" si="257"/>
        <v>0</v>
      </c>
      <c r="V364" s="34">
        <f>ROUND(MIN(IF(H364&gt;=7,Charges!$C$12*(1+Charges!$C$14)^((H364-7+1)),VLOOKUP(H364,Charges!$B$7:$C$12,2,0))*pr,Charges!$C$13)*B364,Round)</f>
        <v>0</v>
      </c>
      <c r="W364" s="14">
        <f t="shared" ca="1" si="258"/>
        <v>0</v>
      </c>
      <c r="X364" s="14">
        <f t="shared" ca="1" si="259"/>
        <v>0</v>
      </c>
      <c r="Y364" s="213">
        <f t="shared" ca="1" si="283"/>
        <v>0</v>
      </c>
      <c r="Z364" s="14">
        <f t="shared" ca="1" si="260"/>
        <v>0</v>
      </c>
      <c r="AA364" s="14">
        <f>IF(AND($H364=pt,$F364=11),SUM($K$7:K364)*VLOOKUP(pt,ROC,2,FALSE),0)</f>
        <v>0</v>
      </c>
      <c r="AB364" s="14">
        <f>IF(AND($H364=pt,$F364=11),SUM($V$7:V364)*VLOOKUP(pt,ROC,2,FALSE),0)</f>
        <v>0</v>
      </c>
      <c r="AC364" s="14">
        <f>IF(AND($H364=pt,$F364=11),SUM($Q$7:Q364)*VLOOKUP(pt,ROC,2,FALSE),0)</f>
        <v>0</v>
      </c>
      <c r="AD364" s="14">
        <f t="shared" ca="1" si="261"/>
        <v>0</v>
      </c>
      <c r="AE364" s="14">
        <f ca="1">(MAX(sa-CF363*Flag_UL_Type,105%*SUM($I$7:I364),Z364)+AU364)*B364</f>
        <v>0</v>
      </c>
      <c r="AF364" s="136"/>
      <c r="AG364" s="18">
        <v>358</v>
      </c>
      <c r="AH364" s="30">
        <f t="shared" ca="1" si="262"/>
        <v>0</v>
      </c>
      <c r="AI364" s="58"/>
      <c r="AJ364" s="50">
        <f>IF(AND(Option_Sys_TopUp&gt;="Y",H364&gt;=sytp,H364&lt;=(dtp+sytp-1),F364=0,H364&lt;=ppt+1),atp,0)+IFERROR(VLOOKUP(H364,Input!$B$55:$C$61,2,0),0)*(F364=0)*(Option_TopUP="Y")*(Option_Sys_TopUp="N")*B364*(pt&gt;=H364+5)</f>
        <v>0</v>
      </c>
      <c r="AK364" s="50">
        <f t="shared" si="263"/>
        <v>0</v>
      </c>
      <c r="AL364" s="50">
        <f t="shared" si="284"/>
        <v>0</v>
      </c>
      <c r="AM364" s="50">
        <f t="shared" ca="1" si="285"/>
        <v>0</v>
      </c>
      <c r="AN364" s="50">
        <f>IF(B364=0,0,AT364*(_rpm1+(1+_emr1)*VLOOKUP(E364,Tab_Mort_Charge,IF(Input!$C$12="M",2,3),0))*(0.001*0.0833)*Flag_Mort_Rider_Charge*(AT364&gt;0))</f>
        <v>0</v>
      </c>
      <c r="AO364" s="50">
        <f t="shared" ca="1" si="264"/>
        <v>0</v>
      </c>
      <c r="AP364" s="50">
        <f t="shared" ca="1" si="291"/>
        <v>0</v>
      </c>
      <c r="AQ364" s="50">
        <f t="shared" ca="1" si="265"/>
        <v>0</v>
      </c>
      <c r="AR364" s="50">
        <f t="shared" ca="1" si="266"/>
        <v>0</v>
      </c>
      <c r="AS364" s="50">
        <f t="shared" si="267"/>
        <v>0</v>
      </c>
      <c r="AT364" s="50">
        <f ca="1">(MAX((MAX(AS364,105%*SUM($AJ$7:AJ364))-AM364*Flag_UL_Type),0)*B364)</f>
        <v>0</v>
      </c>
      <c r="AU364" s="50">
        <f ca="1">(MAX(AS364,AR364,105%*SUM($AJ$7:AJ364))*B364)</f>
        <v>0</v>
      </c>
      <c r="AV364" s="125"/>
      <c r="AW364" s="13"/>
      <c r="AX364" s="13"/>
      <c r="AY364" s="13"/>
      <c r="AZ364" s="13"/>
      <c r="BA364" s="13"/>
      <c r="BG364" s="51">
        <f t="shared" si="268"/>
        <v>0</v>
      </c>
      <c r="BH364" s="51">
        <f t="shared" si="269"/>
        <v>0</v>
      </c>
      <c r="BI364" s="51">
        <f t="shared" ca="1" si="270"/>
        <v>0</v>
      </c>
      <c r="BJ364" s="51">
        <f t="shared" ca="1" si="271"/>
        <v>0</v>
      </c>
      <c r="BK364" s="51">
        <f t="shared" si="272"/>
        <v>0</v>
      </c>
      <c r="BL364" s="51">
        <f t="shared" ca="1" si="273"/>
        <v>0</v>
      </c>
      <c r="BM364" s="51">
        <f t="shared" si="274"/>
        <v>0</v>
      </c>
      <c r="BN364" s="51">
        <f t="shared" si="275"/>
        <v>0</v>
      </c>
      <c r="BO364" s="51">
        <f t="shared" ca="1" si="276"/>
        <v>0</v>
      </c>
      <c r="BP364" s="51">
        <f t="shared" ca="1" si="277"/>
        <v>0</v>
      </c>
      <c r="BQ364" s="120"/>
      <c r="BR364" s="32"/>
      <c r="BS364" s="126"/>
      <c r="BT364" s="16"/>
      <c r="BU364" s="58"/>
      <c r="BW364" s="51">
        <f>IF(Input!$C$13="Offline",VLOOKUP(H364,Charges!$AT$4:$AU$33,2,FALSE)*I364,0)</f>
        <v>0</v>
      </c>
      <c r="BX364" s="51">
        <f t="shared" si="278"/>
        <v>0</v>
      </c>
      <c r="BY364" s="51">
        <f t="shared" si="286"/>
        <v>0</v>
      </c>
      <c r="BZ364" s="151"/>
      <c r="CA364" s="151"/>
      <c r="CB364" s="32"/>
      <c r="CC364" s="16">
        <f ca="1">SUM($N$7:$N364)</f>
        <v>0</v>
      </c>
      <c r="CD364" s="16">
        <f t="shared" ca="1" si="279"/>
        <v>0</v>
      </c>
      <c r="CE364" s="16">
        <f t="shared" ca="1" si="280"/>
        <v>0</v>
      </c>
      <c r="CF364" s="7">
        <f t="shared" ca="1" si="281"/>
        <v>0</v>
      </c>
      <c r="CH364" s="7">
        <f t="shared" ca="1" si="282"/>
        <v>0</v>
      </c>
    </row>
    <row r="365" spans="2:86" s="7" customFormat="1" x14ac:dyDescent="0.2">
      <c r="B365" s="14">
        <f t="shared" si="246"/>
        <v>0</v>
      </c>
      <c r="C365" s="12">
        <f t="shared" si="247"/>
        <v>0</v>
      </c>
      <c r="D365" s="17">
        <f t="shared" si="287"/>
        <v>359</v>
      </c>
      <c r="E365" s="17">
        <f t="shared" ca="1" si="248"/>
        <v>89</v>
      </c>
      <c r="F365" s="12">
        <f t="shared" si="289"/>
        <v>10</v>
      </c>
      <c r="G365" s="12">
        <f t="shared" si="288"/>
        <v>60</v>
      </c>
      <c r="H365" s="17">
        <f t="shared" si="290"/>
        <v>30</v>
      </c>
      <c r="I365" s="29">
        <f t="shared" si="249"/>
        <v>0</v>
      </c>
      <c r="J365" s="211">
        <f>IFERROR(VLOOKUP(H365,Charges!$T$6:$U$35,2,0)*C365,0)</f>
        <v>0</v>
      </c>
      <c r="K365" s="29">
        <f t="shared" si="250"/>
        <v>0</v>
      </c>
      <c r="L365" s="29">
        <f t="shared" si="251"/>
        <v>0</v>
      </c>
      <c r="M365" s="147">
        <f t="shared" ca="1" si="252"/>
        <v>0</v>
      </c>
      <c r="N365" s="148">
        <f ca="1">IF(AND(Option_SPW="Y",H365&gt;=Lock_In_Period,Z364&gt;SPW_Amount_pa+IF(option="Single",1/5*pr,2*pr),H365&gt;=SPW_Start_Year,H365&lt;=SPW_Start_Year+SPW_Duration-1,age+H365&gt;=Legal_Age),IF(AND(F365=0,SPW_Payout_Freq=1),SPW_Amount_pa,IF(AND(SPW_Payout_Freq=2,MOD(F365,6)=0),SPW_Amount_pa/SPW_Payout_Freq,IF(AND(SPW_Payout_Freq=4,MOD(F365,3)=0),SPW_Amount_pa/SPW_Payout_Freq,IF(SPW_Payout_Freq=12,SPW_Amount_pa/SPW_Payout_Freq,0)))),0)+IFERROR(VLOOKUP(H365,Input!$B$68:$C$74,2,0),0)*(F365=0)*(Option_PW="Y")*(Option_SPW="N")*(age+H365&gt;=Legal_Age)</f>
        <v>0</v>
      </c>
      <c r="O365" s="148">
        <f t="shared" ca="1" si="253"/>
        <v>0</v>
      </c>
      <c r="P365" s="14">
        <f ca="1">(MAX(MAX(sa-CF364*Flag_UL_Type,105%*SUM($I$7:I365))-(AD364+L365-N365)*Flag_UL_Type,0)*B365)</f>
        <v>0</v>
      </c>
      <c r="Q365" s="213">
        <f t="shared" si="254"/>
        <v>0</v>
      </c>
      <c r="R365" s="14">
        <f t="shared" ca="1" si="255"/>
        <v>0</v>
      </c>
      <c r="S365" s="14">
        <f t="shared" ca="1" si="256"/>
        <v>0</v>
      </c>
      <c r="T365" s="14">
        <f>IFERROR(IF(WoP_Flag="Y",IF(fq=1,VLOOKUP(ppt*fq-H365,Charges!$AN$41:$AO$59,2,FALSE),IF(fq=2,VLOOKUP(ppt*fq-G365,Charges!$AP$41:$AQ$79,2,FALSE),VLOOKUP(ppt*fq-D365,Charges!$AR$41:$AS$279,2,FALSE)))*pr/fq,0),0)</f>
        <v>0</v>
      </c>
      <c r="U365" s="14">
        <f t="shared" ca="1" si="257"/>
        <v>0</v>
      </c>
      <c r="V365" s="34">
        <f>ROUND(MIN(IF(H365&gt;=7,Charges!$C$12*(1+Charges!$C$14)^((H365-7+1)),VLOOKUP(H365,Charges!$B$7:$C$12,2,0))*pr,Charges!$C$13)*B365,Round)</f>
        <v>0</v>
      </c>
      <c r="W365" s="14">
        <f t="shared" ca="1" si="258"/>
        <v>0</v>
      </c>
      <c r="X365" s="14">
        <f t="shared" ca="1" si="259"/>
        <v>0</v>
      </c>
      <c r="Y365" s="213">
        <f t="shared" ca="1" si="283"/>
        <v>0</v>
      </c>
      <c r="Z365" s="14">
        <f t="shared" ca="1" si="260"/>
        <v>0</v>
      </c>
      <c r="AA365" s="14">
        <f>IF(AND($H365=pt,$F365=11),SUM($K$7:K365)*VLOOKUP(pt,ROC,2,FALSE),0)</f>
        <v>0</v>
      </c>
      <c r="AB365" s="14">
        <f>IF(AND($H365=pt,$F365=11),SUM($V$7:V365)*VLOOKUP(pt,ROC,2,FALSE),0)</f>
        <v>0</v>
      </c>
      <c r="AC365" s="14">
        <f>IF(AND($H365=pt,$F365=11),SUM($Q$7:Q365)*VLOOKUP(pt,ROC,2,FALSE),0)</f>
        <v>0</v>
      </c>
      <c r="AD365" s="14">
        <f t="shared" ca="1" si="261"/>
        <v>0</v>
      </c>
      <c r="AE365" s="14">
        <f ca="1">(MAX(sa-CF364*Flag_UL_Type,105%*SUM($I$7:I365),Z365)+AU365)*B365</f>
        <v>0</v>
      </c>
      <c r="AF365" s="136"/>
      <c r="AG365" s="18">
        <v>359</v>
      </c>
      <c r="AH365" s="30">
        <f t="shared" ca="1" si="262"/>
        <v>0</v>
      </c>
      <c r="AI365" s="58"/>
      <c r="AJ365" s="50">
        <f>IF(AND(Option_Sys_TopUp&gt;="Y",H365&gt;=sytp,H365&lt;=(dtp+sytp-1),F365=0,H365&lt;=ppt+1),atp,0)+IFERROR(VLOOKUP(H365,Input!$B$55:$C$61,2,0),0)*(F365=0)*(Option_TopUP="Y")*(Option_Sys_TopUp="N")*B365*(pt&gt;=H365+5)</f>
        <v>0</v>
      </c>
      <c r="AK365" s="50">
        <f t="shared" si="263"/>
        <v>0</v>
      </c>
      <c r="AL365" s="50">
        <f t="shared" si="284"/>
        <v>0</v>
      </c>
      <c r="AM365" s="50">
        <f t="shared" ca="1" si="285"/>
        <v>0</v>
      </c>
      <c r="AN365" s="50">
        <f>IF(B365=0,0,AT365*(_rpm1+(1+_emr1)*VLOOKUP(E365,Tab_Mort_Charge,IF(Input!$C$12="M",2,3),0))*(0.001*0.0833)*Flag_Mort_Rider_Charge*(AT365&gt;0))</f>
        <v>0</v>
      </c>
      <c r="AO365" s="50">
        <f t="shared" ca="1" si="264"/>
        <v>0</v>
      </c>
      <c r="AP365" s="50">
        <f t="shared" ca="1" si="291"/>
        <v>0</v>
      </c>
      <c r="AQ365" s="50">
        <f t="shared" ca="1" si="265"/>
        <v>0</v>
      </c>
      <c r="AR365" s="50">
        <f t="shared" ca="1" si="266"/>
        <v>0</v>
      </c>
      <c r="AS365" s="50">
        <f t="shared" si="267"/>
        <v>0</v>
      </c>
      <c r="AT365" s="50">
        <f ca="1">(MAX((MAX(AS365,105%*SUM($AJ$7:AJ365))-AM365*Flag_UL_Type),0)*B365)</f>
        <v>0</v>
      </c>
      <c r="AU365" s="50">
        <f ca="1">(MAX(AS365,AR365,105%*SUM($AJ$7:AJ365))*B365)</f>
        <v>0</v>
      </c>
      <c r="AV365" s="125"/>
      <c r="AW365" s="13"/>
      <c r="AX365" s="13"/>
      <c r="AY365" s="13"/>
      <c r="AZ365" s="13"/>
      <c r="BA365" s="13"/>
      <c r="BG365" s="51">
        <f t="shared" si="268"/>
        <v>0</v>
      </c>
      <c r="BH365" s="51">
        <f t="shared" si="269"/>
        <v>0</v>
      </c>
      <c r="BI365" s="51">
        <f t="shared" ca="1" si="270"/>
        <v>0</v>
      </c>
      <c r="BJ365" s="51">
        <f t="shared" ca="1" si="271"/>
        <v>0</v>
      </c>
      <c r="BK365" s="51">
        <f t="shared" si="272"/>
        <v>0</v>
      </c>
      <c r="BL365" s="51">
        <f t="shared" ca="1" si="273"/>
        <v>0</v>
      </c>
      <c r="BM365" s="51">
        <f t="shared" si="274"/>
        <v>0</v>
      </c>
      <c r="BN365" s="51">
        <f t="shared" si="275"/>
        <v>0</v>
      </c>
      <c r="BO365" s="51">
        <f t="shared" ca="1" si="276"/>
        <v>0</v>
      </c>
      <c r="BP365" s="51">
        <f t="shared" ca="1" si="277"/>
        <v>0</v>
      </c>
      <c r="BQ365" s="120"/>
      <c r="BR365" s="32"/>
      <c r="BS365" s="126"/>
      <c r="BT365" s="16"/>
      <c r="BU365" s="58"/>
      <c r="BW365" s="51">
        <f>IF(Input!$C$13="Offline",VLOOKUP(H365,Charges!$AT$4:$AU$33,2,FALSE)*I365,0)</f>
        <v>0</v>
      </c>
      <c r="BX365" s="51">
        <f t="shared" si="278"/>
        <v>0</v>
      </c>
      <c r="BY365" s="51">
        <f t="shared" si="286"/>
        <v>0</v>
      </c>
      <c r="BZ365" s="151"/>
      <c r="CA365" s="151"/>
      <c r="CB365" s="32"/>
      <c r="CC365" s="16">
        <f ca="1">SUM($N$7:$N365)</f>
        <v>0</v>
      </c>
      <c r="CD365" s="16">
        <f t="shared" ca="1" si="279"/>
        <v>0</v>
      </c>
      <c r="CE365" s="16">
        <f t="shared" ca="1" si="280"/>
        <v>0</v>
      </c>
      <c r="CF365" s="7">
        <f t="shared" ca="1" si="281"/>
        <v>0</v>
      </c>
      <c r="CH365" s="7">
        <f t="shared" ca="1" si="282"/>
        <v>0</v>
      </c>
    </row>
    <row r="366" spans="2:86" s="7" customFormat="1" x14ac:dyDescent="0.2">
      <c r="B366" s="14">
        <f t="shared" si="246"/>
        <v>0</v>
      </c>
      <c r="C366" s="12">
        <f t="shared" si="247"/>
        <v>0</v>
      </c>
      <c r="D366" s="17">
        <f t="shared" si="287"/>
        <v>360</v>
      </c>
      <c r="E366" s="17">
        <f t="shared" ca="1" si="248"/>
        <v>89</v>
      </c>
      <c r="F366" s="12">
        <f t="shared" si="289"/>
        <v>11</v>
      </c>
      <c r="G366" s="12">
        <f t="shared" si="288"/>
        <v>60</v>
      </c>
      <c r="H366" s="17">
        <f t="shared" si="290"/>
        <v>30</v>
      </c>
      <c r="I366" s="29">
        <f t="shared" si="249"/>
        <v>0</v>
      </c>
      <c r="J366" s="211">
        <f>IFERROR(VLOOKUP(H366,Charges!$T$6:$U$35,2,0)*C366,0)</f>
        <v>0</v>
      </c>
      <c r="K366" s="29">
        <f t="shared" si="250"/>
        <v>0</v>
      </c>
      <c r="L366" s="29">
        <f t="shared" si="251"/>
        <v>0</v>
      </c>
      <c r="M366" s="147">
        <f t="shared" ca="1" si="252"/>
        <v>0</v>
      </c>
      <c r="N366" s="148">
        <f ca="1">IF(AND(Option_SPW="Y",H366&gt;=Lock_In_Period,Z365&gt;SPW_Amount_pa+IF(option="Single",1/5*pr,2*pr),H366&gt;=SPW_Start_Year,H366&lt;=SPW_Start_Year+SPW_Duration-1,age+H366&gt;=Legal_Age),IF(AND(F366=0,SPW_Payout_Freq=1),SPW_Amount_pa,IF(AND(SPW_Payout_Freq=2,MOD(F366,6)=0),SPW_Amount_pa/SPW_Payout_Freq,IF(AND(SPW_Payout_Freq=4,MOD(F366,3)=0),SPW_Amount_pa/SPW_Payout_Freq,IF(SPW_Payout_Freq=12,SPW_Amount_pa/SPW_Payout_Freq,0)))),0)+IFERROR(VLOOKUP(H366,Input!$B$68:$C$74,2,0),0)*(F366=0)*(Option_PW="Y")*(Option_SPW="N")*(age+H366&gt;=Legal_Age)</f>
        <v>0</v>
      </c>
      <c r="O366" s="148">
        <f t="shared" ca="1" si="253"/>
        <v>0</v>
      </c>
      <c r="P366" s="14">
        <f ca="1">(MAX(MAX(sa-CF365*Flag_UL_Type,105%*SUM($I$7:I366))-(AD365+L366-N366)*Flag_UL_Type,0)*B366)</f>
        <v>0</v>
      </c>
      <c r="Q366" s="213">
        <f t="shared" si="254"/>
        <v>0</v>
      </c>
      <c r="R366" s="14">
        <f t="shared" ca="1" si="255"/>
        <v>0</v>
      </c>
      <c r="S366" s="14">
        <f t="shared" ca="1" si="256"/>
        <v>0</v>
      </c>
      <c r="T366" s="14">
        <f>IFERROR(IF(WoP_Flag="Y",IF(fq=1,VLOOKUP(ppt*fq-H366,Charges!$AN$41:$AO$59,2,FALSE),IF(fq=2,VLOOKUP(ppt*fq-G366,Charges!$AP$41:$AQ$79,2,FALSE),VLOOKUP(ppt*fq-D366,Charges!$AR$41:$AS$279,2,FALSE)))*pr/fq,0),0)</f>
        <v>0</v>
      </c>
      <c r="U366" s="14">
        <f t="shared" ca="1" si="257"/>
        <v>0</v>
      </c>
      <c r="V366" s="34">
        <f>ROUND(MIN(IF(H366&gt;=7,Charges!$C$12*(1+Charges!$C$14)^((H366-7+1)),VLOOKUP(H366,Charges!$B$7:$C$12,2,0))*pr,Charges!$C$13)*B366,Round)</f>
        <v>0</v>
      </c>
      <c r="W366" s="14">
        <f t="shared" ca="1" si="258"/>
        <v>0</v>
      </c>
      <c r="X366" s="14">
        <f t="shared" ca="1" si="259"/>
        <v>0</v>
      </c>
      <c r="Y366" s="213">
        <f t="shared" ca="1" si="283"/>
        <v>0</v>
      </c>
      <c r="Z366" s="14">
        <f t="shared" ca="1" si="260"/>
        <v>0</v>
      </c>
      <c r="AA366" s="14">
        <f>IF(AND($H366=pt,$F366=11),SUM($K$7:K366)*VLOOKUP(pt,ROC,2,FALSE),0)</f>
        <v>0</v>
      </c>
      <c r="AB366" s="14">
        <f>IF(AND($H366=pt,$F366=11),SUM($V$7:V366)*VLOOKUP(pt,ROC,2,FALSE),0)</f>
        <v>0</v>
      </c>
      <c r="AC366" s="14">
        <f>IF(AND($H366=pt,$F366=11),SUM($Q$7:Q366)*VLOOKUP(pt,ROC,2,FALSE),0)</f>
        <v>0</v>
      </c>
      <c r="AD366" s="14">
        <f t="shared" ca="1" si="261"/>
        <v>0</v>
      </c>
      <c r="AE366" s="14">
        <f ca="1">(MAX(sa-CF365*Flag_UL_Type,105%*SUM($I$7:I366),Z366)+AU366)*B366</f>
        <v>0</v>
      </c>
      <c r="AF366" s="136"/>
      <c r="AG366" s="18">
        <v>360</v>
      </c>
      <c r="AH366" s="30">
        <f t="shared" ca="1" si="262"/>
        <v>0</v>
      </c>
      <c r="AI366" s="58"/>
      <c r="AJ366" s="50">
        <f>IF(AND(Option_Sys_TopUp&gt;="Y",H366&gt;=sytp,H366&lt;=(dtp+sytp-1),F366=0,H366&lt;=ppt+1),atp,0)+IFERROR(VLOOKUP(H366,Input!$B$55:$C$61,2,0),0)*(F366=0)*(Option_TopUP="Y")*(Option_Sys_TopUp="N")*B366*(pt&gt;=H366+5)</f>
        <v>0</v>
      </c>
      <c r="AK366" s="50">
        <f t="shared" si="263"/>
        <v>0</v>
      </c>
      <c r="AL366" s="50">
        <f t="shared" si="284"/>
        <v>0</v>
      </c>
      <c r="AM366" s="50">
        <f t="shared" ca="1" si="285"/>
        <v>0</v>
      </c>
      <c r="AN366" s="50">
        <f>IF(B366=0,0,AT366*(_rpm1+(1+_emr1)*VLOOKUP(E366,Tab_Mort_Charge,IF(Input!$C$12="M",2,3),0))*(0.001*0.0833)*Flag_Mort_Rider_Charge*(AT366&gt;0))</f>
        <v>0</v>
      </c>
      <c r="AO366" s="50">
        <f t="shared" ca="1" si="264"/>
        <v>0</v>
      </c>
      <c r="AP366" s="50">
        <f t="shared" ca="1" si="291"/>
        <v>0</v>
      </c>
      <c r="AQ366" s="50">
        <f t="shared" ca="1" si="265"/>
        <v>0</v>
      </c>
      <c r="AR366" s="50">
        <f t="shared" ca="1" si="266"/>
        <v>0</v>
      </c>
      <c r="AS366" s="50">
        <f t="shared" si="267"/>
        <v>0</v>
      </c>
      <c r="AT366" s="50">
        <f ca="1">(MAX((MAX(AS366,105%*SUM($AJ$7:AJ366))-AM366*Flag_UL_Type),0)*B366)</f>
        <v>0</v>
      </c>
      <c r="AU366" s="50">
        <f ca="1">(MAX(AS366,AR366,105%*SUM($AJ$7:AJ366))*B366)</f>
        <v>0</v>
      </c>
      <c r="AV366" s="125"/>
      <c r="AW366" s="13"/>
      <c r="AX366" s="13"/>
      <c r="AY366" s="13"/>
      <c r="AZ366" s="13"/>
      <c r="BA366" s="13"/>
      <c r="BG366" s="51">
        <f t="shared" si="268"/>
        <v>0</v>
      </c>
      <c r="BH366" s="51">
        <f t="shared" si="269"/>
        <v>0</v>
      </c>
      <c r="BI366" s="51">
        <f t="shared" ca="1" si="270"/>
        <v>0</v>
      </c>
      <c r="BJ366" s="51">
        <f t="shared" ca="1" si="271"/>
        <v>0</v>
      </c>
      <c r="BK366" s="51">
        <f t="shared" si="272"/>
        <v>0</v>
      </c>
      <c r="BL366" s="51">
        <f t="shared" ca="1" si="273"/>
        <v>0</v>
      </c>
      <c r="BM366" s="51">
        <f t="shared" si="274"/>
        <v>0</v>
      </c>
      <c r="BN366" s="51">
        <f t="shared" si="275"/>
        <v>0</v>
      </c>
      <c r="BO366" s="51">
        <f t="shared" ca="1" si="276"/>
        <v>0</v>
      </c>
      <c r="BP366" s="51">
        <f t="shared" ca="1" si="277"/>
        <v>0</v>
      </c>
      <c r="BQ366" s="120"/>
      <c r="BR366" s="32"/>
      <c r="BS366" s="126"/>
      <c r="BT366" s="16"/>
      <c r="BU366" s="58"/>
      <c r="BW366" s="51">
        <f>IF(Input!$C$13="Offline",VLOOKUP(H366,Charges!$AT$4:$AU$33,2,FALSE)*I366,0)</f>
        <v>0</v>
      </c>
      <c r="BX366" s="51">
        <f t="shared" si="278"/>
        <v>0</v>
      </c>
      <c r="BY366" s="51">
        <f t="shared" si="286"/>
        <v>0</v>
      </c>
      <c r="BZ366" s="151"/>
      <c r="CA366" s="151"/>
      <c r="CB366" s="32"/>
      <c r="CC366" s="16">
        <f ca="1">SUM($N$7:$N366)</f>
        <v>0</v>
      </c>
      <c r="CD366" s="16">
        <f t="shared" ca="1" si="279"/>
        <v>0</v>
      </c>
      <c r="CE366" s="16">
        <f t="shared" ca="1" si="280"/>
        <v>0</v>
      </c>
      <c r="CF366" s="7">
        <f t="shared" ca="1" si="281"/>
        <v>0</v>
      </c>
      <c r="CH366" s="7">
        <f t="shared" ca="1" si="282"/>
        <v>0</v>
      </c>
    </row>
    <row r="367" spans="2:86" s="7" customFormat="1" x14ac:dyDescent="0.2">
      <c r="B367" s="14">
        <f t="shared" si="246"/>
        <v>0</v>
      </c>
      <c r="C367" s="12">
        <f t="shared" si="247"/>
        <v>0</v>
      </c>
      <c r="D367" s="17">
        <f t="shared" si="287"/>
        <v>361</v>
      </c>
      <c r="E367" s="17">
        <f t="shared" ca="1" si="248"/>
        <v>90</v>
      </c>
      <c r="F367" s="12">
        <f t="shared" si="289"/>
        <v>0</v>
      </c>
      <c r="G367" s="12">
        <f t="shared" si="288"/>
        <v>61</v>
      </c>
      <c r="H367" s="17">
        <f t="shared" si="290"/>
        <v>31</v>
      </c>
      <c r="I367" s="29">
        <f t="shared" si="249"/>
        <v>0</v>
      </c>
      <c r="J367" s="211">
        <f>IFERROR(VLOOKUP(H367,Charges!$T$6:$U$35,2,0)*C367,0)</f>
        <v>0</v>
      </c>
      <c r="K367" s="29">
        <f t="shared" si="250"/>
        <v>0</v>
      </c>
      <c r="L367" s="29">
        <f t="shared" si="251"/>
        <v>0</v>
      </c>
      <c r="M367" s="147">
        <f t="shared" ca="1" si="252"/>
        <v>0</v>
      </c>
      <c r="N367" s="148">
        <f ca="1">IF(AND(Option_SPW="Y",H367&gt;=Lock_In_Period,Z366&gt;SPW_Amount_pa+IF(option="Single",1/5*pr,2*pr),H367&gt;=SPW_Start_Year,H367&lt;=SPW_Start_Year+SPW_Duration-1,age+H367&gt;=Legal_Age),IF(AND(F367=0,SPW_Payout_Freq=1),SPW_Amount_pa,IF(AND(SPW_Payout_Freq=2,MOD(F367,6)=0),SPW_Amount_pa/SPW_Payout_Freq,IF(AND(SPW_Payout_Freq=4,MOD(F367,3)=0),SPW_Amount_pa/SPW_Payout_Freq,IF(SPW_Payout_Freq=12,SPW_Amount_pa/SPW_Payout_Freq,0)))),0)+IFERROR(VLOOKUP(H367,Input!$B$68:$C$74,2,0),0)*(F367=0)*(Option_PW="Y")*(Option_SPW="N")*(age+H367&gt;=Legal_Age)</f>
        <v>0</v>
      </c>
      <c r="O367" s="148">
        <f t="shared" ca="1" si="253"/>
        <v>0</v>
      </c>
      <c r="P367" s="14">
        <f ca="1">(MAX(MAX(sa-CF366*Flag_UL_Type,105%*SUM($I$7:I367))-(AD366+L367-N367)*Flag_UL_Type,0)*B367)</f>
        <v>0</v>
      </c>
      <c r="Q367" s="213">
        <f t="shared" si="254"/>
        <v>0</v>
      </c>
      <c r="R367" s="14">
        <f t="shared" ca="1" si="255"/>
        <v>0</v>
      </c>
      <c r="S367" s="14">
        <f t="shared" ca="1" si="256"/>
        <v>0</v>
      </c>
      <c r="T367" s="14">
        <f>IFERROR(IF(WoP_Flag="Y",IF(fq=1,VLOOKUP(ppt*fq-H367,Charges!$AN$41:$AO$59,2,FALSE),IF(fq=2,VLOOKUP(ppt*fq-G367,Charges!$AP$41:$AQ$79,2,FALSE),VLOOKUP(ppt*fq-D367,Charges!$AR$41:$AS$279,2,FALSE)))*pr/fq,0),0)</f>
        <v>0</v>
      </c>
      <c r="U367" s="14">
        <f t="shared" ca="1" si="257"/>
        <v>0</v>
      </c>
      <c r="V367" s="34">
        <f>ROUND(MIN(IF(H367&gt;=7,Charges!$C$12*(1+Charges!$C$14)^((H367-7+1)),VLOOKUP(H367,Charges!$B$7:$C$12,2,0))*pr,Charges!$C$13)*B367,Round)</f>
        <v>0</v>
      </c>
      <c r="W367" s="14">
        <f t="shared" ca="1" si="258"/>
        <v>0</v>
      </c>
      <c r="X367" s="14">
        <f t="shared" ca="1" si="259"/>
        <v>0</v>
      </c>
      <c r="Y367" s="213">
        <f t="shared" ca="1" si="283"/>
        <v>0</v>
      </c>
      <c r="Z367" s="14">
        <f t="shared" ca="1" si="260"/>
        <v>0</v>
      </c>
      <c r="AA367" s="14">
        <f>IF(AND($H367=pt,$F367=11),SUM($K$7:K367)*VLOOKUP(pt,ROC,2,FALSE),0)</f>
        <v>0</v>
      </c>
      <c r="AB367" s="14">
        <f>IF(AND($H367=pt,$F367=11),SUM($V$7:V367)*VLOOKUP(pt,ROC,2,FALSE),0)</f>
        <v>0</v>
      </c>
      <c r="AC367" s="14">
        <f>IF(AND($H367=pt,$F367=11),SUM($Q$7:Q367)*VLOOKUP(pt,ROC,2,FALSE),0)</f>
        <v>0</v>
      </c>
      <c r="AD367" s="14">
        <f t="shared" ca="1" si="261"/>
        <v>0</v>
      </c>
      <c r="AE367" s="14">
        <f ca="1">(MAX(sa-CF366*Flag_UL_Type,105%*SUM($I$7:I367),Z367)+AU367)*B367</f>
        <v>0</v>
      </c>
      <c r="AF367" s="136"/>
      <c r="AG367" s="18">
        <v>361</v>
      </c>
      <c r="AH367" s="30">
        <f t="shared" ca="1" si="262"/>
        <v>0</v>
      </c>
      <c r="AI367" s="58"/>
      <c r="AJ367" s="50">
        <f>IF(AND(Option_Sys_TopUp&gt;="Y",H367&gt;=sytp,H367&lt;=(dtp+sytp-1),F367=0,H367&lt;=ppt+1),atp,0)+IFERROR(VLOOKUP(H367,Input!$B$55:$C$61,2,0),0)*(F367=0)*(Option_TopUP="Y")*(Option_Sys_TopUp="N")*B367*(pt&gt;=H367+5)</f>
        <v>0</v>
      </c>
      <c r="AK367" s="50">
        <f t="shared" si="263"/>
        <v>0</v>
      </c>
      <c r="AL367" s="50">
        <f t="shared" si="284"/>
        <v>0</v>
      </c>
      <c r="AM367" s="50">
        <f t="shared" ca="1" si="285"/>
        <v>0</v>
      </c>
      <c r="AN367" s="50">
        <f>IF(B367=0,0,AT367*(_rpm1+(1+_emr1)*VLOOKUP(E367,Tab_Mort_Charge,IF(Input!$C$12="M",2,3),0))*(0.001*0.0833)*Flag_Mort_Rider_Charge*(AT367&gt;0))</f>
        <v>0</v>
      </c>
      <c r="AO367" s="50">
        <f t="shared" ca="1" si="264"/>
        <v>0</v>
      </c>
      <c r="AP367" s="50">
        <f t="shared" ca="1" si="291"/>
        <v>0</v>
      </c>
      <c r="AQ367" s="50">
        <f t="shared" ca="1" si="265"/>
        <v>0</v>
      </c>
      <c r="AR367" s="50">
        <f t="shared" ca="1" si="266"/>
        <v>0</v>
      </c>
      <c r="AS367" s="50">
        <f t="shared" si="267"/>
        <v>0</v>
      </c>
      <c r="AT367" s="50">
        <f ca="1">(MAX((MAX(AS367,105%*SUM($AJ$7:AJ367))-AM367*Flag_UL_Type),0)*B367)</f>
        <v>0</v>
      </c>
      <c r="AU367" s="50">
        <f ca="1">(MAX(AS367,AR367,105%*SUM($AJ$7:AJ367))*B367)</f>
        <v>0</v>
      </c>
      <c r="AV367" s="125"/>
      <c r="AW367" s="13"/>
      <c r="AX367" s="13"/>
      <c r="AY367" s="13"/>
      <c r="AZ367" s="13"/>
      <c r="BA367" s="13"/>
      <c r="BG367" s="51">
        <f t="shared" si="268"/>
        <v>0</v>
      </c>
      <c r="BH367" s="51">
        <f t="shared" si="269"/>
        <v>0</v>
      </c>
      <c r="BI367" s="51">
        <f t="shared" ca="1" si="270"/>
        <v>0</v>
      </c>
      <c r="BJ367" s="51">
        <f t="shared" ca="1" si="271"/>
        <v>0</v>
      </c>
      <c r="BK367" s="51">
        <f t="shared" si="272"/>
        <v>0</v>
      </c>
      <c r="BL367" s="51">
        <f t="shared" ca="1" si="273"/>
        <v>0</v>
      </c>
      <c r="BM367" s="51">
        <f t="shared" si="274"/>
        <v>0</v>
      </c>
      <c r="BN367" s="51">
        <f t="shared" si="275"/>
        <v>0</v>
      </c>
      <c r="BO367" s="51">
        <f t="shared" ca="1" si="276"/>
        <v>0</v>
      </c>
      <c r="BP367" s="51">
        <f t="shared" ca="1" si="277"/>
        <v>0</v>
      </c>
      <c r="BQ367" s="120"/>
      <c r="BR367" s="32"/>
      <c r="BS367" s="126"/>
      <c r="BT367" s="16"/>
      <c r="BU367" s="58"/>
      <c r="BW367" s="51" t="e">
        <f>IF(Input!$C$13="Offline",VLOOKUP(H367,Charges!$AT$4:$AU$33,2,FALSE)*I367,0)</f>
        <v>#N/A</v>
      </c>
      <c r="BX367" s="51">
        <f t="shared" si="278"/>
        <v>0</v>
      </c>
      <c r="BY367" s="51" t="e">
        <f t="shared" si="286"/>
        <v>#N/A</v>
      </c>
      <c r="BZ367" s="151"/>
      <c r="CA367" s="151"/>
      <c r="CB367" s="32"/>
      <c r="CC367" s="16">
        <f ca="1">SUM($N$7:$N367)</f>
        <v>0</v>
      </c>
      <c r="CD367" s="16">
        <f t="shared" ca="1" si="279"/>
        <v>0</v>
      </c>
      <c r="CE367" s="16">
        <f t="shared" ca="1" si="280"/>
        <v>0</v>
      </c>
      <c r="CF367" s="7">
        <f t="shared" ca="1" si="281"/>
        <v>0</v>
      </c>
      <c r="CH367" s="7">
        <f t="shared" ca="1" si="282"/>
        <v>0</v>
      </c>
    </row>
    <row r="368" spans="2:86" s="7" customFormat="1" ht="12.75" x14ac:dyDescent="0.2">
      <c r="D368" s="32"/>
      <c r="P368" s="16"/>
      <c r="Q368" s="38"/>
      <c r="U368"/>
      <c r="V368" s="39"/>
      <c r="W368" s="6"/>
      <c r="X368" s="16"/>
      <c r="AP368" s="16"/>
      <c r="AQ368" s="16"/>
      <c r="AR368" s="16"/>
    </row>
    <row r="369" spans="4:44" s="7" customFormat="1" ht="12.75" x14ac:dyDescent="0.2">
      <c r="D369" s="32"/>
      <c r="H369"/>
      <c r="I369"/>
      <c r="J369"/>
      <c r="P369" s="16"/>
      <c r="Q369" s="38"/>
      <c r="U369"/>
      <c r="V369" s="39"/>
      <c r="W369" s="6"/>
      <c r="X369" s="16"/>
      <c r="AP369" s="16"/>
      <c r="AQ369" s="16"/>
      <c r="AR369" s="16"/>
    </row>
    <row r="370" spans="4:44" s="7" customFormat="1" ht="12.75" x14ac:dyDescent="0.2">
      <c r="D370" s="32"/>
      <c r="H370"/>
      <c r="I370"/>
      <c r="J370"/>
      <c r="P370" s="16"/>
      <c r="Q370" s="38"/>
      <c r="U370"/>
      <c r="V370" s="39"/>
      <c r="W370" s="6"/>
      <c r="X370" s="16"/>
      <c r="AP370" s="16"/>
      <c r="AQ370" s="16"/>
      <c r="AR370" s="16"/>
    </row>
    <row r="371" spans="4:44" s="7" customFormat="1" ht="12.75" x14ac:dyDescent="0.2">
      <c r="D371" s="32"/>
      <c r="P371" s="16"/>
      <c r="Q371" s="38"/>
      <c r="U371"/>
      <c r="V371" s="39"/>
      <c r="W371" s="6"/>
      <c r="X371" s="16"/>
      <c r="AP371" s="16"/>
      <c r="AQ371" s="16"/>
      <c r="AR371" s="16"/>
    </row>
    <row r="372" spans="4:44" s="7" customFormat="1" ht="12.75" x14ac:dyDescent="0.2">
      <c r="D372" s="32"/>
      <c r="P372" s="16"/>
      <c r="Q372" s="38"/>
      <c r="U372"/>
      <c r="V372" s="39"/>
      <c r="W372" s="6"/>
      <c r="X372" s="16"/>
      <c r="AP372" s="16"/>
      <c r="AQ372" s="16"/>
      <c r="AR372" s="16"/>
    </row>
    <row r="373" spans="4:44" s="7" customFormat="1" ht="12.75" x14ac:dyDescent="0.2">
      <c r="D373" s="32"/>
      <c r="P373" s="16"/>
      <c r="Q373" s="38"/>
      <c r="U373"/>
      <c r="V373" s="39"/>
      <c r="W373" s="6"/>
      <c r="X373" s="16"/>
      <c r="AP373" s="16"/>
      <c r="AQ373" s="16"/>
      <c r="AR373" s="16"/>
    </row>
    <row r="374" spans="4:44" s="7" customFormat="1" ht="12.75" x14ac:dyDescent="0.2">
      <c r="D374" s="32"/>
      <c r="P374" s="16"/>
      <c r="Q374" s="38"/>
      <c r="U374"/>
      <c r="V374" s="39"/>
      <c r="W374" s="6"/>
      <c r="X374" s="16"/>
      <c r="AP374" s="16"/>
      <c r="AQ374" s="16"/>
      <c r="AR374" s="16"/>
    </row>
    <row r="375" spans="4:44" s="7" customFormat="1" ht="12.75" x14ac:dyDescent="0.2">
      <c r="D375" s="32"/>
      <c r="P375" s="16"/>
      <c r="Q375" s="38"/>
      <c r="U375"/>
      <c r="V375" s="39"/>
      <c r="W375" s="6"/>
      <c r="X375" s="16"/>
      <c r="AP375" s="16"/>
      <c r="AQ375" s="16"/>
      <c r="AR375" s="16"/>
    </row>
    <row r="376" spans="4:44" s="7" customFormat="1" ht="12.75" x14ac:dyDescent="0.2">
      <c r="D376" s="32"/>
      <c r="P376" s="16"/>
      <c r="Q376" s="38"/>
      <c r="U376"/>
      <c r="V376" s="39"/>
      <c r="W376" s="6"/>
      <c r="X376" s="16"/>
      <c r="AP376" s="16"/>
      <c r="AQ376" s="16"/>
      <c r="AR376" s="16"/>
    </row>
    <row r="377" spans="4:44" s="7" customFormat="1" ht="12.75" x14ac:dyDescent="0.2">
      <c r="D377" s="32"/>
      <c r="P377" s="16"/>
      <c r="Q377" s="38"/>
      <c r="U377"/>
      <c r="V377" s="39"/>
      <c r="W377" s="6"/>
      <c r="X377" s="16"/>
      <c r="AP377" s="16"/>
      <c r="AQ377" s="16"/>
      <c r="AR377" s="16"/>
    </row>
    <row r="378" spans="4:44" s="7" customFormat="1" ht="12.75" x14ac:dyDescent="0.2">
      <c r="D378" s="32"/>
      <c r="P378" s="16"/>
      <c r="Q378" s="38"/>
      <c r="U378"/>
      <c r="V378" s="39"/>
      <c r="W378" s="6"/>
      <c r="X378" s="16"/>
      <c r="AP378" s="16"/>
      <c r="AQ378" s="16"/>
      <c r="AR378" s="16"/>
    </row>
    <row r="379" spans="4:44" s="7" customFormat="1" ht="12.75" x14ac:dyDescent="0.2">
      <c r="D379" s="32"/>
      <c r="P379" s="16"/>
      <c r="Q379" s="38"/>
      <c r="U379"/>
      <c r="V379" s="39"/>
      <c r="W379" s="6"/>
      <c r="X379" s="16"/>
      <c r="AP379" s="16"/>
      <c r="AQ379" s="16"/>
      <c r="AR379" s="16"/>
    </row>
    <row r="380" spans="4:44" s="7" customFormat="1" ht="12.75" x14ac:dyDescent="0.2">
      <c r="D380" s="32"/>
      <c r="P380" s="16"/>
      <c r="Q380" s="38"/>
      <c r="U380"/>
      <c r="V380" s="39"/>
      <c r="W380" s="6"/>
      <c r="X380" s="16"/>
      <c r="AP380" s="16"/>
      <c r="AQ380" s="16"/>
      <c r="AR380" s="16"/>
    </row>
    <row r="381" spans="4:44" s="7" customFormat="1" ht="12.75" x14ac:dyDescent="0.2">
      <c r="D381" s="32"/>
      <c r="P381" s="16"/>
      <c r="Q381" s="38"/>
      <c r="U381"/>
      <c r="V381" s="39"/>
      <c r="W381" s="6"/>
      <c r="X381" s="16"/>
      <c r="AP381" s="16"/>
      <c r="AQ381" s="16"/>
      <c r="AR381" s="16"/>
    </row>
    <row r="382" spans="4:44" s="7" customFormat="1" ht="12.75" x14ac:dyDescent="0.2">
      <c r="D382" s="32"/>
      <c r="P382" s="16"/>
      <c r="Q382" s="38"/>
      <c r="U382"/>
      <c r="V382" s="39"/>
      <c r="W382" s="6"/>
      <c r="X382" s="16"/>
      <c r="AP382" s="16"/>
      <c r="AQ382" s="16"/>
      <c r="AR382" s="16"/>
    </row>
    <row r="383" spans="4:44" s="7" customFormat="1" ht="12.75" x14ac:dyDescent="0.2">
      <c r="D383" s="32"/>
      <c r="P383" s="16"/>
      <c r="Q383" s="38"/>
      <c r="U383"/>
      <c r="V383" s="39"/>
      <c r="W383" s="6"/>
      <c r="X383" s="16"/>
      <c r="AP383" s="16"/>
      <c r="AQ383" s="16"/>
      <c r="AR383" s="16"/>
    </row>
    <row r="384" spans="4:44" s="7" customFormat="1" ht="12.75" x14ac:dyDescent="0.2">
      <c r="D384" s="32"/>
      <c r="P384" s="16"/>
      <c r="Q384" s="38"/>
      <c r="U384"/>
      <c r="V384" s="39"/>
      <c r="W384" s="6"/>
      <c r="X384" s="16"/>
      <c r="AP384" s="16"/>
      <c r="AQ384" s="16"/>
      <c r="AR384" s="16"/>
    </row>
    <row r="385" spans="4:44" s="7" customFormat="1" ht="12.75" x14ac:dyDescent="0.2">
      <c r="D385" s="32"/>
      <c r="P385" s="16"/>
      <c r="Q385" s="38"/>
      <c r="U385"/>
      <c r="V385" s="39"/>
      <c r="W385" s="6"/>
      <c r="X385" s="16"/>
      <c r="AP385" s="16"/>
      <c r="AQ385" s="16"/>
      <c r="AR385" s="16"/>
    </row>
    <row r="386" spans="4:44" s="7" customFormat="1" ht="12.75" x14ac:dyDescent="0.2">
      <c r="D386" s="32"/>
      <c r="P386" s="16"/>
      <c r="Q386" s="38"/>
      <c r="U386"/>
      <c r="V386" s="39"/>
      <c r="W386" s="6"/>
      <c r="X386" s="16"/>
      <c r="AP386" s="16"/>
      <c r="AQ386" s="16"/>
      <c r="AR386" s="16"/>
    </row>
    <row r="387" spans="4:44" s="7" customFormat="1" ht="12.75" x14ac:dyDescent="0.2">
      <c r="D387" s="32"/>
      <c r="P387" s="16"/>
      <c r="Q387" s="38"/>
      <c r="U387"/>
      <c r="V387" s="39"/>
      <c r="W387" s="6"/>
      <c r="X387" s="16"/>
      <c r="AP387" s="16"/>
      <c r="AQ387" s="16"/>
      <c r="AR387" s="16"/>
    </row>
    <row r="388" spans="4:44" s="7" customFormat="1" ht="12.75" x14ac:dyDescent="0.2">
      <c r="D388" s="32"/>
      <c r="P388" s="16"/>
      <c r="Q388" s="38"/>
      <c r="U388"/>
      <c r="V388" s="39"/>
      <c r="W388" s="6"/>
      <c r="X388" s="16"/>
      <c r="AP388" s="16"/>
      <c r="AQ388" s="16"/>
      <c r="AR388" s="16"/>
    </row>
    <row r="389" spans="4:44" ht="12.75" x14ac:dyDescent="0.2">
      <c r="Q389" s="40"/>
      <c r="U389"/>
      <c r="V389" s="41"/>
      <c r="W389" s="6"/>
      <c r="AA389" s="7"/>
      <c r="AB389" s="7"/>
      <c r="AC389" s="7"/>
      <c r="AD389" s="7"/>
    </row>
    <row r="390" spans="4:44" ht="12.75" x14ac:dyDescent="0.2">
      <c r="Q390" s="40"/>
      <c r="U390"/>
      <c r="V390" s="41"/>
      <c r="W390" s="6"/>
      <c r="AA390" s="7"/>
      <c r="AB390" s="7"/>
      <c r="AC390" s="7"/>
      <c r="AD390" s="7"/>
    </row>
    <row r="391" spans="4:44" ht="12.75" x14ac:dyDescent="0.2">
      <c r="Q391" s="40"/>
      <c r="U391"/>
      <c r="V391" s="41"/>
      <c r="W391" s="6"/>
      <c r="AA391" s="7"/>
      <c r="AB391" s="7"/>
      <c r="AC391" s="7"/>
      <c r="AD391" s="7"/>
    </row>
    <row r="392" spans="4:44" ht="12.75" x14ac:dyDescent="0.2">
      <c r="Q392" s="40"/>
      <c r="U392"/>
      <c r="V392" s="41"/>
      <c r="W392" s="6"/>
      <c r="AA392" s="7"/>
      <c r="AB392" s="7"/>
      <c r="AC392" s="7"/>
      <c r="AD392" s="7"/>
    </row>
    <row r="393" spans="4:44" ht="12.75" x14ac:dyDescent="0.2">
      <c r="Q393" s="40"/>
      <c r="U393"/>
      <c r="V393" s="41"/>
      <c r="W393" s="6"/>
      <c r="AA393" s="7"/>
      <c r="AB393" s="7"/>
      <c r="AC393" s="7"/>
      <c r="AD393" s="7"/>
    </row>
    <row r="394" spans="4:44" ht="12.75" x14ac:dyDescent="0.2">
      <c r="Q394" s="40"/>
      <c r="U394"/>
      <c r="V394" s="41"/>
      <c r="W394" s="6"/>
      <c r="AA394" s="7"/>
      <c r="AB394" s="7"/>
      <c r="AC394" s="7"/>
      <c r="AD394" s="7"/>
    </row>
    <row r="395" spans="4:44" ht="12.75" x14ac:dyDescent="0.2">
      <c r="Q395" s="40"/>
      <c r="U395"/>
      <c r="V395" s="41"/>
      <c r="W395" s="6"/>
      <c r="AA395" s="7"/>
      <c r="AB395" s="7"/>
      <c r="AC395" s="7"/>
      <c r="AD395" s="7"/>
    </row>
    <row r="396" spans="4:44" ht="12.75" x14ac:dyDescent="0.2">
      <c r="Q396" s="40"/>
      <c r="U396"/>
      <c r="V396" s="41"/>
      <c r="W396" s="6"/>
      <c r="AA396" s="7"/>
      <c r="AB396" s="7"/>
      <c r="AC396" s="7"/>
      <c r="AD396" s="7"/>
    </row>
    <row r="397" spans="4:44" ht="12.75" x14ac:dyDescent="0.2">
      <c r="Q397" s="40"/>
      <c r="U397"/>
      <c r="V397" s="41"/>
      <c r="W397" s="6"/>
      <c r="AA397" s="7"/>
      <c r="AB397" s="7"/>
      <c r="AC397" s="7"/>
      <c r="AD397" s="7"/>
    </row>
    <row r="398" spans="4:44" ht="12.75" x14ac:dyDescent="0.2">
      <c r="Q398" s="40"/>
      <c r="U398"/>
      <c r="V398" s="41"/>
      <c r="W398" s="6"/>
      <c r="AA398" s="7"/>
      <c r="AB398" s="7"/>
      <c r="AC398" s="7"/>
      <c r="AD398" s="7"/>
    </row>
    <row r="399" spans="4:44" ht="12.75" x14ac:dyDescent="0.2">
      <c r="Q399" s="40"/>
      <c r="U399"/>
      <c r="V399" s="41"/>
      <c r="W399" s="6"/>
      <c r="AA399" s="7"/>
      <c r="AB399" s="7"/>
      <c r="AC399" s="7"/>
      <c r="AD399" s="7"/>
    </row>
    <row r="400" spans="4:44" ht="12.75" x14ac:dyDescent="0.2">
      <c r="Q400" s="40"/>
      <c r="U400"/>
      <c r="V400" s="41"/>
      <c r="W400" s="6"/>
      <c r="AA400" s="7"/>
      <c r="AB400" s="7"/>
      <c r="AC400" s="7"/>
      <c r="AD400" s="7"/>
    </row>
    <row r="401" spans="17:30" ht="12.75" x14ac:dyDescent="0.2">
      <c r="Q401" s="40"/>
      <c r="U401"/>
      <c r="V401" s="41"/>
      <c r="W401" s="6"/>
      <c r="AA401" s="7"/>
      <c r="AB401" s="7"/>
      <c r="AC401" s="7"/>
      <c r="AD401" s="7"/>
    </row>
    <row r="402" spans="17:30" ht="12.75" x14ac:dyDescent="0.2">
      <c r="Q402" s="40"/>
      <c r="U402"/>
      <c r="V402" s="41"/>
      <c r="W402" s="6"/>
      <c r="AA402" s="7"/>
      <c r="AB402" s="7"/>
      <c r="AC402" s="7"/>
      <c r="AD402" s="7"/>
    </row>
    <row r="403" spans="17:30" ht="12.75" x14ac:dyDescent="0.2">
      <c r="Q403" s="40"/>
      <c r="U403"/>
      <c r="V403" s="41"/>
      <c r="W403" s="6"/>
      <c r="AA403" s="7"/>
      <c r="AB403" s="7"/>
      <c r="AC403" s="7"/>
      <c r="AD403" s="7"/>
    </row>
    <row r="404" spans="17:30" ht="12.75" x14ac:dyDescent="0.2">
      <c r="Q404" s="40"/>
      <c r="U404"/>
      <c r="V404" s="41"/>
      <c r="W404" s="6"/>
      <c r="AA404" s="7"/>
      <c r="AB404" s="7"/>
      <c r="AC404" s="7"/>
      <c r="AD404" s="7"/>
    </row>
    <row r="405" spans="17:30" ht="12.75" x14ac:dyDescent="0.2">
      <c r="Q405" s="40"/>
      <c r="U405"/>
      <c r="V405" s="41"/>
      <c r="W405" s="6"/>
      <c r="AA405" s="7"/>
      <c r="AB405" s="7"/>
      <c r="AC405" s="7"/>
      <c r="AD405" s="7"/>
    </row>
    <row r="406" spans="17:30" ht="12.75" x14ac:dyDescent="0.2">
      <c r="Q406" s="40"/>
      <c r="U406"/>
      <c r="V406" s="41"/>
      <c r="W406" s="6"/>
      <c r="AA406" s="7"/>
      <c r="AB406" s="7"/>
      <c r="AC406" s="7"/>
      <c r="AD406" s="7"/>
    </row>
    <row r="407" spans="17:30" ht="12.75" x14ac:dyDescent="0.2">
      <c r="Q407" s="40"/>
      <c r="U407"/>
      <c r="V407" s="41"/>
      <c r="W407" s="6"/>
      <c r="AA407" s="7"/>
      <c r="AB407" s="7"/>
      <c r="AC407" s="7"/>
      <c r="AD407" s="7"/>
    </row>
    <row r="408" spans="17:30" ht="12.75" x14ac:dyDescent="0.2">
      <c r="Q408" s="40"/>
      <c r="U408"/>
      <c r="V408" s="41"/>
      <c r="W408" s="6"/>
      <c r="AA408" s="7"/>
      <c r="AB408" s="7"/>
      <c r="AC408" s="7"/>
      <c r="AD408" s="7"/>
    </row>
    <row r="409" spans="17:30" ht="12.75" x14ac:dyDescent="0.2">
      <c r="Q409" s="40"/>
      <c r="U409"/>
      <c r="V409" s="41"/>
      <c r="W409" s="6"/>
      <c r="AA409" s="7"/>
      <c r="AB409" s="7"/>
      <c r="AC409" s="7"/>
      <c r="AD409" s="7"/>
    </row>
    <row r="410" spans="17:30" ht="12.75" x14ac:dyDescent="0.2">
      <c r="Q410" s="40"/>
      <c r="U410"/>
      <c r="V410" s="41"/>
      <c r="W410" s="6"/>
      <c r="AA410" s="7"/>
      <c r="AB410" s="7"/>
      <c r="AC410" s="7"/>
      <c r="AD410" s="7"/>
    </row>
    <row r="411" spans="17:30" ht="12.75" x14ac:dyDescent="0.2">
      <c r="Q411" s="40"/>
      <c r="U411"/>
      <c r="V411" s="41"/>
      <c r="W411" s="6"/>
      <c r="AA411" s="7"/>
      <c r="AB411" s="7"/>
      <c r="AC411" s="7"/>
      <c r="AD411" s="7"/>
    </row>
    <row r="412" spans="17:30" ht="12.75" x14ac:dyDescent="0.2">
      <c r="Q412" s="40"/>
      <c r="U412"/>
      <c r="V412" s="41"/>
      <c r="W412" s="6"/>
      <c r="AA412" s="7"/>
      <c r="AB412" s="7"/>
      <c r="AC412" s="7"/>
      <c r="AD412" s="7"/>
    </row>
    <row r="413" spans="17:30" ht="12.75" x14ac:dyDescent="0.2">
      <c r="Q413" s="40"/>
      <c r="U413"/>
      <c r="V413" s="41"/>
      <c r="W413" s="6"/>
      <c r="AA413" s="7"/>
      <c r="AB413" s="7"/>
      <c r="AC413" s="7"/>
      <c r="AD413" s="7"/>
    </row>
    <row r="414" spans="17:30" ht="12.75" x14ac:dyDescent="0.2">
      <c r="Q414" s="40"/>
      <c r="U414"/>
      <c r="V414" s="41"/>
      <c r="W414" s="6"/>
      <c r="AA414" s="7"/>
      <c r="AB414" s="7"/>
      <c r="AC414" s="7"/>
      <c r="AD414" s="7"/>
    </row>
    <row r="415" spans="17:30" ht="12.75" x14ac:dyDescent="0.2">
      <c r="Q415" s="40"/>
      <c r="U415"/>
      <c r="V415" s="41"/>
      <c r="W415" s="6"/>
      <c r="AA415" s="7"/>
      <c r="AB415" s="7"/>
      <c r="AC415" s="7"/>
      <c r="AD415" s="7"/>
    </row>
    <row r="416" spans="17:30" ht="12.75" x14ac:dyDescent="0.2">
      <c r="Q416" s="40"/>
      <c r="U416"/>
      <c r="V416" s="41"/>
      <c r="W416" s="6"/>
      <c r="AA416" s="7"/>
      <c r="AB416" s="7"/>
      <c r="AC416" s="7"/>
      <c r="AD416" s="7"/>
    </row>
    <row r="417" spans="17:30" ht="12.75" x14ac:dyDescent="0.2">
      <c r="Q417" s="40"/>
      <c r="U417"/>
      <c r="V417" s="41"/>
      <c r="W417" s="6"/>
      <c r="AA417" s="7"/>
      <c r="AB417" s="7"/>
      <c r="AC417" s="7"/>
      <c r="AD417" s="7"/>
    </row>
    <row r="418" spans="17:30" ht="12.75" x14ac:dyDescent="0.2">
      <c r="Q418" s="40"/>
      <c r="U418"/>
      <c r="V418" s="41"/>
      <c r="W418" s="6"/>
      <c r="AA418" s="7"/>
      <c r="AB418" s="7"/>
      <c r="AC418" s="7"/>
      <c r="AD418" s="7"/>
    </row>
    <row r="419" spans="17:30" ht="12.75" x14ac:dyDescent="0.2">
      <c r="Q419" s="40"/>
      <c r="U419"/>
      <c r="V419" s="41"/>
      <c r="W419" s="6"/>
      <c r="AA419" s="7"/>
      <c r="AB419" s="7"/>
      <c r="AC419" s="7"/>
      <c r="AD419" s="7"/>
    </row>
    <row r="420" spans="17:30" ht="12.75" x14ac:dyDescent="0.2">
      <c r="Q420" s="40"/>
      <c r="U420"/>
      <c r="V420" s="41"/>
      <c r="W420" s="6"/>
      <c r="AA420" s="7"/>
      <c r="AB420" s="7"/>
      <c r="AC420" s="7"/>
      <c r="AD420" s="7"/>
    </row>
    <row r="421" spans="17:30" ht="12.75" x14ac:dyDescent="0.2">
      <c r="Q421" s="40"/>
      <c r="U421"/>
      <c r="V421" s="41"/>
      <c r="W421" s="6"/>
      <c r="AA421" s="7"/>
      <c r="AB421" s="7"/>
      <c r="AC421" s="7"/>
      <c r="AD421" s="7"/>
    </row>
    <row r="422" spans="17:30" ht="12.75" x14ac:dyDescent="0.2">
      <c r="Q422" s="40"/>
      <c r="U422"/>
      <c r="V422" s="41"/>
      <c r="W422" s="6"/>
      <c r="AA422" s="7"/>
      <c r="AB422" s="7"/>
      <c r="AC422" s="7"/>
      <c r="AD422" s="7"/>
    </row>
    <row r="423" spans="17:30" ht="12.75" x14ac:dyDescent="0.2">
      <c r="Q423" s="40"/>
      <c r="U423"/>
      <c r="V423" s="41"/>
      <c r="W423" s="6"/>
      <c r="AA423" s="7"/>
      <c r="AB423" s="7"/>
      <c r="AC423" s="7"/>
      <c r="AD423" s="7"/>
    </row>
    <row r="424" spans="17:30" ht="12.75" x14ac:dyDescent="0.2">
      <c r="Q424" s="40"/>
      <c r="U424"/>
      <c r="V424" s="41"/>
      <c r="W424" s="6"/>
      <c r="AA424" s="7"/>
      <c r="AB424" s="7"/>
      <c r="AC424" s="7"/>
      <c r="AD424" s="7"/>
    </row>
    <row r="425" spans="17:30" ht="12.75" x14ac:dyDescent="0.2">
      <c r="Q425" s="40"/>
      <c r="U425"/>
      <c r="V425" s="41"/>
      <c r="W425" s="6"/>
      <c r="AA425" s="7"/>
      <c r="AB425" s="7"/>
      <c r="AC425" s="7"/>
      <c r="AD425" s="7"/>
    </row>
    <row r="426" spans="17:30" ht="12.75" x14ac:dyDescent="0.2">
      <c r="Q426" s="40"/>
      <c r="U426"/>
      <c r="V426" s="41"/>
      <c r="W426" s="6"/>
      <c r="AA426" s="7"/>
      <c r="AB426" s="7"/>
      <c r="AC426" s="7"/>
      <c r="AD426" s="7"/>
    </row>
    <row r="427" spans="17:30" ht="12.75" x14ac:dyDescent="0.2">
      <c r="Q427" s="40"/>
      <c r="U427"/>
      <c r="V427" s="41"/>
      <c r="W427" s="6"/>
      <c r="AA427" s="7"/>
      <c r="AB427" s="7"/>
      <c r="AC427" s="7"/>
      <c r="AD427" s="7"/>
    </row>
    <row r="428" spans="17:30" ht="12.75" x14ac:dyDescent="0.2">
      <c r="Q428" s="40"/>
      <c r="U428"/>
      <c r="V428" s="41"/>
      <c r="W428" s="6"/>
      <c r="AA428" s="7"/>
      <c r="AB428" s="7"/>
      <c r="AC428" s="7"/>
      <c r="AD428" s="7"/>
    </row>
    <row r="429" spans="17:30" ht="12.75" x14ac:dyDescent="0.2">
      <c r="Q429" s="40"/>
      <c r="U429"/>
      <c r="V429" s="41"/>
      <c r="W429" s="6"/>
      <c r="AA429" s="7"/>
      <c r="AB429" s="7"/>
      <c r="AC429" s="7"/>
      <c r="AD429" s="7"/>
    </row>
    <row r="430" spans="17:30" ht="12.75" x14ac:dyDescent="0.2">
      <c r="Q430" s="40"/>
      <c r="U430"/>
      <c r="V430" s="41"/>
      <c r="W430" s="6"/>
      <c r="AA430" s="7"/>
      <c r="AB430" s="7"/>
      <c r="AC430" s="7"/>
      <c r="AD430" s="7"/>
    </row>
    <row r="431" spans="17:30" ht="12.75" x14ac:dyDescent="0.2">
      <c r="Q431" s="40"/>
      <c r="U431"/>
      <c r="V431" s="41"/>
      <c r="W431" s="6"/>
      <c r="AA431" s="7"/>
      <c r="AB431" s="7"/>
      <c r="AC431" s="7"/>
      <c r="AD431" s="7"/>
    </row>
    <row r="432" spans="17:30" ht="12.75" x14ac:dyDescent="0.2">
      <c r="Q432" s="40"/>
      <c r="U432"/>
      <c r="V432" s="41"/>
      <c r="W432" s="6"/>
      <c r="AA432" s="7"/>
      <c r="AB432" s="7"/>
      <c r="AC432" s="7"/>
      <c r="AD432" s="7"/>
    </row>
    <row r="433" spans="17:30" ht="12.75" x14ac:dyDescent="0.2">
      <c r="Q433" s="40"/>
      <c r="U433"/>
      <c r="V433" s="41"/>
      <c r="W433" s="6"/>
      <c r="AA433" s="7"/>
      <c r="AB433" s="7"/>
      <c r="AC433" s="7"/>
      <c r="AD433" s="7"/>
    </row>
    <row r="434" spans="17:30" ht="12.75" x14ac:dyDescent="0.2">
      <c r="Q434" s="40"/>
      <c r="U434"/>
      <c r="V434" s="41"/>
      <c r="W434" s="6"/>
      <c r="AA434" s="7"/>
      <c r="AB434" s="7"/>
      <c r="AC434" s="7"/>
      <c r="AD434" s="7"/>
    </row>
    <row r="435" spans="17:30" ht="12.75" x14ac:dyDescent="0.2">
      <c r="Q435" s="40"/>
      <c r="U435"/>
      <c r="V435" s="41"/>
      <c r="W435" s="6"/>
      <c r="AA435" s="7"/>
      <c r="AB435" s="7"/>
      <c r="AC435" s="7"/>
      <c r="AD435" s="7"/>
    </row>
    <row r="436" spans="17:30" ht="12.75" x14ac:dyDescent="0.2">
      <c r="Q436" s="40"/>
      <c r="U436"/>
      <c r="V436" s="41"/>
      <c r="W436" s="6"/>
      <c r="AA436" s="7"/>
      <c r="AB436" s="7"/>
      <c r="AC436" s="7"/>
      <c r="AD436" s="7"/>
    </row>
    <row r="437" spans="17:30" ht="12.75" x14ac:dyDescent="0.2">
      <c r="Q437" s="40"/>
      <c r="U437"/>
      <c r="V437" s="41"/>
      <c r="W437" s="6"/>
      <c r="AA437" s="7"/>
      <c r="AB437" s="7"/>
      <c r="AC437" s="7"/>
      <c r="AD437" s="7"/>
    </row>
    <row r="438" spans="17:30" ht="12.75" x14ac:dyDescent="0.2">
      <c r="Q438" s="40"/>
      <c r="U438"/>
      <c r="V438" s="41"/>
      <c r="W438" s="6"/>
      <c r="AA438" s="7"/>
      <c r="AB438" s="7"/>
      <c r="AC438" s="7"/>
      <c r="AD438" s="7"/>
    </row>
    <row r="439" spans="17:30" ht="12.75" x14ac:dyDescent="0.2">
      <c r="Q439" s="40"/>
      <c r="U439"/>
      <c r="V439" s="41"/>
      <c r="W439" s="6"/>
      <c r="AA439" s="7"/>
      <c r="AB439" s="7"/>
      <c r="AC439" s="7"/>
      <c r="AD439" s="7"/>
    </row>
    <row r="440" spans="17:30" ht="12.75" x14ac:dyDescent="0.2">
      <c r="Q440" s="40"/>
      <c r="U440"/>
      <c r="V440" s="41"/>
      <c r="W440" s="6"/>
      <c r="AA440" s="7"/>
      <c r="AB440" s="7"/>
      <c r="AC440" s="7"/>
      <c r="AD440" s="7"/>
    </row>
    <row r="441" spans="17:30" ht="12.75" x14ac:dyDescent="0.2">
      <c r="Q441" s="40"/>
      <c r="U441"/>
      <c r="V441" s="41"/>
      <c r="W441" s="6"/>
      <c r="AA441" s="7"/>
      <c r="AB441" s="7"/>
      <c r="AC441" s="7"/>
      <c r="AD441" s="7"/>
    </row>
    <row r="442" spans="17:30" ht="12.75" x14ac:dyDescent="0.2">
      <c r="Q442" s="40"/>
      <c r="U442"/>
      <c r="V442" s="41"/>
      <c r="W442" s="6"/>
      <c r="AA442" s="7"/>
      <c r="AB442" s="7"/>
      <c r="AC442" s="7"/>
      <c r="AD442" s="7"/>
    </row>
    <row r="443" spans="17:30" ht="12.75" x14ac:dyDescent="0.2">
      <c r="Q443" s="40"/>
      <c r="U443"/>
      <c r="V443" s="41"/>
      <c r="W443" s="6"/>
      <c r="AA443" s="7"/>
      <c r="AB443" s="7"/>
      <c r="AC443" s="7"/>
      <c r="AD443" s="7"/>
    </row>
    <row r="444" spans="17:30" ht="12.75" x14ac:dyDescent="0.2">
      <c r="Q444" s="40"/>
      <c r="U444"/>
      <c r="V444" s="41"/>
      <c r="W444" s="6"/>
      <c r="AA444" s="7"/>
      <c r="AB444" s="7"/>
      <c r="AC444" s="7"/>
      <c r="AD444" s="7"/>
    </row>
    <row r="445" spans="17:30" ht="12.75" x14ac:dyDescent="0.2">
      <c r="Q445" s="40"/>
      <c r="U445"/>
      <c r="V445" s="41"/>
      <c r="W445" s="6"/>
      <c r="AA445" s="7"/>
      <c r="AB445" s="7"/>
      <c r="AC445" s="7"/>
      <c r="AD445" s="7"/>
    </row>
    <row r="446" spans="17:30" ht="12.75" x14ac:dyDescent="0.2">
      <c r="Q446" s="40"/>
      <c r="U446"/>
      <c r="V446" s="41"/>
      <c r="W446" s="6"/>
      <c r="AA446" s="7"/>
      <c r="AB446" s="7"/>
      <c r="AC446" s="7"/>
      <c r="AD446" s="7"/>
    </row>
    <row r="447" spans="17:30" ht="12.75" x14ac:dyDescent="0.2">
      <c r="Q447" s="40"/>
      <c r="U447"/>
      <c r="V447" s="41"/>
      <c r="W447" s="6"/>
      <c r="AA447" s="7"/>
      <c r="AB447" s="7"/>
      <c r="AC447" s="7"/>
      <c r="AD447" s="7"/>
    </row>
    <row r="448" spans="17:30" ht="12.75" x14ac:dyDescent="0.2">
      <c r="Q448" s="40"/>
      <c r="U448"/>
      <c r="V448" s="41"/>
      <c r="W448" s="6"/>
      <c r="AA448" s="7"/>
      <c r="AB448" s="7"/>
      <c r="AC448" s="7"/>
      <c r="AD448" s="7"/>
    </row>
    <row r="449" spans="17:30" ht="12.75" x14ac:dyDescent="0.2">
      <c r="Q449" s="40"/>
      <c r="U449"/>
      <c r="V449" s="41"/>
      <c r="W449" s="6"/>
      <c r="AA449" s="7"/>
      <c r="AB449" s="7"/>
      <c r="AC449" s="7"/>
      <c r="AD449" s="7"/>
    </row>
    <row r="450" spans="17:30" ht="12.75" x14ac:dyDescent="0.2">
      <c r="Q450" s="40"/>
      <c r="U450"/>
      <c r="V450" s="41"/>
      <c r="W450" s="6"/>
      <c r="AA450" s="7"/>
      <c r="AB450" s="7"/>
      <c r="AC450" s="7"/>
      <c r="AD450" s="7"/>
    </row>
    <row r="451" spans="17:30" ht="12.75" x14ac:dyDescent="0.2">
      <c r="Q451" s="40"/>
      <c r="U451"/>
      <c r="V451" s="41"/>
      <c r="W451" s="6"/>
      <c r="AA451" s="7"/>
      <c r="AB451" s="7"/>
      <c r="AC451" s="7"/>
      <c r="AD451" s="7"/>
    </row>
    <row r="452" spans="17:30" ht="12.75" x14ac:dyDescent="0.2">
      <c r="Q452" s="40"/>
      <c r="U452"/>
      <c r="V452" s="41"/>
      <c r="W452" s="6"/>
      <c r="AA452" s="7"/>
      <c r="AB452" s="7"/>
      <c r="AC452" s="7"/>
      <c r="AD452" s="7"/>
    </row>
    <row r="453" spans="17:30" ht="12.75" x14ac:dyDescent="0.2">
      <c r="Q453" s="40"/>
      <c r="U453"/>
      <c r="V453" s="41"/>
      <c r="W453" s="6"/>
      <c r="AA453" s="7"/>
      <c r="AB453" s="7"/>
      <c r="AC453" s="7"/>
      <c r="AD453" s="7"/>
    </row>
    <row r="454" spans="17:30" ht="12.75" x14ac:dyDescent="0.2">
      <c r="Q454" s="40"/>
      <c r="U454"/>
      <c r="V454" s="41"/>
      <c r="W454" s="6"/>
      <c r="AA454" s="7"/>
      <c r="AB454" s="7"/>
      <c r="AC454" s="7"/>
      <c r="AD454" s="7"/>
    </row>
    <row r="455" spans="17:30" ht="12.75" x14ac:dyDescent="0.2">
      <c r="Q455" s="40"/>
      <c r="U455"/>
      <c r="V455" s="41"/>
      <c r="W455" s="6"/>
      <c r="AA455" s="7"/>
      <c r="AB455" s="7"/>
      <c r="AC455" s="7"/>
      <c r="AD455" s="7"/>
    </row>
    <row r="456" spans="17:30" ht="12.75" x14ac:dyDescent="0.2">
      <c r="Q456" s="40"/>
      <c r="U456"/>
      <c r="V456" s="41"/>
      <c r="W456" s="6"/>
      <c r="AA456" s="7"/>
      <c r="AB456" s="7"/>
      <c r="AC456" s="7"/>
      <c r="AD456" s="7"/>
    </row>
    <row r="457" spans="17:30" ht="12.75" x14ac:dyDescent="0.2">
      <c r="Q457" s="40"/>
      <c r="U457"/>
      <c r="V457" s="41"/>
      <c r="W457" s="6"/>
      <c r="AA457" s="7"/>
      <c r="AB457" s="7"/>
      <c r="AC457" s="7"/>
      <c r="AD457" s="7"/>
    </row>
    <row r="458" spans="17:30" ht="12.75" x14ac:dyDescent="0.2">
      <c r="Q458" s="40"/>
      <c r="U458"/>
      <c r="V458" s="41"/>
      <c r="W458" s="6"/>
      <c r="AA458" s="7"/>
      <c r="AB458" s="7"/>
      <c r="AC458" s="7"/>
      <c r="AD458" s="7"/>
    </row>
    <row r="459" spans="17:30" ht="12.75" x14ac:dyDescent="0.2">
      <c r="Q459" s="40"/>
      <c r="U459"/>
      <c r="V459" s="41"/>
      <c r="W459" s="6"/>
      <c r="AA459" s="7"/>
      <c r="AB459" s="7"/>
      <c r="AC459" s="7"/>
      <c r="AD459" s="7"/>
    </row>
    <row r="460" spans="17:30" ht="12.75" x14ac:dyDescent="0.2">
      <c r="Q460" s="40"/>
      <c r="U460"/>
      <c r="V460" s="41"/>
      <c r="W460" s="6"/>
      <c r="AA460" s="7"/>
      <c r="AB460" s="7"/>
      <c r="AC460" s="7"/>
      <c r="AD460" s="7"/>
    </row>
    <row r="461" spans="17:30" ht="12.75" x14ac:dyDescent="0.2">
      <c r="Q461" s="40"/>
      <c r="U461"/>
      <c r="V461" s="41"/>
      <c r="W461" s="6"/>
      <c r="AA461" s="7"/>
      <c r="AB461" s="7"/>
      <c r="AC461" s="7"/>
      <c r="AD461" s="7"/>
    </row>
    <row r="462" spans="17:30" ht="12.75" x14ac:dyDescent="0.2">
      <c r="Q462" s="40"/>
      <c r="U462"/>
      <c r="V462" s="41"/>
      <c r="W462" s="6"/>
      <c r="AA462" s="7"/>
      <c r="AB462" s="7"/>
      <c r="AC462" s="7"/>
      <c r="AD462" s="7"/>
    </row>
    <row r="463" spans="17:30" ht="12.75" x14ac:dyDescent="0.2">
      <c r="Q463" s="40"/>
      <c r="U463"/>
      <c r="V463" s="41"/>
      <c r="W463" s="6"/>
      <c r="AA463" s="7"/>
      <c r="AB463" s="7"/>
      <c r="AC463" s="7"/>
      <c r="AD463" s="7"/>
    </row>
    <row r="464" spans="17:30" ht="12.75" x14ac:dyDescent="0.2">
      <c r="Q464" s="40"/>
      <c r="U464"/>
      <c r="V464" s="41"/>
      <c r="W464" s="6"/>
      <c r="AA464" s="7"/>
      <c r="AB464" s="7"/>
      <c r="AC464" s="7"/>
      <c r="AD464" s="7"/>
    </row>
    <row r="465" spans="17:30" ht="12.75" x14ac:dyDescent="0.2">
      <c r="Q465" s="40"/>
      <c r="U465"/>
      <c r="V465" s="41"/>
      <c r="W465" s="6"/>
      <c r="AA465" s="7"/>
      <c r="AB465" s="7"/>
      <c r="AC465" s="7"/>
      <c r="AD465" s="7"/>
    </row>
    <row r="466" spans="17:30" ht="12.75" x14ac:dyDescent="0.2">
      <c r="Q466" s="40"/>
      <c r="U466"/>
      <c r="V466" s="41"/>
      <c r="W466" s="6"/>
      <c r="AA466" s="7"/>
      <c r="AB466" s="7"/>
      <c r="AC466" s="7"/>
      <c r="AD466" s="7"/>
    </row>
    <row r="467" spans="17:30" ht="12.75" x14ac:dyDescent="0.2">
      <c r="Q467" s="40"/>
      <c r="U467"/>
      <c r="V467" s="41"/>
      <c r="W467" s="6"/>
      <c r="AA467" s="7"/>
      <c r="AB467" s="7"/>
      <c r="AC467" s="7"/>
      <c r="AD467" s="7"/>
    </row>
    <row r="468" spans="17:30" ht="12.75" x14ac:dyDescent="0.2">
      <c r="Q468" s="40"/>
      <c r="U468"/>
      <c r="V468" s="41"/>
      <c r="W468" s="6"/>
      <c r="AA468" s="7"/>
      <c r="AB468" s="7"/>
      <c r="AC468" s="7"/>
      <c r="AD468" s="7"/>
    </row>
    <row r="469" spans="17:30" ht="12.75" x14ac:dyDescent="0.2">
      <c r="Q469" s="40"/>
      <c r="U469"/>
      <c r="V469" s="41"/>
      <c r="W469" s="6"/>
      <c r="AA469" s="7"/>
      <c r="AB469" s="7"/>
      <c r="AC469" s="7"/>
      <c r="AD469" s="7"/>
    </row>
    <row r="470" spans="17:30" ht="12.75" x14ac:dyDescent="0.2">
      <c r="Q470" s="40"/>
      <c r="U470"/>
      <c r="V470" s="41"/>
      <c r="W470" s="6"/>
      <c r="AA470" s="7"/>
      <c r="AB470" s="7"/>
      <c r="AC470" s="7"/>
      <c r="AD470" s="7"/>
    </row>
    <row r="471" spans="17:30" ht="12.75" x14ac:dyDescent="0.2">
      <c r="Q471" s="40"/>
      <c r="U471"/>
      <c r="V471" s="41"/>
      <c r="W471" s="6"/>
      <c r="AA471" s="7"/>
      <c r="AB471" s="7"/>
      <c r="AC471" s="7"/>
      <c r="AD471" s="7"/>
    </row>
    <row r="472" spans="17:30" ht="12.75" x14ac:dyDescent="0.2">
      <c r="Q472" s="40"/>
      <c r="U472"/>
      <c r="V472" s="41"/>
      <c r="W472" s="6"/>
      <c r="AA472" s="7"/>
      <c r="AB472" s="7"/>
      <c r="AC472" s="7"/>
      <c r="AD472" s="7"/>
    </row>
    <row r="473" spans="17:30" ht="12.75" x14ac:dyDescent="0.2">
      <c r="Q473" s="40"/>
      <c r="U473"/>
      <c r="V473" s="41"/>
      <c r="W473" s="6"/>
      <c r="AA473" s="7"/>
      <c r="AB473" s="7"/>
      <c r="AC473" s="7"/>
      <c r="AD473" s="7"/>
    </row>
    <row r="474" spans="17:30" ht="12.75" x14ac:dyDescent="0.2">
      <c r="Q474" s="40"/>
      <c r="U474"/>
      <c r="V474" s="41"/>
      <c r="W474" s="6"/>
      <c r="AA474" s="7"/>
      <c r="AB474" s="7"/>
      <c r="AC474" s="7"/>
      <c r="AD474" s="7"/>
    </row>
    <row r="475" spans="17:30" ht="12.75" x14ac:dyDescent="0.2">
      <c r="Q475" s="40"/>
      <c r="U475"/>
      <c r="V475" s="41"/>
      <c r="W475" s="6"/>
      <c r="AA475" s="7"/>
      <c r="AB475" s="7"/>
      <c r="AC475" s="7"/>
      <c r="AD475" s="7"/>
    </row>
    <row r="476" spans="17:30" ht="12.75" x14ac:dyDescent="0.2">
      <c r="Q476" s="40"/>
      <c r="U476"/>
      <c r="V476" s="41"/>
      <c r="W476" s="6"/>
      <c r="AA476" s="7"/>
      <c r="AB476" s="7"/>
      <c r="AC476" s="7"/>
      <c r="AD476" s="7"/>
    </row>
    <row r="477" spans="17:30" ht="12.75" x14ac:dyDescent="0.2">
      <c r="Q477" s="40"/>
      <c r="U477"/>
      <c r="V477" s="41"/>
      <c r="W477" s="6"/>
      <c r="AA477" s="7"/>
      <c r="AB477" s="7"/>
      <c r="AC477" s="7"/>
      <c r="AD477" s="7"/>
    </row>
    <row r="478" spans="17:30" ht="12.75" x14ac:dyDescent="0.2">
      <c r="Q478" s="40"/>
      <c r="U478"/>
      <c r="V478" s="41"/>
      <c r="W478" s="6"/>
      <c r="AA478" s="7"/>
      <c r="AB478" s="7"/>
      <c r="AC478" s="7"/>
      <c r="AD478" s="7"/>
    </row>
    <row r="479" spans="17:30" ht="12.75" x14ac:dyDescent="0.2">
      <c r="Q479" s="40"/>
      <c r="U479"/>
      <c r="V479" s="41"/>
      <c r="W479" s="6"/>
      <c r="AA479" s="7"/>
      <c r="AB479" s="7"/>
      <c r="AC479" s="7"/>
      <c r="AD479" s="7"/>
    </row>
    <row r="480" spans="17:30" ht="12.75" x14ac:dyDescent="0.2">
      <c r="Q480" s="40"/>
      <c r="U480"/>
      <c r="V480" s="41"/>
      <c r="W480" s="6"/>
      <c r="AA480" s="7"/>
      <c r="AB480" s="7"/>
      <c r="AC480" s="7"/>
      <c r="AD480" s="7"/>
    </row>
    <row r="481" spans="17:30" ht="12.75" x14ac:dyDescent="0.2">
      <c r="Q481" s="40"/>
      <c r="U481"/>
      <c r="V481" s="41"/>
      <c r="W481" s="6"/>
      <c r="AA481" s="7"/>
      <c r="AB481" s="7"/>
      <c r="AC481" s="7"/>
      <c r="AD481" s="7"/>
    </row>
    <row r="482" spans="17:30" ht="12.75" x14ac:dyDescent="0.2">
      <c r="Q482" s="40"/>
      <c r="U482"/>
      <c r="V482" s="41"/>
      <c r="W482" s="6"/>
      <c r="AA482" s="7"/>
      <c r="AB482" s="7"/>
      <c r="AC482" s="7"/>
      <c r="AD482" s="7"/>
    </row>
    <row r="483" spans="17:30" ht="12.75" x14ac:dyDescent="0.2">
      <c r="Q483" s="40"/>
      <c r="U483"/>
      <c r="V483" s="41"/>
      <c r="W483" s="6"/>
      <c r="AA483" s="7"/>
      <c r="AB483" s="7"/>
      <c r="AC483" s="7"/>
      <c r="AD483" s="7"/>
    </row>
    <row r="484" spans="17:30" ht="12.75" x14ac:dyDescent="0.2">
      <c r="Q484" s="40"/>
      <c r="U484"/>
      <c r="V484" s="41"/>
      <c r="W484" s="6"/>
      <c r="AA484" s="7"/>
      <c r="AB484" s="7"/>
      <c r="AC484" s="7"/>
      <c r="AD484" s="7"/>
    </row>
    <row r="485" spans="17:30" ht="12.75" x14ac:dyDescent="0.2">
      <c r="Q485" s="40"/>
      <c r="U485"/>
      <c r="V485" s="41"/>
      <c r="W485" s="6"/>
      <c r="AA485" s="7"/>
      <c r="AB485" s="7"/>
      <c r="AC485" s="7"/>
      <c r="AD485" s="7"/>
    </row>
    <row r="486" spans="17:30" ht="12.75" x14ac:dyDescent="0.2">
      <c r="Q486" s="40"/>
      <c r="U486"/>
      <c r="V486" s="41"/>
      <c r="W486" s="6"/>
      <c r="AA486" s="7"/>
      <c r="AB486" s="7"/>
      <c r="AC486" s="7"/>
      <c r="AD486" s="7"/>
    </row>
    <row r="487" spans="17:30" ht="12.75" x14ac:dyDescent="0.2">
      <c r="Q487" s="40"/>
      <c r="U487"/>
      <c r="V487" s="41"/>
      <c r="W487" s="6"/>
      <c r="AA487" s="7"/>
      <c r="AB487" s="7"/>
      <c r="AC487" s="7"/>
      <c r="AD487" s="7"/>
    </row>
    <row r="488" spans="17:30" x14ac:dyDescent="0.2">
      <c r="Q488" s="40"/>
      <c r="V488" s="41"/>
      <c r="W488" s="6"/>
      <c r="AA488" s="7"/>
      <c r="AB488" s="7"/>
      <c r="AC488" s="7"/>
      <c r="AD488" s="7"/>
    </row>
    <row r="489" spans="17:30" x14ac:dyDescent="0.2">
      <c r="Q489" s="40"/>
      <c r="V489" s="41"/>
      <c r="W489" s="6"/>
      <c r="AA489" s="7"/>
      <c r="AB489" s="7"/>
      <c r="AC489" s="7"/>
      <c r="AD489" s="7"/>
    </row>
    <row r="490" spans="17:30" x14ac:dyDescent="0.2">
      <c r="Q490" s="40"/>
      <c r="V490" s="41"/>
      <c r="W490" s="6"/>
      <c r="AA490" s="7"/>
      <c r="AB490" s="7"/>
      <c r="AC490" s="7"/>
      <c r="AD490" s="7"/>
    </row>
    <row r="491" spans="17:30" x14ac:dyDescent="0.2">
      <c r="Q491" s="40"/>
      <c r="V491" s="41"/>
      <c r="W491" s="6"/>
      <c r="AA491" s="7"/>
      <c r="AB491" s="7"/>
      <c r="AC491" s="7"/>
      <c r="AD491" s="7"/>
    </row>
    <row r="492" spans="17:30" x14ac:dyDescent="0.2">
      <c r="Q492" s="40"/>
      <c r="V492" s="41"/>
      <c r="W492" s="6"/>
      <c r="AA492" s="7"/>
      <c r="AB492" s="7"/>
      <c r="AC492" s="7"/>
      <c r="AD492" s="7"/>
    </row>
    <row r="493" spans="17:30" x14ac:dyDescent="0.2">
      <c r="Q493" s="40"/>
      <c r="V493" s="41"/>
      <c r="W493" s="6"/>
      <c r="AA493" s="7"/>
      <c r="AB493" s="7"/>
      <c r="AC493" s="7"/>
      <c r="AD493" s="7"/>
    </row>
    <row r="494" spans="17:30" x14ac:dyDescent="0.2">
      <c r="Q494" s="40"/>
      <c r="V494" s="41"/>
      <c r="W494" s="6"/>
      <c r="AA494" s="7"/>
      <c r="AB494" s="7"/>
      <c r="AC494" s="7"/>
      <c r="AD494" s="7"/>
    </row>
    <row r="495" spans="17:30" x14ac:dyDescent="0.2">
      <c r="Q495" s="40"/>
      <c r="V495" s="41"/>
      <c r="W495" s="6"/>
      <c r="AA495" s="7"/>
      <c r="AB495" s="7"/>
      <c r="AC495" s="7"/>
      <c r="AD495" s="7"/>
    </row>
    <row r="496" spans="17:30" x14ac:dyDescent="0.2">
      <c r="Q496" s="40"/>
      <c r="V496" s="41"/>
      <c r="W496" s="6"/>
      <c r="AA496" s="7"/>
      <c r="AB496" s="7"/>
      <c r="AC496" s="7"/>
      <c r="AD496" s="7"/>
    </row>
    <row r="497" spans="17:30" x14ac:dyDescent="0.2">
      <c r="Q497" s="40"/>
      <c r="V497" s="41"/>
      <c r="W497" s="6"/>
      <c r="AA497" s="7"/>
      <c r="AB497" s="7"/>
      <c r="AC497" s="7"/>
      <c r="AD497" s="7"/>
    </row>
    <row r="498" spans="17:30" x14ac:dyDescent="0.2">
      <c r="Q498" s="40"/>
      <c r="V498" s="41"/>
      <c r="W498" s="6"/>
      <c r="AA498" s="7"/>
      <c r="AB498" s="7"/>
      <c r="AC498" s="7"/>
      <c r="AD498" s="7"/>
    </row>
    <row r="499" spans="17:30" x14ac:dyDescent="0.2">
      <c r="Q499" s="40"/>
      <c r="V499" s="41"/>
      <c r="W499" s="6"/>
      <c r="AA499" s="7"/>
      <c r="AB499" s="7"/>
      <c r="AC499" s="7"/>
      <c r="AD499" s="7"/>
    </row>
    <row r="500" spans="17:30" x14ac:dyDescent="0.2">
      <c r="Q500" s="40"/>
      <c r="V500" s="41"/>
      <c r="W500" s="6"/>
      <c r="AA500" s="7"/>
      <c r="AB500" s="7"/>
      <c r="AC500" s="7"/>
      <c r="AD500" s="7"/>
    </row>
    <row r="501" spans="17:30" x14ac:dyDescent="0.2">
      <c r="Q501" s="40"/>
      <c r="V501" s="41"/>
      <c r="W501" s="6"/>
      <c r="AA501" s="7"/>
      <c r="AB501" s="7"/>
      <c r="AC501" s="7"/>
      <c r="AD501" s="7"/>
    </row>
    <row r="502" spans="17:30" x14ac:dyDescent="0.2">
      <c r="Q502" s="40"/>
      <c r="V502" s="41"/>
      <c r="W502" s="6"/>
      <c r="AA502" s="7"/>
      <c r="AB502" s="7"/>
      <c r="AC502" s="7"/>
      <c r="AD502" s="7"/>
    </row>
    <row r="503" spans="17:30" x14ac:dyDescent="0.2">
      <c r="Q503" s="40"/>
      <c r="V503" s="41"/>
      <c r="W503" s="6"/>
      <c r="AA503" s="7"/>
      <c r="AB503" s="7"/>
      <c r="AC503" s="7"/>
      <c r="AD503" s="7"/>
    </row>
    <row r="504" spans="17:30" x14ac:dyDescent="0.2">
      <c r="Q504" s="40"/>
      <c r="V504" s="41"/>
      <c r="W504" s="6"/>
      <c r="AA504" s="7"/>
      <c r="AB504" s="7"/>
      <c r="AC504" s="7"/>
      <c r="AD504" s="7"/>
    </row>
    <row r="505" spans="17:30" x14ac:dyDescent="0.2">
      <c r="Q505" s="40"/>
      <c r="V505" s="41"/>
      <c r="W505" s="6"/>
      <c r="AA505" s="7"/>
      <c r="AB505" s="7"/>
      <c r="AC505" s="7"/>
      <c r="AD505" s="7"/>
    </row>
    <row r="506" spans="17:30" x14ac:dyDescent="0.2">
      <c r="Q506" s="40"/>
      <c r="V506" s="41"/>
      <c r="W506" s="6"/>
      <c r="AA506" s="7"/>
      <c r="AB506" s="7"/>
      <c r="AC506" s="7"/>
      <c r="AD506" s="7"/>
    </row>
    <row r="507" spans="17:30" x14ac:dyDescent="0.2">
      <c r="Q507" s="40"/>
      <c r="V507" s="41"/>
      <c r="W507" s="6"/>
      <c r="AA507" s="7"/>
      <c r="AB507" s="7"/>
      <c r="AC507" s="7"/>
      <c r="AD507" s="7"/>
    </row>
    <row r="508" spans="17:30" x14ac:dyDescent="0.2">
      <c r="Q508" s="40"/>
      <c r="V508" s="41"/>
      <c r="W508" s="6"/>
      <c r="AA508" s="7"/>
      <c r="AB508" s="7"/>
      <c r="AC508" s="7"/>
      <c r="AD508" s="7"/>
    </row>
    <row r="509" spans="17:30" x14ac:dyDescent="0.2">
      <c r="Q509" s="40"/>
      <c r="V509" s="41"/>
      <c r="W509" s="6"/>
      <c r="AA509" s="7"/>
      <c r="AB509" s="7"/>
      <c r="AC509" s="7"/>
      <c r="AD509" s="7"/>
    </row>
    <row r="510" spans="17:30" x14ac:dyDescent="0.2">
      <c r="Q510" s="40"/>
      <c r="V510" s="41"/>
      <c r="W510" s="6"/>
      <c r="AA510" s="7"/>
      <c r="AB510" s="7"/>
      <c r="AC510" s="7"/>
      <c r="AD510" s="7"/>
    </row>
    <row r="511" spans="17:30" x14ac:dyDescent="0.2">
      <c r="Q511" s="40"/>
      <c r="V511" s="41"/>
      <c r="W511" s="6"/>
      <c r="AA511" s="7"/>
      <c r="AB511" s="7"/>
      <c r="AC511" s="7"/>
      <c r="AD511" s="7"/>
    </row>
    <row r="512" spans="17:30" x14ac:dyDescent="0.2">
      <c r="Q512" s="40"/>
      <c r="V512" s="41"/>
      <c r="W512" s="6"/>
      <c r="AA512" s="7"/>
      <c r="AB512" s="7"/>
      <c r="AC512" s="7"/>
      <c r="AD512" s="7"/>
    </row>
    <row r="513" spans="17:30" x14ac:dyDescent="0.2">
      <c r="Q513" s="40"/>
      <c r="V513" s="41"/>
      <c r="W513" s="6"/>
      <c r="AA513" s="7"/>
      <c r="AB513" s="7"/>
      <c r="AC513" s="7"/>
      <c r="AD513" s="7"/>
    </row>
    <row r="514" spans="17:30" x14ac:dyDescent="0.2">
      <c r="Q514" s="40"/>
      <c r="V514" s="41"/>
      <c r="W514" s="6"/>
      <c r="AA514" s="7"/>
      <c r="AB514" s="7"/>
      <c r="AC514" s="7"/>
      <c r="AD514" s="7"/>
    </row>
    <row r="515" spans="17:30" x14ac:dyDescent="0.2">
      <c r="Q515" s="40"/>
      <c r="V515" s="41"/>
      <c r="W515" s="6"/>
      <c r="AA515" s="7"/>
      <c r="AB515" s="7"/>
      <c r="AC515" s="7"/>
      <c r="AD515" s="7"/>
    </row>
    <row r="516" spans="17:30" x14ac:dyDescent="0.2">
      <c r="Q516" s="40"/>
      <c r="V516" s="41"/>
      <c r="W516" s="6"/>
      <c r="AA516" s="7"/>
      <c r="AB516" s="7"/>
      <c r="AC516" s="7"/>
      <c r="AD516" s="7"/>
    </row>
    <row r="517" spans="17:30" x14ac:dyDescent="0.2">
      <c r="Q517" s="40"/>
      <c r="V517" s="41"/>
      <c r="W517" s="6"/>
      <c r="AA517" s="7"/>
      <c r="AB517" s="7"/>
      <c r="AC517" s="7"/>
      <c r="AD517" s="7"/>
    </row>
    <row r="518" spans="17:30" x14ac:dyDescent="0.2">
      <c r="Q518" s="40"/>
      <c r="V518" s="41"/>
      <c r="W518" s="6"/>
      <c r="AA518" s="7"/>
      <c r="AB518" s="7"/>
      <c r="AC518" s="7"/>
      <c r="AD518" s="7"/>
    </row>
    <row r="519" spans="17:30" x14ac:dyDescent="0.2">
      <c r="Q519" s="40"/>
      <c r="V519" s="41"/>
      <c r="W519" s="6"/>
      <c r="AA519" s="7"/>
      <c r="AB519" s="7"/>
      <c r="AC519" s="7"/>
      <c r="AD519" s="7"/>
    </row>
    <row r="520" spans="17:30" x14ac:dyDescent="0.2">
      <c r="Q520" s="40"/>
      <c r="V520" s="41"/>
      <c r="W520" s="6"/>
      <c r="AA520" s="7"/>
      <c r="AB520" s="7"/>
      <c r="AC520" s="7"/>
      <c r="AD520" s="7"/>
    </row>
    <row r="521" spans="17:30" x14ac:dyDescent="0.2">
      <c r="Q521" s="40"/>
      <c r="V521" s="41"/>
      <c r="W521" s="6"/>
      <c r="AA521" s="7"/>
      <c r="AB521" s="7"/>
      <c r="AC521" s="7"/>
      <c r="AD521" s="7"/>
    </row>
    <row r="522" spans="17:30" x14ac:dyDescent="0.2">
      <c r="Q522" s="40"/>
      <c r="V522" s="41"/>
      <c r="W522" s="6"/>
      <c r="AA522" s="7"/>
      <c r="AB522" s="7"/>
      <c r="AC522" s="7"/>
      <c r="AD522" s="7"/>
    </row>
    <row r="523" spans="17:30" x14ac:dyDescent="0.2">
      <c r="Q523" s="40"/>
      <c r="V523" s="41"/>
      <c r="W523" s="6"/>
      <c r="AA523" s="7"/>
      <c r="AB523" s="7"/>
      <c r="AC523" s="7"/>
      <c r="AD523" s="7"/>
    </row>
    <row r="524" spans="17:30" x14ac:dyDescent="0.2">
      <c r="Q524" s="40"/>
      <c r="V524" s="41"/>
      <c r="W524" s="6"/>
      <c r="AA524" s="7"/>
      <c r="AB524" s="7"/>
      <c r="AC524" s="7"/>
      <c r="AD524" s="7"/>
    </row>
    <row r="525" spans="17:30" x14ac:dyDescent="0.2">
      <c r="Q525" s="40"/>
      <c r="V525" s="41"/>
      <c r="W525" s="6"/>
      <c r="AA525" s="7"/>
      <c r="AB525" s="7"/>
      <c r="AC525" s="7"/>
      <c r="AD525" s="7"/>
    </row>
    <row r="526" spans="17:30" x14ac:dyDescent="0.2">
      <c r="Q526" s="40"/>
      <c r="V526" s="41"/>
      <c r="W526" s="6"/>
      <c r="AA526" s="7"/>
      <c r="AB526" s="7"/>
      <c r="AC526" s="7"/>
      <c r="AD526" s="7"/>
    </row>
    <row r="527" spans="17:30" x14ac:dyDescent="0.2">
      <c r="Q527" s="40"/>
      <c r="V527" s="41"/>
      <c r="W527" s="6"/>
      <c r="AA527" s="7"/>
      <c r="AB527" s="7"/>
      <c r="AC527" s="7"/>
      <c r="AD527" s="7"/>
    </row>
    <row r="528" spans="17:30" x14ac:dyDescent="0.2">
      <c r="Q528" s="40"/>
      <c r="V528" s="41"/>
      <c r="W528" s="6"/>
      <c r="AA528" s="7"/>
      <c r="AB528" s="7"/>
      <c r="AC528" s="7"/>
      <c r="AD528" s="7"/>
    </row>
    <row r="529" spans="17:30" x14ac:dyDescent="0.2">
      <c r="Q529" s="40"/>
      <c r="V529" s="41"/>
      <c r="W529" s="6"/>
      <c r="AA529" s="7"/>
      <c r="AB529" s="7"/>
      <c r="AC529" s="7"/>
      <c r="AD529" s="7"/>
    </row>
    <row r="530" spans="17:30" x14ac:dyDescent="0.2">
      <c r="Q530" s="40"/>
      <c r="V530" s="41"/>
      <c r="W530" s="6"/>
      <c r="AA530" s="7"/>
      <c r="AB530" s="7"/>
      <c r="AC530" s="7"/>
      <c r="AD530" s="7"/>
    </row>
    <row r="531" spans="17:30" x14ac:dyDescent="0.2">
      <c r="Q531" s="40"/>
      <c r="V531" s="41"/>
      <c r="W531" s="6"/>
      <c r="AA531" s="7"/>
      <c r="AB531" s="7"/>
      <c r="AC531" s="7"/>
      <c r="AD531" s="7"/>
    </row>
    <row r="532" spans="17:30" x14ac:dyDescent="0.2">
      <c r="Q532" s="40"/>
      <c r="V532" s="41"/>
      <c r="W532" s="6"/>
      <c r="AA532" s="7"/>
      <c r="AB532" s="7"/>
      <c r="AC532" s="7"/>
      <c r="AD532" s="7"/>
    </row>
    <row r="533" spans="17:30" x14ac:dyDescent="0.2">
      <c r="Q533" s="40"/>
      <c r="V533" s="41"/>
      <c r="W533" s="6"/>
      <c r="AA533" s="7"/>
      <c r="AB533" s="7"/>
      <c r="AC533" s="7"/>
      <c r="AD533" s="7"/>
    </row>
    <row r="534" spans="17:30" x14ac:dyDescent="0.2">
      <c r="Q534" s="40"/>
      <c r="V534" s="41"/>
      <c r="W534" s="6"/>
      <c r="AA534" s="7"/>
      <c r="AB534" s="7"/>
      <c r="AC534" s="7"/>
      <c r="AD534" s="7"/>
    </row>
    <row r="535" spans="17:30" x14ac:dyDescent="0.2">
      <c r="Q535" s="40"/>
      <c r="V535" s="41"/>
      <c r="W535" s="6"/>
      <c r="AA535" s="7"/>
      <c r="AB535" s="7"/>
      <c r="AC535" s="7"/>
      <c r="AD535" s="7"/>
    </row>
    <row r="536" spans="17:30" x14ac:dyDescent="0.2">
      <c r="Q536" s="40"/>
      <c r="V536" s="41"/>
      <c r="W536" s="6"/>
      <c r="AA536" s="7"/>
      <c r="AB536" s="7"/>
      <c r="AC536" s="7"/>
      <c r="AD536" s="7"/>
    </row>
    <row r="537" spans="17:30" x14ac:dyDescent="0.2">
      <c r="Q537" s="40"/>
      <c r="V537" s="41"/>
      <c r="W537" s="6"/>
      <c r="AA537" s="7"/>
      <c r="AB537" s="7"/>
      <c r="AC537" s="7"/>
      <c r="AD537" s="7"/>
    </row>
    <row r="538" spans="17:30" x14ac:dyDescent="0.2">
      <c r="Q538" s="40"/>
      <c r="V538" s="41"/>
      <c r="W538" s="6"/>
      <c r="AA538" s="7"/>
      <c r="AB538" s="7"/>
      <c r="AC538" s="7"/>
      <c r="AD538" s="7"/>
    </row>
    <row r="539" spans="17:30" x14ac:dyDescent="0.2">
      <c r="Q539" s="40"/>
      <c r="V539" s="41"/>
      <c r="W539" s="6"/>
      <c r="AA539" s="7"/>
      <c r="AB539" s="7"/>
      <c r="AC539" s="7"/>
      <c r="AD539" s="7"/>
    </row>
    <row r="540" spans="17:30" x14ac:dyDescent="0.2">
      <c r="Q540" s="40"/>
      <c r="V540" s="41"/>
      <c r="W540" s="6"/>
      <c r="AA540" s="7"/>
      <c r="AB540" s="7"/>
      <c r="AC540" s="7"/>
      <c r="AD540" s="7"/>
    </row>
    <row r="541" spans="17:30" x14ac:dyDescent="0.2">
      <c r="Q541" s="40"/>
      <c r="V541" s="41"/>
      <c r="W541" s="6"/>
      <c r="AA541" s="7"/>
      <c r="AB541" s="7"/>
      <c r="AC541" s="7"/>
      <c r="AD541" s="7"/>
    </row>
    <row r="542" spans="17:30" x14ac:dyDescent="0.2">
      <c r="Q542" s="40"/>
      <c r="V542" s="41"/>
      <c r="W542" s="6"/>
      <c r="AA542" s="7"/>
      <c r="AB542" s="7"/>
      <c r="AC542" s="7"/>
      <c r="AD542" s="7"/>
    </row>
    <row r="543" spans="17:30" x14ac:dyDescent="0.2">
      <c r="Q543" s="40"/>
      <c r="V543" s="41"/>
      <c r="W543" s="6"/>
      <c r="AA543" s="7"/>
      <c r="AB543" s="7"/>
      <c r="AC543" s="7"/>
      <c r="AD543" s="7"/>
    </row>
    <row r="544" spans="17:30" x14ac:dyDescent="0.2">
      <c r="Q544" s="40"/>
      <c r="V544" s="41"/>
      <c r="W544" s="6"/>
      <c r="AA544" s="7"/>
      <c r="AB544" s="7"/>
      <c r="AC544" s="7"/>
      <c r="AD544" s="7"/>
    </row>
    <row r="545" spans="17:30" x14ac:dyDescent="0.2">
      <c r="Q545" s="40"/>
      <c r="V545" s="41"/>
      <c r="W545" s="6"/>
      <c r="AA545" s="7"/>
      <c r="AB545" s="7"/>
      <c r="AC545" s="7"/>
      <c r="AD545" s="7"/>
    </row>
    <row r="546" spans="17:30" x14ac:dyDescent="0.2">
      <c r="Q546" s="40"/>
      <c r="V546" s="41"/>
      <c r="W546" s="6"/>
      <c r="AA546" s="7"/>
      <c r="AB546" s="7"/>
      <c r="AC546" s="7"/>
      <c r="AD546" s="7"/>
    </row>
    <row r="547" spans="17:30" x14ac:dyDescent="0.2">
      <c r="Q547" s="40"/>
      <c r="V547" s="41"/>
      <c r="W547" s="6"/>
      <c r="AA547" s="7"/>
      <c r="AB547" s="7"/>
      <c r="AC547" s="7"/>
      <c r="AD547" s="7"/>
    </row>
    <row r="548" spans="17:30" x14ac:dyDescent="0.2">
      <c r="Q548" s="40"/>
      <c r="V548" s="41"/>
      <c r="W548" s="6"/>
      <c r="AA548" s="7"/>
      <c r="AB548" s="7"/>
      <c r="AC548" s="7"/>
      <c r="AD548" s="7"/>
    </row>
    <row r="549" spans="17:30" x14ac:dyDescent="0.2">
      <c r="Q549" s="40"/>
      <c r="V549" s="41"/>
      <c r="W549" s="6"/>
      <c r="AA549" s="7"/>
      <c r="AB549" s="7"/>
      <c r="AC549" s="7"/>
      <c r="AD549" s="7"/>
    </row>
    <row r="550" spans="17:30" x14ac:dyDescent="0.2">
      <c r="Q550" s="40"/>
      <c r="V550" s="41"/>
      <c r="W550" s="6"/>
      <c r="AA550" s="7"/>
      <c r="AB550" s="7"/>
      <c r="AC550" s="7"/>
      <c r="AD550" s="7"/>
    </row>
    <row r="551" spans="17:30" x14ac:dyDescent="0.2">
      <c r="Q551" s="40"/>
      <c r="V551" s="41"/>
      <c r="W551" s="6"/>
      <c r="AA551" s="7"/>
      <c r="AB551" s="7"/>
      <c r="AC551" s="7"/>
      <c r="AD551" s="7"/>
    </row>
    <row r="552" spans="17:30" x14ac:dyDescent="0.2">
      <c r="Q552" s="40"/>
      <c r="V552" s="41"/>
      <c r="W552" s="6"/>
      <c r="AA552" s="7"/>
      <c r="AB552" s="7"/>
      <c r="AC552" s="7"/>
      <c r="AD552" s="7"/>
    </row>
    <row r="553" spans="17:30" x14ac:dyDescent="0.2">
      <c r="Q553" s="40"/>
      <c r="V553" s="41"/>
      <c r="W553" s="6"/>
      <c r="AA553" s="7"/>
      <c r="AB553" s="7"/>
      <c r="AC553" s="7"/>
      <c r="AD553" s="7"/>
    </row>
    <row r="554" spans="17:30" x14ac:dyDescent="0.2">
      <c r="Q554" s="40"/>
      <c r="V554" s="41"/>
      <c r="W554" s="6"/>
      <c r="AA554" s="7"/>
      <c r="AB554" s="7"/>
      <c r="AC554" s="7"/>
      <c r="AD554" s="7"/>
    </row>
    <row r="555" spans="17:30" x14ac:dyDescent="0.2">
      <c r="Q555" s="40"/>
      <c r="V555" s="41"/>
      <c r="W555" s="6"/>
      <c r="AA555" s="7"/>
      <c r="AB555" s="7"/>
      <c r="AC555" s="7"/>
      <c r="AD555" s="7"/>
    </row>
    <row r="556" spans="17:30" x14ac:dyDescent="0.2">
      <c r="Q556" s="40"/>
      <c r="V556" s="41"/>
      <c r="W556" s="6"/>
      <c r="AA556" s="7"/>
      <c r="AB556" s="7"/>
      <c r="AC556" s="7"/>
      <c r="AD556" s="7"/>
    </row>
    <row r="557" spans="17:30" x14ac:dyDescent="0.2">
      <c r="Q557" s="40"/>
      <c r="V557" s="41"/>
      <c r="W557" s="6"/>
      <c r="AA557" s="7"/>
      <c r="AB557" s="7"/>
      <c r="AC557" s="7"/>
      <c r="AD557" s="7"/>
    </row>
    <row r="558" spans="17:30" x14ac:dyDescent="0.2">
      <c r="Q558" s="40"/>
      <c r="V558" s="41"/>
      <c r="W558" s="6"/>
      <c r="AA558" s="7"/>
      <c r="AB558" s="7"/>
      <c r="AC558" s="7"/>
      <c r="AD558" s="7"/>
    </row>
    <row r="559" spans="17:30" x14ac:dyDescent="0.2">
      <c r="Q559" s="40"/>
      <c r="V559" s="41"/>
      <c r="W559" s="6"/>
      <c r="AA559" s="7"/>
      <c r="AB559" s="7"/>
      <c r="AC559" s="7"/>
      <c r="AD559" s="7"/>
    </row>
    <row r="560" spans="17:30" x14ac:dyDescent="0.2">
      <c r="Q560" s="40"/>
      <c r="V560" s="41"/>
      <c r="W560" s="6"/>
      <c r="AA560" s="7"/>
      <c r="AB560" s="7"/>
      <c r="AC560" s="7"/>
      <c r="AD560" s="7"/>
    </row>
    <row r="561" spans="17:30" x14ac:dyDescent="0.2">
      <c r="Q561" s="40"/>
      <c r="V561" s="41"/>
      <c r="W561" s="6"/>
      <c r="AA561" s="7"/>
      <c r="AB561" s="7"/>
      <c r="AC561" s="7"/>
      <c r="AD561" s="7"/>
    </row>
    <row r="562" spans="17:30" x14ac:dyDescent="0.2">
      <c r="Q562" s="40"/>
      <c r="V562" s="41"/>
      <c r="W562" s="6"/>
      <c r="AA562" s="7"/>
      <c r="AB562" s="7"/>
      <c r="AC562" s="7"/>
      <c r="AD562" s="7"/>
    </row>
    <row r="563" spans="17:30" x14ac:dyDescent="0.2">
      <c r="Q563" s="40"/>
      <c r="V563" s="41"/>
      <c r="W563" s="6"/>
      <c r="AA563" s="7"/>
      <c r="AB563" s="7"/>
      <c r="AC563" s="7"/>
      <c r="AD563" s="7"/>
    </row>
    <row r="564" spans="17:30" x14ac:dyDescent="0.2">
      <c r="Q564" s="40"/>
      <c r="V564" s="41"/>
      <c r="W564" s="6"/>
      <c r="AA564" s="7"/>
      <c r="AB564" s="7"/>
      <c r="AC564" s="7"/>
      <c r="AD564" s="7"/>
    </row>
    <row r="565" spans="17:30" x14ac:dyDescent="0.2">
      <c r="Q565" s="40"/>
      <c r="V565" s="41"/>
      <c r="W565" s="6"/>
      <c r="AA565" s="7"/>
      <c r="AB565" s="7"/>
      <c r="AC565" s="7"/>
      <c r="AD565" s="7"/>
    </row>
    <row r="566" spans="17:30" x14ac:dyDescent="0.2">
      <c r="Q566" s="40"/>
      <c r="V566" s="41"/>
      <c r="W566" s="6"/>
      <c r="AA566" s="7"/>
      <c r="AB566" s="7"/>
      <c r="AC566" s="7"/>
      <c r="AD566" s="7"/>
    </row>
    <row r="567" spans="17:30" x14ac:dyDescent="0.2">
      <c r="Q567" s="40"/>
      <c r="V567" s="41"/>
      <c r="W567" s="6"/>
      <c r="AA567" s="7"/>
      <c r="AB567" s="7"/>
      <c r="AC567" s="7"/>
      <c r="AD567" s="7"/>
    </row>
    <row r="568" spans="17:30" x14ac:dyDescent="0.2">
      <c r="Q568" s="40"/>
      <c r="V568" s="41"/>
      <c r="W568" s="6"/>
      <c r="AA568" s="7"/>
      <c r="AB568" s="7"/>
      <c r="AC568" s="7"/>
      <c r="AD568" s="7"/>
    </row>
    <row r="569" spans="17:30" x14ac:dyDescent="0.2">
      <c r="Q569" s="40"/>
      <c r="V569" s="41"/>
      <c r="W569" s="6"/>
      <c r="AA569" s="7"/>
      <c r="AB569" s="7"/>
      <c r="AC569" s="7"/>
      <c r="AD569" s="7"/>
    </row>
    <row r="570" spans="17:30" x14ac:dyDescent="0.2">
      <c r="Q570" s="40"/>
      <c r="V570" s="41"/>
      <c r="W570" s="6"/>
      <c r="AA570" s="7"/>
      <c r="AB570" s="7"/>
      <c r="AC570" s="7"/>
      <c r="AD570" s="7"/>
    </row>
    <row r="571" spans="17:30" x14ac:dyDescent="0.2">
      <c r="Q571" s="40"/>
      <c r="V571" s="41"/>
      <c r="W571" s="6"/>
      <c r="AA571" s="7"/>
      <c r="AB571" s="7"/>
      <c r="AC571" s="7"/>
      <c r="AD571" s="7"/>
    </row>
    <row r="572" spans="17:30" x14ac:dyDescent="0.2">
      <c r="Q572" s="40"/>
      <c r="V572" s="41"/>
      <c r="W572" s="6"/>
      <c r="AA572" s="7"/>
      <c r="AB572" s="7"/>
      <c r="AC572" s="7"/>
      <c r="AD572" s="7"/>
    </row>
    <row r="573" spans="17:30" x14ac:dyDescent="0.2">
      <c r="Q573" s="40"/>
      <c r="V573" s="41"/>
      <c r="W573" s="6"/>
      <c r="AA573" s="7"/>
      <c r="AB573" s="7"/>
      <c r="AC573" s="7"/>
      <c r="AD573" s="7"/>
    </row>
    <row r="574" spans="17:30" x14ac:dyDescent="0.2">
      <c r="Q574" s="40"/>
      <c r="V574" s="41"/>
      <c r="W574" s="6"/>
      <c r="AA574" s="7"/>
      <c r="AB574" s="7"/>
      <c r="AC574" s="7"/>
      <c r="AD574" s="7"/>
    </row>
    <row r="575" spans="17:30" x14ac:dyDescent="0.2">
      <c r="Q575" s="40"/>
      <c r="V575" s="41"/>
      <c r="W575" s="6"/>
      <c r="AA575" s="7"/>
      <c r="AB575" s="7"/>
      <c r="AC575" s="7"/>
      <c r="AD575" s="7"/>
    </row>
    <row r="576" spans="17:30" x14ac:dyDescent="0.2">
      <c r="Q576" s="40"/>
      <c r="V576" s="41"/>
      <c r="W576" s="6"/>
      <c r="AA576" s="7"/>
      <c r="AB576" s="7"/>
      <c r="AC576" s="7"/>
      <c r="AD576" s="7"/>
    </row>
    <row r="577" spans="17:30" x14ac:dyDescent="0.2">
      <c r="Q577" s="40"/>
      <c r="V577" s="41"/>
      <c r="W577" s="6"/>
      <c r="AA577" s="7"/>
      <c r="AB577" s="7"/>
      <c r="AC577" s="7"/>
      <c r="AD577" s="7"/>
    </row>
    <row r="578" spans="17:30" x14ac:dyDescent="0.2">
      <c r="Q578" s="40"/>
      <c r="V578" s="41"/>
      <c r="W578" s="6"/>
      <c r="AA578" s="7"/>
      <c r="AB578" s="7"/>
      <c r="AC578" s="7"/>
      <c r="AD578" s="7"/>
    </row>
    <row r="579" spans="17:30" x14ac:dyDescent="0.2">
      <c r="Q579" s="40"/>
      <c r="V579" s="41"/>
      <c r="W579" s="6"/>
      <c r="AA579" s="7"/>
      <c r="AB579" s="7"/>
      <c r="AC579" s="7"/>
      <c r="AD579" s="7"/>
    </row>
    <row r="580" spans="17:30" x14ac:dyDescent="0.2">
      <c r="Q580" s="40"/>
      <c r="V580" s="41"/>
      <c r="W580" s="6"/>
      <c r="AA580" s="7"/>
      <c r="AB580" s="7"/>
      <c r="AC580" s="7"/>
      <c r="AD580" s="7"/>
    </row>
    <row r="581" spans="17:30" x14ac:dyDescent="0.2">
      <c r="Q581" s="40"/>
      <c r="V581" s="41"/>
      <c r="W581" s="6"/>
      <c r="AA581" s="7"/>
      <c r="AB581" s="7"/>
      <c r="AC581" s="7"/>
      <c r="AD581" s="7"/>
    </row>
    <row r="582" spans="17:30" x14ac:dyDescent="0.2">
      <c r="Q582" s="40"/>
      <c r="V582" s="41"/>
      <c r="W582" s="6"/>
      <c r="AA582" s="7"/>
      <c r="AB582" s="7"/>
      <c r="AC582" s="7"/>
      <c r="AD582" s="7"/>
    </row>
    <row r="583" spans="17:30" x14ac:dyDescent="0.2">
      <c r="Q583" s="40"/>
      <c r="V583" s="41"/>
      <c r="W583" s="6"/>
      <c r="AA583" s="7"/>
      <c r="AB583" s="7"/>
      <c r="AC583" s="7"/>
      <c r="AD583" s="7"/>
    </row>
    <row r="584" spans="17:30" x14ac:dyDescent="0.2">
      <c r="Q584" s="40"/>
      <c r="V584" s="41"/>
      <c r="W584" s="6"/>
      <c r="AA584" s="7"/>
      <c r="AB584" s="7"/>
      <c r="AC584" s="7"/>
      <c r="AD584" s="7"/>
    </row>
    <row r="585" spans="17:30" x14ac:dyDescent="0.2">
      <c r="Q585" s="40"/>
      <c r="V585" s="41"/>
      <c r="W585" s="6"/>
      <c r="AA585" s="7"/>
      <c r="AB585" s="7"/>
      <c r="AC585" s="7"/>
      <c r="AD585" s="7"/>
    </row>
    <row r="586" spans="17:30" x14ac:dyDescent="0.2">
      <c r="Q586" s="40"/>
      <c r="V586" s="41"/>
      <c r="W586" s="6"/>
      <c r="AA586" s="7"/>
      <c r="AB586" s="7"/>
      <c r="AC586" s="7"/>
      <c r="AD586" s="7"/>
    </row>
    <row r="587" spans="17:30" x14ac:dyDescent="0.2">
      <c r="Q587" s="40"/>
      <c r="V587" s="41"/>
      <c r="W587" s="6"/>
      <c r="AA587" s="7"/>
      <c r="AB587" s="7"/>
      <c r="AC587" s="7"/>
      <c r="AD587" s="7"/>
    </row>
    <row r="588" spans="17:30" x14ac:dyDescent="0.2">
      <c r="Q588" s="40"/>
      <c r="V588" s="41"/>
      <c r="W588" s="6"/>
      <c r="AA588" s="7"/>
      <c r="AB588" s="7"/>
      <c r="AC588" s="7"/>
      <c r="AD588" s="7"/>
    </row>
    <row r="589" spans="17:30" x14ac:dyDescent="0.2">
      <c r="Q589" s="40"/>
      <c r="V589" s="41"/>
      <c r="W589" s="6"/>
      <c r="AA589" s="7"/>
      <c r="AB589" s="7"/>
      <c r="AC589" s="7"/>
      <c r="AD589" s="7"/>
    </row>
    <row r="590" spans="17:30" x14ac:dyDescent="0.2">
      <c r="Q590" s="40"/>
      <c r="V590" s="41"/>
      <c r="W590" s="6"/>
      <c r="AA590" s="7"/>
      <c r="AB590" s="7"/>
      <c r="AC590" s="7"/>
      <c r="AD590" s="7"/>
    </row>
    <row r="591" spans="17:30" x14ac:dyDescent="0.2">
      <c r="Q591" s="40"/>
      <c r="V591" s="41"/>
      <c r="W591" s="6"/>
      <c r="AA591" s="7"/>
      <c r="AB591" s="7"/>
      <c r="AC591" s="7"/>
      <c r="AD591" s="7"/>
    </row>
    <row r="592" spans="17:30" x14ac:dyDescent="0.2">
      <c r="Q592" s="40"/>
      <c r="V592" s="41"/>
      <c r="W592" s="6"/>
      <c r="AA592" s="7"/>
      <c r="AB592" s="7"/>
      <c r="AC592" s="7"/>
      <c r="AD592" s="7"/>
    </row>
    <row r="593" spans="17:30" x14ac:dyDescent="0.2">
      <c r="Q593" s="40"/>
      <c r="V593" s="41"/>
      <c r="W593" s="6"/>
      <c r="AA593" s="7"/>
      <c r="AB593" s="7"/>
      <c r="AC593" s="7"/>
      <c r="AD593" s="7"/>
    </row>
    <row r="594" spans="17:30" x14ac:dyDescent="0.2">
      <c r="Q594" s="40"/>
      <c r="V594" s="41"/>
      <c r="W594" s="6"/>
      <c r="AA594" s="7"/>
      <c r="AB594" s="7"/>
      <c r="AC594" s="7"/>
      <c r="AD594" s="7"/>
    </row>
    <row r="595" spans="17:30" x14ac:dyDescent="0.2">
      <c r="Q595" s="40"/>
      <c r="V595" s="41"/>
      <c r="W595" s="6"/>
      <c r="AA595" s="7"/>
      <c r="AB595" s="7"/>
      <c r="AC595" s="7"/>
      <c r="AD595" s="7"/>
    </row>
    <row r="596" spans="17:30" x14ac:dyDescent="0.2">
      <c r="Q596" s="40"/>
      <c r="V596" s="41"/>
      <c r="W596" s="6"/>
      <c r="AA596" s="7"/>
      <c r="AB596" s="7"/>
      <c r="AC596" s="7"/>
      <c r="AD596" s="7"/>
    </row>
    <row r="597" spans="17:30" x14ac:dyDescent="0.2">
      <c r="Q597" s="40"/>
      <c r="V597" s="41"/>
      <c r="W597" s="6"/>
      <c r="AA597" s="7"/>
      <c r="AB597" s="7"/>
      <c r="AC597" s="7"/>
      <c r="AD597" s="7"/>
    </row>
    <row r="598" spans="17:30" x14ac:dyDescent="0.2">
      <c r="Q598" s="40"/>
      <c r="V598" s="41"/>
      <c r="W598" s="6"/>
      <c r="AA598" s="7"/>
      <c r="AB598" s="7"/>
      <c r="AC598" s="7"/>
      <c r="AD598" s="7"/>
    </row>
    <row r="599" spans="17:30" x14ac:dyDescent="0.2">
      <c r="Q599" s="40"/>
      <c r="V599" s="41"/>
      <c r="W599" s="6"/>
      <c r="AA599" s="7"/>
      <c r="AB599" s="7"/>
      <c r="AC599" s="7"/>
      <c r="AD599" s="7"/>
    </row>
    <row r="600" spans="17:30" x14ac:dyDescent="0.2">
      <c r="Q600" s="40"/>
      <c r="V600" s="41"/>
      <c r="W600" s="6"/>
      <c r="AA600" s="7"/>
      <c r="AB600" s="7"/>
      <c r="AC600" s="7"/>
      <c r="AD600" s="7"/>
    </row>
    <row r="601" spans="17:30" x14ac:dyDescent="0.2">
      <c r="Q601" s="40"/>
      <c r="V601" s="41"/>
      <c r="W601" s="6"/>
      <c r="AA601" s="7"/>
      <c r="AB601" s="7"/>
      <c r="AC601" s="7"/>
      <c r="AD601" s="7"/>
    </row>
    <row r="602" spans="17:30" x14ac:dyDescent="0.2">
      <c r="Q602" s="40"/>
      <c r="V602" s="41"/>
      <c r="W602" s="6"/>
      <c r="AA602" s="7"/>
      <c r="AB602" s="7"/>
      <c r="AC602" s="7"/>
      <c r="AD602" s="7"/>
    </row>
    <row r="603" spans="17:30" x14ac:dyDescent="0.2">
      <c r="Q603" s="40"/>
      <c r="V603" s="41"/>
      <c r="W603" s="6"/>
      <c r="AA603" s="7"/>
      <c r="AB603" s="7"/>
      <c r="AC603" s="7"/>
      <c r="AD603" s="7"/>
    </row>
    <row r="604" spans="17:30" x14ac:dyDescent="0.2">
      <c r="Q604" s="40"/>
      <c r="V604" s="41"/>
      <c r="W604" s="6"/>
      <c r="AA604" s="7"/>
      <c r="AB604" s="7"/>
      <c r="AC604" s="7"/>
      <c r="AD604" s="7"/>
    </row>
    <row r="605" spans="17:30" x14ac:dyDescent="0.2">
      <c r="Q605" s="40"/>
      <c r="V605" s="41"/>
      <c r="W605" s="6"/>
      <c r="AA605" s="7"/>
      <c r="AB605" s="7"/>
      <c r="AC605" s="7"/>
      <c r="AD605" s="7"/>
    </row>
    <row r="606" spans="17:30" x14ac:dyDescent="0.2">
      <c r="Q606" s="40"/>
      <c r="V606" s="41"/>
      <c r="W606" s="6"/>
      <c r="AA606" s="7"/>
      <c r="AB606" s="7"/>
      <c r="AC606" s="7"/>
      <c r="AD606" s="7"/>
    </row>
    <row r="607" spans="17:30" x14ac:dyDescent="0.2">
      <c r="Q607" s="40"/>
      <c r="V607" s="41"/>
      <c r="W607" s="6"/>
      <c r="AA607" s="7"/>
      <c r="AB607" s="7"/>
      <c r="AC607" s="7"/>
      <c r="AD607" s="7"/>
    </row>
    <row r="608" spans="17:30" x14ac:dyDescent="0.2">
      <c r="Q608" s="40"/>
      <c r="V608" s="41"/>
      <c r="W608" s="6"/>
      <c r="AA608" s="7"/>
      <c r="AB608" s="7"/>
      <c r="AC608" s="7"/>
      <c r="AD608" s="7"/>
    </row>
    <row r="609" spans="17:30" x14ac:dyDescent="0.2">
      <c r="Q609" s="40"/>
      <c r="V609" s="41"/>
      <c r="W609" s="6"/>
      <c r="AA609" s="7"/>
      <c r="AB609" s="7"/>
      <c r="AC609" s="7"/>
      <c r="AD609" s="7"/>
    </row>
    <row r="610" spans="17:30" x14ac:dyDescent="0.2">
      <c r="Q610" s="40"/>
      <c r="V610" s="41"/>
      <c r="W610" s="6"/>
      <c r="AA610" s="7"/>
      <c r="AB610" s="7"/>
      <c r="AC610" s="7"/>
      <c r="AD610" s="7"/>
    </row>
    <row r="611" spans="17:30" x14ac:dyDescent="0.2">
      <c r="Q611" s="40"/>
      <c r="V611" s="41"/>
      <c r="W611" s="6"/>
      <c r="AA611" s="7"/>
      <c r="AB611" s="7"/>
      <c r="AC611" s="7"/>
      <c r="AD611" s="7"/>
    </row>
    <row r="612" spans="17:30" x14ac:dyDescent="0.2">
      <c r="Q612" s="40"/>
      <c r="V612" s="41"/>
      <c r="W612" s="6"/>
      <c r="AA612" s="7"/>
      <c r="AB612" s="7"/>
      <c r="AC612" s="7"/>
      <c r="AD612" s="7"/>
    </row>
    <row r="613" spans="17:30" x14ac:dyDescent="0.2">
      <c r="Q613" s="40"/>
      <c r="V613" s="41"/>
      <c r="W613" s="6"/>
      <c r="AA613" s="7"/>
      <c r="AB613" s="7"/>
      <c r="AC613" s="7"/>
      <c r="AD613" s="7"/>
    </row>
    <row r="614" spans="17:30" x14ac:dyDescent="0.2">
      <c r="Q614" s="40"/>
      <c r="V614" s="41"/>
      <c r="W614" s="6"/>
      <c r="AA614" s="7"/>
      <c r="AB614" s="7"/>
      <c r="AC614" s="7"/>
      <c r="AD614" s="7"/>
    </row>
    <row r="615" spans="17:30" x14ac:dyDescent="0.2">
      <c r="Q615" s="40"/>
      <c r="V615" s="41"/>
      <c r="W615" s="6"/>
      <c r="AA615" s="7"/>
      <c r="AB615" s="7"/>
      <c r="AC615" s="7"/>
      <c r="AD615" s="7"/>
    </row>
    <row r="616" spans="17:30" x14ac:dyDescent="0.2">
      <c r="Q616" s="40"/>
      <c r="V616" s="41"/>
      <c r="W616" s="6"/>
      <c r="AA616" s="7"/>
      <c r="AB616" s="7"/>
      <c r="AC616" s="7"/>
      <c r="AD616" s="7"/>
    </row>
    <row r="617" spans="17:30" x14ac:dyDescent="0.2">
      <c r="Q617" s="40"/>
      <c r="V617" s="41"/>
      <c r="W617" s="6"/>
      <c r="AA617" s="7"/>
      <c r="AB617" s="7"/>
      <c r="AC617" s="7"/>
      <c r="AD617" s="7"/>
    </row>
    <row r="618" spans="17:30" x14ac:dyDescent="0.2">
      <c r="Q618" s="40"/>
      <c r="V618" s="41"/>
      <c r="W618" s="6"/>
      <c r="AA618" s="7"/>
      <c r="AB618" s="7"/>
      <c r="AC618" s="7"/>
      <c r="AD618" s="7"/>
    </row>
    <row r="619" spans="17:30" x14ac:dyDescent="0.2">
      <c r="Q619" s="40"/>
      <c r="V619" s="41"/>
      <c r="W619" s="6"/>
      <c r="AA619" s="7"/>
      <c r="AB619" s="7"/>
      <c r="AC619" s="7"/>
      <c r="AD619" s="7"/>
    </row>
    <row r="620" spans="17:30" x14ac:dyDescent="0.2">
      <c r="Q620" s="40"/>
      <c r="V620" s="41"/>
      <c r="W620" s="6"/>
      <c r="AA620" s="7"/>
      <c r="AB620" s="7"/>
      <c r="AC620" s="7"/>
      <c r="AD620" s="7"/>
    </row>
    <row r="621" spans="17:30" x14ac:dyDescent="0.2">
      <c r="Q621" s="40"/>
      <c r="V621" s="41"/>
      <c r="W621" s="6"/>
      <c r="AA621" s="7"/>
      <c r="AB621" s="7"/>
      <c r="AC621" s="7"/>
      <c r="AD621" s="7"/>
    </row>
    <row r="622" spans="17:30" x14ac:dyDescent="0.2">
      <c r="Q622" s="40"/>
      <c r="V622" s="41"/>
      <c r="W622" s="6"/>
      <c r="AA622" s="7"/>
      <c r="AB622" s="7"/>
      <c r="AC622" s="7"/>
      <c r="AD622" s="7"/>
    </row>
    <row r="623" spans="17:30" x14ac:dyDescent="0.2">
      <c r="Q623" s="40"/>
      <c r="V623" s="41"/>
      <c r="W623" s="6"/>
      <c r="AA623" s="7"/>
      <c r="AB623" s="7"/>
      <c r="AC623" s="7"/>
      <c r="AD623" s="7"/>
    </row>
    <row r="624" spans="17:30" x14ac:dyDescent="0.2">
      <c r="Q624" s="40"/>
      <c r="V624" s="41"/>
      <c r="W624" s="6"/>
      <c r="AA624" s="7"/>
      <c r="AB624" s="7"/>
      <c r="AC624" s="7"/>
      <c r="AD624" s="7"/>
    </row>
    <row r="625" spans="17:30" x14ac:dyDescent="0.2">
      <c r="Q625" s="40"/>
      <c r="V625" s="41"/>
      <c r="W625" s="6"/>
      <c r="AA625" s="7"/>
      <c r="AB625" s="7"/>
      <c r="AC625" s="7"/>
      <c r="AD625" s="7"/>
    </row>
    <row r="626" spans="17:30" x14ac:dyDescent="0.2">
      <c r="Q626" s="40"/>
      <c r="V626" s="41"/>
      <c r="W626" s="6"/>
      <c r="AA626" s="7"/>
      <c r="AB626" s="7"/>
      <c r="AC626" s="7"/>
      <c r="AD626" s="7"/>
    </row>
    <row r="627" spans="17:30" x14ac:dyDescent="0.2">
      <c r="Q627" s="40"/>
      <c r="V627" s="41"/>
      <c r="W627" s="6"/>
      <c r="AA627" s="7"/>
      <c r="AB627" s="7"/>
      <c r="AC627" s="7"/>
      <c r="AD627" s="7"/>
    </row>
    <row r="628" spans="17:30" x14ac:dyDescent="0.2">
      <c r="Q628" s="40"/>
      <c r="V628" s="41"/>
      <c r="W628" s="6"/>
      <c r="AA628" s="7"/>
      <c r="AB628" s="7"/>
      <c r="AC628" s="7"/>
      <c r="AD628" s="7"/>
    </row>
    <row r="629" spans="17:30" x14ac:dyDescent="0.2">
      <c r="Q629" s="40"/>
      <c r="V629" s="41"/>
      <c r="W629" s="6"/>
      <c r="AA629" s="7"/>
      <c r="AB629" s="7"/>
      <c r="AC629" s="7"/>
      <c r="AD629" s="7"/>
    </row>
    <row r="630" spans="17:30" x14ac:dyDescent="0.2">
      <c r="Q630" s="40"/>
      <c r="V630" s="41"/>
      <c r="W630" s="6"/>
      <c r="AA630" s="7"/>
      <c r="AB630" s="7"/>
      <c r="AC630" s="7"/>
      <c r="AD630" s="7"/>
    </row>
    <row r="631" spans="17:30" x14ac:dyDescent="0.2">
      <c r="Q631" s="40"/>
      <c r="V631" s="41"/>
      <c r="W631" s="6"/>
      <c r="AA631" s="7"/>
      <c r="AB631" s="7"/>
      <c r="AC631" s="7"/>
      <c r="AD631" s="7"/>
    </row>
    <row r="632" spans="17:30" x14ac:dyDescent="0.2">
      <c r="Q632" s="40"/>
      <c r="V632" s="41"/>
      <c r="W632" s="6"/>
      <c r="AA632" s="7"/>
      <c r="AB632" s="7"/>
      <c r="AC632" s="7"/>
      <c r="AD632" s="7"/>
    </row>
    <row r="633" spans="17:30" x14ac:dyDescent="0.2">
      <c r="Q633" s="40"/>
      <c r="V633" s="41"/>
      <c r="W633" s="6"/>
      <c r="AA633" s="7"/>
      <c r="AB633" s="7"/>
      <c r="AC633" s="7"/>
      <c r="AD633" s="7"/>
    </row>
    <row r="634" spans="17:30" x14ac:dyDescent="0.2">
      <c r="Q634" s="40"/>
      <c r="V634" s="41"/>
      <c r="W634" s="6"/>
      <c r="AA634" s="7"/>
      <c r="AB634" s="7"/>
      <c r="AC634" s="7"/>
      <c r="AD634" s="7"/>
    </row>
    <row r="635" spans="17:30" x14ac:dyDescent="0.2">
      <c r="Q635" s="40"/>
      <c r="V635" s="41"/>
      <c r="W635" s="6"/>
      <c r="AA635" s="7"/>
      <c r="AB635" s="7"/>
      <c r="AC635" s="7"/>
      <c r="AD635" s="7"/>
    </row>
    <row r="636" spans="17:30" x14ac:dyDescent="0.2">
      <c r="Q636" s="40"/>
      <c r="V636" s="41"/>
      <c r="W636" s="6"/>
      <c r="AA636" s="7"/>
      <c r="AB636" s="7"/>
      <c r="AC636" s="7"/>
      <c r="AD636" s="7"/>
    </row>
    <row r="637" spans="17:30" x14ac:dyDescent="0.2">
      <c r="Q637" s="40"/>
      <c r="V637" s="41"/>
      <c r="W637" s="6"/>
      <c r="AA637" s="7"/>
      <c r="AB637" s="7"/>
      <c r="AC637" s="7"/>
      <c r="AD637" s="7"/>
    </row>
    <row r="638" spans="17:30" x14ac:dyDescent="0.2">
      <c r="Q638" s="40"/>
      <c r="V638" s="41"/>
      <c r="W638" s="6"/>
      <c r="AA638" s="7"/>
      <c r="AB638" s="7"/>
      <c r="AC638" s="7"/>
      <c r="AD638" s="7"/>
    </row>
    <row r="639" spans="17:30" x14ac:dyDescent="0.2">
      <c r="Q639" s="40"/>
      <c r="V639" s="41"/>
      <c r="W639" s="6"/>
      <c r="AA639" s="7"/>
      <c r="AB639" s="7"/>
      <c r="AC639" s="7"/>
      <c r="AD639" s="7"/>
    </row>
    <row r="640" spans="17:30" x14ac:dyDescent="0.2">
      <c r="Q640" s="40"/>
      <c r="V640" s="41"/>
      <c r="W640" s="6"/>
      <c r="AA640" s="7"/>
      <c r="AB640" s="7"/>
      <c r="AC640" s="7"/>
      <c r="AD640" s="7"/>
    </row>
    <row r="641" spans="17:30" x14ac:dyDescent="0.2">
      <c r="Q641" s="40"/>
      <c r="V641" s="41"/>
      <c r="W641" s="6"/>
      <c r="AA641" s="7"/>
      <c r="AB641" s="7"/>
      <c r="AC641" s="7"/>
      <c r="AD641" s="7"/>
    </row>
    <row r="642" spans="17:30" x14ac:dyDescent="0.2">
      <c r="Q642" s="40"/>
      <c r="V642" s="41"/>
      <c r="W642" s="6"/>
      <c r="AA642" s="7"/>
      <c r="AB642" s="7"/>
      <c r="AC642" s="7"/>
      <c r="AD642" s="7"/>
    </row>
    <row r="643" spans="17:30" x14ac:dyDescent="0.2">
      <c r="Q643" s="40"/>
      <c r="V643" s="41"/>
      <c r="W643" s="6"/>
      <c r="AA643" s="7"/>
      <c r="AB643" s="7"/>
      <c r="AC643" s="7"/>
      <c r="AD643" s="7"/>
    </row>
    <row r="644" spans="17:30" x14ac:dyDescent="0.2">
      <c r="Q644" s="40"/>
      <c r="V644" s="41"/>
      <c r="W644" s="6"/>
      <c r="AA644" s="7"/>
      <c r="AB644" s="7"/>
      <c r="AC644" s="7"/>
      <c r="AD644" s="7"/>
    </row>
    <row r="645" spans="17:30" x14ac:dyDescent="0.2">
      <c r="Q645" s="40"/>
      <c r="V645" s="41"/>
      <c r="W645" s="6"/>
      <c r="AA645" s="7"/>
      <c r="AB645" s="7"/>
      <c r="AC645" s="7"/>
      <c r="AD645" s="7"/>
    </row>
    <row r="646" spans="17:30" x14ac:dyDescent="0.2">
      <c r="Q646" s="40"/>
      <c r="V646" s="41"/>
      <c r="W646" s="6"/>
      <c r="AA646" s="7"/>
      <c r="AB646" s="7"/>
      <c r="AC646" s="7"/>
      <c r="AD646" s="7"/>
    </row>
    <row r="647" spans="17:30" x14ac:dyDescent="0.2">
      <c r="Q647" s="40"/>
      <c r="V647" s="41"/>
      <c r="W647" s="6"/>
      <c r="AA647" s="7"/>
      <c r="AB647" s="7"/>
      <c r="AC647" s="7"/>
      <c r="AD647" s="7"/>
    </row>
    <row r="648" spans="17:30" x14ac:dyDescent="0.2">
      <c r="Q648" s="40"/>
      <c r="V648" s="41"/>
      <c r="W648" s="6"/>
      <c r="AA648" s="7"/>
      <c r="AB648" s="7"/>
      <c r="AC648" s="7"/>
      <c r="AD648" s="7"/>
    </row>
    <row r="649" spans="17:30" x14ac:dyDescent="0.2">
      <c r="Q649" s="40"/>
      <c r="V649" s="41"/>
      <c r="W649" s="6"/>
      <c r="AA649" s="7"/>
      <c r="AB649" s="7"/>
      <c r="AC649" s="7"/>
      <c r="AD649" s="7"/>
    </row>
    <row r="650" spans="17:30" x14ac:dyDescent="0.2">
      <c r="Q650" s="40"/>
      <c r="V650" s="41"/>
      <c r="W650" s="6"/>
      <c r="AA650" s="7"/>
      <c r="AB650" s="7"/>
      <c r="AC650" s="7"/>
      <c r="AD650" s="7"/>
    </row>
    <row r="651" spans="17:30" x14ac:dyDescent="0.2">
      <c r="Q651" s="40"/>
      <c r="V651" s="41"/>
      <c r="W651" s="6"/>
      <c r="AA651" s="7"/>
      <c r="AB651" s="7"/>
      <c r="AC651" s="7"/>
      <c r="AD651" s="7"/>
    </row>
    <row r="652" spans="17:30" x14ac:dyDescent="0.2">
      <c r="Q652" s="40"/>
      <c r="V652" s="41"/>
      <c r="W652" s="6"/>
      <c r="AA652" s="7"/>
      <c r="AB652" s="7"/>
      <c r="AC652" s="7"/>
      <c r="AD652" s="7"/>
    </row>
    <row r="653" spans="17:30" x14ac:dyDescent="0.2">
      <c r="Q653" s="40"/>
      <c r="V653" s="41"/>
      <c r="W653" s="6"/>
      <c r="AA653" s="7"/>
      <c r="AB653" s="7"/>
      <c r="AC653" s="7"/>
      <c r="AD653" s="7"/>
    </row>
    <row r="654" spans="17:30" x14ac:dyDescent="0.2">
      <c r="Q654" s="40"/>
      <c r="V654" s="41"/>
      <c r="W654" s="6"/>
      <c r="AA654" s="7"/>
      <c r="AB654" s="7"/>
      <c r="AC654" s="7"/>
      <c r="AD654" s="7"/>
    </row>
    <row r="655" spans="17:30" x14ac:dyDescent="0.2">
      <c r="Q655" s="40"/>
      <c r="V655" s="41"/>
      <c r="W655" s="6"/>
      <c r="AA655" s="7"/>
      <c r="AB655" s="7"/>
      <c r="AC655" s="7"/>
      <c r="AD655" s="7"/>
    </row>
    <row r="656" spans="17:30" x14ac:dyDescent="0.2">
      <c r="Q656" s="40"/>
      <c r="V656" s="41"/>
      <c r="W656" s="6"/>
      <c r="AA656" s="7"/>
      <c r="AB656" s="7"/>
      <c r="AC656" s="7"/>
      <c r="AD656" s="7"/>
    </row>
    <row r="657" spans="17:30" x14ac:dyDescent="0.2">
      <c r="Q657" s="40"/>
      <c r="V657" s="41"/>
      <c r="W657" s="6"/>
      <c r="AA657" s="7"/>
      <c r="AB657" s="7"/>
      <c r="AC657" s="7"/>
      <c r="AD657" s="7"/>
    </row>
    <row r="658" spans="17:30" x14ac:dyDescent="0.2">
      <c r="Q658" s="40"/>
      <c r="V658" s="41"/>
      <c r="W658" s="6"/>
      <c r="AA658" s="7"/>
      <c r="AB658" s="7"/>
      <c r="AC658" s="7"/>
      <c r="AD658" s="7"/>
    </row>
    <row r="659" spans="17:30" x14ac:dyDescent="0.2">
      <c r="Q659" s="40"/>
      <c r="V659" s="41"/>
      <c r="W659" s="6"/>
      <c r="AA659" s="7"/>
      <c r="AB659" s="7"/>
      <c r="AC659" s="7"/>
      <c r="AD659" s="7"/>
    </row>
    <row r="660" spans="17:30" x14ac:dyDescent="0.2">
      <c r="Q660" s="40"/>
      <c r="V660" s="41"/>
      <c r="W660" s="6"/>
      <c r="AA660" s="7"/>
      <c r="AB660" s="7"/>
      <c r="AC660" s="7"/>
      <c r="AD660" s="7"/>
    </row>
    <row r="661" spans="17:30" x14ac:dyDescent="0.2">
      <c r="Q661" s="40"/>
      <c r="V661" s="41"/>
      <c r="W661" s="6"/>
      <c r="AA661" s="7"/>
      <c r="AB661" s="7"/>
      <c r="AC661" s="7"/>
      <c r="AD661" s="7"/>
    </row>
    <row r="662" spans="17:30" x14ac:dyDescent="0.2">
      <c r="Q662" s="40"/>
      <c r="V662" s="41"/>
      <c r="W662" s="6"/>
      <c r="AA662" s="7"/>
      <c r="AB662" s="7"/>
      <c r="AC662" s="7"/>
      <c r="AD662" s="7"/>
    </row>
    <row r="663" spans="17:30" x14ac:dyDescent="0.2">
      <c r="Q663" s="40"/>
      <c r="V663" s="41"/>
      <c r="W663" s="6"/>
      <c r="AA663" s="7"/>
      <c r="AB663" s="7"/>
      <c r="AC663" s="7"/>
      <c r="AD663" s="7"/>
    </row>
    <row r="664" spans="17:30" x14ac:dyDescent="0.2">
      <c r="Q664" s="40"/>
      <c r="V664" s="41"/>
      <c r="W664" s="6"/>
      <c r="AA664" s="7"/>
      <c r="AB664" s="7"/>
      <c r="AC664" s="7"/>
      <c r="AD664" s="7"/>
    </row>
    <row r="665" spans="17:30" x14ac:dyDescent="0.2">
      <c r="Q665" s="40"/>
      <c r="V665" s="41"/>
      <c r="W665" s="6"/>
      <c r="AA665" s="7"/>
      <c r="AB665" s="7"/>
      <c r="AC665" s="7"/>
      <c r="AD665" s="7"/>
    </row>
    <row r="666" spans="17:30" x14ac:dyDescent="0.2">
      <c r="Q666" s="40"/>
      <c r="V666" s="41"/>
      <c r="W666" s="6"/>
      <c r="AA666" s="7"/>
      <c r="AB666" s="7"/>
      <c r="AC666" s="7"/>
      <c r="AD666" s="7"/>
    </row>
    <row r="667" spans="17:30" x14ac:dyDescent="0.2">
      <c r="Q667" s="40"/>
      <c r="V667" s="41"/>
      <c r="W667" s="6"/>
      <c r="AA667" s="7"/>
      <c r="AB667" s="7"/>
      <c r="AC667" s="7"/>
      <c r="AD667" s="7"/>
    </row>
    <row r="668" spans="17:30" x14ac:dyDescent="0.2">
      <c r="Q668" s="40"/>
      <c r="V668" s="41"/>
      <c r="W668" s="6"/>
      <c r="AA668" s="7"/>
      <c r="AB668" s="7"/>
      <c r="AC668" s="7"/>
      <c r="AD668" s="7"/>
    </row>
    <row r="669" spans="17:30" x14ac:dyDescent="0.2">
      <c r="Q669" s="40"/>
      <c r="V669" s="41"/>
      <c r="W669" s="6"/>
      <c r="AA669" s="7"/>
      <c r="AB669" s="7"/>
      <c r="AC669" s="7"/>
      <c r="AD669" s="7"/>
    </row>
    <row r="670" spans="17:30" x14ac:dyDescent="0.2">
      <c r="Q670" s="40"/>
      <c r="V670" s="41"/>
      <c r="W670" s="6"/>
      <c r="AA670" s="7"/>
      <c r="AB670" s="7"/>
      <c r="AC670" s="7"/>
      <c r="AD670" s="7"/>
    </row>
    <row r="671" spans="17:30" x14ac:dyDescent="0.2">
      <c r="Q671" s="40"/>
      <c r="V671" s="41"/>
      <c r="W671" s="6"/>
      <c r="AA671" s="7"/>
      <c r="AB671" s="7"/>
      <c r="AC671" s="7"/>
      <c r="AD671" s="7"/>
    </row>
    <row r="672" spans="17:30" x14ac:dyDescent="0.2">
      <c r="Q672" s="40"/>
      <c r="V672" s="41"/>
      <c r="W672" s="6"/>
      <c r="AA672" s="7"/>
      <c r="AB672" s="7"/>
      <c r="AC672" s="7"/>
      <c r="AD672" s="7"/>
    </row>
    <row r="673" spans="17:30" x14ac:dyDescent="0.2">
      <c r="Q673" s="40"/>
      <c r="V673" s="41"/>
      <c r="W673" s="6"/>
      <c r="AA673" s="7"/>
      <c r="AB673" s="7"/>
      <c r="AC673" s="7"/>
      <c r="AD673" s="7"/>
    </row>
    <row r="674" spans="17:30" x14ac:dyDescent="0.2">
      <c r="Q674" s="40"/>
      <c r="V674" s="41"/>
      <c r="W674" s="6"/>
      <c r="AA674" s="7"/>
      <c r="AB674" s="7"/>
      <c r="AC674" s="7"/>
      <c r="AD674" s="7"/>
    </row>
    <row r="675" spans="17:30" x14ac:dyDescent="0.2">
      <c r="Q675" s="40"/>
      <c r="V675" s="41"/>
      <c r="W675" s="6"/>
      <c r="AA675" s="7"/>
      <c r="AB675" s="7"/>
      <c r="AC675" s="7"/>
      <c r="AD675" s="7"/>
    </row>
    <row r="676" spans="17:30" x14ac:dyDescent="0.2">
      <c r="Q676" s="40"/>
      <c r="V676" s="41"/>
      <c r="W676" s="6"/>
      <c r="AA676" s="7"/>
      <c r="AB676" s="7"/>
      <c r="AC676" s="7"/>
      <c r="AD676" s="7"/>
    </row>
    <row r="677" spans="17:30" x14ac:dyDescent="0.2">
      <c r="Q677" s="40"/>
      <c r="V677" s="41"/>
      <c r="W677" s="6"/>
      <c r="AA677" s="7"/>
      <c r="AB677" s="7"/>
      <c r="AC677" s="7"/>
      <c r="AD677" s="7"/>
    </row>
    <row r="678" spans="17:30" x14ac:dyDescent="0.2">
      <c r="Q678" s="40"/>
      <c r="V678" s="41"/>
      <c r="W678" s="6"/>
      <c r="AA678" s="7"/>
      <c r="AB678" s="7"/>
      <c r="AC678" s="7"/>
      <c r="AD678" s="7"/>
    </row>
    <row r="679" spans="17:30" x14ac:dyDescent="0.2">
      <c r="Q679" s="40"/>
      <c r="V679" s="41"/>
      <c r="W679" s="6"/>
      <c r="AA679" s="7"/>
      <c r="AB679" s="7"/>
      <c r="AC679" s="7"/>
      <c r="AD679" s="7"/>
    </row>
    <row r="680" spans="17:30" x14ac:dyDescent="0.2">
      <c r="Q680" s="40"/>
      <c r="V680" s="41"/>
      <c r="W680" s="6"/>
      <c r="AA680" s="7"/>
      <c r="AB680" s="7"/>
      <c r="AC680" s="7"/>
      <c r="AD680" s="7"/>
    </row>
    <row r="681" spans="17:30" x14ac:dyDescent="0.2">
      <c r="Q681" s="40"/>
      <c r="V681" s="41"/>
      <c r="W681" s="6"/>
      <c r="AA681" s="7"/>
      <c r="AB681" s="7"/>
      <c r="AC681" s="7"/>
      <c r="AD681" s="7"/>
    </row>
    <row r="682" spans="17:30" x14ac:dyDescent="0.2">
      <c r="Q682" s="40"/>
      <c r="V682" s="41"/>
      <c r="W682" s="6"/>
      <c r="AA682" s="7"/>
      <c r="AB682" s="7"/>
      <c r="AC682" s="7"/>
      <c r="AD682" s="7"/>
    </row>
    <row r="683" spans="17:30" x14ac:dyDescent="0.2">
      <c r="Q683" s="40"/>
      <c r="V683" s="41"/>
      <c r="W683" s="6"/>
      <c r="AA683" s="7"/>
      <c r="AB683" s="7"/>
      <c r="AC683" s="7"/>
      <c r="AD683" s="7"/>
    </row>
    <row r="684" spans="17:30" x14ac:dyDescent="0.2">
      <c r="Q684" s="40"/>
      <c r="V684" s="41"/>
      <c r="W684" s="6"/>
      <c r="AA684" s="7"/>
      <c r="AB684" s="7"/>
      <c r="AC684" s="7"/>
      <c r="AD684" s="7"/>
    </row>
    <row r="685" spans="17:30" x14ac:dyDescent="0.2">
      <c r="Q685" s="40"/>
      <c r="V685" s="41"/>
      <c r="W685" s="6"/>
      <c r="AA685" s="7"/>
      <c r="AB685" s="7"/>
      <c r="AC685" s="7"/>
      <c r="AD685" s="7"/>
    </row>
    <row r="686" spans="17:30" x14ac:dyDescent="0.2">
      <c r="Q686" s="40"/>
      <c r="V686" s="41"/>
      <c r="W686" s="6"/>
      <c r="AA686" s="7"/>
      <c r="AB686" s="7"/>
      <c r="AC686" s="7"/>
      <c r="AD686" s="7"/>
    </row>
    <row r="687" spans="17:30" x14ac:dyDescent="0.2">
      <c r="Q687" s="40"/>
      <c r="V687" s="41"/>
      <c r="W687" s="6"/>
      <c r="AA687" s="7"/>
      <c r="AB687" s="7"/>
      <c r="AC687" s="7"/>
      <c r="AD687" s="7"/>
    </row>
    <row r="688" spans="17:30" x14ac:dyDescent="0.2">
      <c r="Q688" s="40"/>
      <c r="V688" s="41"/>
      <c r="W688" s="6"/>
      <c r="AA688" s="7"/>
      <c r="AB688" s="7"/>
      <c r="AC688" s="7"/>
      <c r="AD688" s="7"/>
    </row>
    <row r="689" spans="17:30" x14ac:dyDescent="0.2">
      <c r="Q689" s="40"/>
      <c r="V689" s="41"/>
      <c r="W689" s="6"/>
      <c r="AA689" s="7"/>
      <c r="AB689" s="7"/>
      <c r="AC689" s="7"/>
      <c r="AD689" s="7"/>
    </row>
    <row r="690" spans="17:30" x14ac:dyDescent="0.2">
      <c r="Q690" s="40"/>
      <c r="V690" s="41"/>
      <c r="W690" s="6"/>
      <c r="AA690" s="7"/>
      <c r="AB690" s="7"/>
      <c r="AC690" s="7"/>
      <c r="AD690" s="7"/>
    </row>
    <row r="691" spans="17:30" x14ac:dyDescent="0.2">
      <c r="Q691" s="40"/>
      <c r="V691" s="41"/>
      <c r="W691" s="6"/>
      <c r="AA691" s="7"/>
      <c r="AB691" s="7"/>
      <c r="AC691" s="7"/>
      <c r="AD691" s="7"/>
    </row>
    <row r="692" spans="17:30" x14ac:dyDescent="0.2">
      <c r="Q692" s="40"/>
      <c r="V692" s="41"/>
      <c r="W692" s="6"/>
      <c r="AA692" s="7"/>
      <c r="AB692" s="7"/>
      <c r="AC692" s="7"/>
      <c r="AD692" s="7"/>
    </row>
    <row r="693" spans="17:30" x14ac:dyDescent="0.2">
      <c r="Q693" s="40"/>
      <c r="V693" s="41"/>
      <c r="W693" s="6"/>
      <c r="AA693" s="7"/>
      <c r="AB693" s="7"/>
      <c r="AC693" s="7"/>
      <c r="AD693" s="7"/>
    </row>
    <row r="694" spans="17:30" x14ac:dyDescent="0.2">
      <c r="Q694" s="40"/>
      <c r="V694" s="41"/>
      <c r="W694" s="6"/>
      <c r="AA694" s="7"/>
      <c r="AB694" s="7"/>
      <c r="AC694" s="7"/>
      <c r="AD694" s="7"/>
    </row>
    <row r="695" spans="17:30" x14ac:dyDescent="0.2">
      <c r="Q695" s="40"/>
      <c r="V695" s="41"/>
      <c r="W695" s="6"/>
      <c r="AA695" s="7"/>
      <c r="AB695" s="7"/>
      <c r="AC695" s="7"/>
      <c r="AD695" s="7"/>
    </row>
    <row r="696" spans="17:30" x14ac:dyDescent="0.2">
      <c r="Q696" s="40"/>
      <c r="V696" s="41"/>
      <c r="W696" s="6"/>
      <c r="AA696" s="7"/>
      <c r="AB696" s="7"/>
      <c r="AC696" s="7"/>
      <c r="AD696" s="7"/>
    </row>
    <row r="697" spans="17:30" x14ac:dyDescent="0.2">
      <c r="Q697" s="40"/>
      <c r="V697" s="41"/>
      <c r="W697" s="6"/>
      <c r="AA697" s="7"/>
      <c r="AB697" s="7"/>
      <c r="AC697" s="7"/>
      <c r="AD697" s="7"/>
    </row>
    <row r="698" spans="17:30" x14ac:dyDescent="0.2">
      <c r="Q698" s="40"/>
      <c r="V698" s="41"/>
      <c r="W698" s="6"/>
      <c r="AA698" s="7"/>
      <c r="AB698" s="7"/>
      <c r="AC698" s="7"/>
      <c r="AD698" s="7"/>
    </row>
    <row r="699" spans="17:30" x14ac:dyDescent="0.2">
      <c r="Q699" s="40"/>
      <c r="V699" s="41"/>
      <c r="W699" s="6"/>
      <c r="AA699" s="7"/>
      <c r="AB699" s="7"/>
      <c r="AC699" s="7"/>
      <c r="AD699" s="7"/>
    </row>
    <row r="700" spans="17:30" x14ac:dyDescent="0.2">
      <c r="Q700" s="40"/>
      <c r="V700" s="41"/>
      <c r="W700" s="6"/>
      <c r="AA700" s="7"/>
      <c r="AB700" s="7"/>
      <c r="AC700" s="7"/>
      <c r="AD700" s="7"/>
    </row>
    <row r="701" spans="17:30" x14ac:dyDescent="0.2">
      <c r="Q701" s="40"/>
      <c r="V701" s="41"/>
      <c r="W701" s="6"/>
      <c r="AA701" s="7"/>
      <c r="AB701" s="7"/>
      <c r="AC701" s="7"/>
      <c r="AD701" s="7"/>
    </row>
    <row r="702" spans="17:30" x14ac:dyDescent="0.2">
      <c r="Q702" s="40"/>
      <c r="V702" s="41"/>
      <c r="W702" s="6"/>
      <c r="AA702" s="7"/>
      <c r="AB702" s="7"/>
      <c r="AC702" s="7"/>
      <c r="AD702" s="7"/>
    </row>
    <row r="703" spans="17:30" x14ac:dyDescent="0.2">
      <c r="Q703" s="40"/>
      <c r="V703" s="41"/>
      <c r="W703" s="6"/>
      <c r="AA703" s="7"/>
      <c r="AB703" s="7"/>
      <c r="AC703" s="7"/>
      <c r="AD703" s="7"/>
    </row>
    <row r="704" spans="17:30" x14ac:dyDescent="0.2">
      <c r="Q704" s="40"/>
      <c r="V704" s="41"/>
      <c r="W704" s="6"/>
      <c r="AA704" s="7"/>
      <c r="AB704" s="7"/>
      <c r="AC704" s="7"/>
      <c r="AD704" s="7"/>
    </row>
    <row r="705" spans="17:30" x14ac:dyDescent="0.2">
      <c r="Q705" s="40"/>
      <c r="V705" s="41"/>
      <c r="W705" s="6"/>
      <c r="AA705" s="7"/>
      <c r="AB705" s="7"/>
      <c r="AC705" s="7"/>
      <c r="AD705" s="7"/>
    </row>
    <row r="706" spans="17:30" x14ac:dyDescent="0.2">
      <c r="Q706" s="40"/>
      <c r="V706" s="41"/>
      <c r="W706" s="6"/>
      <c r="AA706" s="7"/>
      <c r="AB706" s="7"/>
      <c r="AC706" s="7"/>
      <c r="AD706" s="7"/>
    </row>
    <row r="707" spans="17:30" x14ac:dyDescent="0.2">
      <c r="Q707" s="40"/>
      <c r="V707" s="41"/>
      <c r="W707" s="6"/>
      <c r="AA707" s="7"/>
      <c r="AB707" s="7"/>
      <c r="AC707" s="7"/>
      <c r="AD707" s="7"/>
    </row>
    <row r="708" spans="17:30" x14ac:dyDescent="0.2">
      <c r="Q708" s="40"/>
      <c r="V708" s="41"/>
      <c r="W708" s="6"/>
      <c r="AA708" s="7"/>
      <c r="AB708" s="7"/>
      <c r="AC708" s="7"/>
      <c r="AD708" s="7"/>
    </row>
    <row r="709" spans="17:30" x14ac:dyDescent="0.2">
      <c r="Q709" s="40"/>
      <c r="V709" s="41"/>
      <c r="W709" s="6"/>
      <c r="AA709" s="7"/>
      <c r="AB709" s="7"/>
      <c r="AC709" s="7"/>
      <c r="AD709" s="7"/>
    </row>
    <row r="710" spans="17:30" x14ac:dyDescent="0.2">
      <c r="Q710" s="40"/>
      <c r="V710" s="41"/>
      <c r="W710" s="6"/>
      <c r="AA710" s="7"/>
      <c r="AB710" s="7"/>
      <c r="AC710" s="7"/>
      <c r="AD710" s="7"/>
    </row>
    <row r="711" spans="17:30" x14ac:dyDescent="0.2">
      <c r="Q711" s="40"/>
      <c r="V711" s="41"/>
      <c r="W711" s="6"/>
      <c r="AA711" s="7"/>
      <c r="AB711" s="7"/>
      <c r="AC711" s="7"/>
      <c r="AD711" s="7"/>
    </row>
    <row r="712" spans="17:30" x14ac:dyDescent="0.2">
      <c r="Q712" s="40"/>
      <c r="V712" s="41"/>
      <c r="W712" s="6"/>
      <c r="AA712" s="7"/>
      <c r="AB712" s="7"/>
      <c r="AC712" s="7"/>
      <c r="AD712" s="7"/>
    </row>
    <row r="713" spans="17:30" x14ac:dyDescent="0.2">
      <c r="Q713" s="40"/>
      <c r="V713" s="41"/>
      <c r="W713" s="6"/>
      <c r="AA713" s="7"/>
      <c r="AB713" s="7"/>
      <c r="AC713" s="7"/>
      <c r="AD713" s="7"/>
    </row>
    <row r="714" spans="17:30" x14ac:dyDescent="0.2">
      <c r="Q714" s="40"/>
      <c r="V714" s="41"/>
      <c r="W714" s="6"/>
      <c r="AA714" s="7"/>
      <c r="AB714" s="7"/>
      <c r="AC714" s="7"/>
      <c r="AD714" s="7"/>
    </row>
    <row r="715" spans="17:30" x14ac:dyDescent="0.2">
      <c r="Q715" s="40"/>
      <c r="V715" s="41"/>
      <c r="W715" s="6"/>
      <c r="AA715" s="7"/>
      <c r="AB715" s="7"/>
      <c r="AC715" s="7"/>
      <c r="AD715" s="7"/>
    </row>
    <row r="716" spans="17:30" x14ac:dyDescent="0.2">
      <c r="Q716" s="40"/>
      <c r="V716" s="41"/>
      <c r="W716" s="6"/>
      <c r="AA716" s="7"/>
      <c r="AB716" s="7"/>
      <c r="AC716" s="7"/>
      <c r="AD716" s="7"/>
    </row>
    <row r="717" spans="17:30" x14ac:dyDescent="0.2">
      <c r="Q717" s="40"/>
      <c r="V717" s="41"/>
      <c r="W717" s="6"/>
      <c r="AA717" s="7"/>
      <c r="AB717" s="7"/>
      <c r="AC717" s="7"/>
      <c r="AD717" s="7"/>
    </row>
    <row r="718" spans="17:30" x14ac:dyDescent="0.2">
      <c r="Q718" s="40"/>
      <c r="V718" s="41"/>
      <c r="W718" s="6"/>
      <c r="AA718" s="7"/>
      <c r="AB718" s="7"/>
      <c r="AC718" s="7"/>
      <c r="AD718" s="7"/>
    </row>
    <row r="719" spans="17:30" x14ac:dyDescent="0.2">
      <c r="Q719" s="40"/>
      <c r="V719" s="41"/>
      <c r="W719" s="6"/>
      <c r="AA719" s="7"/>
      <c r="AB719" s="7"/>
      <c r="AC719" s="7"/>
      <c r="AD719" s="7"/>
    </row>
    <row r="720" spans="17:30" x14ac:dyDescent="0.2">
      <c r="Q720" s="40"/>
      <c r="V720" s="41"/>
      <c r="W720" s="6"/>
      <c r="AA720" s="7"/>
      <c r="AB720" s="7"/>
      <c r="AC720" s="7"/>
      <c r="AD720" s="7"/>
    </row>
    <row r="721" spans="17:30" x14ac:dyDescent="0.2">
      <c r="Q721" s="40"/>
      <c r="V721" s="41"/>
      <c r="W721" s="6"/>
      <c r="AA721" s="7"/>
      <c r="AB721" s="7"/>
      <c r="AC721" s="7"/>
      <c r="AD721" s="7"/>
    </row>
    <row r="722" spans="17:30" x14ac:dyDescent="0.2">
      <c r="Q722" s="40"/>
      <c r="V722" s="41"/>
      <c r="W722" s="6"/>
      <c r="AA722" s="7"/>
      <c r="AB722" s="7"/>
      <c r="AC722" s="7"/>
      <c r="AD722" s="7"/>
    </row>
    <row r="723" spans="17:30" x14ac:dyDescent="0.2">
      <c r="Q723" s="40"/>
      <c r="V723" s="41"/>
      <c r="W723" s="6"/>
      <c r="AA723" s="7"/>
      <c r="AB723" s="7"/>
      <c r="AC723" s="7"/>
      <c r="AD723" s="7"/>
    </row>
    <row r="724" spans="17:30" x14ac:dyDescent="0.2">
      <c r="Q724" s="40"/>
      <c r="V724" s="41"/>
      <c r="W724" s="6"/>
      <c r="AA724" s="7"/>
      <c r="AB724" s="7"/>
      <c r="AC724" s="7"/>
      <c r="AD724" s="7"/>
    </row>
    <row r="725" spans="17:30" x14ac:dyDescent="0.2">
      <c r="Q725" s="40"/>
      <c r="V725" s="41"/>
      <c r="W725" s="6"/>
      <c r="AA725" s="7"/>
      <c r="AB725" s="7"/>
      <c r="AC725" s="7"/>
      <c r="AD725" s="7"/>
    </row>
    <row r="726" spans="17:30" x14ac:dyDescent="0.2">
      <c r="Q726" s="40"/>
      <c r="V726" s="41"/>
      <c r="W726" s="6"/>
      <c r="AA726" s="7"/>
      <c r="AB726" s="7"/>
      <c r="AC726" s="7"/>
      <c r="AD726" s="7"/>
    </row>
    <row r="727" spans="17:30" x14ac:dyDescent="0.2">
      <c r="Q727" s="40"/>
      <c r="V727" s="41"/>
      <c r="W727" s="6"/>
      <c r="AA727" s="7"/>
      <c r="AB727" s="7"/>
      <c r="AC727" s="7"/>
      <c r="AD727" s="7"/>
    </row>
    <row r="728" spans="17:30" x14ac:dyDescent="0.2">
      <c r="Q728" s="40"/>
      <c r="V728" s="41"/>
      <c r="W728" s="6"/>
      <c r="AA728" s="7"/>
      <c r="AB728" s="7"/>
      <c r="AC728" s="7"/>
      <c r="AD728" s="7"/>
    </row>
    <row r="729" spans="17:30" x14ac:dyDescent="0.2">
      <c r="Q729" s="40"/>
      <c r="V729" s="41"/>
      <c r="W729" s="6"/>
      <c r="AA729" s="7"/>
      <c r="AB729" s="7"/>
      <c r="AC729" s="7"/>
      <c r="AD729" s="7"/>
    </row>
    <row r="730" spans="17:30" x14ac:dyDescent="0.2">
      <c r="Q730" s="40"/>
      <c r="V730" s="41"/>
      <c r="W730" s="6"/>
      <c r="AA730" s="7"/>
      <c r="AB730" s="7"/>
      <c r="AC730" s="7"/>
      <c r="AD730" s="7"/>
    </row>
    <row r="731" spans="17:30" x14ac:dyDescent="0.2">
      <c r="Q731" s="40"/>
      <c r="V731" s="41"/>
      <c r="W731" s="6"/>
      <c r="AA731" s="7"/>
      <c r="AB731" s="7"/>
      <c r="AC731" s="7"/>
      <c r="AD731" s="7"/>
    </row>
    <row r="732" spans="17:30" x14ac:dyDescent="0.2">
      <c r="Q732" s="40"/>
      <c r="V732" s="41"/>
      <c r="W732" s="6"/>
      <c r="AA732" s="7"/>
      <c r="AB732" s="7"/>
      <c r="AC732" s="7"/>
      <c r="AD732" s="7"/>
    </row>
    <row r="733" spans="17:30" x14ac:dyDescent="0.2">
      <c r="Q733" s="40"/>
      <c r="V733" s="41"/>
      <c r="W733" s="6"/>
      <c r="AA733" s="7"/>
      <c r="AB733" s="7"/>
      <c r="AC733" s="7"/>
      <c r="AD733" s="7"/>
    </row>
    <row r="734" spans="17:30" x14ac:dyDescent="0.2">
      <c r="Q734" s="40"/>
      <c r="V734" s="41"/>
      <c r="W734" s="6"/>
      <c r="AA734" s="7"/>
      <c r="AB734" s="7"/>
      <c r="AC734" s="7"/>
      <c r="AD734" s="7"/>
    </row>
    <row r="735" spans="17:30" x14ac:dyDescent="0.2">
      <c r="Q735" s="40"/>
      <c r="V735" s="41"/>
      <c r="W735" s="6"/>
      <c r="AA735" s="7"/>
      <c r="AB735" s="7"/>
      <c r="AC735" s="7"/>
      <c r="AD735" s="7"/>
    </row>
    <row r="736" spans="17:30" x14ac:dyDescent="0.2">
      <c r="Q736" s="40"/>
      <c r="V736" s="41"/>
      <c r="W736" s="6"/>
      <c r="AA736" s="7"/>
      <c r="AB736" s="7"/>
      <c r="AC736" s="7"/>
      <c r="AD736" s="7"/>
    </row>
    <row r="737" spans="17:30" x14ac:dyDescent="0.2">
      <c r="Q737" s="40"/>
      <c r="V737" s="41"/>
      <c r="W737" s="6"/>
      <c r="AA737" s="7"/>
      <c r="AB737" s="7"/>
      <c r="AC737" s="7"/>
      <c r="AD737" s="7"/>
    </row>
    <row r="738" spans="17:30" x14ac:dyDescent="0.2">
      <c r="Q738" s="40"/>
      <c r="V738" s="41"/>
      <c r="W738" s="6"/>
      <c r="AA738" s="7"/>
      <c r="AB738" s="7"/>
      <c r="AC738" s="7"/>
      <c r="AD738" s="7"/>
    </row>
    <row r="739" spans="17:30" x14ac:dyDescent="0.2">
      <c r="Q739" s="40"/>
      <c r="V739" s="41"/>
      <c r="W739" s="6"/>
      <c r="AA739" s="7"/>
      <c r="AB739" s="7"/>
      <c r="AC739" s="7"/>
      <c r="AD739" s="7"/>
    </row>
    <row r="740" spans="17:30" x14ac:dyDescent="0.2">
      <c r="Q740" s="40"/>
      <c r="V740" s="41"/>
      <c r="W740" s="6"/>
      <c r="AA740" s="7"/>
      <c r="AB740" s="7"/>
      <c r="AC740" s="7"/>
      <c r="AD740" s="7"/>
    </row>
    <row r="741" spans="17:30" x14ac:dyDescent="0.2">
      <c r="Q741" s="40"/>
      <c r="V741" s="41"/>
      <c r="W741" s="6"/>
      <c r="AA741" s="7"/>
      <c r="AB741" s="7"/>
      <c r="AC741" s="7"/>
      <c r="AD741" s="7"/>
    </row>
    <row r="742" spans="17:30" x14ac:dyDescent="0.2">
      <c r="Q742" s="40"/>
      <c r="V742" s="41"/>
      <c r="W742" s="6"/>
      <c r="AA742" s="7"/>
      <c r="AB742" s="7"/>
      <c r="AC742" s="7"/>
      <c r="AD742" s="7"/>
    </row>
    <row r="743" spans="17:30" x14ac:dyDescent="0.2">
      <c r="Q743" s="40"/>
      <c r="V743" s="41"/>
      <c r="W743" s="6"/>
      <c r="AA743" s="7"/>
      <c r="AB743" s="7"/>
      <c r="AC743" s="7"/>
      <c r="AD743" s="7"/>
    </row>
    <row r="744" spans="17:30" x14ac:dyDescent="0.2">
      <c r="Q744" s="40"/>
      <c r="V744" s="41"/>
      <c r="W744" s="6"/>
      <c r="AA744" s="7"/>
      <c r="AB744" s="7"/>
      <c r="AC744" s="7"/>
      <c r="AD744" s="7"/>
    </row>
    <row r="745" spans="17:30" x14ac:dyDescent="0.2">
      <c r="Q745" s="40"/>
      <c r="V745" s="41"/>
      <c r="W745" s="6"/>
      <c r="AA745" s="7"/>
      <c r="AB745" s="7"/>
      <c r="AC745" s="7"/>
      <c r="AD745" s="7"/>
    </row>
    <row r="746" spans="17:30" x14ac:dyDescent="0.2">
      <c r="Q746" s="40"/>
      <c r="V746" s="41"/>
      <c r="W746" s="6"/>
      <c r="AA746" s="7"/>
      <c r="AB746" s="7"/>
      <c r="AC746" s="7"/>
      <c r="AD746" s="7"/>
    </row>
    <row r="747" spans="17:30" x14ac:dyDescent="0.2">
      <c r="Q747" s="40"/>
      <c r="V747" s="41"/>
      <c r="W747" s="6"/>
      <c r="AA747" s="7"/>
      <c r="AB747" s="7"/>
      <c r="AC747" s="7"/>
      <c r="AD747" s="7"/>
    </row>
    <row r="748" spans="17:30" x14ac:dyDescent="0.2">
      <c r="Q748" s="40"/>
      <c r="V748" s="41"/>
      <c r="W748" s="6"/>
      <c r="AA748" s="7"/>
      <c r="AB748" s="7"/>
      <c r="AC748" s="7"/>
      <c r="AD748" s="7"/>
    </row>
    <row r="749" spans="17:30" x14ac:dyDescent="0.2">
      <c r="Q749" s="40"/>
      <c r="V749" s="41"/>
      <c r="W749" s="6"/>
      <c r="AA749" s="7"/>
      <c r="AB749" s="7"/>
      <c r="AC749" s="7"/>
      <c r="AD749" s="7"/>
    </row>
    <row r="750" spans="17:30" x14ac:dyDescent="0.2">
      <c r="Q750" s="40"/>
      <c r="V750" s="41"/>
      <c r="W750" s="6"/>
      <c r="AA750" s="7"/>
      <c r="AB750" s="7"/>
      <c r="AC750" s="7"/>
      <c r="AD750" s="7"/>
    </row>
    <row r="751" spans="17:30" x14ac:dyDescent="0.2">
      <c r="Q751" s="40"/>
      <c r="V751" s="41"/>
      <c r="W751" s="6"/>
      <c r="AA751" s="7"/>
      <c r="AB751" s="7"/>
      <c r="AC751" s="7"/>
      <c r="AD751" s="7"/>
    </row>
    <row r="752" spans="17:30" x14ac:dyDescent="0.2">
      <c r="Q752" s="40"/>
      <c r="V752" s="41"/>
      <c r="W752" s="6"/>
      <c r="AA752" s="7"/>
      <c r="AB752" s="7"/>
      <c r="AC752" s="7"/>
      <c r="AD752" s="7"/>
    </row>
    <row r="753" spans="17:30" x14ac:dyDescent="0.2">
      <c r="Q753" s="40"/>
      <c r="V753" s="41"/>
      <c r="W753" s="6"/>
      <c r="AA753" s="7"/>
      <c r="AB753" s="7"/>
      <c r="AC753" s="7"/>
      <c r="AD753" s="7"/>
    </row>
    <row r="754" spans="17:30" x14ac:dyDescent="0.2">
      <c r="Q754" s="40"/>
      <c r="V754" s="41"/>
      <c r="W754" s="6"/>
      <c r="AA754" s="7"/>
      <c r="AB754" s="7"/>
      <c r="AC754" s="7"/>
      <c r="AD754" s="7"/>
    </row>
    <row r="755" spans="17:30" x14ac:dyDescent="0.2">
      <c r="Q755" s="40"/>
      <c r="V755" s="41"/>
      <c r="W755" s="6"/>
      <c r="AA755" s="7"/>
      <c r="AB755" s="7"/>
      <c r="AC755" s="7"/>
      <c r="AD755" s="7"/>
    </row>
    <row r="756" spans="17:30" x14ac:dyDescent="0.2">
      <c r="Q756" s="40"/>
      <c r="V756" s="41"/>
      <c r="W756" s="6"/>
      <c r="AA756" s="7"/>
      <c r="AB756" s="7"/>
      <c r="AC756" s="7"/>
      <c r="AD756" s="7"/>
    </row>
    <row r="757" spans="17:30" x14ac:dyDescent="0.2">
      <c r="Q757" s="40"/>
      <c r="V757" s="41"/>
      <c r="W757" s="6"/>
      <c r="AA757" s="7"/>
      <c r="AB757" s="7"/>
      <c r="AC757" s="7"/>
      <c r="AD757" s="7"/>
    </row>
    <row r="758" spans="17:30" x14ac:dyDescent="0.2">
      <c r="Q758" s="40"/>
      <c r="V758" s="41"/>
      <c r="W758" s="6"/>
      <c r="AA758" s="7"/>
      <c r="AB758" s="7"/>
      <c r="AC758" s="7"/>
      <c r="AD758" s="7"/>
    </row>
    <row r="759" spans="17:30" x14ac:dyDescent="0.2">
      <c r="Q759" s="40"/>
      <c r="V759" s="41"/>
      <c r="W759" s="6"/>
      <c r="AA759" s="7"/>
      <c r="AB759" s="7"/>
      <c r="AC759" s="7"/>
      <c r="AD759" s="7"/>
    </row>
    <row r="760" spans="17:30" x14ac:dyDescent="0.2">
      <c r="Q760" s="40"/>
      <c r="V760" s="41"/>
      <c r="W760" s="6"/>
      <c r="AA760" s="7"/>
      <c r="AB760" s="7"/>
      <c r="AC760" s="7"/>
      <c r="AD760" s="7"/>
    </row>
    <row r="761" spans="17:30" x14ac:dyDescent="0.2">
      <c r="Q761" s="40"/>
      <c r="V761" s="41"/>
      <c r="W761" s="6"/>
      <c r="AA761" s="7"/>
      <c r="AB761" s="7"/>
      <c r="AC761" s="7"/>
      <c r="AD761" s="7"/>
    </row>
    <row r="762" spans="17:30" x14ac:dyDescent="0.2">
      <c r="Q762" s="40"/>
      <c r="V762" s="41"/>
      <c r="W762" s="6"/>
      <c r="AA762" s="7"/>
      <c r="AB762" s="7"/>
      <c r="AC762" s="7"/>
      <c r="AD762" s="7"/>
    </row>
    <row r="763" spans="17:30" x14ac:dyDescent="0.2">
      <c r="Q763" s="40"/>
      <c r="V763" s="41"/>
      <c r="W763" s="6"/>
      <c r="AA763" s="7"/>
      <c r="AB763" s="7"/>
      <c r="AC763" s="7"/>
      <c r="AD763" s="7"/>
    </row>
    <row r="764" spans="17:30" x14ac:dyDescent="0.2">
      <c r="Q764" s="40"/>
      <c r="V764" s="41"/>
      <c r="W764" s="6"/>
      <c r="AA764" s="7"/>
      <c r="AB764" s="7"/>
      <c r="AC764" s="7"/>
      <c r="AD764" s="7"/>
    </row>
    <row r="765" spans="17:30" x14ac:dyDescent="0.2">
      <c r="Q765" s="40"/>
      <c r="V765" s="41"/>
      <c r="W765" s="6"/>
      <c r="AA765" s="7"/>
      <c r="AB765" s="7"/>
      <c r="AC765" s="7"/>
      <c r="AD765" s="7"/>
    </row>
    <row r="766" spans="17:30" x14ac:dyDescent="0.2">
      <c r="Q766" s="40"/>
      <c r="V766" s="41"/>
      <c r="W766" s="6"/>
      <c r="AA766" s="7"/>
      <c r="AB766" s="7"/>
      <c r="AC766" s="7"/>
      <c r="AD766" s="7"/>
    </row>
    <row r="767" spans="17:30" x14ac:dyDescent="0.2">
      <c r="Q767" s="40"/>
      <c r="V767" s="41"/>
      <c r="W767" s="6"/>
      <c r="AA767" s="7"/>
      <c r="AB767" s="7"/>
      <c r="AC767" s="7"/>
      <c r="AD767" s="7"/>
    </row>
    <row r="768" spans="17:30" x14ac:dyDescent="0.2">
      <c r="Q768" s="40"/>
      <c r="V768" s="41"/>
      <c r="W768" s="6"/>
      <c r="AA768" s="7"/>
      <c r="AB768" s="7"/>
      <c r="AC768" s="7"/>
      <c r="AD768" s="7"/>
    </row>
    <row r="769" spans="17:30" x14ac:dyDescent="0.2">
      <c r="Q769" s="40"/>
      <c r="V769" s="41"/>
      <c r="W769" s="6"/>
      <c r="AA769" s="7"/>
      <c r="AB769" s="7"/>
      <c r="AC769" s="7"/>
      <c r="AD769" s="7"/>
    </row>
    <row r="770" spans="17:30" x14ac:dyDescent="0.2">
      <c r="Q770" s="40"/>
      <c r="V770" s="41"/>
      <c r="W770" s="6"/>
      <c r="AA770" s="7"/>
      <c r="AB770" s="7"/>
      <c r="AC770" s="7"/>
      <c r="AD770" s="7"/>
    </row>
    <row r="771" spans="17:30" x14ac:dyDescent="0.2">
      <c r="Q771" s="40"/>
      <c r="V771" s="41"/>
      <c r="W771" s="6"/>
      <c r="AA771" s="7"/>
      <c r="AB771" s="7"/>
      <c r="AC771" s="7"/>
      <c r="AD771" s="7"/>
    </row>
    <row r="772" spans="17:30" x14ac:dyDescent="0.2">
      <c r="Q772" s="40"/>
      <c r="V772" s="41"/>
      <c r="W772" s="6"/>
      <c r="AA772" s="7"/>
      <c r="AB772" s="7"/>
      <c r="AC772" s="7"/>
      <c r="AD772" s="7"/>
    </row>
    <row r="773" spans="17:30" x14ac:dyDescent="0.2">
      <c r="Q773" s="40"/>
      <c r="V773" s="41"/>
      <c r="W773" s="6"/>
      <c r="AA773" s="7"/>
      <c r="AB773" s="7"/>
      <c r="AC773" s="7"/>
      <c r="AD773" s="7"/>
    </row>
    <row r="774" spans="17:30" x14ac:dyDescent="0.2">
      <c r="Q774" s="40"/>
      <c r="V774" s="41"/>
      <c r="W774" s="6"/>
      <c r="AA774" s="7"/>
      <c r="AB774" s="7"/>
      <c r="AC774" s="7"/>
      <c r="AD774" s="7"/>
    </row>
    <row r="775" spans="17:30" x14ac:dyDescent="0.2">
      <c r="Q775" s="40"/>
      <c r="V775" s="41"/>
      <c r="W775" s="6"/>
      <c r="AA775" s="7"/>
      <c r="AB775" s="7"/>
      <c r="AC775" s="7"/>
      <c r="AD775" s="7"/>
    </row>
    <row r="776" spans="17:30" x14ac:dyDescent="0.2">
      <c r="Q776" s="40"/>
      <c r="V776" s="41"/>
      <c r="W776" s="6"/>
      <c r="AA776" s="7"/>
      <c r="AB776" s="7"/>
      <c r="AC776" s="7"/>
      <c r="AD776" s="7"/>
    </row>
    <row r="777" spans="17:30" x14ac:dyDescent="0.2">
      <c r="Q777" s="40"/>
      <c r="V777" s="41"/>
      <c r="W777" s="6"/>
      <c r="AA777" s="7"/>
      <c r="AB777" s="7"/>
      <c r="AC777" s="7"/>
      <c r="AD777" s="7"/>
    </row>
    <row r="778" spans="17:30" x14ac:dyDescent="0.2">
      <c r="Q778" s="40"/>
      <c r="V778" s="41"/>
      <c r="W778" s="6"/>
      <c r="AA778" s="7"/>
      <c r="AB778" s="7"/>
      <c r="AC778" s="7"/>
      <c r="AD778" s="7"/>
    </row>
    <row r="779" spans="17:30" x14ac:dyDescent="0.2">
      <c r="Q779" s="40"/>
      <c r="V779" s="41"/>
      <c r="W779" s="6"/>
      <c r="AA779" s="7"/>
      <c r="AB779" s="7"/>
      <c r="AC779" s="7"/>
      <c r="AD779" s="7"/>
    </row>
    <row r="780" spans="17:30" x14ac:dyDescent="0.2">
      <c r="Q780" s="40"/>
      <c r="V780" s="41"/>
      <c r="W780" s="6"/>
      <c r="AA780" s="7"/>
      <c r="AB780" s="7"/>
      <c r="AC780" s="7"/>
      <c r="AD780" s="7"/>
    </row>
    <row r="781" spans="17:30" x14ac:dyDescent="0.2">
      <c r="Q781" s="40"/>
      <c r="V781" s="41"/>
      <c r="W781" s="6"/>
      <c r="AA781" s="7"/>
      <c r="AB781" s="7"/>
      <c r="AC781" s="7"/>
      <c r="AD781" s="7"/>
    </row>
    <row r="782" spans="17:30" x14ac:dyDescent="0.2">
      <c r="Q782" s="40"/>
      <c r="V782" s="41"/>
      <c r="W782" s="6"/>
      <c r="AA782" s="7"/>
      <c r="AB782" s="7"/>
      <c r="AC782" s="7"/>
      <c r="AD782" s="7"/>
    </row>
    <row r="783" spans="17:30" x14ac:dyDescent="0.2">
      <c r="Q783" s="40"/>
      <c r="V783" s="41"/>
      <c r="W783" s="6"/>
      <c r="AA783" s="7"/>
      <c r="AB783" s="7"/>
      <c r="AC783" s="7"/>
      <c r="AD783" s="7"/>
    </row>
    <row r="784" spans="17:30" x14ac:dyDescent="0.2">
      <c r="Q784" s="40"/>
      <c r="V784" s="41"/>
      <c r="W784" s="6"/>
      <c r="AA784" s="7"/>
      <c r="AB784" s="7"/>
      <c r="AC784" s="7"/>
      <c r="AD784" s="7"/>
    </row>
    <row r="785" spans="17:30" x14ac:dyDescent="0.2">
      <c r="Q785" s="40"/>
      <c r="V785" s="41"/>
      <c r="W785" s="6"/>
      <c r="AA785" s="7"/>
      <c r="AB785" s="7"/>
      <c r="AC785" s="7"/>
      <c r="AD785" s="7"/>
    </row>
    <row r="786" spans="17:30" x14ac:dyDescent="0.2">
      <c r="Q786" s="40"/>
      <c r="V786" s="41"/>
      <c r="W786" s="6"/>
      <c r="AA786" s="7"/>
      <c r="AB786" s="7"/>
      <c r="AC786" s="7"/>
      <c r="AD786" s="7"/>
    </row>
    <row r="787" spans="17:30" x14ac:dyDescent="0.2">
      <c r="Q787" s="40"/>
      <c r="V787" s="41"/>
      <c r="W787" s="6"/>
      <c r="AA787" s="7"/>
      <c r="AB787" s="7"/>
      <c r="AC787" s="7"/>
      <c r="AD787" s="7"/>
    </row>
    <row r="788" spans="17:30" x14ac:dyDescent="0.2">
      <c r="Q788" s="40"/>
      <c r="V788" s="41"/>
      <c r="W788" s="6"/>
      <c r="AA788" s="7"/>
      <c r="AB788" s="7"/>
      <c r="AC788" s="7"/>
      <c r="AD788" s="7"/>
    </row>
    <row r="789" spans="17:30" x14ac:dyDescent="0.2">
      <c r="Q789" s="40"/>
      <c r="V789" s="41"/>
      <c r="W789" s="6"/>
      <c r="AA789" s="7"/>
      <c r="AB789" s="7"/>
      <c r="AC789" s="7"/>
      <c r="AD789" s="7"/>
    </row>
  </sheetData>
  <autoFilter ref="B5:AE367"/>
  <mergeCells count="3">
    <mergeCell ref="D2:E3"/>
    <mergeCell ref="AG2:AH2"/>
    <mergeCell ref="BS4:BU4"/>
  </mergeCells>
  <dataValidations count="1">
    <dataValidation type="list" allowBlank="1" showInputMessage="1" showErrorMessage="1" sqref="Q2 BH2">
      <formula1>"0,1"</formula1>
    </dataValidation>
  </dataValidations>
  <pageMargins left="0.75" right="0.75" top="1" bottom="1" header="0.5" footer="0.5"/>
  <pageSetup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5" tint="-0.249977111117893"/>
  </sheetPr>
  <dimension ref="A1:CF789"/>
  <sheetViews>
    <sheetView zoomScaleNormal="100" workbookViewId="0">
      <pane xSplit="8" ySplit="7" topLeftCell="L8" activePane="bottomRight" state="frozen"/>
      <selection pane="topRight" activeCell="H1" sqref="H1"/>
      <selection pane="bottomLeft" activeCell="A8" sqref="A8"/>
      <selection pane="bottomRight" activeCell="R7" sqref="R7"/>
    </sheetView>
  </sheetViews>
  <sheetFormatPr defaultRowHeight="12" x14ac:dyDescent="0.2"/>
  <cols>
    <col min="1" max="1" width="12.42578125" style="2" bestFit="1" customWidth="1"/>
    <col min="2" max="2" width="8.42578125" style="2" customWidth="1"/>
    <col min="3" max="3" width="7.85546875" style="2" customWidth="1"/>
    <col min="4" max="4" width="8.85546875" style="4" customWidth="1"/>
    <col min="5" max="5" width="6.85546875" style="2" customWidth="1"/>
    <col min="6" max="7" width="12.7109375" style="2" customWidth="1"/>
    <col min="8" max="8" width="8.42578125" style="2" customWidth="1"/>
    <col min="9" max="9" width="11.42578125" style="2" customWidth="1"/>
    <col min="10" max="10" width="9.42578125" style="2" customWidth="1"/>
    <col min="11" max="11" width="9.5703125" style="2" customWidth="1"/>
    <col min="12" max="12" width="11.42578125" style="2" customWidth="1"/>
    <col min="13" max="13" width="10.85546875" style="2" customWidth="1"/>
    <col min="14" max="14" width="10.28515625" style="7" bestFit="1" customWidth="1"/>
    <col min="15" max="15" width="10.7109375" style="2" customWidth="1"/>
    <col min="16" max="16" width="17" style="3" bestFit="1" customWidth="1"/>
    <col min="17" max="17" width="15.85546875" style="5" bestFit="1" customWidth="1"/>
    <col min="18" max="21" width="11.140625" style="7" customWidth="1"/>
    <col min="22" max="22" width="12.85546875" style="15" customWidth="1"/>
    <col min="23" max="23" width="13.140625" style="5" customWidth="1"/>
    <col min="24" max="24" width="16.5703125" style="3" customWidth="1"/>
    <col min="25" max="25" width="12.28515625" style="2" customWidth="1"/>
    <col min="26" max="26" width="13.42578125" style="2" customWidth="1"/>
    <col min="27" max="27" width="10.85546875" style="2" customWidth="1"/>
    <col min="28" max="29" width="10.140625" style="2" customWidth="1"/>
    <col min="30" max="31" width="13.42578125" style="2" customWidth="1"/>
    <col min="32" max="32" width="17.7109375" style="7" bestFit="1" customWidth="1"/>
    <col min="33" max="33" width="12.85546875" style="2" customWidth="1"/>
    <col min="34" max="34" width="14" style="2" customWidth="1"/>
    <col min="35" max="35" width="24.42578125" style="2" bestFit="1" customWidth="1"/>
    <col min="36" max="36" width="11" style="2" bestFit="1" customWidth="1"/>
    <col min="37" max="37" width="9.42578125" style="2" bestFit="1" customWidth="1"/>
    <col min="38" max="38" width="9.42578125" style="2" customWidth="1"/>
    <col min="39" max="41" width="13.85546875" style="2" customWidth="1"/>
    <col min="42" max="42" width="11" style="3" bestFit="1" customWidth="1"/>
    <col min="43" max="44" width="9.85546875" style="3" customWidth="1"/>
    <col min="45" max="46" width="11" style="2" bestFit="1" customWidth="1"/>
    <col min="47" max="47" width="11" style="7" bestFit="1" customWidth="1"/>
    <col min="48" max="48" width="11.42578125" style="2" bestFit="1" customWidth="1"/>
    <col min="49" max="49" width="9.140625" style="2" customWidth="1"/>
    <col min="50" max="50" width="10.5703125" style="2" customWidth="1"/>
    <col min="51" max="51" width="10.42578125" style="2" customWidth="1"/>
    <col min="52" max="53" width="9.7109375" style="2" customWidth="1"/>
    <col min="54" max="55" width="9.140625" style="2" customWidth="1"/>
    <col min="56" max="57" width="9.140625" style="2"/>
    <col min="58" max="58" width="10.7109375" style="2" customWidth="1"/>
    <col min="59" max="59" width="9.140625" style="2"/>
    <col min="60" max="60" width="9.140625" style="2" customWidth="1"/>
    <col min="61" max="62" width="9.28515625" style="2" customWidth="1"/>
    <col min="63" max="63" width="8.85546875" style="2" customWidth="1"/>
    <col min="64" max="64" width="10.140625" style="2" customWidth="1"/>
    <col min="65" max="66" width="9.140625" style="2"/>
    <col min="67" max="67" width="10.42578125" style="2" customWidth="1"/>
    <col min="68" max="68" width="9.140625" style="2"/>
    <col min="69" max="69" width="14" style="2" bestFit="1" customWidth="1"/>
    <col min="70" max="70" width="9.140625" style="2"/>
    <col min="71" max="71" width="12.42578125" style="2" bestFit="1" customWidth="1"/>
    <col min="72" max="72" width="13.42578125" style="2" customWidth="1"/>
    <col min="73" max="80" width="9.140625" style="2"/>
    <col min="81" max="81" width="11.28515625" style="2" bestFit="1" customWidth="1"/>
    <col min="82" max="82" width="10.28515625" style="2" bestFit="1" customWidth="1"/>
    <col min="83" max="84" width="11.28515625" style="2" bestFit="1" customWidth="1"/>
    <col min="85" max="16384" width="9.140625" style="2"/>
  </cols>
  <sheetData>
    <row r="1" spans="1:84" ht="12.75" thickBot="1" x14ac:dyDescent="0.25">
      <c r="D1" s="2"/>
    </row>
    <row r="2" spans="1:84" ht="12.75" customHeight="1" thickBot="1" x14ac:dyDescent="0.25">
      <c r="D2" s="633" t="s">
        <v>55</v>
      </c>
      <c r="E2" s="634"/>
      <c r="F2" s="42">
        <f>Input!E23</f>
        <v>0.04</v>
      </c>
      <c r="G2" s="2" t="s">
        <v>69</v>
      </c>
      <c r="M2" s="137"/>
      <c r="P2" s="108" t="s">
        <v>117</v>
      </c>
      <c r="Q2" s="110"/>
      <c r="R2" s="109">
        <v>1</v>
      </c>
      <c r="S2" s="15"/>
      <c r="T2" s="15"/>
      <c r="U2" s="15"/>
      <c r="W2" s="215">
        <f>wfmc/12</f>
        <v>1.1249999999999999E-3</v>
      </c>
      <c r="X2" s="47" t="s">
        <v>56</v>
      </c>
      <c r="Y2" s="48">
        <f>((1+wfmc/365.25)^(365.25))^(1/12)-1</f>
        <v>1.1256122364291521E-3</v>
      </c>
      <c r="AB2" s="140"/>
      <c r="AC2" s="140"/>
      <c r="AG2" s="637" t="s">
        <v>23</v>
      </c>
      <c r="AH2" s="638"/>
      <c r="AP2" s="43"/>
      <c r="AQ2" s="43"/>
      <c r="AR2" s="43"/>
      <c r="AS2" s="43"/>
      <c r="AT2" s="43"/>
      <c r="AU2" s="43"/>
      <c r="BG2" s="47" t="s">
        <v>77</v>
      </c>
      <c r="BH2" s="52">
        <v>1</v>
      </c>
      <c r="CC2" s="3">
        <f ca="1">SUM(N7:N367)</f>
        <v>0</v>
      </c>
    </row>
    <row r="3" spans="1:84" ht="12.75" thickBot="1" x14ac:dyDescent="0.25">
      <c r="D3" s="635"/>
      <c r="E3" s="636"/>
      <c r="F3" s="214">
        <f>((1+F2)^(1/12)-1)</f>
        <v>3.2737397821989145E-3</v>
      </c>
      <c r="G3" s="2" t="s">
        <v>70</v>
      </c>
      <c r="M3" s="129"/>
      <c r="N3" s="16"/>
      <c r="P3" s="24"/>
      <c r="R3" s="33"/>
      <c r="S3" s="33"/>
      <c r="T3" s="33"/>
      <c r="U3" s="33"/>
      <c r="W3" s="3"/>
      <c r="Y3" s="3"/>
      <c r="Z3" s="3"/>
      <c r="AA3" s="3"/>
      <c r="AB3" s="3"/>
      <c r="AC3" s="3"/>
      <c r="AD3" s="3"/>
      <c r="AE3" s="3"/>
      <c r="AF3" s="152"/>
      <c r="AG3" s="8" t="s">
        <v>25</v>
      </c>
      <c r="AH3" s="9">
        <f ca="1">IRR(AH7:AH367,0.001)</f>
        <v>1.6483052721067981E-3</v>
      </c>
      <c r="AS3" s="3"/>
      <c r="BG3" s="19"/>
      <c r="BH3" s="19"/>
      <c r="BI3" s="19"/>
      <c r="BJ3" s="19"/>
      <c r="BK3" s="19"/>
      <c r="BL3" s="19"/>
      <c r="BM3" s="19"/>
      <c r="BN3" s="19"/>
      <c r="BO3" s="19"/>
      <c r="BP3" s="19"/>
      <c r="CC3" s="3"/>
      <c r="CD3" s="3"/>
      <c r="CF3" s="3"/>
    </row>
    <row r="4" spans="1:84" ht="12.75" thickBot="1" x14ac:dyDescent="0.25">
      <c r="A4" s="150"/>
      <c r="D4" s="2"/>
      <c r="W4" s="3"/>
      <c r="Y4" s="3"/>
      <c r="Z4" s="3"/>
      <c r="AA4" s="16"/>
      <c r="AB4" s="16"/>
      <c r="AC4" s="16"/>
      <c r="AD4" s="16"/>
      <c r="AE4" s="3"/>
      <c r="AG4" s="10" t="s">
        <v>26</v>
      </c>
      <c r="AH4" s="11">
        <f ca="1">(1+AH3)^12-1</f>
        <v>1.9959968232107883E-2</v>
      </c>
      <c r="AJ4" s="43" t="s">
        <v>28</v>
      </c>
      <c r="AK4" s="43"/>
      <c r="AL4" s="43"/>
      <c r="AM4" s="43"/>
      <c r="AN4" s="43"/>
      <c r="AW4" s="43" t="s">
        <v>97</v>
      </c>
      <c r="AX4" s="43"/>
      <c r="BG4" s="49" t="s">
        <v>214</v>
      </c>
      <c r="BH4" s="49"/>
      <c r="BI4" s="26"/>
      <c r="BJ4" s="26"/>
      <c r="BK4" s="49"/>
      <c r="BL4" s="49"/>
      <c r="BM4" s="26"/>
      <c r="BN4" s="26"/>
      <c r="BO4" s="49"/>
      <c r="BS4" s="639"/>
      <c r="BT4" s="639"/>
      <c r="BU4" s="639"/>
      <c r="CE4" s="3" t="s">
        <v>239</v>
      </c>
    </row>
    <row r="5" spans="1:84" s="240" customFormat="1" ht="72" customHeight="1" x14ac:dyDescent="0.2">
      <c r="B5" s="53" t="s">
        <v>78</v>
      </c>
      <c r="C5" s="53" t="s">
        <v>66</v>
      </c>
      <c r="D5" s="53" t="s">
        <v>12</v>
      </c>
      <c r="E5" s="53" t="s">
        <v>38</v>
      </c>
      <c r="F5" s="53" t="s">
        <v>12</v>
      </c>
      <c r="G5" s="53" t="s">
        <v>318</v>
      </c>
      <c r="H5" s="53" t="s">
        <v>13</v>
      </c>
      <c r="I5" s="53" t="s">
        <v>67</v>
      </c>
      <c r="J5" s="53" t="s">
        <v>14</v>
      </c>
      <c r="K5" s="53" t="s">
        <v>54</v>
      </c>
      <c r="L5" s="53" t="s">
        <v>15</v>
      </c>
      <c r="M5" s="53" t="s">
        <v>107</v>
      </c>
      <c r="N5" s="53" t="s">
        <v>108</v>
      </c>
      <c r="O5" s="53" t="s">
        <v>114</v>
      </c>
      <c r="P5" s="53" t="s">
        <v>41</v>
      </c>
      <c r="Q5" s="53" t="s">
        <v>18</v>
      </c>
      <c r="R5" s="53" t="s">
        <v>62</v>
      </c>
      <c r="S5" s="53" t="s">
        <v>76</v>
      </c>
      <c r="T5" s="53" t="s">
        <v>314</v>
      </c>
      <c r="U5" s="53" t="s">
        <v>305</v>
      </c>
      <c r="V5" s="53" t="s">
        <v>40</v>
      </c>
      <c r="W5" s="53" t="s">
        <v>19</v>
      </c>
      <c r="X5" s="53" t="s">
        <v>74</v>
      </c>
      <c r="Y5" s="53" t="s">
        <v>36</v>
      </c>
      <c r="Z5" s="53" t="s">
        <v>75</v>
      </c>
      <c r="AA5" s="53" t="s">
        <v>256</v>
      </c>
      <c r="AB5" s="53" t="s">
        <v>255</v>
      </c>
      <c r="AC5" s="53" t="s">
        <v>394</v>
      </c>
      <c r="AD5" s="53" t="s">
        <v>72</v>
      </c>
      <c r="AE5" s="53" t="s">
        <v>73</v>
      </c>
      <c r="AF5" s="37"/>
      <c r="AG5" s="56" t="s">
        <v>12</v>
      </c>
      <c r="AH5" s="57" t="s">
        <v>24</v>
      </c>
      <c r="AJ5" s="53" t="s">
        <v>68</v>
      </c>
      <c r="AK5" s="53" t="s">
        <v>54</v>
      </c>
      <c r="AL5" s="53" t="s">
        <v>27</v>
      </c>
      <c r="AM5" s="54" t="s">
        <v>201</v>
      </c>
      <c r="AN5" s="54" t="s">
        <v>199</v>
      </c>
      <c r="AO5" s="54" t="s">
        <v>200</v>
      </c>
      <c r="AP5" s="54" t="s">
        <v>57</v>
      </c>
      <c r="AQ5" s="53" t="s">
        <v>79</v>
      </c>
      <c r="AR5" s="53" t="s">
        <v>71</v>
      </c>
      <c r="AS5" s="53" t="s">
        <v>58</v>
      </c>
      <c r="AT5" s="53" t="s">
        <v>61</v>
      </c>
      <c r="AU5" s="53" t="s">
        <v>59</v>
      </c>
      <c r="AW5" s="55" t="s">
        <v>13</v>
      </c>
      <c r="AX5" s="55" t="s">
        <v>54</v>
      </c>
      <c r="AY5" s="55" t="s">
        <v>2</v>
      </c>
      <c r="AZ5" s="55" t="s">
        <v>363</v>
      </c>
      <c r="BA5" s="55" t="s">
        <v>362</v>
      </c>
      <c r="BB5" s="55" t="s">
        <v>29</v>
      </c>
      <c r="BC5" s="55" t="s">
        <v>36</v>
      </c>
      <c r="BD5" s="55" t="s">
        <v>213</v>
      </c>
      <c r="BE5" s="55" t="s">
        <v>137</v>
      </c>
      <c r="BF5" s="55" t="s">
        <v>105</v>
      </c>
      <c r="BG5" s="53" t="s">
        <v>54</v>
      </c>
      <c r="BH5" s="53" t="s">
        <v>2</v>
      </c>
      <c r="BI5" s="53" t="s">
        <v>76</v>
      </c>
      <c r="BJ5" s="229" t="s">
        <v>305</v>
      </c>
      <c r="BK5" s="53" t="s">
        <v>29</v>
      </c>
      <c r="BL5" s="53" t="s">
        <v>315</v>
      </c>
      <c r="BM5" s="53" t="s">
        <v>80</v>
      </c>
      <c r="BN5" s="53" t="s">
        <v>141</v>
      </c>
      <c r="BO5" s="53" t="s">
        <v>81</v>
      </c>
      <c r="BP5" s="53" t="s">
        <v>215</v>
      </c>
      <c r="BT5" s="31"/>
      <c r="BV5" s="31"/>
      <c r="BW5" s="53" t="s">
        <v>135</v>
      </c>
      <c r="BX5" s="53" t="s">
        <v>136</v>
      </c>
      <c r="BY5" s="53" t="s">
        <v>138</v>
      </c>
      <c r="BZ5" s="2"/>
      <c r="CA5" s="2"/>
      <c r="CC5" s="53" t="s">
        <v>180</v>
      </c>
      <c r="CD5" s="53" t="s">
        <v>182</v>
      </c>
      <c r="CE5" s="53" t="s">
        <v>181</v>
      </c>
      <c r="CF5" s="53" t="s">
        <v>183</v>
      </c>
    </row>
    <row r="6" spans="1:84" x14ac:dyDescent="0.2">
      <c r="D6" s="2"/>
      <c r="N6" s="46"/>
      <c r="O6" s="116">
        <f ca="1">SUM(O7:O367)</f>
        <v>0</v>
      </c>
      <c r="Q6" s="16"/>
      <c r="S6" s="16"/>
      <c r="T6" s="16"/>
      <c r="U6" s="16"/>
      <c r="Y6" s="19"/>
      <c r="AG6" s="44"/>
      <c r="AH6" s="44"/>
      <c r="AJ6" s="44"/>
      <c r="AK6" s="44"/>
      <c r="AL6" s="44"/>
      <c r="AM6" s="44"/>
      <c r="AN6" s="44"/>
      <c r="AO6" s="44"/>
      <c r="AP6" s="45"/>
      <c r="AQ6" s="45"/>
      <c r="AR6" s="45"/>
      <c r="AS6" s="44"/>
      <c r="AT6" s="44"/>
      <c r="AU6" s="46"/>
    </row>
    <row r="7" spans="1:84" s="7" customFormat="1" x14ac:dyDescent="0.2">
      <c r="A7" s="149"/>
      <c r="B7" s="14">
        <f t="shared" ref="B7:B70" si="0">IF(H7&lt;=pt,1,0)</f>
        <v>1</v>
      </c>
      <c r="C7" s="12">
        <f t="shared" ref="C7:C70" si="1">IF(H7&lt;=ppt,1,0)</f>
        <v>1</v>
      </c>
      <c r="D7" s="17">
        <f>F7+1</f>
        <v>1</v>
      </c>
      <c r="E7" s="17">
        <f t="shared" ref="E7:E70" ca="1" si="2">(age+(H7-1))</f>
        <v>60</v>
      </c>
      <c r="F7" s="12">
        <v>0</v>
      </c>
      <c r="G7" s="12">
        <v>1</v>
      </c>
      <c r="H7" s="17">
        <v>1</v>
      </c>
      <c r="I7" s="29">
        <f t="shared" ref="I7:I70" si="3">IF(AND(H7&lt;=pt,H7&lt;=ppt,F7=0,fq=1),pr,IF(AND(H7&lt;=pt,H7&lt;=ppt,fq=2,MOD(F7,6)=0),pr/fq,IF(AND(H7&lt;=pt,H7&lt;=ppt,fq=12),pr/fq,0)))</f>
        <v>300000</v>
      </c>
      <c r="J7" s="211">
        <f>IFERROR(VLOOKUP(H7,Charges!$T$6:$U$35,2,0)*C7,0)</f>
        <v>0.94499999999999995</v>
      </c>
      <c r="K7" s="29">
        <f t="shared" ref="K7:K70" si="4">ROUND((100%-J7)*I7,Round)</f>
        <v>16500</v>
      </c>
      <c r="L7" s="29">
        <f t="shared" ref="L7:L70" si="5">(I7-(K7+BG7*IF(Model_Type="Pricing_Unit",1,0)))*C7</f>
        <v>280530</v>
      </c>
      <c r="M7" s="147">
        <f t="shared" ref="M7:M70" ca="1" si="6">IF(AND(OR(Option_PW="Y",Option_SPW="Y"),H7&gt;Lock_In_Period,H7&lt;=pt,(W7-IF(option="Single",1/5*pr,2*pr))&gt;0,(age+H7)&gt;=Legal_Age),(W6+L7-IF(option="Single",1/5*pr,2*pr)),0)</f>
        <v>0</v>
      </c>
      <c r="N7" s="148">
        <f ca="1">IF(AND(Option_SPW="Y",H7&gt;=Lock_In_Period,Z6&gt;SPW_Amount_pa+IF(option="Single",1/5*pr,2*pr),H7&gt;=SPW_Start_Year,H7&lt;=SPW_Start_Year+SPW_Duration-1,age+H7&gt;=Legal_Age),IF(AND(F7=0,SPW_Payout_Freq=1),SPW_Amount_pa,IF(AND(SPW_Payout_Freq=2,MOD(F7,6)=0),SPW_Amount_pa/SPW_Payout_Freq,IF(AND(SPW_Payout_Freq=4,MOD(F7,3)=0),SPW_Amount_pa/SPW_Payout_Freq,IF(SPW_Payout_Freq=12,SPW_Amount_pa/SPW_Payout_Freq,0)))),0)+IFERROR(VLOOKUP(H7,Input!$B$68:$C$74,2,0),0)*(F7=0)*(Option_PW="Y")*(Option_SPW="N")*(age+H7&gt;=Legal_Age)</f>
        <v>0</v>
      </c>
      <c r="O7" s="148">
        <f ca="1">IF(N7&lt;=M7,0,1)</f>
        <v>0</v>
      </c>
      <c r="P7" s="14">
        <f ca="1">(MAX(MAX(sa-CF6*Flag_UL_Type,105%*SUM($I$7:I7))-(AD6+L7-N7)*Flag_UL_Type,0)*B7)</f>
        <v>2719470</v>
      </c>
      <c r="Q7" s="213">
        <f t="shared" ref="Q7:Q70" ca="1" si="7">IF(B7=0,0,ROUND(P7*(_rpm1+(1+_emr1)*VLOOKUP(E7,Tab_Mort_Charge,IF(Gender="M",2,3),0))*Flag_Mort_Rider_Charge*(P7&gt;0),Round))*(0.001*IF(Model_Type="LA_PQIS",0.0833,(1/12)))</f>
        <v>2466.3326674999998</v>
      </c>
      <c r="R7" s="248">
        <f t="shared" ref="R7:R70" ca="1" si="8">IF(AND(B7,ADB_Flag="Y",age&lt;=ADB_MAX_AGE,age&gt;=ADB_MIN_AGE,E7&lt;=age+pt),sa_adb,0)</f>
        <v>0</v>
      </c>
      <c r="S7" s="14">
        <f t="shared" ref="S7:S70" ca="1" si="9">ROUND((adb_rate*(1+adb_emr)+adb_rpm)*R7*(0.001*IF(Model_Type="LA_PQIS",0.0833,(1/12)))*Flag_Mort_Rider_Charge*IF(age+H7-1&lt;Max_Maturity_Age,1,0),Round)</f>
        <v>0</v>
      </c>
      <c r="T7" s="14">
        <f>IFERROR(IF(WoP_Flag="Y",IF(fq=1,VLOOKUP(ppt*fq-H7,Charges!$AN$41:$AO$59,2,FALSE),IF(fq=2,VLOOKUP(ppt*fq-G7,Charges!$AP$41:$AQ$79,2,FALSE),VLOOKUP(ppt*fq-D7,Charges!$AR$41:$AS$279,2,FALSE)))*pr/fq,0),0)</f>
        <v>0</v>
      </c>
      <c r="U7" s="14">
        <f ca="1">IFERROR(((T7*(VLOOKUP(Input!$D$18+H7-1,Tab_Mort_Charge,IF(Gender_2="M",2,3),FALSE)*(1+_emr2)+_rpm2)/IF(Model_Type="LA_PQIS",1000/0.0833,(12*1000))))*Flag_Mort_Rider_Charge*(T7&gt;0),0)</f>
        <v>0</v>
      </c>
      <c r="V7" s="34">
        <f>ROUND(MIN(IF(H7&gt;=7,Charges!$C$12*(1+Charges!$C$14)^((H7-7+1)),VLOOKUP(H7,Charges!$B$7:$C$12,2,0))*pr,Charges!$C$13)*B7,Round)</f>
        <v>450</v>
      </c>
      <c r="W7" s="14">
        <f t="shared" ref="W7:W70" ca="1" si="10">+(AD6+L7-(N7+Q7+S7+U7+V7+BG7*IF(Model_Type="La_PQIS",1,0)+BH7+BK7+BI7+BJ7+BM7*IF(Model_Type="La_PQIS",1,0)))*B7</f>
        <v>277088.72745235002</v>
      </c>
      <c r="X7" s="14">
        <f t="shared" ref="X7:X70" ca="1" si="11">W7*(1+$F$3)</f>
        <v>277995.84384260967</v>
      </c>
      <c r="Y7" s="213">
        <f ca="1">X7*$Y$2</f>
        <v>312.91552350568918</v>
      </c>
      <c r="Z7" s="14">
        <f t="shared" ref="Z7:Z70" ca="1" si="12">X7-(Y7+BL7)</f>
        <v>277626.60352487297</v>
      </c>
      <c r="AA7" s="14">
        <f>IF(AND($H7=pt,$F7=11),SUM($K$7:K7)*VLOOKUP(pt,ROC,2,FALSE),0)</f>
        <v>0</v>
      </c>
      <c r="AB7" s="14">
        <f>IF(AND($H7=pt,$F7=11),SUM($V$7:V7)*VLOOKUP(pt,ROC,2,FALSE),0)</f>
        <v>0</v>
      </c>
      <c r="AC7" s="14">
        <f>IF(AND($H7=pt,$F7=11),SUM($Q$7:Q7)*VLOOKUP(pt,ROC,2,FALSE),0)</f>
        <v>0</v>
      </c>
      <c r="AD7" s="14">
        <f ca="1">Z7+AA7+AB7+AC7</f>
        <v>277626.60352487297</v>
      </c>
      <c r="AE7" s="14">
        <f ca="1">(MAX(sa-CF6*Flag_UL_Type,105%*SUM($I$7:I7),Z7)+AU7)*B7</f>
        <v>3000000</v>
      </c>
      <c r="AF7" s="136"/>
      <c r="AG7" s="18">
        <v>1</v>
      </c>
      <c r="AH7" s="30">
        <f t="shared" ref="AH7:AH70" ca="1" si="13">(I7+AJ7)-IF(AG7=pt*12+1,AD6,0)-IF(AG7=pt*12+1,AR6,0)-N7</f>
        <v>300000</v>
      </c>
      <c r="AI7" s="138"/>
      <c r="AJ7" s="50">
        <f>IF(AND(Option_Sys_TopUp&gt;="Y",H7&gt;=sytp,H7&lt;=(dtp+sytp-1),F7=0,H7&lt;=ppt+1),atp,0)+IFERROR(VLOOKUP(H7,Input!$B$55:$C$61,2,0),0)*(F7=0)*(Option_TopUP="Y")*(Option_Sys_TopUp="N")*B7*(pt&gt;=H7+5)</f>
        <v>0</v>
      </c>
      <c r="AK7" s="50">
        <f t="shared" ref="AK7:AK70" si="14">ROUND(allctp*AJ7,0)</f>
        <v>0</v>
      </c>
      <c r="AL7" s="50">
        <f>AJ7-(AK7+BM7*0)</f>
        <v>0</v>
      </c>
      <c r="AM7" s="50">
        <f t="shared" ref="AM7:AM70" si="15">AR6+AL7</f>
        <v>0</v>
      </c>
      <c r="AN7" s="50">
        <f ca="1">IF(B7=0,0,AT7*(_rpm1+(1+_emr1)*VLOOKUP(E7,Tab_Mort_Charge,IF(Input!$C$12="M",2,3),0))*(0.001*0.0833)*Flag_Mort_Rider_Charge*(AT7&gt;0))</f>
        <v>0</v>
      </c>
      <c r="AO7" s="50">
        <f ca="1">AM7-AN7-BM7*1-BN7*1</f>
        <v>0</v>
      </c>
      <c r="AP7" s="50">
        <f ca="1">(AO7)*(1+$F$3)*B7</f>
        <v>0</v>
      </c>
      <c r="AQ7" s="50">
        <f t="shared" ref="AQ7:AQ70" ca="1" si="16">AP7*$Y$2</f>
        <v>0</v>
      </c>
      <c r="AR7" s="50">
        <f t="shared" ref="AR7:AR70" ca="1" si="17">AP7-(AQ7+BO7)</f>
        <v>0</v>
      </c>
      <c r="AS7" s="50">
        <f t="shared" ref="AS7:AS70" si="18">(AJ7*TOPUP_Cover_Level+AS6)*B7</f>
        <v>0</v>
      </c>
      <c r="AT7" s="155">
        <f>(MAX((MAX(AS7,105%*SUM($AJ$7:AJ7))-AM7*Flag_UL_Type),0)*B7)</f>
        <v>0</v>
      </c>
      <c r="AU7" s="50">
        <f ca="1">(MAX(AS7,AR7,105%*SUM($AJ$7:AJ7))*B7)</f>
        <v>0</v>
      </c>
      <c r="AV7" s="125"/>
      <c r="AW7" s="12">
        <v>1</v>
      </c>
      <c r="AX7" s="14">
        <f>SUMIF($H$7:$H$367,"="&amp;AW7,$K$7:$K$367)+SUMIF($H$7:$H$367,"="&amp;AW7,$AK$7:$AK$367)</f>
        <v>16500</v>
      </c>
      <c r="AY7" s="14">
        <f ca="1">SUMIF($H$7:$H$367,"="&amp;AW7,$Q$7:$Q$367)+SUMIF($H$7:$H$367,"="&amp;AW7,$AN$7:$AN$367)</f>
        <v>29771.536692811856</v>
      </c>
      <c r="AZ7" s="14">
        <f ca="1">SUMIF($H$7:$H$367,"="&amp;AW7,$S$7:$S$367)</f>
        <v>0</v>
      </c>
      <c r="BA7" s="14">
        <f ca="1">SUMIF($H$7:$H$367,"="&amp;AW7,$U$7:$U$367)</f>
        <v>0</v>
      </c>
      <c r="BB7" s="14">
        <f>SUMIF($H$7:$H$367,"="&amp;AW7,$V$7:$V$367)</f>
        <v>5400</v>
      </c>
      <c r="BC7" s="14">
        <f t="shared" ref="BC7:BC36" ca="1" si="19">SUMIF($H$7:$H$367,"="&amp;AW7,$Y$7:$Y$367)+SUMIF($H$7:$H$367,"="&amp;AW7,$AQ$7:$AQ$367)</f>
        <v>3536.1632337873307</v>
      </c>
      <c r="BD7" s="14">
        <f t="shared" ref="BD7:BD36" ca="1" si="20">SUMIF($H$7:$H$367,"="&amp;AW7,$BP$7:$BP$367)</f>
        <v>9937.3859867878546</v>
      </c>
      <c r="BE7" s="14">
        <f>SUMIF($H$7:$H$367,"="&amp;AW7,$BY$7:$BY$367)</f>
        <v>9000</v>
      </c>
      <c r="BF7" s="14">
        <f ca="1">SUMIF($H$7:$H$367,"="&amp;AW7,$N$7:$N$367)</f>
        <v>0</v>
      </c>
      <c r="BG7" s="51">
        <f t="shared" ref="BG7:BG70" si="21">ROUND(K7*Service_Tax_Rate*Flag_Service_Tax,Round)+ROUND(K7*Cess1_Rate*Flag_Service_Tax,Round)+ROUND(K7*Cess2_Rate*Flag_Service_Tax,Round)</f>
        <v>2970</v>
      </c>
      <c r="BH7" s="51">
        <f t="shared" ref="BH7:BH70" ca="1" si="22">ROUND(Q7*Service_Tax_Rate*Flag_Service_Tax,Round)+ROUND(Q7*Cess1_Rate*Flag_Service_Tax,Round)+ROUND(Q7*Cess2_Rate*Flag_Service_Tax,Round)</f>
        <v>443.93988015000002</v>
      </c>
      <c r="BI7" s="51">
        <f ca="1">ROUND(S7*Service_Tax_Rate*Flag_Service_Tax,Round)+ROUND(S7*Cess1_Rate*Flag_Service_Tax,Round)+ROUND(S7*Cess2_Rate*Flag_Service_Tax,Round)</f>
        <v>0</v>
      </c>
      <c r="BJ7" s="51">
        <f t="shared" ref="BJ7:BJ70" ca="1" si="23">ROUND(U7*Service_Tax_Rate*Flag_Service_Tax,Round)+ROUND(U7*Cess1_Rate*Flag_Service_Tax,Round)+ROUND(U7*Cess2_Rate*Flag_Service_Tax,Round)</f>
        <v>0</v>
      </c>
      <c r="BK7" s="51">
        <f t="shared" ref="BK7:BK70" si="24">ROUND(V7*Service_Tax_Rate*Flag_Service_Tax,Round)+ROUND(V7*Cess1_Rate*Flag_Service_Tax,Round)+ROUND(V7*Cess2_Rate*Flag_Service_Tax,Round)</f>
        <v>81</v>
      </c>
      <c r="BL7" s="51">
        <f t="shared" ref="BL7:BL70" ca="1" si="25">Y7*Service_Tax_Rate*Flag_Service_Tax+Y7*Cess1_Rate*Flag_Service_Tax+Y7*Cess2_Rate*Flag_Service_Tax</f>
        <v>56.32479423102405</v>
      </c>
      <c r="BM7" s="51">
        <f t="shared" ref="BM7:BM70" si="26">ROUND(AK7*Service_Tax_Rate*Flag_Service_Tax,Round)+ROUND(AK7*Cess1_Rate*Flag_Service_Tax,Round)+ROUND(AK7*Cess2_Rate*Flag_Service_Tax,Round)</f>
        <v>0</v>
      </c>
      <c r="BN7" s="51">
        <f t="shared" ref="BN7:BN70" ca="1" si="27">ROUND(AN7*Service_Tax_Rate*Flag_Service_Tax,Round)+ROUND(AN7*Cess1_Rate*Flag_Service_Tax,Round)+ROUND(AN7*Cess2_Rate*Flag_Service_Tax,Round)</f>
        <v>0</v>
      </c>
      <c r="BO7" s="51">
        <f t="shared" ref="BO7:BO70" ca="1" si="28">AQ7*Service_Tax_Rate*Flag_Service_Tax+AQ7*Cess1_Rate*Flag_Service_Tax+AQ7*Cess2_Rate*Flag_Service_Tax</f>
        <v>0</v>
      </c>
      <c r="BP7" s="51">
        <f t="shared" ref="BP7:BP70" ca="1" si="29">SUM(BG7:BO7)</f>
        <v>3551.2646743810242</v>
      </c>
      <c r="BR7" s="32"/>
      <c r="BS7" s="126"/>
      <c r="BT7" s="16"/>
      <c r="BU7" s="58"/>
      <c r="BW7" s="51">
        <f>VLOOKUP(H7,Charges!$AT$4:$AU$33,2,FALSE)*I7</f>
        <v>9000</v>
      </c>
      <c r="BX7" s="51">
        <f t="shared" ref="BX7:BX70" si="30">AJ7*Commission_TOPUP</f>
        <v>0</v>
      </c>
      <c r="BY7" s="51">
        <f>SUM(BW7:BX7)</f>
        <v>9000</v>
      </c>
      <c r="BZ7" s="151"/>
      <c r="CA7" s="151"/>
      <c r="CB7" s="32"/>
      <c r="CC7" s="16">
        <f ca="1">SUM($N$7:$N7)</f>
        <v>0</v>
      </c>
      <c r="CD7" s="16">
        <f t="shared" ref="CD7:CD70" ca="1" si="31">IF(AND((B7=1)*(H7&gt;Lock_In_Period)),CC7-INDEX($CC$7:$CC$367,D7-24,1),0)*(E7&lt;60)</f>
        <v>0</v>
      </c>
      <c r="CE7" s="16">
        <f t="shared" ref="CE7:CE70" ca="1" si="32">(B7=1)*(H7&gt;Lock_In_Period)*(E7&gt;=60)*IFERROR((CC7-INDEX($CC$7:$CC$367,D7-24,1)),0)</f>
        <v>0</v>
      </c>
      <c r="CF7" s="7">
        <f ca="1">IF(E7&lt;60,CD7,CE7)</f>
        <v>0</v>
      </c>
    </row>
    <row r="8" spans="1:84" s="7" customFormat="1" x14ac:dyDescent="0.2">
      <c r="A8" s="149"/>
      <c r="B8" s="14">
        <f t="shared" si="0"/>
        <v>1</v>
      </c>
      <c r="C8" s="12">
        <f t="shared" si="1"/>
        <v>1</v>
      </c>
      <c r="D8" s="17">
        <f>D7+1</f>
        <v>2</v>
      </c>
      <c r="E8" s="17">
        <f t="shared" ca="1" si="2"/>
        <v>60</v>
      </c>
      <c r="F8" s="12">
        <f>F7+1</f>
        <v>1</v>
      </c>
      <c r="G8" s="12">
        <v>1</v>
      </c>
      <c r="H8" s="17">
        <v>1</v>
      </c>
      <c r="I8" s="29">
        <f t="shared" si="3"/>
        <v>0</v>
      </c>
      <c r="J8" s="211">
        <f>IFERROR(VLOOKUP(H8,Charges!$T$6:$U$35,2,0)*C8,0)</f>
        <v>0.94499999999999995</v>
      </c>
      <c r="K8" s="29">
        <f t="shared" si="4"/>
        <v>0</v>
      </c>
      <c r="L8" s="29">
        <f t="shared" si="5"/>
        <v>0</v>
      </c>
      <c r="M8" s="147">
        <f t="shared" ca="1" si="6"/>
        <v>0</v>
      </c>
      <c r="N8" s="148">
        <f ca="1">IF(AND(Option_SPW="Y",H8&gt;=Lock_In_Period,Z7&gt;SPW_Amount_pa+IF(option="Single",1/5*pr,2*pr),H8&gt;=SPW_Start_Year,H8&lt;=SPW_Start_Year+SPW_Duration-1,age+H8&gt;=Legal_Age),IF(AND(F8=0,SPW_Payout_Freq=1),SPW_Amount_pa,IF(AND(SPW_Payout_Freq=2,MOD(F8,6)=0),SPW_Amount_pa/SPW_Payout_Freq,IF(AND(SPW_Payout_Freq=4,MOD(F8,3)=0),SPW_Amount_pa/SPW_Payout_Freq,IF(SPW_Payout_Freq=12,SPW_Amount_pa/SPW_Payout_Freq,0)))),0)+IFERROR(VLOOKUP(H8,Input!$B$68:$C$74,2,0),0)*(F8=0)*(Option_PW="Y")*(Option_SPW="N")*(age+H8&gt;=Legal_Age)</f>
        <v>0</v>
      </c>
      <c r="O8" s="148">
        <f t="shared" ref="O8:O71" ca="1" si="33">IF(N8&lt;=M8,0,1)</f>
        <v>0</v>
      </c>
      <c r="P8" s="14">
        <f ca="1">(MAX(MAX(sa-CF7*Flag_UL_Type,105%*SUM($I$7:I8))-(AD7+L8-N8)*Flag_UL_Type,0)*B8)</f>
        <v>2722373.396475127</v>
      </c>
      <c r="Q8" s="213">
        <f t="shared" ca="1" si="7"/>
        <v>2468.9658061532332</v>
      </c>
      <c r="R8" s="14">
        <f t="shared" ca="1" si="8"/>
        <v>0</v>
      </c>
      <c r="S8" s="14">
        <f t="shared" ca="1" si="9"/>
        <v>0</v>
      </c>
      <c r="T8" s="14">
        <f>IFERROR(IF(WoP_Flag="Y",IF(fq=1,VLOOKUP(ppt*fq-H8,Charges!$AN$41:$AO$59,2,FALSE),IF(fq=2,VLOOKUP(ppt*fq-G8,Charges!$AP$41:$AQ$79,2,FALSE),VLOOKUP(ppt*fq-D8,Charges!$AR$41:$AS$279,2,FALSE)))*pr/fq,0),0)</f>
        <v>0</v>
      </c>
      <c r="U8" s="14">
        <f ca="1">IFERROR(((T8*(VLOOKUP(Input!$D$18+H8-1,Tab_Mort_Charge,IF(Gender_2="M",2,3),FALSE)*(1+_emr2)+_rpm2)/IF(Model_Type="LA_PQIS",1000/0.0833,(12*1000))))*Flag_Mort_Rider_Charge*(T8&gt;0),0)</f>
        <v>0</v>
      </c>
      <c r="V8" s="34">
        <f>ROUND(MIN(IF(H8&gt;=7,Charges!$C$12*(1+Charges!$C$14)^((H8-7+1)),VLOOKUP(H8,Charges!$B$7:$C$12,2,0))*pr,Charges!$C$13)*B8,Round)</f>
        <v>450</v>
      </c>
      <c r="W8" s="14">
        <f t="shared" ca="1" si="10"/>
        <v>274182.22387361218</v>
      </c>
      <c r="X8" s="14">
        <f t="shared" ca="1" si="11"/>
        <v>275079.82512747898</v>
      </c>
      <c r="Y8" s="213">
        <f t="shared" ref="Y8:Y71" ca="1" si="34">X8*$Y$2</f>
        <v>309.6332171582817</v>
      </c>
      <c r="Z8" s="14">
        <f t="shared" ca="1" si="12"/>
        <v>274714.45793123223</v>
      </c>
      <c r="AA8" s="14">
        <f>IF(AND($H8=pt,$F8=11),SUM($K$7:K8)*VLOOKUP(pt,ROC,2,FALSE),0)</f>
        <v>0</v>
      </c>
      <c r="AB8" s="14">
        <f>IF(AND($H8=pt,$F8=11),SUM($V$7:V8)*VLOOKUP(pt,ROC,2,FALSE),0)</f>
        <v>0</v>
      </c>
      <c r="AC8" s="14">
        <f>IF(AND($H8=pt,$F8=11),SUM($Q$7:Q8)*VLOOKUP(pt,ROC,2,FALSE),0)</f>
        <v>0</v>
      </c>
      <c r="AD8" s="14">
        <f t="shared" ref="AD8:AD71" ca="1" si="35">Z8+AA8+AB8+AC8</f>
        <v>274714.45793123223</v>
      </c>
      <c r="AE8" s="14">
        <f ca="1">(MAX(sa-CF7*Flag_UL_Type,105%*SUM($I$7:I8),Z8)+AU8)*B8</f>
        <v>3000000</v>
      </c>
      <c r="AF8" s="136"/>
      <c r="AG8" s="18">
        <v>2</v>
      </c>
      <c r="AH8" s="30">
        <f t="shared" ca="1" si="13"/>
        <v>0</v>
      </c>
      <c r="AI8" s="138"/>
      <c r="AJ8" s="50">
        <f>IF(AND(Option_Sys_TopUp&gt;="Y",H8&gt;=sytp,H8&lt;=(dtp+sytp-1),F8=0,H8&lt;=ppt+1),atp,0)+IFERROR(VLOOKUP(H8,Input!$B$55:$C$61,2,0),0)*(F8=0)*(Option_TopUP="Y")*(Option_Sys_TopUp="N")*B8*(pt&gt;=H8+5)</f>
        <v>0</v>
      </c>
      <c r="AK8" s="50">
        <f t="shared" si="14"/>
        <v>0</v>
      </c>
      <c r="AL8" s="50">
        <f t="shared" ref="AL8:AL71" si="36">AJ8-(AK8+BM8*0)</f>
        <v>0</v>
      </c>
      <c r="AM8" s="50">
        <f t="shared" ca="1" si="15"/>
        <v>0</v>
      </c>
      <c r="AN8" s="50">
        <f ca="1">IF(B8=0,0,AT8*(_rpm1+(1+_emr1)*VLOOKUP(E8,Tab_Mort_Charge,IF(Input!$C$12="M",2,3),0))*(0.001*0.0833)*Flag_Mort_Rider_Charge*(AT8&gt;0))</f>
        <v>0</v>
      </c>
      <c r="AO8" s="50">
        <f t="shared" ref="AO8:AO71" ca="1" si="37">AM8-AN8-BM8*1-BN8*1</f>
        <v>0</v>
      </c>
      <c r="AP8" s="50">
        <f t="shared" ref="AP8:AP71" ca="1" si="38">(AL8+AR7)*(1+$F$3)*B8</f>
        <v>0</v>
      </c>
      <c r="AQ8" s="50">
        <f t="shared" ca="1" si="16"/>
        <v>0</v>
      </c>
      <c r="AR8" s="50">
        <f t="shared" ca="1" si="17"/>
        <v>0</v>
      </c>
      <c r="AS8" s="50">
        <f t="shared" si="18"/>
        <v>0</v>
      </c>
      <c r="AT8" s="50">
        <f ca="1">(MAX((MAX(AS8,105%*SUM($AJ$7:AJ8))-AM8*Flag_UL_Type),0)*B8)</f>
        <v>0</v>
      </c>
      <c r="AU8" s="50">
        <f ca="1">(MAX(AS8,AR8,105%*SUM($AJ$7:AJ8))*B8)</f>
        <v>0</v>
      </c>
      <c r="AV8" s="125"/>
      <c r="AW8" s="12">
        <f>AW7+1</f>
        <v>2</v>
      </c>
      <c r="AX8" s="14">
        <f t="shared" ref="AX8:AX36" si="39">SUMIF($H$7:$H$367,"="&amp;AW8,$K$7:$K$367)+SUMIF($H$7:$H$367,"="&amp;AW8,$AK$7:$AK$367)</f>
        <v>15000</v>
      </c>
      <c r="AY8" s="14">
        <f t="shared" ref="AY8:AY36" ca="1" si="40">SUMIF($H$7:$H$367,"="&amp;AW8,$Q$7:$Q$367)+SUMIF($H$7:$H$367,"="&amp;AW8,$AN$7:$AN$367)</f>
        <v>29007.148334912577</v>
      </c>
      <c r="AZ8" s="14">
        <f t="shared" ref="AZ8:AZ36" ca="1" si="41">SUMIF($H$7:$H$367,"="&amp;AW8,$S$7:$S$367)</f>
        <v>0</v>
      </c>
      <c r="BA8" s="14">
        <f t="shared" ref="BA8:BA36" ca="1" si="42">SUMIF($H$7:$H$367,"="&amp;AW8,$U$7:$U$367)</f>
        <v>0</v>
      </c>
      <c r="BB8" s="14">
        <f t="shared" ref="BB8:BB36" si="43">SUMIF($H$7:$H$367,"="&amp;AW8,$V$7:$V$367)</f>
        <v>5400</v>
      </c>
      <c r="BC8" s="14">
        <f t="shared" ca="1" si="19"/>
        <v>6924.2705110327506</v>
      </c>
      <c r="BD8" s="14">
        <f t="shared" ca="1" si="20"/>
        <v>10139.655392270161</v>
      </c>
      <c r="BE8" s="14">
        <f t="shared" ref="BE8:BE36" si="44">SUMIF($H$7:$H$367,"="&amp;AW8,$BY$7:$BY$367)</f>
        <v>3000</v>
      </c>
      <c r="BF8" s="14">
        <f t="shared" ref="BF8:BF36" ca="1" si="45">SUMIF($H$7:$H$367,"="&amp;AW8,$N$7:$N$367)</f>
        <v>0</v>
      </c>
      <c r="BG8" s="51">
        <f t="shared" si="21"/>
        <v>0</v>
      </c>
      <c r="BH8" s="51">
        <f t="shared" ca="1" si="22"/>
        <v>444.41384510758201</v>
      </c>
      <c r="BI8" s="51">
        <f t="shared" ref="BI8:BI70" ca="1" si="46">ROUND(S8*Service_Tax_Rate*Flag_Service_Tax,Round)+ROUND(S8*Cess1_Rate*Flag_Service_Tax,Round)+ROUND(S8*Cess2_Rate*Flag_Service_Tax,Round)</f>
        <v>0</v>
      </c>
      <c r="BJ8" s="51">
        <f t="shared" ca="1" si="23"/>
        <v>0</v>
      </c>
      <c r="BK8" s="51">
        <f t="shared" si="24"/>
        <v>81</v>
      </c>
      <c r="BL8" s="51">
        <f t="shared" ca="1" si="25"/>
        <v>55.733979088490706</v>
      </c>
      <c r="BM8" s="51">
        <f t="shared" si="26"/>
        <v>0</v>
      </c>
      <c r="BN8" s="51">
        <f t="shared" ca="1" si="27"/>
        <v>0</v>
      </c>
      <c r="BO8" s="51">
        <f t="shared" ca="1" si="28"/>
        <v>0</v>
      </c>
      <c r="BP8" s="51">
        <f t="shared" ca="1" si="29"/>
        <v>581.14782419607275</v>
      </c>
      <c r="BR8" s="32"/>
      <c r="BS8" s="126"/>
      <c r="BT8" s="16"/>
      <c r="BU8" s="58"/>
      <c r="BW8" s="51">
        <f>VLOOKUP(H8,Charges!$AT$4:$AU$33,2,FALSE)*I8</f>
        <v>0</v>
      </c>
      <c r="BX8" s="51">
        <f t="shared" si="30"/>
        <v>0</v>
      </c>
      <c r="BY8" s="51">
        <f t="shared" ref="BY8:BY71" si="47">SUM(BW8:BX8)</f>
        <v>0</v>
      </c>
      <c r="BZ8" s="151"/>
      <c r="CA8" s="151"/>
      <c r="CB8" s="32"/>
      <c r="CC8" s="16">
        <f ca="1">SUM($N$7:$N8)</f>
        <v>0</v>
      </c>
      <c r="CD8" s="16">
        <f t="shared" ca="1" si="31"/>
        <v>0</v>
      </c>
      <c r="CE8" s="16">
        <f t="shared" ca="1" si="32"/>
        <v>0</v>
      </c>
      <c r="CF8" s="7">
        <f t="shared" ref="CF8:CF71" ca="1" si="48">IF(E8&lt;60,CD8,CE8)</f>
        <v>0</v>
      </c>
    </row>
    <row r="9" spans="1:84" s="7" customFormat="1" x14ac:dyDescent="0.2">
      <c r="A9" s="149"/>
      <c r="B9" s="14">
        <f t="shared" si="0"/>
        <v>1</v>
      </c>
      <c r="C9" s="12">
        <f t="shared" si="1"/>
        <v>1</v>
      </c>
      <c r="D9" s="17">
        <f t="shared" ref="D9:D72" si="49">D8+1</f>
        <v>3</v>
      </c>
      <c r="E9" s="17">
        <f t="shared" ca="1" si="2"/>
        <v>60</v>
      </c>
      <c r="F9" s="12">
        <f t="shared" ref="F9:F18" si="50">F8+1</f>
        <v>2</v>
      </c>
      <c r="G9" s="12">
        <v>1</v>
      </c>
      <c r="H9" s="17">
        <v>1</v>
      </c>
      <c r="I9" s="29">
        <f t="shared" si="3"/>
        <v>0</v>
      </c>
      <c r="J9" s="211">
        <f>IFERROR(VLOOKUP(H9,Charges!$T$6:$U$35,2,0)*C9,0)</f>
        <v>0.94499999999999995</v>
      </c>
      <c r="K9" s="29">
        <f t="shared" si="4"/>
        <v>0</v>
      </c>
      <c r="L9" s="29">
        <f t="shared" si="5"/>
        <v>0</v>
      </c>
      <c r="M9" s="147">
        <f t="shared" ca="1" si="6"/>
        <v>0</v>
      </c>
      <c r="N9" s="148">
        <f ca="1">IF(AND(Option_SPW="Y",H9&gt;=Lock_In_Period,Z8&gt;SPW_Amount_pa+IF(option="Single",1/5*pr,2*pr),H9&gt;=SPW_Start_Year,H9&lt;=SPW_Start_Year+SPW_Duration-1,age+H9&gt;=Legal_Age),IF(AND(F9=0,SPW_Payout_Freq=1),SPW_Amount_pa,IF(AND(SPW_Payout_Freq=2,MOD(F9,6)=0),SPW_Amount_pa/SPW_Payout_Freq,IF(AND(SPW_Payout_Freq=4,MOD(F9,3)=0),SPW_Amount_pa/SPW_Payout_Freq,IF(SPW_Payout_Freq=12,SPW_Amount_pa/SPW_Payout_Freq,0)))),0)+IFERROR(VLOOKUP(H9,Input!$B$68:$C$74,2,0),0)*(F9=0)*(Option_PW="Y")*(Option_SPW="N")*(age+H9&gt;=Legal_Age)</f>
        <v>0</v>
      </c>
      <c r="O9" s="148">
        <f t="shared" ca="1" si="33"/>
        <v>0</v>
      </c>
      <c r="P9" s="14">
        <f ca="1">(MAX(MAX(sa-CF8*Flag_UL_Type,105%*SUM($I$7:I9))-(AD8+L9-N9)*Flag_UL_Type,0)*B9)</f>
        <v>2725285.5420687678</v>
      </c>
      <c r="Q9" s="213">
        <f t="shared" ca="1" si="7"/>
        <v>2471.6068795278666</v>
      </c>
      <c r="R9" s="14">
        <f t="shared" ca="1" si="8"/>
        <v>0</v>
      </c>
      <c r="S9" s="14">
        <f t="shared" ca="1" si="9"/>
        <v>0</v>
      </c>
      <c r="T9" s="14">
        <f>IFERROR(IF(WoP_Flag="Y",IF(fq=1,VLOOKUP(ppt*fq-H9,Charges!$AN$41:$AO$59,2,FALSE),IF(fq=2,VLOOKUP(ppt*fq-G9,Charges!$AP$41:$AQ$79,2,FALSE),VLOOKUP(ppt*fq-D9,Charges!$AR$41:$AS$279,2,FALSE)))*pr/fq,0),0)</f>
        <v>0</v>
      </c>
      <c r="U9" s="14">
        <f ca="1">IFERROR(((T9*(VLOOKUP(Input!$D$18+H9-1,Tab_Mort_Charge,IF(Gender_2="M",2,3),FALSE)*(1+_emr2)+_rpm2)/IF(Model_Type="LA_PQIS",1000/0.0833,(12*1000))))*Flag_Mort_Rider_Charge*(T9&gt;0),0)</f>
        <v>0</v>
      </c>
      <c r="V9" s="34">
        <f>ROUND(MIN(IF(H9&gt;=7,Charges!$C$12*(1+Charges!$C$14)^((H9-7+1)),VLOOKUP(H9,Charges!$B$7:$C$12,2,0))*pr,Charges!$C$13)*B9,Round)</f>
        <v>450</v>
      </c>
      <c r="W9" s="14">
        <f t="shared" ca="1" si="10"/>
        <v>271266.96181338932</v>
      </c>
      <c r="X9" s="14">
        <f t="shared" ca="1" si="11"/>
        <v>272155.01925787405</v>
      </c>
      <c r="Y9" s="213">
        <f t="shared" ca="1" si="34"/>
        <v>306.34101988227457</v>
      </c>
      <c r="Z9" s="14">
        <f t="shared" ca="1" si="12"/>
        <v>271793.53685441299</v>
      </c>
      <c r="AA9" s="14">
        <f>IF(AND($H9=pt,$F9=11),SUM($K$7:K9)*VLOOKUP(pt,ROC,2,FALSE),0)</f>
        <v>0</v>
      </c>
      <c r="AB9" s="14">
        <f>IF(AND($H9=pt,$F9=11),SUM($V$7:V9)*VLOOKUP(pt,ROC,2,FALSE),0)</f>
        <v>0</v>
      </c>
      <c r="AC9" s="14">
        <f>IF(AND($H9=pt,$F9=11),SUM($Q$7:Q9)*VLOOKUP(pt,ROC,2,FALSE),0)</f>
        <v>0</v>
      </c>
      <c r="AD9" s="14">
        <f t="shared" ca="1" si="35"/>
        <v>271793.53685441299</v>
      </c>
      <c r="AE9" s="14">
        <f ca="1">(MAX(sa-CF8*Flag_UL_Type,105%*SUM($I$7:I9),Z9)+AU9)*B9</f>
        <v>3000000</v>
      </c>
      <c r="AF9" s="136"/>
      <c r="AG9" s="18">
        <v>3</v>
      </c>
      <c r="AH9" s="30">
        <f t="shared" ca="1" si="13"/>
        <v>0</v>
      </c>
      <c r="AI9" s="138"/>
      <c r="AJ9" s="50">
        <f>IF(AND(Option_Sys_TopUp&gt;="Y",H9&gt;=sytp,H9&lt;=(dtp+sytp-1),F9=0,H9&lt;=ppt+1),atp,0)+IFERROR(VLOOKUP(H9,Input!$B$55:$C$61,2,0),0)*(F9=0)*(Option_TopUP="Y")*(Option_Sys_TopUp="N")*B9*(pt&gt;=H9+5)</f>
        <v>0</v>
      </c>
      <c r="AK9" s="50">
        <f t="shared" si="14"/>
        <v>0</v>
      </c>
      <c r="AL9" s="50">
        <f t="shared" si="36"/>
        <v>0</v>
      </c>
      <c r="AM9" s="50">
        <f t="shared" ca="1" si="15"/>
        <v>0</v>
      </c>
      <c r="AN9" s="50">
        <f ca="1">IF(B9=0,0,AT9*(_rpm1+(1+_emr1)*VLOOKUP(E9,Tab_Mort_Charge,IF(Input!$C$12="M",2,3),0))*(0.001*0.0833)*Flag_Mort_Rider_Charge*(AT9&gt;0))</f>
        <v>0</v>
      </c>
      <c r="AO9" s="50">
        <f t="shared" ca="1" si="37"/>
        <v>0</v>
      </c>
      <c r="AP9" s="50">
        <f t="shared" ca="1" si="38"/>
        <v>0</v>
      </c>
      <c r="AQ9" s="50">
        <f t="shared" ca="1" si="16"/>
        <v>0</v>
      </c>
      <c r="AR9" s="50">
        <f t="shared" ca="1" si="17"/>
        <v>0</v>
      </c>
      <c r="AS9" s="50">
        <f t="shared" si="18"/>
        <v>0</v>
      </c>
      <c r="AT9" s="50">
        <f ca="1">(MAX((MAX(AS9,105%*SUM($AJ$7:AJ9))-AM9*Flag_UL_Type),0)*B9)</f>
        <v>0</v>
      </c>
      <c r="AU9" s="50">
        <f ca="1">(MAX(AS9,AR9,105%*SUM($AJ$7:AJ9))*B9)</f>
        <v>0</v>
      </c>
      <c r="AV9" s="125"/>
      <c r="AW9" s="12">
        <f t="shared" ref="AW9:AW36" si="51">AW8+1</f>
        <v>3</v>
      </c>
      <c r="AX9" s="14">
        <f t="shared" si="39"/>
        <v>10500</v>
      </c>
      <c r="AY9" s="14">
        <f t="shared" ca="1" si="40"/>
        <v>27814.198509305876</v>
      </c>
      <c r="AZ9" s="14">
        <f t="shared" ca="1" si="41"/>
        <v>0</v>
      </c>
      <c r="BA9" s="14">
        <f t="shared" ca="1" si="42"/>
        <v>0</v>
      </c>
      <c r="BB9" s="14">
        <f t="shared" si="43"/>
        <v>5400</v>
      </c>
      <c r="BC9" s="14">
        <f t="shared" ca="1" si="19"/>
        <v>10480.947941393932</v>
      </c>
      <c r="BD9" s="14">
        <f t="shared" ca="1" si="20"/>
        <v>9755.1263611259637</v>
      </c>
      <c r="BE9" s="14">
        <f t="shared" si="44"/>
        <v>3000</v>
      </c>
      <c r="BF9" s="14">
        <f t="shared" ca="1" si="45"/>
        <v>0</v>
      </c>
      <c r="BG9" s="51">
        <f t="shared" si="21"/>
        <v>0</v>
      </c>
      <c r="BH9" s="51">
        <f t="shared" ca="1" si="22"/>
        <v>444.88923831501597</v>
      </c>
      <c r="BI9" s="51">
        <f t="shared" ca="1" si="46"/>
        <v>0</v>
      </c>
      <c r="BJ9" s="51">
        <f t="shared" ca="1" si="23"/>
        <v>0</v>
      </c>
      <c r="BK9" s="51">
        <f t="shared" si="24"/>
        <v>81</v>
      </c>
      <c r="BL9" s="51">
        <f t="shared" ca="1" si="25"/>
        <v>55.141383578809418</v>
      </c>
      <c r="BM9" s="51">
        <f t="shared" si="26"/>
        <v>0</v>
      </c>
      <c r="BN9" s="51">
        <f t="shared" ca="1" si="27"/>
        <v>0</v>
      </c>
      <c r="BO9" s="51">
        <f t="shared" ca="1" si="28"/>
        <v>0</v>
      </c>
      <c r="BP9" s="51">
        <f t="shared" ca="1" si="29"/>
        <v>581.03062189382536</v>
      </c>
      <c r="BR9" s="32"/>
      <c r="BS9" s="126"/>
      <c r="BT9" s="16"/>
      <c r="BU9" s="58"/>
      <c r="BW9" s="51">
        <f>VLOOKUP(H9,Charges!$AT$4:$AU$33,2,FALSE)*I9</f>
        <v>0</v>
      </c>
      <c r="BX9" s="51">
        <f t="shared" si="30"/>
        <v>0</v>
      </c>
      <c r="BY9" s="51">
        <f t="shared" si="47"/>
        <v>0</v>
      </c>
      <c r="BZ9" s="151"/>
      <c r="CA9" s="151"/>
      <c r="CB9" s="32"/>
      <c r="CC9" s="16">
        <f ca="1">SUM($N$7:$N9)</f>
        <v>0</v>
      </c>
      <c r="CD9" s="16">
        <f t="shared" ca="1" si="31"/>
        <v>0</v>
      </c>
      <c r="CE9" s="16">
        <f t="shared" ca="1" si="32"/>
        <v>0</v>
      </c>
      <c r="CF9" s="7">
        <f t="shared" ca="1" si="48"/>
        <v>0</v>
      </c>
    </row>
    <row r="10" spans="1:84" s="7" customFormat="1" x14ac:dyDescent="0.2">
      <c r="A10" s="149"/>
      <c r="B10" s="14">
        <f t="shared" si="0"/>
        <v>1</v>
      </c>
      <c r="C10" s="12">
        <f t="shared" si="1"/>
        <v>1</v>
      </c>
      <c r="D10" s="17">
        <f t="shared" si="49"/>
        <v>4</v>
      </c>
      <c r="E10" s="17">
        <f t="shared" ca="1" si="2"/>
        <v>60</v>
      </c>
      <c r="F10" s="12">
        <f t="shared" si="50"/>
        <v>3</v>
      </c>
      <c r="G10" s="12">
        <v>1</v>
      </c>
      <c r="H10" s="17">
        <v>1</v>
      </c>
      <c r="I10" s="29">
        <f t="shared" si="3"/>
        <v>0</v>
      </c>
      <c r="J10" s="211">
        <f>IFERROR(VLOOKUP(H10,Charges!$T$6:$U$35,2,0)*C10,0)</f>
        <v>0.94499999999999995</v>
      </c>
      <c r="K10" s="29">
        <f t="shared" si="4"/>
        <v>0</v>
      </c>
      <c r="L10" s="29">
        <f t="shared" si="5"/>
        <v>0</v>
      </c>
      <c r="M10" s="147">
        <f t="shared" ca="1" si="6"/>
        <v>0</v>
      </c>
      <c r="N10" s="148">
        <f ca="1">IF(AND(Option_SPW="Y",H10&gt;=Lock_In_Period,Z9&gt;SPW_Amount_pa+IF(option="Single",1/5*pr,2*pr),H10&gt;=SPW_Start_Year,H10&lt;=SPW_Start_Year+SPW_Duration-1,age+H10&gt;=Legal_Age),IF(AND(F10=0,SPW_Payout_Freq=1),SPW_Amount_pa,IF(AND(SPW_Payout_Freq=2,MOD(F10,6)=0),SPW_Amount_pa/SPW_Payout_Freq,IF(AND(SPW_Payout_Freq=4,MOD(F10,3)=0),SPW_Amount_pa/SPW_Payout_Freq,IF(SPW_Payout_Freq=12,SPW_Amount_pa/SPW_Payout_Freq,0)))),0)+IFERROR(VLOOKUP(H10,Input!$B$68:$C$74,2,0),0)*(F10=0)*(Option_PW="Y")*(Option_SPW="N")*(age+H10&gt;=Legal_Age)</f>
        <v>0</v>
      </c>
      <c r="O10" s="148">
        <f t="shared" ca="1" si="33"/>
        <v>0</v>
      </c>
      <c r="P10" s="14">
        <f ca="1">(MAX(MAX(sa-CF9*Flag_UL_Type,105%*SUM($I$7:I10))-(AD9+L10-N10)*Flag_UL_Type,0)*B10)</f>
        <v>2728206.4631455871</v>
      </c>
      <c r="Q10" s="213">
        <f t="shared" ca="1" si="7"/>
        <v>2474.2559115344498</v>
      </c>
      <c r="R10" s="14">
        <f t="shared" ca="1" si="8"/>
        <v>0</v>
      </c>
      <c r="S10" s="14">
        <f t="shared" ca="1" si="9"/>
        <v>0</v>
      </c>
      <c r="T10" s="14">
        <f>IFERROR(IF(WoP_Flag="Y",IF(fq=1,VLOOKUP(ppt*fq-H10,Charges!$AN$41:$AO$59,2,FALSE),IF(fq=2,VLOOKUP(ppt*fq-G10,Charges!$AP$41:$AQ$79,2,FALSE),VLOOKUP(ppt*fq-D10,Charges!$AR$41:$AS$279,2,FALSE)))*pr/fq,0),0)</f>
        <v>0</v>
      </c>
      <c r="U10" s="14">
        <f ca="1">IFERROR(((T10*(VLOOKUP(Input!$D$18+H10-1,Tab_Mort_Charge,IF(Gender_2="M",2,3),FALSE)*(1+_emr2)+_rpm2)/IF(Model_Type="LA_PQIS",1000/0.0833,(12*1000))))*Flag_Mort_Rider_Charge*(T10&gt;0),0)</f>
        <v>0</v>
      </c>
      <c r="V10" s="34">
        <f>ROUND(MIN(IF(H10&gt;=7,Charges!$C$12*(1+Charges!$C$14)^((H10-7+1)),VLOOKUP(H10,Charges!$B$7:$C$12,2,0))*pr,Charges!$C$13)*B10,Round)</f>
        <v>450</v>
      </c>
      <c r="W10" s="14">
        <f t="shared" ca="1" si="10"/>
        <v>268342.91487880232</v>
      </c>
      <c r="X10" s="14">
        <f t="shared" ca="1" si="11"/>
        <v>269221.39975451224</v>
      </c>
      <c r="Y10" s="213">
        <f t="shared" ca="1" si="34"/>
        <v>303.0389018722633</v>
      </c>
      <c r="Z10" s="14">
        <f t="shared" ca="1" si="12"/>
        <v>268863.81385030295</v>
      </c>
      <c r="AA10" s="14">
        <f>IF(AND($H10=pt,$F10=11),SUM($K$7:K10)*VLOOKUP(pt,ROC,2,FALSE),0)</f>
        <v>0</v>
      </c>
      <c r="AB10" s="14">
        <f>IF(AND($H10=pt,$F10=11),SUM($V$7:V10)*VLOOKUP(pt,ROC,2,FALSE),0)</f>
        <v>0</v>
      </c>
      <c r="AC10" s="14">
        <f>IF(AND($H10=pt,$F10=11),SUM($Q$7:Q10)*VLOOKUP(pt,ROC,2,FALSE),0)</f>
        <v>0</v>
      </c>
      <c r="AD10" s="14">
        <f t="shared" ca="1" si="35"/>
        <v>268863.81385030295</v>
      </c>
      <c r="AE10" s="14">
        <f ca="1">(MAX(sa-CF9*Flag_UL_Type,105%*SUM($I$7:I10),Z10)+AU10)*B10</f>
        <v>3000000</v>
      </c>
      <c r="AF10" s="136"/>
      <c r="AG10" s="18">
        <v>4</v>
      </c>
      <c r="AH10" s="30">
        <f t="shared" ca="1" si="13"/>
        <v>0</v>
      </c>
      <c r="AI10" s="138"/>
      <c r="AJ10" s="50">
        <f>IF(AND(Option_Sys_TopUp&gt;="Y",H10&gt;=sytp,H10&lt;=(dtp+sytp-1),F10=0,H10&lt;=ppt+1),atp,0)+IFERROR(VLOOKUP(H10,Input!$B$55:$C$61,2,0),0)*(F10=0)*(Option_TopUP="Y")*(Option_Sys_TopUp="N")*B10*(pt&gt;=H10+5)</f>
        <v>0</v>
      </c>
      <c r="AK10" s="50">
        <f t="shared" si="14"/>
        <v>0</v>
      </c>
      <c r="AL10" s="50">
        <f t="shared" si="36"/>
        <v>0</v>
      </c>
      <c r="AM10" s="50">
        <f t="shared" ca="1" si="15"/>
        <v>0</v>
      </c>
      <c r="AN10" s="50">
        <f ca="1">IF(B10=0,0,AT10*(_rpm1+(1+_emr1)*VLOOKUP(E10,Tab_Mort_Charge,IF(Input!$C$12="M",2,3),0))*(0.001*0.0833)*Flag_Mort_Rider_Charge*(AT10&gt;0))</f>
        <v>0</v>
      </c>
      <c r="AO10" s="50">
        <f t="shared" ca="1" si="37"/>
        <v>0</v>
      </c>
      <c r="AP10" s="50">
        <f t="shared" ca="1" si="38"/>
        <v>0</v>
      </c>
      <c r="AQ10" s="50">
        <f t="shared" ca="1" si="16"/>
        <v>0</v>
      </c>
      <c r="AR10" s="50">
        <f t="shared" ca="1" si="17"/>
        <v>0</v>
      </c>
      <c r="AS10" s="50">
        <f t="shared" si="18"/>
        <v>0</v>
      </c>
      <c r="AT10" s="50">
        <f ca="1">(MAX((MAX(AS10,105%*SUM($AJ$7:AJ10))-AM10*Flag_UL_Type),0)*B10)</f>
        <v>0</v>
      </c>
      <c r="AU10" s="50">
        <f ca="1">(MAX(AS10,AR10,105%*SUM($AJ$7:AJ10))*B10)</f>
        <v>0</v>
      </c>
      <c r="AV10" s="125"/>
      <c r="AW10" s="12">
        <f t="shared" si="51"/>
        <v>4</v>
      </c>
      <c r="AX10" s="14">
        <f t="shared" si="39"/>
        <v>10500</v>
      </c>
      <c r="AY10" s="14">
        <f t="shared" ca="1" si="40"/>
        <v>26213.181247467041</v>
      </c>
      <c r="AZ10" s="14">
        <f t="shared" ca="1" si="41"/>
        <v>0</v>
      </c>
      <c r="BA10" s="14">
        <f t="shared" ca="1" si="42"/>
        <v>0</v>
      </c>
      <c r="BB10" s="14">
        <f t="shared" si="43"/>
        <v>5400</v>
      </c>
      <c r="BC10" s="14">
        <f t="shared" ca="1" si="19"/>
        <v>14144.178584799825</v>
      </c>
      <c r="BD10" s="14">
        <f t="shared" ca="1" si="20"/>
        <v>10126.324769808032</v>
      </c>
      <c r="BE10" s="14">
        <f t="shared" si="44"/>
        <v>3000</v>
      </c>
      <c r="BF10" s="14">
        <f t="shared" ca="1" si="45"/>
        <v>0</v>
      </c>
      <c r="BG10" s="51">
        <f t="shared" si="21"/>
        <v>0</v>
      </c>
      <c r="BH10" s="51">
        <f t="shared" ca="1" si="22"/>
        <v>445.36606407620098</v>
      </c>
      <c r="BI10" s="51">
        <f t="shared" ca="1" si="46"/>
        <v>0</v>
      </c>
      <c r="BJ10" s="51">
        <f t="shared" ca="1" si="23"/>
        <v>0</v>
      </c>
      <c r="BK10" s="51">
        <f t="shared" si="24"/>
        <v>81</v>
      </c>
      <c r="BL10" s="51">
        <f t="shared" ca="1" si="25"/>
        <v>54.547002337007392</v>
      </c>
      <c r="BM10" s="51">
        <f t="shared" si="26"/>
        <v>0</v>
      </c>
      <c r="BN10" s="51">
        <f t="shared" ca="1" si="27"/>
        <v>0</v>
      </c>
      <c r="BO10" s="51">
        <f t="shared" ca="1" si="28"/>
        <v>0</v>
      </c>
      <c r="BP10" s="51">
        <f t="shared" ca="1" si="29"/>
        <v>580.9130664132083</v>
      </c>
      <c r="BR10" s="32"/>
      <c r="BS10" s="126"/>
      <c r="BT10" s="16"/>
      <c r="BU10" s="58"/>
      <c r="BW10" s="51">
        <f>VLOOKUP(H10,Charges!$AT$4:$AU$33,2,FALSE)*I10</f>
        <v>0</v>
      </c>
      <c r="BX10" s="51">
        <f t="shared" si="30"/>
        <v>0</v>
      </c>
      <c r="BY10" s="51">
        <f t="shared" si="47"/>
        <v>0</v>
      </c>
      <c r="BZ10" s="151"/>
      <c r="CA10" s="151"/>
      <c r="CB10" s="32"/>
      <c r="CC10" s="16">
        <f ca="1">SUM($N$7:$N10)</f>
        <v>0</v>
      </c>
      <c r="CD10" s="16">
        <f t="shared" ca="1" si="31"/>
        <v>0</v>
      </c>
      <c r="CE10" s="16">
        <f t="shared" ca="1" si="32"/>
        <v>0</v>
      </c>
      <c r="CF10" s="7">
        <f t="shared" ca="1" si="48"/>
        <v>0</v>
      </c>
    </row>
    <row r="11" spans="1:84" s="7" customFormat="1" x14ac:dyDescent="0.2">
      <c r="A11" s="149"/>
      <c r="B11" s="14">
        <f t="shared" si="0"/>
        <v>1</v>
      </c>
      <c r="C11" s="12">
        <f t="shared" si="1"/>
        <v>1</v>
      </c>
      <c r="D11" s="17">
        <f t="shared" si="49"/>
        <v>5</v>
      </c>
      <c r="E11" s="17">
        <f t="shared" ca="1" si="2"/>
        <v>60</v>
      </c>
      <c r="F11" s="12">
        <f t="shared" si="50"/>
        <v>4</v>
      </c>
      <c r="G11" s="12">
        <v>1</v>
      </c>
      <c r="H11" s="17">
        <v>1</v>
      </c>
      <c r="I11" s="29">
        <f t="shared" si="3"/>
        <v>0</v>
      </c>
      <c r="J11" s="211">
        <f>IFERROR(VLOOKUP(H11,Charges!$T$6:$U$35,2,0)*C11,0)</f>
        <v>0.94499999999999995</v>
      </c>
      <c r="K11" s="29">
        <f t="shared" si="4"/>
        <v>0</v>
      </c>
      <c r="L11" s="29">
        <f t="shared" si="5"/>
        <v>0</v>
      </c>
      <c r="M11" s="147">
        <f t="shared" ca="1" si="6"/>
        <v>0</v>
      </c>
      <c r="N11" s="148">
        <f ca="1">IF(AND(Option_SPW="Y",H11&gt;=Lock_In_Period,Z10&gt;SPW_Amount_pa+IF(option="Single",1/5*pr,2*pr),H11&gt;=SPW_Start_Year,H11&lt;=SPW_Start_Year+SPW_Duration-1,age+H11&gt;=Legal_Age),IF(AND(F11=0,SPW_Payout_Freq=1),SPW_Amount_pa,IF(AND(SPW_Payout_Freq=2,MOD(F11,6)=0),SPW_Amount_pa/SPW_Payout_Freq,IF(AND(SPW_Payout_Freq=4,MOD(F11,3)=0),SPW_Amount_pa/SPW_Payout_Freq,IF(SPW_Payout_Freq=12,SPW_Amount_pa/SPW_Payout_Freq,0)))),0)+IFERROR(VLOOKUP(H11,Input!$B$68:$C$74,2,0),0)*(F11=0)*(Option_PW="Y")*(Option_SPW="N")*(age+H11&gt;=Legal_Age)</f>
        <v>0</v>
      </c>
      <c r="O11" s="148">
        <f t="shared" ca="1" si="33"/>
        <v>0</v>
      </c>
      <c r="P11" s="14">
        <f ca="1">(MAX(MAX(sa-CF10*Flag_UL_Type,105%*SUM($I$7:I11))-(AD10+L11-N11)*Flag_UL_Type,0)*B11)</f>
        <v>2731136.1861496968</v>
      </c>
      <c r="Q11" s="213">
        <f t="shared" ca="1" si="7"/>
        <v>2476.9129261555918</v>
      </c>
      <c r="R11" s="14">
        <f t="shared" ca="1" si="8"/>
        <v>0</v>
      </c>
      <c r="S11" s="14">
        <f t="shared" ca="1" si="9"/>
        <v>0</v>
      </c>
      <c r="T11" s="14">
        <f>IFERROR(IF(WoP_Flag="Y",IF(fq=1,VLOOKUP(ppt*fq-H11,Charges!$AN$41:$AO$59,2,FALSE),IF(fq=2,VLOOKUP(ppt*fq-G11,Charges!$AP$41:$AQ$79,2,FALSE),VLOOKUP(ppt*fq-D11,Charges!$AR$41:$AS$279,2,FALSE)))*pr/fq,0),0)</f>
        <v>0</v>
      </c>
      <c r="U11" s="14">
        <f ca="1">IFERROR(((T11*(VLOOKUP(Input!$D$18+H11-1,Tab_Mort_Charge,IF(Gender_2="M",2,3),FALSE)*(1+_emr2)+_rpm2)/IF(Model_Type="LA_PQIS",1000/0.0833,(12*1000))))*Flag_Mort_Rider_Charge*(T11&gt;0),0)</f>
        <v>0</v>
      </c>
      <c r="V11" s="34">
        <f>ROUND(MIN(IF(H11&gt;=7,Charges!$C$12*(1+Charges!$C$14)^((H11-7+1)),VLOOKUP(H11,Charges!$B$7:$C$12,2,0))*pr,Charges!$C$13)*B11,Round)</f>
        <v>450</v>
      </c>
      <c r="W11" s="14">
        <f t="shared" ca="1" si="10"/>
        <v>265410.05659743934</v>
      </c>
      <c r="X11" s="14">
        <f t="shared" ca="1" si="11"/>
        <v>266278.94005831802</v>
      </c>
      <c r="Y11" s="213">
        <f t="shared" ca="1" si="34"/>
        <v>299.72683323302749</v>
      </c>
      <c r="Z11" s="14">
        <f t="shared" ca="1" si="12"/>
        <v>265925.26239510305</v>
      </c>
      <c r="AA11" s="14">
        <f>IF(AND($H11=pt,$F11=11),SUM($K$7:K11)*VLOOKUP(pt,ROC,2,FALSE),0)</f>
        <v>0</v>
      </c>
      <c r="AB11" s="14">
        <f>IF(AND($H11=pt,$F11=11),SUM($V$7:V11)*VLOOKUP(pt,ROC,2,FALSE),0)</f>
        <v>0</v>
      </c>
      <c r="AC11" s="14">
        <f>IF(AND($H11=pt,$F11=11),SUM($Q$7:Q11)*VLOOKUP(pt,ROC,2,FALSE),0)</f>
        <v>0</v>
      </c>
      <c r="AD11" s="14">
        <f t="shared" ca="1" si="35"/>
        <v>265925.26239510305</v>
      </c>
      <c r="AE11" s="14">
        <f ca="1">(MAX(sa-CF10*Flag_UL_Type,105%*SUM($I$7:I11),Z11)+AU11)*B11</f>
        <v>3000000</v>
      </c>
      <c r="AF11" s="136"/>
      <c r="AG11" s="18">
        <v>5</v>
      </c>
      <c r="AH11" s="30">
        <f t="shared" ca="1" si="13"/>
        <v>0</v>
      </c>
      <c r="AI11" s="138"/>
      <c r="AJ11" s="50">
        <f>IF(AND(Option_Sys_TopUp&gt;="Y",H11&gt;=sytp,H11&lt;=(dtp+sytp-1),F11=0,H11&lt;=ppt+1),atp,0)+IFERROR(VLOOKUP(H11,Input!$B$55:$C$61,2,0),0)*(F11=0)*(Option_TopUP="Y")*(Option_Sys_TopUp="N")*B11*(pt&gt;=H11+5)</f>
        <v>0</v>
      </c>
      <c r="AK11" s="50">
        <f t="shared" si="14"/>
        <v>0</v>
      </c>
      <c r="AL11" s="50">
        <f t="shared" si="36"/>
        <v>0</v>
      </c>
      <c r="AM11" s="50">
        <f t="shared" ca="1" si="15"/>
        <v>0</v>
      </c>
      <c r="AN11" s="50">
        <f ca="1">IF(B11=0,0,AT11*(_rpm1+(1+_emr1)*VLOOKUP(E11,Tab_Mort_Charge,IF(Input!$C$12="M",2,3),0))*(0.001*0.0833)*Flag_Mort_Rider_Charge*(AT11&gt;0))</f>
        <v>0</v>
      </c>
      <c r="AO11" s="50">
        <f t="shared" ca="1" si="37"/>
        <v>0</v>
      </c>
      <c r="AP11" s="50">
        <f t="shared" ca="1" si="38"/>
        <v>0</v>
      </c>
      <c r="AQ11" s="50">
        <f t="shared" ca="1" si="16"/>
        <v>0</v>
      </c>
      <c r="AR11" s="50">
        <f t="shared" ca="1" si="17"/>
        <v>0</v>
      </c>
      <c r="AS11" s="50">
        <f t="shared" si="18"/>
        <v>0</v>
      </c>
      <c r="AT11" s="50">
        <f ca="1">(MAX((MAX(AS11,105%*SUM($AJ$7:AJ11))-AM11*Flag_UL_Type),0)*B11)</f>
        <v>0</v>
      </c>
      <c r="AU11" s="50">
        <f ca="1">(MAX(AS11,AR11,105%*SUM($AJ$7:AJ11))*B11)</f>
        <v>0</v>
      </c>
      <c r="AV11" s="125"/>
      <c r="AW11" s="12">
        <f t="shared" si="51"/>
        <v>5</v>
      </c>
      <c r="AX11" s="14">
        <f t="shared" si="39"/>
        <v>9000.0000000000091</v>
      </c>
      <c r="AY11" s="14">
        <f t="shared" ca="1" si="40"/>
        <v>24123.637986619724</v>
      </c>
      <c r="AZ11" s="14">
        <f t="shared" ca="1" si="41"/>
        <v>0</v>
      </c>
      <c r="BA11" s="14">
        <f t="shared" ca="1" si="42"/>
        <v>0</v>
      </c>
      <c r="BB11" s="14">
        <f t="shared" si="43"/>
        <v>5400</v>
      </c>
      <c r="BC11" s="14">
        <f t="shared" ca="1" si="19"/>
        <v>17948.00497388206</v>
      </c>
      <c r="BD11" s="14">
        <f t="shared" ca="1" si="20"/>
        <v>10164.895732890316</v>
      </c>
      <c r="BE11" s="14">
        <f t="shared" si="44"/>
        <v>3000</v>
      </c>
      <c r="BF11" s="14">
        <f t="shared" ca="1" si="45"/>
        <v>0</v>
      </c>
      <c r="BG11" s="51">
        <f t="shared" si="21"/>
        <v>0</v>
      </c>
      <c r="BH11" s="51">
        <f t="shared" ca="1" si="22"/>
        <v>445.84432670800697</v>
      </c>
      <c r="BI11" s="51">
        <f t="shared" ca="1" si="46"/>
        <v>0</v>
      </c>
      <c r="BJ11" s="51">
        <f t="shared" ca="1" si="23"/>
        <v>0</v>
      </c>
      <c r="BK11" s="51">
        <f t="shared" si="24"/>
        <v>81</v>
      </c>
      <c r="BL11" s="51">
        <f t="shared" ca="1" si="25"/>
        <v>53.950829981944949</v>
      </c>
      <c r="BM11" s="51">
        <f t="shared" si="26"/>
        <v>0</v>
      </c>
      <c r="BN11" s="51">
        <f t="shared" ca="1" si="27"/>
        <v>0</v>
      </c>
      <c r="BO11" s="51">
        <f t="shared" ca="1" si="28"/>
        <v>0</v>
      </c>
      <c r="BP11" s="51">
        <f t="shared" ca="1" si="29"/>
        <v>580.79515668995191</v>
      </c>
      <c r="BR11" s="32"/>
      <c r="BS11" s="126"/>
      <c r="BT11" s="16"/>
      <c r="BU11" s="58"/>
      <c r="BW11" s="51">
        <f>VLOOKUP(H11,Charges!$AT$4:$AU$33,2,FALSE)*I11</f>
        <v>0</v>
      </c>
      <c r="BX11" s="51">
        <f t="shared" si="30"/>
        <v>0</v>
      </c>
      <c r="BY11" s="51">
        <f t="shared" si="47"/>
        <v>0</v>
      </c>
      <c r="BZ11" s="151"/>
      <c r="CA11" s="151"/>
      <c r="CB11" s="32"/>
      <c r="CC11" s="16">
        <f ca="1">SUM($N$7:$N11)</f>
        <v>0</v>
      </c>
      <c r="CD11" s="16">
        <f t="shared" ca="1" si="31"/>
        <v>0</v>
      </c>
      <c r="CE11" s="16">
        <f t="shared" ca="1" si="32"/>
        <v>0</v>
      </c>
      <c r="CF11" s="7">
        <f t="shared" ca="1" si="48"/>
        <v>0</v>
      </c>
    </row>
    <row r="12" spans="1:84" s="7" customFormat="1" x14ac:dyDescent="0.2">
      <c r="A12" s="149"/>
      <c r="B12" s="14">
        <f t="shared" si="0"/>
        <v>1</v>
      </c>
      <c r="C12" s="12">
        <f t="shared" si="1"/>
        <v>1</v>
      </c>
      <c r="D12" s="17">
        <f t="shared" si="49"/>
        <v>6</v>
      </c>
      <c r="E12" s="17">
        <f t="shared" ca="1" si="2"/>
        <v>60</v>
      </c>
      <c r="F12" s="12">
        <f t="shared" si="50"/>
        <v>5</v>
      </c>
      <c r="G12" s="12">
        <v>1</v>
      </c>
      <c r="H12" s="17">
        <v>1</v>
      </c>
      <c r="I12" s="29">
        <f t="shared" si="3"/>
        <v>0</v>
      </c>
      <c r="J12" s="211">
        <f>IFERROR(VLOOKUP(H12,Charges!$T$6:$U$35,2,0)*C12,0)</f>
        <v>0.94499999999999995</v>
      </c>
      <c r="K12" s="29">
        <f t="shared" si="4"/>
        <v>0</v>
      </c>
      <c r="L12" s="29">
        <f t="shared" si="5"/>
        <v>0</v>
      </c>
      <c r="M12" s="147">
        <f t="shared" ca="1" si="6"/>
        <v>0</v>
      </c>
      <c r="N12" s="148">
        <f ca="1">IF(AND(Option_SPW="Y",H12&gt;=Lock_In_Period,Z11&gt;SPW_Amount_pa+IF(option="Single",1/5*pr,2*pr),H12&gt;=SPW_Start_Year,H12&lt;=SPW_Start_Year+SPW_Duration-1,age+H12&gt;=Legal_Age),IF(AND(F12=0,SPW_Payout_Freq=1),SPW_Amount_pa,IF(AND(SPW_Payout_Freq=2,MOD(F12,6)=0),SPW_Amount_pa/SPW_Payout_Freq,IF(AND(SPW_Payout_Freq=4,MOD(F12,3)=0),SPW_Amount_pa/SPW_Payout_Freq,IF(SPW_Payout_Freq=12,SPW_Amount_pa/SPW_Payout_Freq,0)))),0)+IFERROR(VLOOKUP(H12,Input!$B$68:$C$74,2,0),0)*(F12=0)*(Option_PW="Y")*(Option_SPW="N")*(age+H12&gt;=Legal_Age)</f>
        <v>0</v>
      </c>
      <c r="O12" s="148">
        <f t="shared" ca="1" si="33"/>
        <v>0</v>
      </c>
      <c r="P12" s="14">
        <f ca="1">(MAX(MAX(sa-CF11*Flag_UL_Type,105%*SUM($I$7:I12))-(AD11+L12-N12)*Flag_UL_Type,0)*B12)</f>
        <v>2734074.737604897</v>
      </c>
      <c r="Q12" s="213">
        <f t="shared" ca="1" si="7"/>
        <v>2479.5779474461747</v>
      </c>
      <c r="R12" s="14">
        <f t="shared" ca="1" si="8"/>
        <v>0</v>
      </c>
      <c r="S12" s="14">
        <f t="shared" ca="1" si="9"/>
        <v>0</v>
      </c>
      <c r="T12" s="14">
        <f>IFERROR(IF(WoP_Flag="Y",IF(fq=1,VLOOKUP(ppt*fq-H12,Charges!$AN$41:$AO$59,2,FALSE),IF(fq=2,VLOOKUP(ppt*fq-G12,Charges!$AP$41:$AQ$79,2,FALSE),VLOOKUP(ppt*fq-D12,Charges!$AR$41:$AS$279,2,FALSE)))*pr/fq,0),0)</f>
        <v>0</v>
      </c>
      <c r="U12" s="14">
        <f ca="1">IFERROR(((T12*(VLOOKUP(Input!$D$18+H12-1,Tab_Mort_Charge,IF(Gender_2="M",2,3),FALSE)*(1+_emr2)+_rpm2)/IF(Model_Type="LA_PQIS",1000/0.0833,(12*1000))))*Flag_Mort_Rider_Charge*(T12&gt;0),0)</f>
        <v>0</v>
      </c>
      <c r="V12" s="34">
        <f>ROUND(MIN(IF(H12&gt;=7,Charges!$C$12*(1+Charges!$C$14)^((H12-7+1)),VLOOKUP(H12,Charges!$B$7:$C$12,2,0))*pr,Charges!$C$13)*B12,Round)</f>
        <v>450</v>
      </c>
      <c r="W12" s="14">
        <f t="shared" ca="1" si="10"/>
        <v>262468.36041711655</v>
      </c>
      <c r="X12" s="14">
        <f t="shared" ca="1" si="11"/>
        <v>263327.61353018257</v>
      </c>
      <c r="Y12" s="213">
        <f t="shared" ca="1" si="34"/>
        <v>296.40478397926023</v>
      </c>
      <c r="Z12" s="14">
        <f t="shared" ca="1" si="12"/>
        <v>262977.85588508705</v>
      </c>
      <c r="AA12" s="14">
        <f>IF(AND($H12=pt,$F12=11),SUM($K$7:K12)*VLOOKUP(pt,ROC,2,FALSE),0)</f>
        <v>0</v>
      </c>
      <c r="AB12" s="14">
        <f>IF(AND($H12=pt,$F12=11),SUM($V$7:V12)*VLOOKUP(pt,ROC,2,FALSE),0)</f>
        <v>0</v>
      </c>
      <c r="AC12" s="14">
        <f>IF(AND($H12=pt,$F12=11),SUM($Q$7:Q12)*VLOOKUP(pt,ROC,2,FALSE),0)</f>
        <v>0</v>
      </c>
      <c r="AD12" s="14">
        <f t="shared" ca="1" si="35"/>
        <v>262977.85588508705</v>
      </c>
      <c r="AE12" s="14">
        <f ca="1">(MAX(sa-CF11*Flag_UL_Type,105%*SUM($I$7:I12),Z12)+AU12)*B12</f>
        <v>3000000</v>
      </c>
      <c r="AF12" s="136"/>
      <c r="AG12" s="18">
        <v>6</v>
      </c>
      <c r="AH12" s="30">
        <f t="shared" ca="1" si="13"/>
        <v>0</v>
      </c>
      <c r="AI12" s="138"/>
      <c r="AJ12" s="50">
        <f>IF(AND(Option_Sys_TopUp&gt;="Y",H12&gt;=sytp,H12&lt;=(dtp+sytp-1),F12=0,H12&lt;=ppt+1),atp,0)+IFERROR(VLOOKUP(H12,Input!$B$55:$C$61,2,0),0)*(F12=0)*(Option_TopUP="Y")*(Option_Sys_TopUp="N")*B12*(pt&gt;=H12+5)</f>
        <v>0</v>
      </c>
      <c r="AK12" s="50">
        <f t="shared" si="14"/>
        <v>0</v>
      </c>
      <c r="AL12" s="50">
        <f t="shared" si="36"/>
        <v>0</v>
      </c>
      <c r="AM12" s="50">
        <f t="shared" ca="1" si="15"/>
        <v>0</v>
      </c>
      <c r="AN12" s="50">
        <f ca="1">IF(B12=0,0,AT12*(_rpm1+(1+_emr1)*VLOOKUP(E12,Tab_Mort_Charge,IF(Input!$C$12="M",2,3),0))*(0.001*0.0833)*Flag_Mort_Rider_Charge*(AT12&gt;0))</f>
        <v>0</v>
      </c>
      <c r="AO12" s="50">
        <f t="shared" ca="1" si="37"/>
        <v>0</v>
      </c>
      <c r="AP12" s="50">
        <f t="shared" ca="1" si="38"/>
        <v>0</v>
      </c>
      <c r="AQ12" s="50">
        <f t="shared" ca="1" si="16"/>
        <v>0</v>
      </c>
      <c r="AR12" s="50">
        <f t="shared" ca="1" si="17"/>
        <v>0</v>
      </c>
      <c r="AS12" s="50">
        <f t="shared" si="18"/>
        <v>0</v>
      </c>
      <c r="AT12" s="50">
        <f ca="1">(MAX((MAX(AS12,105%*SUM($AJ$7:AJ12))-AM12*Flag_UL_Type),0)*B12)</f>
        <v>0</v>
      </c>
      <c r="AU12" s="50">
        <f ca="1">(MAX(AS12,AR12,105%*SUM($AJ$7:AJ12))*B12)</f>
        <v>0</v>
      </c>
      <c r="AV12" s="125"/>
      <c r="AW12" s="12">
        <f t="shared" si="51"/>
        <v>6</v>
      </c>
      <c r="AX12" s="14">
        <f t="shared" si="39"/>
        <v>6000.00000000001</v>
      </c>
      <c r="AY12" s="14">
        <f t="shared" ca="1" si="40"/>
        <v>21428.850490890814</v>
      </c>
      <c r="AZ12" s="14">
        <f t="shared" ca="1" si="41"/>
        <v>0</v>
      </c>
      <c r="BA12" s="14">
        <f t="shared" ca="1" si="42"/>
        <v>0</v>
      </c>
      <c r="BB12" s="14">
        <f t="shared" si="43"/>
        <v>6000</v>
      </c>
      <c r="BC12" s="14">
        <f t="shared" ca="1" si="19"/>
        <v>21923.665296175906</v>
      </c>
      <c r="BD12" s="14">
        <f t="shared" ca="1" si="20"/>
        <v>9963.4528416720059</v>
      </c>
      <c r="BE12" s="14">
        <f t="shared" si="44"/>
        <v>3000</v>
      </c>
      <c r="BF12" s="14">
        <f t="shared" ca="1" si="45"/>
        <v>0</v>
      </c>
      <c r="BG12" s="51">
        <f t="shared" si="21"/>
        <v>0</v>
      </c>
      <c r="BH12" s="51">
        <f t="shared" ca="1" si="22"/>
        <v>446.32403054031101</v>
      </c>
      <c r="BI12" s="51">
        <f t="shared" ca="1" si="46"/>
        <v>0</v>
      </c>
      <c r="BJ12" s="51">
        <f t="shared" ca="1" si="23"/>
        <v>0</v>
      </c>
      <c r="BK12" s="51">
        <f t="shared" si="24"/>
        <v>81</v>
      </c>
      <c r="BL12" s="51">
        <f t="shared" ca="1" si="25"/>
        <v>53.352861116266837</v>
      </c>
      <c r="BM12" s="51">
        <f t="shared" si="26"/>
        <v>0</v>
      </c>
      <c r="BN12" s="51">
        <f t="shared" ca="1" si="27"/>
        <v>0</v>
      </c>
      <c r="BO12" s="51">
        <f t="shared" ca="1" si="28"/>
        <v>0</v>
      </c>
      <c r="BP12" s="51">
        <f t="shared" ca="1" si="29"/>
        <v>580.67689165657782</v>
      </c>
      <c r="BR12" s="32"/>
      <c r="BS12" s="126"/>
      <c r="BT12" s="16"/>
      <c r="BU12" s="58"/>
      <c r="BW12" s="51">
        <f>VLOOKUP(H12,Charges!$AT$4:$AU$33,2,FALSE)*I12</f>
        <v>0</v>
      </c>
      <c r="BX12" s="51">
        <f t="shared" si="30"/>
        <v>0</v>
      </c>
      <c r="BY12" s="51">
        <f t="shared" si="47"/>
        <v>0</v>
      </c>
      <c r="BZ12" s="151"/>
      <c r="CA12" s="151"/>
      <c r="CB12" s="32"/>
      <c r="CC12" s="16">
        <f ca="1">SUM($N$7:$N12)</f>
        <v>0</v>
      </c>
      <c r="CD12" s="16">
        <f t="shared" ca="1" si="31"/>
        <v>0</v>
      </c>
      <c r="CE12" s="16">
        <f t="shared" ca="1" si="32"/>
        <v>0</v>
      </c>
      <c r="CF12" s="7">
        <f t="shared" ca="1" si="48"/>
        <v>0</v>
      </c>
    </row>
    <row r="13" spans="1:84" s="7" customFormat="1" x14ac:dyDescent="0.2">
      <c r="A13" s="149"/>
      <c r="B13" s="14">
        <f t="shared" si="0"/>
        <v>1</v>
      </c>
      <c r="C13" s="12">
        <f t="shared" si="1"/>
        <v>1</v>
      </c>
      <c r="D13" s="17">
        <f t="shared" si="49"/>
        <v>7</v>
      </c>
      <c r="E13" s="17">
        <f t="shared" ca="1" si="2"/>
        <v>60</v>
      </c>
      <c r="F13" s="12">
        <f t="shared" si="50"/>
        <v>6</v>
      </c>
      <c r="G13" s="12">
        <f>G7+1</f>
        <v>2</v>
      </c>
      <c r="H13" s="17">
        <v>1</v>
      </c>
      <c r="I13" s="29">
        <f t="shared" si="3"/>
        <v>0</v>
      </c>
      <c r="J13" s="211">
        <f>IFERROR(VLOOKUP(H13,Charges!$T$6:$U$35,2,0)*C13,0)</f>
        <v>0.94499999999999995</v>
      </c>
      <c r="K13" s="29">
        <f t="shared" si="4"/>
        <v>0</v>
      </c>
      <c r="L13" s="29">
        <f t="shared" si="5"/>
        <v>0</v>
      </c>
      <c r="M13" s="147">
        <f t="shared" ca="1" si="6"/>
        <v>0</v>
      </c>
      <c r="N13" s="148">
        <f ca="1">IF(AND(Option_SPW="Y",H13&gt;=Lock_In_Period,Z12&gt;SPW_Amount_pa+IF(option="Single",1/5*pr,2*pr),H13&gt;=SPW_Start_Year,H13&lt;=SPW_Start_Year+SPW_Duration-1,age+H13&gt;=Legal_Age),IF(AND(F13=0,SPW_Payout_Freq=1),SPW_Amount_pa,IF(AND(SPW_Payout_Freq=2,MOD(F13,6)=0),SPW_Amount_pa/SPW_Payout_Freq,IF(AND(SPW_Payout_Freq=4,MOD(F13,3)=0),SPW_Amount_pa/SPW_Payout_Freq,IF(SPW_Payout_Freq=12,SPW_Amount_pa/SPW_Payout_Freq,0)))),0)+IFERROR(VLOOKUP(H13,Input!$B$68:$C$74,2,0),0)*(F13=0)*(Option_PW="Y")*(Option_SPW="N")*(age+H13&gt;=Legal_Age)</f>
        <v>0</v>
      </c>
      <c r="O13" s="148">
        <f t="shared" ca="1" si="33"/>
        <v>0</v>
      </c>
      <c r="P13" s="14">
        <f ca="1">(MAX(MAX(sa-CF12*Flag_UL_Type,105%*SUM($I$7:I13))-(AD12+L13-N13)*Flag_UL_Type,0)*B13)</f>
        <v>2737022.144114913</v>
      </c>
      <c r="Q13" s="213">
        <f t="shared" ca="1" si="7"/>
        <v>2482.2509995335499</v>
      </c>
      <c r="R13" s="14">
        <f t="shared" ca="1" si="8"/>
        <v>0</v>
      </c>
      <c r="S13" s="14">
        <f t="shared" ca="1" si="9"/>
        <v>0</v>
      </c>
      <c r="T13" s="14">
        <f>IFERROR(IF(WoP_Flag="Y",IF(fq=1,VLOOKUP(ppt*fq-H13,Charges!$AN$41:$AO$59,2,FALSE),IF(fq=2,VLOOKUP(ppt*fq-G13,Charges!$AP$41:$AQ$79,2,FALSE),VLOOKUP(ppt*fq-D13,Charges!$AR$41:$AS$279,2,FALSE)))*pr/fq,0),0)</f>
        <v>0</v>
      </c>
      <c r="U13" s="14">
        <f ca="1">IFERROR(((T13*(VLOOKUP(Input!$D$18+H13-1,Tab_Mort_Charge,IF(Gender_2="M",2,3),FALSE)*(1+_emr2)+_rpm2)/IF(Model_Type="LA_PQIS",1000/0.0833,(12*1000))))*Flag_Mort_Rider_Charge*(T13&gt;0),0)</f>
        <v>0</v>
      </c>
      <c r="V13" s="34">
        <f>ROUND(MIN(IF(H13&gt;=7,Charges!$C$12*(1+Charges!$C$14)^((H13-7+1)),VLOOKUP(H13,Charges!$B$7:$C$12,2,0))*pr,Charges!$C$13)*B13,Round)</f>
        <v>450</v>
      </c>
      <c r="W13" s="14">
        <f t="shared" ca="1" si="10"/>
        <v>259517.79970563744</v>
      </c>
      <c r="X13" s="14">
        <f t="shared" ca="1" si="11"/>
        <v>260367.39345072251</v>
      </c>
      <c r="Y13" s="213">
        <f t="shared" ca="1" si="34"/>
        <v>293.07272403529674</v>
      </c>
      <c r="Z13" s="14">
        <f t="shared" ca="1" si="12"/>
        <v>260021.56763636085</v>
      </c>
      <c r="AA13" s="14">
        <f>IF(AND($H13=pt,$F13=11),SUM($K$7:K13)*VLOOKUP(pt,ROC,2,FALSE),0)</f>
        <v>0</v>
      </c>
      <c r="AB13" s="14">
        <f>IF(AND($H13=pt,$F13=11),SUM($V$7:V13)*VLOOKUP(pt,ROC,2,FALSE),0)</f>
        <v>0</v>
      </c>
      <c r="AC13" s="14">
        <f>IF(AND($H13=pt,$F13=11),SUM($Q$7:Q13)*VLOOKUP(pt,ROC,2,FALSE),0)</f>
        <v>0</v>
      </c>
      <c r="AD13" s="14">
        <f t="shared" ca="1" si="35"/>
        <v>260021.56763636085</v>
      </c>
      <c r="AE13" s="14">
        <f ca="1">(MAX(sa-CF12*Flag_UL_Type,105%*SUM($I$7:I13),Z13)+AU13)*B13</f>
        <v>3000000</v>
      </c>
      <c r="AF13" s="136"/>
      <c r="AG13" s="18">
        <v>7</v>
      </c>
      <c r="AH13" s="30">
        <f t="shared" ca="1" si="13"/>
        <v>0</v>
      </c>
      <c r="AI13" s="138"/>
      <c r="AJ13" s="50">
        <f>IF(AND(Option_Sys_TopUp&gt;="Y",H13&gt;=sytp,H13&lt;=(dtp+sytp-1),F13=0,H13&lt;=ppt+1),atp,0)+IFERROR(VLOOKUP(H13,Input!$B$55:$C$61,2,0),0)*(F13=0)*(Option_TopUP="Y")*(Option_Sys_TopUp="N")*B13*(pt&gt;=H13+5)</f>
        <v>0</v>
      </c>
      <c r="AK13" s="50">
        <f t="shared" si="14"/>
        <v>0</v>
      </c>
      <c r="AL13" s="50">
        <f t="shared" si="36"/>
        <v>0</v>
      </c>
      <c r="AM13" s="50">
        <f t="shared" ca="1" si="15"/>
        <v>0</v>
      </c>
      <c r="AN13" s="50">
        <f ca="1">IF(B13=0,0,AT13*(_rpm1+(1+_emr1)*VLOOKUP(E13,Tab_Mort_Charge,IF(Input!$C$12="M",2,3),0))*(0.001*0.0833)*Flag_Mort_Rider_Charge*(AT13&gt;0))</f>
        <v>0</v>
      </c>
      <c r="AO13" s="50">
        <f t="shared" ca="1" si="37"/>
        <v>0</v>
      </c>
      <c r="AP13" s="50">
        <f t="shared" ca="1" si="38"/>
        <v>0</v>
      </c>
      <c r="AQ13" s="50">
        <f t="shared" ca="1" si="16"/>
        <v>0</v>
      </c>
      <c r="AR13" s="50">
        <f t="shared" ca="1" si="17"/>
        <v>0</v>
      </c>
      <c r="AS13" s="50">
        <f t="shared" si="18"/>
        <v>0</v>
      </c>
      <c r="AT13" s="50">
        <f ca="1">(MAX((MAX(AS13,105%*SUM($AJ$7:AJ13))-AM13*Flag_UL_Type),0)*B13)</f>
        <v>0</v>
      </c>
      <c r="AU13" s="50">
        <f ca="1">(MAX(AS13,AR13,105%*SUM($AJ$7:AJ13))*B13)</f>
        <v>0</v>
      </c>
      <c r="AV13" s="125"/>
      <c r="AW13" s="12">
        <f t="shared" si="51"/>
        <v>7</v>
      </c>
      <c r="AX13" s="14">
        <f t="shared" si="39"/>
        <v>6000.00000000001</v>
      </c>
      <c r="AY13" s="14">
        <f t="shared" ca="1" si="40"/>
        <v>18054.931463736819</v>
      </c>
      <c r="AZ13" s="14">
        <f t="shared" ca="1" si="41"/>
        <v>0</v>
      </c>
      <c r="BA13" s="14">
        <f t="shared" ca="1" si="42"/>
        <v>0</v>
      </c>
      <c r="BB13" s="14">
        <f t="shared" si="43"/>
        <v>6000</v>
      </c>
      <c r="BC13" s="14">
        <f t="shared" ca="1" si="19"/>
        <v>26037.876668895766</v>
      </c>
      <c r="BD13" s="14">
        <f t="shared" ca="1" si="20"/>
        <v>10096.705463873861</v>
      </c>
      <c r="BE13" s="14">
        <f t="shared" si="44"/>
        <v>1500</v>
      </c>
      <c r="BF13" s="14">
        <f t="shared" ca="1" si="45"/>
        <v>0</v>
      </c>
      <c r="BG13" s="51">
        <f t="shared" si="21"/>
        <v>0</v>
      </c>
      <c r="BH13" s="51">
        <f t="shared" ca="1" si="22"/>
        <v>446.80517991603898</v>
      </c>
      <c r="BI13" s="51">
        <f t="shared" ca="1" si="46"/>
        <v>0</v>
      </c>
      <c r="BJ13" s="51">
        <f t="shared" ca="1" si="23"/>
        <v>0</v>
      </c>
      <c r="BK13" s="51">
        <f t="shared" si="24"/>
        <v>81</v>
      </c>
      <c r="BL13" s="51">
        <f t="shared" ca="1" si="25"/>
        <v>52.753090326353409</v>
      </c>
      <c r="BM13" s="51">
        <f t="shared" si="26"/>
        <v>0</v>
      </c>
      <c r="BN13" s="51">
        <f t="shared" ca="1" si="27"/>
        <v>0</v>
      </c>
      <c r="BO13" s="51">
        <f t="shared" ca="1" si="28"/>
        <v>0</v>
      </c>
      <c r="BP13" s="51">
        <f t="shared" ca="1" si="29"/>
        <v>580.55827024239238</v>
      </c>
      <c r="BR13" s="32"/>
      <c r="BS13" s="126"/>
      <c r="BT13" s="16"/>
      <c r="BU13" s="58"/>
      <c r="BW13" s="51">
        <f>VLOOKUP(H13,Charges!$AT$4:$AU$33,2,FALSE)*I13</f>
        <v>0</v>
      </c>
      <c r="BX13" s="51">
        <f t="shared" si="30"/>
        <v>0</v>
      </c>
      <c r="BY13" s="51">
        <f t="shared" si="47"/>
        <v>0</v>
      </c>
      <c r="BZ13" s="151"/>
      <c r="CA13" s="151"/>
      <c r="CB13" s="32"/>
      <c r="CC13" s="16">
        <f ca="1">SUM($N$7:$N13)</f>
        <v>0</v>
      </c>
      <c r="CD13" s="16">
        <f t="shared" ca="1" si="31"/>
        <v>0</v>
      </c>
      <c r="CE13" s="16">
        <f t="shared" ca="1" si="32"/>
        <v>0</v>
      </c>
      <c r="CF13" s="7">
        <f t="shared" ca="1" si="48"/>
        <v>0</v>
      </c>
    </row>
    <row r="14" spans="1:84" s="7" customFormat="1" x14ac:dyDescent="0.2">
      <c r="A14" s="149"/>
      <c r="B14" s="14">
        <f t="shared" si="0"/>
        <v>1</v>
      </c>
      <c r="C14" s="12">
        <f t="shared" si="1"/>
        <v>1</v>
      </c>
      <c r="D14" s="17">
        <f t="shared" si="49"/>
        <v>8</v>
      </c>
      <c r="E14" s="17">
        <f t="shared" ca="1" si="2"/>
        <v>60</v>
      </c>
      <c r="F14" s="12">
        <f t="shared" si="50"/>
        <v>7</v>
      </c>
      <c r="G14" s="12">
        <f t="shared" ref="G14:G77" si="52">G8+1</f>
        <v>2</v>
      </c>
      <c r="H14" s="17">
        <v>1</v>
      </c>
      <c r="I14" s="29">
        <f t="shared" si="3"/>
        <v>0</v>
      </c>
      <c r="J14" s="211">
        <f>IFERROR(VLOOKUP(H14,Charges!$T$6:$U$35,2,0)*C14,0)</f>
        <v>0.94499999999999995</v>
      </c>
      <c r="K14" s="29">
        <f t="shared" si="4"/>
        <v>0</v>
      </c>
      <c r="L14" s="29">
        <f t="shared" si="5"/>
        <v>0</v>
      </c>
      <c r="M14" s="147">
        <f t="shared" ca="1" si="6"/>
        <v>0</v>
      </c>
      <c r="N14" s="148">
        <f ca="1">IF(AND(Option_SPW="Y",H14&gt;=Lock_In_Period,Z13&gt;SPW_Amount_pa+IF(option="Single",1/5*pr,2*pr),H14&gt;=SPW_Start_Year,H14&lt;=SPW_Start_Year+SPW_Duration-1,age+H14&gt;=Legal_Age),IF(AND(F14=0,SPW_Payout_Freq=1),SPW_Amount_pa,IF(AND(SPW_Payout_Freq=2,MOD(F14,6)=0),SPW_Amount_pa/SPW_Payout_Freq,IF(AND(SPW_Payout_Freq=4,MOD(F14,3)=0),SPW_Amount_pa/SPW_Payout_Freq,IF(SPW_Payout_Freq=12,SPW_Amount_pa/SPW_Payout_Freq,0)))),0)+IFERROR(VLOOKUP(H14,Input!$B$68:$C$74,2,0),0)*(F14=0)*(Option_PW="Y")*(Option_SPW="N")*(age+H14&gt;=Legal_Age)</f>
        <v>0</v>
      </c>
      <c r="O14" s="148">
        <f t="shared" ca="1" si="33"/>
        <v>0</v>
      </c>
      <c r="P14" s="14">
        <f ca="1">(MAX(MAX(sa-CF13*Flag_UL_Type,105%*SUM($I$7:I14))-(AD13+L14-N14)*Flag_UL_Type,0)*B14)</f>
        <v>2739978.4323636391</v>
      </c>
      <c r="Q14" s="213">
        <f t="shared" ca="1" si="7"/>
        <v>2484.9321066177913</v>
      </c>
      <c r="R14" s="14">
        <f t="shared" ca="1" si="8"/>
        <v>0</v>
      </c>
      <c r="S14" s="14">
        <f t="shared" ca="1" si="9"/>
        <v>0</v>
      </c>
      <c r="T14" s="14">
        <f>IFERROR(IF(WoP_Flag="Y",IF(fq=1,VLOOKUP(ppt*fq-H14,Charges!$AN$41:$AO$59,2,FALSE),IF(fq=2,VLOOKUP(ppt*fq-G14,Charges!$AP$41:$AQ$79,2,FALSE),VLOOKUP(ppt*fq-D14,Charges!$AR$41:$AS$279,2,FALSE)))*pr/fq,0),0)</f>
        <v>0</v>
      </c>
      <c r="U14" s="14">
        <f ca="1">IFERROR(((T14*(VLOOKUP(Input!$D$18+H14-1,Tab_Mort_Charge,IF(Gender_2="M",2,3),FALSE)*(1+_emr2)+_rpm2)/IF(Model_Type="LA_PQIS",1000/0.0833,(12*1000))))*Flag_Mort_Rider_Charge*(T14&gt;0),0)</f>
        <v>0</v>
      </c>
      <c r="V14" s="34">
        <f>ROUND(MIN(IF(H14&gt;=7,Charges!$C$12*(1+Charges!$C$14)^((H14-7+1)),VLOOKUP(H14,Charges!$B$7:$C$12,2,0))*pr,Charges!$C$13)*B14,Round)</f>
        <v>450</v>
      </c>
      <c r="W14" s="14">
        <f t="shared" ca="1" si="10"/>
        <v>256558.34775055185</v>
      </c>
      <c r="X14" s="14">
        <f t="shared" ca="1" si="11"/>
        <v>257398.25302003807</v>
      </c>
      <c r="Y14" s="213">
        <f t="shared" ca="1" si="34"/>
        <v>289.7306232348418</v>
      </c>
      <c r="Z14" s="14">
        <f t="shared" ca="1" si="12"/>
        <v>257056.37088462096</v>
      </c>
      <c r="AA14" s="14">
        <f>IF(AND($H14=pt,$F14=11),SUM($K$7:K14)*VLOOKUP(pt,ROC,2,FALSE),0)</f>
        <v>0</v>
      </c>
      <c r="AB14" s="14">
        <f>IF(AND($H14=pt,$F14=11),SUM($V$7:V14)*VLOOKUP(pt,ROC,2,FALSE),0)</f>
        <v>0</v>
      </c>
      <c r="AC14" s="14">
        <f>IF(AND($H14=pt,$F14=11),SUM($Q$7:Q14)*VLOOKUP(pt,ROC,2,FALSE),0)</f>
        <v>0</v>
      </c>
      <c r="AD14" s="14">
        <f t="shared" ca="1" si="35"/>
        <v>257056.37088462096</v>
      </c>
      <c r="AE14" s="14">
        <f ca="1">(MAX(sa-CF13*Flag_UL_Type,105%*SUM($I$7:I14),Z14)+AU14)*B14</f>
        <v>3000000</v>
      </c>
      <c r="AF14" s="136"/>
      <c r="AG14" s="18">
        <v>8</v>
      </c>
      <c r="AH14" s="30">
        <f t="shared" ca="1" si="13"/>
        <v>0</v>
      </c>
      <c r="AI14" s="138"/>
      <c r="AJ14" s="50">
        <f>IF(AND(Option_Sys_TopUp&gt;="Y",H14&gt;=sytp,H14&lt;=(dtp+sytp-1),F14=0,H14&lt;=ppt+1),atp,0)+IFERROR(VLOOKUP(H14,Input!$B$55:$C$61,2,0),0)*(F14=0)*(Option_TopUP="Y")*(Option_Sys_TopUp="N")*B14*(pt&gt;=H14+5)</f>
        <v>0</v>
      </c>
      <c r="AK14" s="50">
        <f t="shared" si="14"/>
        <v>0</v>
      </c>
      <c r="AL14" s="50">
        <f t="shared" si="36"/>
        <v>0</v>
      </c>
      <c r="AM14" s="50">
        <f t="shared" ca="1" si="15"/>
        <v>0</v>
      </c>
      <c r="AN14" s="50">
        <f ca="1">IF(B14=0,0,AT14*(_rpm1+(1+_emr1)*VLOOKUP(E14,Tab_Mort_Charge,IF(Input!$C$12="M",2,3),0))*(0.001*0.0833)*Flag_Mort_Rider_Charge*(AT14&gt;0))</f>
        <v>0</v>
      </c>
      <c r="AO14" s="50">
        <f t="shared" ca="1" si="37"/>
        <v>0</v>
      </c>
      <c r="AP14" s="50">
        <f t="shared" ca="1" si="38"/>
        <v>0</v>
      </c>
      <c r="AQ14" s="50">
        <f t="shared" ca="1" si="16"/>
        <v>0</v>
      </c>
      <c r="AR14" s="50">
        <f t="shared" ca="1" si="17"/>
        <v>0</v>
      </c>
      <c r="AS14" s="50">
        <f t="shared" si="18"/>
        <v>0</v>
      </c>
      <c r="AT14" s="50">
        <f ca="1">(MAX((MAX(AS14,105%*SUM($AJ$7:AJ14))-AM14*Flag_UL_Type),0)*B14)</f>
        <v>0</v>
      </c>
      <c r="AU14" s="50">
        <f ca="1">(MAX(AS14,AR14,105%*SUM($AJ$7:AJ14))*B14)</f>
        <v>0</v>
      </c>
      <c r="AV14" s="125"/>
      <c r="AW14" s="12">
        <f t="shared" si="51"/>
        <v>8</v>
      </c>
      <c r="AX14" s="14">
        <f t="shared" si="39"/>
        <v>6000.00000000001</v>
      </c>
      <c r="AY14" s="14">
        <f t="shared" ca="1" si="40"/>
        <v>13833.01020074844</v>
      </c>
      <c r="AZ14" s="14">
        <f t="shared" ca="1" si="41"/>
        <v>0</v>
      </c>
      <c r="BA14" s="14">
        <f t="shared" ca="1" si="42"/>
        <v>0</v>
      </c>
      <c r="BB14" s="14">
        <f t="shared" si="43"/>
        <v>6000</v>
      </c>
      <c r="BC14" s="14">
        <f t="shared" ca="1" si="19"/>
        <v>30310.810601127629</v>
      </c>
      <c r="BD14" s="14">
        <f t="shared" ca="1" si="20"/>
        <v>10105.887744337695</v>
      </c>
      <c r="BE14" s="14">
        <f t="shared" si="44"/>
        <v>1500</v>
      </c>
      <c r="BF14" s="14">
        <f t="shared" ca="1" si="45"/>
        <v>0</v>
      </c>
      <c r="BG14" s="51">
        <f t="shared" si="21"/>
        <v>0</v>
      </c>
      <c r="BH14" s="51">
        <f t="shared" ca="1" si="22"/>
        <v>447.28777919120199</v>
      </c>
      <c r="BI14" s="51">
        <f t="shared" ca="1" si="46"/>
        <v>0</v>
      </c>
      <c r="BJ14" s="51">
        <f t="shared" ca="1" si="23"/>
        <v>0</v>
      </c>
      <c r="BK14" s="51">
        <f t="shared" si="24"/>
        <v>81</v>
      </c>
      <c r="BL14" s="51">
        <f t="shared" ca="1" si="25"/>
        <v>52.151512182271524</v>
      </c>
      <c r="BM14" s="51">
        <f t="shared" si="26"/>
        <v>0</v>
      </c>
      <c r="BN14" s="51">
        <f t="shared" ca="1" si="27"/>
        <v>0</v>
      </c>
      <c r="BO14" s="51">
        <f t="shared" ca="1" si="28"/>
        <v>0</v>
      </c>
      <c r="BP14" s="51">
        <f t="shared" ca="1" si="29"/>
        <v>580.43929137347345</v>
      </c>
      <c r="BR14" s="32"/>
      <c r="BS14" s="126"/>
      <c r="BT14" s="16"/>
      <c r="BU14" s="58"/>
      <c r="BW14" s="51">
        <f>VLOOKUP(H14,Charges!$AT$4:$AU$33,2,FALSE)*I14</f>
        <v>0</v>
      </c>
      <c r="BX14" s="51">
        <f t="shared" si="30"/>
        <v>0</v>
      </c>
      <c r="BY14" s="51">
        <f t="shared" si="47"/>
        <v>0</v>
      </c>
      <c r="BZ14" s="151"/>
      <c r="CA14" s="151"/>
      <c r="CB14" s="32"/>
      <c r="CC14" s="16">
        <f ca="1">SUM($N$7:$N14)</f>
        <v>0</v>
      </c>
      <c r="CD14" s="16">
        <f t="shared" ca="1" si="31"/>
        <v>0</v>
      </c>
      <c r="CE14" s="16">
        <f t="shared" ca="1" si="32"/>
        <v>0</v>
      </c>
      <c r="CF14" s="7">
        <f t="shared" ca="1" si="48"/>
        <v>0</v>
      </c>
    </row>
    <row r="15" spans="1:84" s="7" customFormat="1" x14ac:dyDescent="0.2">
      <c r="A15" s="149"/>
      <c r="B15" s="14">
        <f t="shared" si="0"/>
        <v>1</v>
      </c>
      <c r="C15" s="12">
        <f t="shared" si="1"/>
        <v>1</v>
      </c>
      <c r="D15" s="17">
        <f t="shared" si="49"/>
        <v>9</v>
      </c>
      <c r="E15" s="17">
        <f t="shared" ca="1" si="2"/>
        <v>60</v>
      </c>
      <c r="F15" s="12">
        <f t="shared" si="50"/>
        <v>8</v>
      </c>
      <c r="G15" s="12">
        <f t="shared" si="52"/>
        <v>2</v>
      </c>
      <c r="H15" s="17">
        <v>1</v>
      </c>
      <c r="I15" s="29">
        <f t="shared" si="3"/>
        <v>0</v>
      </c>
      <c r="J15" s="211">
        <f>IFERROR(VLOOKUP(H15,Charges!$T$6:$U$35,2,0)*C15,0)</f>
        <v>0.94499999999999995</v>
      </c>
      <c r="K15" s="29">
        <f t="shared" si="4"/>
        <v>0</v>
      </c>
      <c r="L15" s="29">
        <f t="shared" si="5"/>
        <v>0</v>
      </c>
      <c r="M15" s="147">
        <f t="shared" ca="1" si="6"/>
        <v>0</v>
      </c>
      <c r="N15" s="148">
        <f ca="1">IF(AND(Option_SPW="Y",H15&gt;=Lock_In_Period,Z14&gt;SPW_Amount_pa+IF(option="Single",1/5*pr,2*pr),H15&gt;=SPW_Start_Year,H15&lt;=SPW_Start_Year+SPW_Duration-1,age+H15&gt;=Legal_Age),IF(AND(F15=0,SPW_Payout_Freq=1),SPW_Amount_pa,IF(AND(SPW_Payout_Freq=2,MOD(F15,6)=0),SPW_Amount_pa/SPW_Payout_Freq,IF(AND(SPW_Payout_Freq=4,MOD(F15,3)=0),SPW_Amount_pa/SPW_Payout_Freq,IF(SPW_Payout_Freq=12,SPW_Amount_pa/SPW_Payout_Freq,0)))),0)+IFERROR(VLOOKUP(H15,Input!$B$68:$C$74,2,0),0)*(F15=0)*(Option_PW="Y")*(Option_SPW="N")*(age+H15&gt;=Legal_Age)</f>
        <v>0</v>
      </c>
      <c r="O15" s="148">
        <f t="shared" ca="1" si="33"/>
        <v>0</v>
      </c>
      <c r="P15" s="14">
        <f ca="1">(MAX(MAX(sa-CF14*Flag_UL_Type,105%*SUM($I$7:I15))-(AD14+L15-N15)*Flag_UL_Type,0)*B15)</f>
        <v>2742943.6291153789</v>
      </c>
      <c r="Q15" s="213">
        <f t="shared" ca="1" si="7"/>
        <v>2487.6212929718918</v>
      </c>
      <c r="R15" s="14">
        <f t="shared" ca="1" si="8"/>
        <v>0</v>
      </c>
      <c r="S15" s="14">
        <f t="shared" ca="1" si="9"/>
        <v>0</v>
      </c>
      <c r="T15" s="14">
        <f>IFERROR(IF(WoP_Flag="Y",IF(fq=1,VLOOKUP(ppt*fq-H15,Charges!$AN$41:$AO$59,2,FALSE),IF(fq=2,VLOOKUP(ppt*fq-G15,Charges!$AP$41:$AQ$79,2,FALSE),VLOOKUP(ppt*fq-D15,Charges!$AR$41:$AS$279,2,FALSE)))*pr/fq,0),0)</f>
        <v>0</v>
      </c>
      <c r="U15" s="14">
        <f ca="1">IFERROR(((T15*(VLOOKUP(Input!$D$18+H15-1,Tab_Mort_Charge,IF(Gender_2="M",2,3),FALSE)*(1+_emr2)+_rpm2)/IF(Model_Type="LA_PQIS",1000/0.0833,(12*1000))))*Flag_Mort_Rider_Charge*(T15&gt;0),0)</f>
        <v>0</v>
      </c>
      <c r="V15" s="34">
        <f>ROUND(MIN(IF(H15&gt;=7,Charges!$C$12*(1+Charges!$C$14)^((H15-7+1)),VLOOKUP(H15,Charges!$B$7:$C$12,2,0))*pr,Charges!$C$13)*B15,Round)</f>
        <v>450</v>
      </c>
      <c r="W15" s="14">
        <f t="shared" ca="1" si="10"/>
        <v>253589.97775891412</v>
      </c>
      <c r="X15" s="14">
        <f t="shared" ca="1" si="11"/>
        <v>254420.16535747043</v>
      </c>
      <c r="Y15" s="213">
        <f t="shared" ca="1" si="34"/>
        <v>286.37845132069697</v>
      </c>
      <c r="Z15" s="14">
        <f t="shared" ca="1" si="12"/>
        <v>254082.23878491201</v>
      </c>
      <c r="AA15" s="14">
        <f>IF(AND($H15=pt,$F15=11),SUM($K$7:K15)*VLOOKUP(pt,ROC,2,FALSE),0)</f>
        <v>0</v>
      </c>
      <c r="AB15" s="14">
        <f>IF(AND($H15=pt,$F15=11),SUM($V$7:V15)*VLOOKUP(pt,ROC,2,FALSE),0)</f>
        <v>0</v>
      </c>
      <c r="AC15" s="14">
        <f>IF(AND($H15=pt,$F15=11),SUM($Q$7:Q15)*VLOOKUP(pt,ROC,2,FALSE),0)</f>
        <v>0</v>
      </c>
      <c r="AD15" s="14">
        <f t="shared" ca="1" si="35"/>
        <v>254082.23878491201</v>
      </c>
      <c r="AE15" s="14">
        <f ca="1">(MAX(sa-CF14*Flag_UL_Type,105%*SUM($I$7:I15),Z15)+AU15)*B15</f>
        <v>3000000</v>
      </c>
      <c r="AF15" s="136"/>
      <c r="AG15" s="18">
        <v>9</v>
      </c>
      <c r="AH15" s="30">
        <f t="shared" ca="1" si="13"/>
        <v>0</v>
      </c>
      <c r="AI15" s="138"/>
      <c r="AJ15" s="50">
        <f>IF(AND(Option_Sys_TopUp&gt;="Y",H15&gt;=sytp,H15&lt;=(dtp+sytp-1),F15=0,H15&lt;=ppt+1),atp,0)+IFERROR(VLOOKUP(H15,Input!$B$55:$C$61,2,0),0)*(F15=0)*(Option_TopUP="Y")*(Option_Sys_TopUp="N")*B15*(pt&gt;=H15+5)</f>
        <v>0</v>
      </c>
      <c r="AK15" s="50">
        <f t="shared" si="14"/>
        <v>0</v>
      </c>
      <c r="AL15" s="50">
        <f t="shared" si="36"/>
        <v>0</v>
      </c>
      <c r="AM15" s="50">
        <f t="shared" ca="1" si="15"/>
        <v>0</v>
      </c>
      <c r="AN15" s="50">
        <f ca="1">IF(B15=0,0,AT15*(_rpm1+(1+_emr1)*VLOOKUP(E15,Tab_Mort_Charge,IF(Input!$C$12="M",2,3),0))*(0.001*0.0833)*Flag_Mort_Rider_Charge*(AT15&gt;0))</f>
        <v>0</v>
      </c>
      <c r="AO15" s="50">
        <f t="shared" ca="1" si="37"/>
        <v>0</v>
      </c>
      <c r="AP15" s="50">
        <f t="shared" ca="1" si="38"/>
        <v>0</v>
      </c>
      <c r="AQ15" s="50">
        <f t="shared" ca="1" si="16"/>
        <v>0</v>
      </c>
      <c r="AR15" s="50">
        <f t="shared" ca="1" si="17"/>
        <v>0</v>
      </c>
      <c r="AS15" s="50">
        <f t="shared" si="18"/>
        <v>0</v>
      </c>
      <c r="AT15" s="50">
        <f ca="1">(MAX((MAX(AS15,105%*SUM($AJ$7:AJ15))-AM15*Flag_UL_Type),0)*B15)</f>
        <v>0</v>
      </c>
      <c r="AU15" s="50">
        <f ca="1">(MAX(AS15,AR15,105%*SUM($AJ$7:AJ15))*B15)</f>
        <v>0</v>
      </c>
      <c r="AV15" s="125"/>
      <c r="AW15" s="12">
        <f t="shared" si="51"/>
        <v>9</v>
      </c>
      <c r="AX15" s="14">
        <f t="shared" si="39"/>
        <v>6000.00000000001</v>
      </c>
      <c r="AY15" s="14">
        <f t="shared" ca="1" si="40"/>
        <v>8553.2095497612263</v>
      </c>
      <c r="AZ15" s="14">
        <f t="shared" ca="1" si="41"/>
        <v>0</v>
      </c>
      <c r="BA15" s="14">
        <f t="shared" ca="1" si="42"/>
        <v>0</v>
      </c>
      <c r="BB15" s="14">
        <f t="shared" si="43"/>
        <v>6000</v>
      </c>
      <c r="BC15" s="14">
        <f t="shared" ca="1" si="19"/>
        <v>34761.717878670956</v>
      </c>
      <c r="BD15" s="14">
        <f t="shared" ca="1" si="20"/>
        <v>9956.6869371177909</v>
      </c>
      <c r="BE15" s="14">
        <f t="shared" si="44"/>
        <v>1500</v>
      </c>
      <c r="BF15" s="14">
        <f t="shared" ca="1" si="45"/>
        <v>0</v>
      </c>
      <c r="BG15" s="51">
        <f t="shared" si="21"/>
        <v>0</v>
      </c>
      <c r="BH15" s="51">
        <f t="shared" ca="1" si="22"/>
        <v>447.77183273494097</v>
      </c>
      <c r="BI15" s="51">
        <f t="shared" ca="1" si="46"/>
        <v>0</v>
      </c>
      <c r="BJ15" s="51">
        <f t="shared" ca="1" si="23"/>
        <v>0</v>
      </c>
      <c r="BK15" s="51">
        <f t="shared" si="24"/>
        <v>81</v>
      </c>
      <c r="BL15" s="51">
        <f t="shared" ca="1" si="25"/>
        <v>51.548121237725454</v>
      </c>
      <c r="BM15" s="51">
        <f t="shared" si="26"/>
        <v>0</v>
      </c>
      <c r="BN15" s="51">
        <f t="shared" ca="1" si="27"/>
        <v>0</v>
      </c>
      <c r="BO15" s="51">
        <f t="shared" ca="1" si="28"/>
        <v>0</v>
      </c>
      <c r="BP15" s="51">
        <f t="shared" ca="1" si="29"/>
        <v>580.31995397266644</v>
      </c>
      <c r="BR15" s="32"/>
      <c r="BS15" s="126"/>
      <c r="BT15" s="16"/>
      <c r="BU15" s="58"/>
      <c r="BW15" s="51">
        <f>VLOOKUP(H15,Charges!$AT$4:$AU$33,2,FALSE)*I15</f>
        <v>0</v>
      </c>
      <c r="BX15" s="51">
        <f t="shared" si="30"/>
        <v>0</v>
      </c>
      <c r="BY15" s="51">
        <f t="shared" si="47"/>
        <v>0</v>
      </c>
      <c r="BZ15" s="151"/>
      <c r="CA15" s="151"/>
      <c r="CB15" s="32"/>
      <c r="CC15" s="16">
        <f ca="1">SUM($N$7:$N15)</f>
        <v>0</v>
      </c>
      <c r="CD15" s="16">
        <f t="shared" ca="1" si="31"/>
        <v>0</v>
      </c>
      <c r="CE15" s="16">
        <f t="shared" ca="1" si="32"/>
        <v>0</v>
      </c>
      <c r="CF15" s="7">
        <f t="shared" ca="1" si="48"/>
        <v>0</v>
      </c>
    </row>
    <row r="16" spans="1:84" s="7" customFormat="1" x14ac:dyDescent="0.2">
      <c r="A16" s="149"/>
      <c r="B16" s="14">
        <f t="shared" si="0"/>
        <v>1</v>
      </c>
      <c r="C16" s="12">
        <f t="shared" si="1"/>
        <v>1</v>
      </c>
      <c r="D16" s="17">
        <f t="shared" si="49"/>
        <v>10</v>
      </c>
      <c r="E16" s="17">
        <f t="shared" ca="1" si="2"/>
        <v>60</v>
      </c>
      <c r="F16" s="12">
        <f t="shared" si="50"/>
        <v>9</v>
      </c>
      <c r="G16" s="12">
        <f t="shared" si="52"/>
        <v>2</v>
      </c>
      <c r="H16" s="17">
        <v>1</v>
      </c>
      <c r="I16" s="29">
        <f t="shared" si="3"/>
        <v>0</v>
      </c>
      <c r="J16" s="211">
        <f>IFERROR(VLOOKUP(H16,Charges!$T$6:$U$35,2,0)*C16,0)</f>
        <v>0.94499999999999995</v>
      </c>
      <c r="K16" s="29">
        <f t="shared" si="4"/>
        <v>0</v>
      </c>
      <c r="L16" s="29">
        <f t="shared" si="5"/>
        <v>0</v>
      </c>
      <c r="M16" s="147">
        <f t="shared" ca="1" si="6"/>
        <v>0</v>
      </c>
      <c r="N16" s="148">
        <f ca="1">IF(AND(Option_SPW="Y",H16&gt;=Lock_In_Period,Z15&gt;SPW_Amount_pa+IF(option="Single",1/5*pr,2*pr),H16&gt;=SPW_Start_Year,H16&lt;=SPW_Start_Year+SPW_Duration-1,age+H16&gt;=Legal_Age),IF(AND(F16=0,SPW_Payout_Freq=1),SPW_Amount_pa,IF(AND(SPW_Payout_Freq=2,MOD(F16,6)=0),SPW_Amount_pa/SPW_Payout_Freq,IF(AND(SPW_Payout_Freq=4,MOD(F16,3)=0),SPW_Amount_pa/SPW_Payout_Freq,IF(SPW_Payout_Freq=12,SPW_Amount_pa/SPW_Payout_Freq,0)))),0)+IFERROR(VLOOKUP(H16,Input!$B$68:$C$74,2,0),0)*(F16=0)*(Option_PW="Y")*(Option_SPW="N")*(age+H16&gt;=Legal_Age)</f>
        <v>0</v>
      </c>
      <c r="O16" s="148">
        <f t="shared" ca="1" si="33"/>
        <v>0</v>
      </c>
      <c r="P16" s="14">
        <f ca="1">(MAX(MAX(sa-CF15*Flag_UL_Type,105%*SUM($I$7:I16))-(AD15+L16-N16)*Flag_UL_Type,0)*B16)</f>
        <v>2745917.761215088</v>
      </c>
      <c r="Q16" s="213">
        <f t="shared" ca="1" si="7"/>
        <v>2490.3185829419831</v>
      </c>
      <c r="R16" s="14">
        <f t="shared" ca="1" si="8"/>
        <v>0</v>
      </c>
      <c r="S16" s="14">
        <f t="shared" ca="1" si="9"/>
        <v>0</v>
      </c>
      <c r="T16" s="14">
        <f>IFERROR(IF(WoP_Flag="Y",IF(fq=1,VLOOKUP(ppt*fq-H16,Charges!$AN$41:$AO$59,2,FALSE),IF(fq=2,VLOOKUP(ppt*fq-G16,Charges!$AP$41:$AQ$79,2,FALSE),VLOOKUP(ppt*fq-D16,Charges!$AR$41:$AS$279,2,FALSE)))*pr/fq,0),0)</f>
        <v>0</v>
      </c>
      <c r="U16" s="14">
        <f ca="1">IFERROR(((T16*(VLOOKUP(Input!$D$18+H16-1,Tab_Mort_Charge,IF(Gender_2="M",2,3),FALSE)*(1+_emr2)+_rpm2)/IF(Model_Type="LA_PQIS",1000/0.0833,(12*1000))))*Flag_Mort_Rider_Charge*(T16&gt;0),0)</f>
        <v>0</v>
      </c>
      <c r="V16" s="34">
        <f>ROUND(MIN(IF(H16&gt;=7,Charges!$C$12*(1+Charges!$C$14)^((H16-7+1)),VLOOKUP(H16,Charges!$B$7:$C$12,2,0))*pr,Charges!$C$13)*B16,Round)</f>
        <v>450</v>
      </c>
      <c r="W16" s="14">
        <f t="shared" ca="1" si="10"/>
        <v>250612.66285704047</v>
      </c>
      <c r="X16" s="14">
        <f t="shared" ca="1" si="11"/>
        <v>251433.10350135836</v>
      </c>
      <c r="Y16" s="213">
        <f t="shared" ca="1" si="34"/>
        <v>283.01617794448646</v>
      </c>
      <c r="Z16" s="14">
        <f t="shared" ca="1" si="12"/>
        <v>251099.14441138387</v>
      </c>
      <c r="AA16" s="14">
        <f>IF(AND($H16=pt,$F16=11),SUM($K$7:K16)*VLOOKUP(pt,ROC,2,FALSE),0)</f>
        <v>0</v>
      </c>
      <c r="AB16" s="14">
        <f>IF(AND($H16=pt,$F16=11),SUM($V$7:V16)*VLOOKUP(pt,ROC,2,FALSE),0)</f>
        <v>0</v>
      </c>
      <c r="AC16" s="14">
        <f>IF(AND($H16=pt,$F16=11),SUM($Q$7:Q16)*VLOOKUP(pt,ROC,2,FALSE),0)</f>
        <v>0</v>
      </c>
      <c r="AD16" s="14">
        <f t="shared" ca="1" si="35"/>
        <v>251099.14441138387</v>
      </c>
      <c r="AE16" s="14">
        <f ca="1">(MAX(sa-CF15*Flag_UL_Type,105%*SUM($I$7:I16),Z16)+AU16)*B16</f>
        <v>3000000</v>
      </c>
      <c r="AF16" s="136"/>
      <c r="AG16" s="18">
        <v>10</v>
      </c>
      <c r="AH16" s="30">
        <f t="shared" ca="1" si="13"/>
        <v>0</v>
      </c>
      <c r="AI16" s="138"/>
      <c r="AJ16" s="50">
        <f>IF(AND(Option_Sys_TopUp&gt;="Y",H16&gt;=sytp,H16&lt;=(dtp+sytp-1),F16=0,H16&lt;=ppt+1),atp,0)+IFERROR(VLOOKUP(H16,Input!$B$55:$C$61,2,0),0)*(F16=0)*(Option_TopUP="Y")*(Option_Sys_TopUp="N")*B16*(pt&gt;=H16+5)</f>
        <v>0</v>
      </c>
      <c r="AK16" s="50">
        <f t="shared" si="14"/>
        <v>0</v>
      </c>
      <c r="AL16" s="50">
        <f t="shared" si="36"/>
        <v>0</v>
      </c>
      <c r="AM16" s="50">
        <f t="shared" ca="1" si="15"/>
        <v>0</v>
      </c>
      <c r="AN16" s="50">
        <f ca="1">IF(B16=0,0,AT16*(_rpm1+(1+_emr1)*VLOOKUP(E16,Tab_Mort_Charge,IF(Input!$C$12="M",2,3),0))*(0.001*0.0833)*Flag_Mort_Rider_Charge*(AT16&gt;0))</f>
        <v>0</v>
      </c>
      <c r="AO16" s="50">
        <f t="shared" ca="1" si="37"/>
        <v>0</v>
      </c>
      <c r="AP16" s="50">
        <f t="shared" ca="1" si="38"/>
        <v>0</v>
      </c>
      <c r="AQ16" s="50">
        <f t="shared" ca="1" si="16"/>
        <v>0</v>
      </c>
      <c r="AR16" s="50">
        <f t="shared" ca="1" si="17"/>
        <v>0</v>
      </c>
      <c r="AS16" s="50">
        <f t="shared" si="18"/>
        <v>0</v>
      </c>
      <c r="AT16" s="50">
        <f ca="1">(MAX((MAX(AS16,105%*SUM($AJ$7:AJ16))-AM16*Flag_UL_Type),0)*B16)</f>
        <v>0</v>
      </c>
      <c r="AU16" s="50">
        <f ca="1">(MAX(AS16,AR16,105%*SUM($AJ$7:AJ16))*B16)</f>
        <v>0</v>
      </c>
      <c r="AV16" s="125"/>
      <c r="AW16" s="12">
        <f t="shared" si="51"/>
        <v>10</v>
      </c>
      <c r="AX16" s="14">
        <f t="shared" si="39"/>
        <v>6000.00000000001</v>
      </c>
      <c r="AY16" s="14">
        <f t="shared" ca="1" si="40"/>
        <v>5211.7305358805361</v>
      </c>
      <c r="AZ16" s="14">
        <f t="shared" ca="1" si="41"/>
        <v>0</v>
      </c>
      <c r="BA16" s="14">
        <f t="shared" ca="1" si="42"/>
        <v>0</v>
      </c>
      <c r="BB16" s="14">
        <f t="shared" si="43"/>
        <v>6000</v>
      </c>
      <c r="BC16" s="14">
        <f t="shared" ca="1" si="19"/>
        <v>39385.830144615335</v>
      </c>
      <c r="BD16" s="14">
        <f t="shared" ca="1" si="20"/>
        <v>10187.560922489258</v>
      </c>
      <c r="BE16" s="14">
        <f t="shared" si="44"/>
        <v>1500</v>
      </c>
      <c r="BF16" s="14">
        <f t="shared" ca="1" si="45"/>
        <v>0</v>
      </c>
      <c r="BG16" s="51">
        <f t="shared" si="21"/>
        <v>0</v>
      </c>
      <c r="BH16" s="51">
        <f t="shared" ca="1" si="22"/>
        <v>448.25734492955701</v>
      </c>
      <c r="BI16" s="51">
        <f t="shared" ca="1" si="46"/>
        <v>0</v>
      </c>
      <c r="BJ16" s="51">
        <f t="shared" ca="1" si="23"/>
        <v>0</v>
      </c>
      <c r="BK16" s="51">
        <f t="shared" si="24"/>
        <v>81</v>
      </c>
      <c r="BL16" s="51">
        <f t="shared" ca="1" si="25"/>
        <v>50.942912030007562</v>
      </c>
      <c r="BM16" s="51">
        <f t="shared" si="26"/>
        <v>0</v>
      </c>
      <c r="BN16" s="51">
        <f t="shared" ca="1" si="27"/>
        <v>0</v>
      </c>
      <c r="BO16" s="51">
        <f t="shared" ca="1" si="28"/>
        <v>0</v>
      </c>
      <c r="BP16" s="51">
        <f t="shared" ca="1" si="29"/>
        <v>580.20025695956451</v>
      </c>
      <c r="BR16" s="32"/>
      <c r="BS16" s="126"/>
      <c r="BT16" s="16"/>
      <c r="BU16" s="58"/>
      <c r="BW16" s="51">
        <f>VLOOKUP(H16,Charges!$AT$4:$AU$33,2,FALSE)*I16</f>
        <v>0</v>
      </c>
      <c r="BX16" s="51">
        <f t="shared" si="30"/>
        <v>0</v>
      </c>
      <c r="BY16" s="51">
        <f t="shared" si="47"/>
        <v>0</v>
      </c>
      <c r="BZ16" s="151"/>
      <c r="CA16" s="151"/>
      <c r="CB16" s="32"/>
      <c r="CC16" s="16">
        <f ca="1">SUM($N$7:$N16)</f>
        <v>0</v>
      </c>
      <c r="CD16" s="16">
        <f t="shared" ca="1" si="31"/>
        <v>0</v>
      </c>
      <c r="CE16" s="16">
        <f t="shared" ca="1" si="32"/>
        <v>0</v>
      </c>
      <c r="CF16" s="7">
        <f t="shared" ca="1" si="48"/>
        <v>0</v>
      </c>
    </row>
    <row r="17" spans="1:84" s="7" customFormat="1" x14ac:dyDescent="0.2">
      <c r="A17" s="149"/>
      <c r="B17" s="14">
        <f t="shared" si="0"/>
        <v>1</v>
      </c>
      <c r="C17" s="12">
        <f t="shared" si="1"/>
        <v>1</v>
      </c>
      <c r="D17" s="17">
        <f t="shared" si="49"/>
        <v>11</v>
      </c>
      <c r="E17" s="17">
        <f t="shared" ca="1" si="2"/>
        <v>60</v>
      </c>
      <c r="F17" s="12">
        <f>F16+1</f>
        <v>10</v>
      </c>
      <c r="G17" s="12">
        <f t="shared" si="52"/>
        <v>2</v>
      </c>
      <c r="H17" s="17">
        <v>1</v>
      </c>
      <c r="I17" s="29">
        <f t="shared" si="3"/>
        <v>0</v>
      </c>
      <c r="J17" s="211">
        <f>IFERROR(VLOOKUP(H17,Charges!$T$6:$U$35,2,0)*C17,0)</f>
        <v>0.94499999999999995</v>
      </c>
      <c r="K17" s="29">
        <f t="shared" si="4"/>
        <v>0</v>
      </c>
      <c r="L17" s="29">
        <f t="shared" si="5"/>
        <v>0</v>
      </c>
      <c r="M17" s="147">
        <f t="shared" ca="1" si="6"/>
        <v>0</v>
      </c>
      <c r="N17" s="148">
        <f ca="1">IF(AND(Option_SPW="Y",H17&gt;=Lock_In_Period,Z16&gt;SPW_Amount_pa+IF(option="Single",1/5*pr,2*pr),H17&gt;=SPW_Start_Year,H17&lt;=SPW_Start_Year+SPW_Duration-1,age+H17&gt;=Legal_Age),IF(AND(F17=0,SPW_Payout_Freq=1),SPW_Amount_pa,IF(AND(SPW_Payout_Freq=2,MOD(F17,6)=0),SPW_Amount_pa/SPW_Payout_Freq,IF(AND(SPW_Payout_Freq=4,MOD(F17,3)=0),SPW_Amount_pa/SPW_Payout_Freq,IF(SPW_Payout_Freq=12,SPW_Amount_pa/SPW_Payout_Freq,0)))),0)+IFERROR(VLOOKUP(H17,Input!$B$68:$C$74,2,0),0)*(F17=0)*(Option_PW="Y")*(Option_SPW="N")*(age+H17&gt;=Legal_Age)</f>
        <v>0</v>
      </c>
      <c r="O17" s="148">
        <f t="shared" ca="1" si="33"/>
        <v>0</v>
      </c>
      <c r="P17" s="14">
        <f ca="1">(MAX(MAX(sa-CF16*Flag_UL_Type,105%*SUM($I$7:I17))-(AD16+L17-N17)*Flag_UL_Type,0)*B17)</f>
        <v>2748900.8555886163</v>
      </c>
      <c r="Q17" s="213">
        <f t="shared" ca="1" si="7"/>
        <v>2493.0240009475751</v>
      </c>
      <c r="R17" s="14">
        <f t="shared" ca="1" si="8"/>
        <v>0</v>
      </c>
      <c r="S17" s="14">
        <f t="shared" ca="1" si="9"/>
        <v>0</v>
      </c>
      <c r="T17" s="14">
        <f>IFERROR(IF(WoP_Flag="Y",IF(fq=1,VLOOKUP(ppt*fq-H17,Charges!$AN$41:$AO$59,2,FALSE),IF(fq=2,VLOOKUP(ppt*fq-G17,Charges!$AP$41:$AQ$79,2,FALSE),VLOOKUP(ppt*fq-D17,Charges!$AR$41:$AS$279,2,FALSE)))*pr/fq,0),0)</f>
        <v>0</v>
      </c>
      <c r="U17" s="14">
        <f ca="1">IFERROR(((T17*(VLOOKUP(Input!$D$18+H17-1,Tab_Mort_Charge,IF(Gender_2="M",2,3),FALSE)*(1+_emr2)+_rpm2)/IF(Model_Type="LA_PQIS",1000/0.0833,(12*1000))))*Flag_Mort_Rider_Charge*(T17&gt;0),0)</f>
        <v>0</v>
      </c>
      <c r="V17" s="34">
        <f>ROUND(MIN(IF(H17&gt;=7,Charges!$C$12*(1+Charges!$C$14)^((H17-7+1)),VLOOKUP(H17,Charges!$B$7:$C$12,2,0))*pr,Charges!$C$13)*B17,Round)</f>
        <v>450</v>
      </c>
      <c r="W17" s="14">
        <f t="shared" ca="1" si="10"/>
        <v>247626.37609026572</v>
      </c>
      <c r="X17" s="14">
        <f t="shared" ca="1" si="11"/>
        <v>248437.04040879419</v>
      </c>
      <c r="Y17" s="213">
        <f t="shared" ca="1" si="34"/>
        <v>279.64377266638246</v>
      </c>
      <c r="Z17" s="14">
        <f t="shared" ca="1" si="12"/>
        <v>248107.06075704785</v>
      </c>
      <c r="AA17" s="14">
        <f>IF(AND($H17=pt,$F17=11),SUM($K$7:K17)*VLOOKUP(pt,ROC,2,FALSE),0)</f>
        <v>0</v>
      </c>
      <c r="AB17" s="14">
        <f>IF(AND($H17=pt,$F17=11),SUM($V$7:V17)*VLOOKUP(pt,ROC,2,FALSE),0)</f>
        <v>0</v>
      </c>
      <c r="AC17" s="14">
        <f>IF(AND($H17=pt,$F17=11),SUM($Q$7:Q17)*VLOOKUP(pt,ROC,2,FALSE),0)</f>
        <v>0</v>
      </c>
      <c r="AD17" s="14">
        <f t="shared" ca="1" si="35"/>
        <v>248107.06075704785</v>
      </c>
      <c r="AE17" s="14">
        <f ca="1">(MAX(sa-CF16*Flag_UL_Type,105%*SUM($I$7:I17),Z17)+AU17)*B17</f>
        <v>3000000</v>
      </c>
      <c r="AF17" s="136"/>
      <c r="AG17" s="18">
        <v>11</v>
      </c>
      <c r="AH17" s="30">
        <f t="shared" ca="1" si="13"/>
        <v>0</v>
      </c>
      <c r="AI17" s="138"/>
      <c r="AJ17" s="50">
        <f>IF(AND(Option_Sys_TopUp&gt;="Y",H17&gt;=sytp,H17&lt;=(dtp+sytp-1),F17=0,H17&lt;=ppt+1),atp,0)+IFERROR(VLOOKUP(H17,Input!$B$55:$C$61,2,0),0)*(F17=0)*(Option_TopUP="Y")*(Option_Sys_TopUp="N")*B17*(pt&gt;=H17+5)</f>
        <v>0</v>
      </c>
      <c r="AK17" s="50">
        <f t="shared" si="14"/>
        <v>0</v>
      </c>
      <c r="AL17" s="50">
        <f t="shared" si="36"/>
        <v>0</v>
      </c>
      <c r="AM17" s="50">
        <f t="shared" ca="1" si="15"/>
        <v>0</v>
      </c>
      <c r="AN17" s="50">
        <f ca="1">IF(B17=0,0,AT17*(_rpm1+(1+_emr1)*VLOOKUP(E17,Tab_Mort_Charge,IF(Input!$C$12="M",2,3),0))*(0.001*0.0833)*Flag_Mort_Rider_Charge*(AT17&gt;0))</f>
        <v>0</v>
      </c>
      <c r="AO17" s="50">
        <f t="shared" ca="1" si="37"/>
        <v>0</v>
      </c>
      <c r="AP17" s="50">
        <f t="shared" ca="1" si="38"/>
        <v>0</v>
      </c>
      <c r="AQ17" s="50">
        <f t="shared" ca="1" si="16"/>
        <v>0</v>
      </c>
      <c r="AR17" s="50">
        <f t="shared" ca="1" si="17"/>
        <v>0</v>
      </c>
      <c r="AS17" s="50">
        <f t="shared" si="18"/>
        <v>0</v>
      </c>
      <c r="AT17" s="50">
        <f ca="1">(MAX((MAX(AS17,105%*SUM($AJ$7:AJ17))-AM17*Flag_UL_Type),0)*B17)</f>
        <v>0</v>
      </c>
      <c r="AU17" s="50">
        <f ca="1">(MAX(AS17,AR17,105%*SUM($AJ$7:AJ17))*B17)</f>
        <v>0</v>
      </c>
      <c r="AV17" s="125"/>
      <c r="AW17" s="12">
        <f t="shared" si="51"/>
        <v>11</v>
      </c>
      <c r="AX17" s="14">
        <f t="shared" si="39"/>
        <v>0</v>
      </c>
      <c r="AY17" s="14">
        <f t="shared" ca="1" si="40"/>
        <v>4667.4983834744671</v>
      </c>
      <c r="AZ17" s="14">
        <f t="shared" ca="1" si="41"/>
        <v>0</v>
      </c>
      <c r="BA17" s="14">
        <f t="shared" ca="1" si="42"/>
        <v>0</v>
      </c>
      <c r="BB17" s="14">
        <f t="shared" si="43"/>
        <v>6000</v>
      </c>
      <c r="BC17" s="14">
        <f t="shared" ca="1" si="19"/>
        <v>44245.411468543352</v>
      </c>
      <c r="BD17" s="14">
        <f t="shared" ca="1" si="20"/>
        <v>9884.3237733632104</v>
      </c>
      <c r="BE17" s="14">
        <f t="shared" si="44"/>
        <v>0</v>
      </c>
      <c r="BF17" s="14">
        <f t="shared" ca="1" si="45"/>
        <v>0</v>
      </c>
      <c r="BG17" s="51">
        <f t="shared" si="21"/>
        <v>0</v>
      </c>
      <c r="BH17" s="51">
        <f t="shared" ca="1" si="22"/>
        <v>448.74432017056398</v>
      </c>
      <c r="BI17" s="51">
        <f t="shared" ca="1" si="46"/>
        <v>0</v>
      </c>
      <c r="BJ17" s="51">
        <f t="shared" ca="1" si="23"/>
        <v>0</v>
      </c>
      <c r="BK17" s="51">
        <f t="shared" si="24"/>
        <v>81</v>
      </c>
      <c r="BL17" s="51">
        <f t="shared" ca="1" si="25"/>
        <v>50.335879079948839</v>
      </c>
      <c r="BM17" s="51">
        <f t="shared" si="26"/>
        <v>0</v>
      </c>
      <c r="BN17" s="51">
        <f t="shared" ca="1" si="27"/>
        <v>0</v>
      </c>
      <c r="BO17" s="51">
        <f t="shared" ca="1" si="28"/>
        <v>0</v>
      </c>
      <c r="BP17" s="51">
        <f t="shared" ca="1" si="29"/>
        <v>580.08019925051281</v>
      </c>
      <c r="BR17" s="32"/>
      <c r="BS17" s="126"/>
      <c r="BT17" s="16"/>
      <c r="BU17" s="58"/>
      <c r="BW17" s="51">
        <f>VLOOKUP(H17,Charges!$AT$4:$AU$33,2,FALSE)*I17</f>
        <v>0</v>
      </c>
      <c r="BX17" s="51">
        <f t="shared" si="30"/>
        <v>0</v>
      </c>
      <c r="BY17" s="51">
        <f t="shared" si="47"/>
        <v>0</v>
      </c>
      <c r="BZ17" s="151"/>
      <c r="CA17" s="151"/>
      <c r="CB17" s="32"/>
      <c r="CC17" s="16">
        <f ca="1">SUM($N$7:$N17)</f>
        <v>0</v>
      </c>
      <c r="CD17" s="16">
        <f t="shared" ca="1" si="31"/>
        <v>0</v>
      </c>
      <c r="CE17" s="16">
        <f t="shared" ca="1" si="32"/>
        <v>0</v>
      </c>
      <c r="CF17" s="7">
        <f t="shared" ca="1" si="48"/>
        <v>0</v>
      </c>
    </row>
    <row r="18" spans="1:84" s="7" customFormat="1" x14ac:dyDescent="0.2">
      <c r="A18" s="149"/>
      <c r="B18" s="14">
        <f t="shared" si="0"/>
        <v>1</v>
      </c>
      <c r="C18" s="12">
        <f t="shared" si="1"/>
        <v>1</v>
      </c>
      <c r="D18" s="17">
        <f t="shared" si="49"/>
        <v>12</v>
      </c>
      <c r="E18" s="17">
        <f t="shared" ca="1" si="2"/>
        <v>60</v>
      </c>
      <c r="F18" s="12">
        <f t="shared" si="50"/>
        <v>11</v>
      </c>
      <c r="G18" s="12">
        <f t="shared" si="52"/>
        <v>2</v>
      </c>
      <c r="H18" s="17">
        <v>1</v>
      </c>
      <c r="I18" s="29">
        <f t="shared" si="3"/>
        <v>0</v>
      </c>
      <c r="J18" s="211">
        <f>IFERROR(VLOOKUP(H18,Charges!$T$6:$U$35,2,0)*C18,0)</f>
        <v>0.94499999999999995</v>
      </c>
      <c r="K18" s="29">
        <f t="shared" si="4"/>
        <v>0</v>
      </c>
      <c r="L18" s="29">
        <f t="shared" si="5"/>
        <v>0</v>
      </c>
      <c r="M18" s="147">
        <f t="shared" ca="1" si="6"/>
        <v>0</v>
      </c>
      <c r="N18" s="148">
        <f ca="1">IF(AND(Option_SPW="Y",H18&gt;=Lock_In_Period,Z17&gt;SPW_Amount_pa+IF(option="Single",1/5*pr,2*pr),H18&gt;=SPW_Start_Year,H18&lt;=SPW_Start_Year+SPW_Duration-1,age+H18&gt;=Legal_Age),IF(AND(F18=0,SPW_Payout_Freq=1),SPW_Amount_pa,IF(AND(SPW_Payout_Freq=2,MOD(F18,6)=0),SPW_Amount_pa/SPW_Payout_Freq,IF(AND(SPW_Payout_Freq=4,MOD(F18,3)=0),SPW_Amount_pa/SPW_Payout_Freq,IF(SPW_Payout_Freq=12,SPW_Amount_pa/SPW_Payout_Freq,0)))),0)+IFERROR(VLOOKUP(H18,Input!$B$68:$C$74,2,0),0)*(F18=0)*(Option_PW="Y")*(Option_SPW="N")*(age+H18&gt;=Legal_Age)</f>
        <v>0</v>
      </c>
      <c r="O18" s="148">
        <f t="shared" ca="1" si="33"/>
        <v>0</v>
      </c>
      <c r="P18" s="14">
        <f ca="1">(MAX(MAX(sa-CF17*Flag_UL_Type,105%*SUM($I$7:I18))-(AD17+L18-N18)*Flag_UL_Type,0)*B18)</f>
        <v>2751892.939242952</v>
      </c>
      <c r="Q18" s="213">
        <f t="shared" ca="1" si="7"/>
        <v>2495.7375714817499</v>
      </c>
      <c r="R18" s="14">
        <f t="shared" ca="1" si="8"/>
        <v>0</v>
      </c>
      <c r="S18" s="14">
        <f t="shared" ca="1" si="9"/>
        <v>0</v>
      </c>
      <c r="T18" s="14">
        <f>IFERROR(IF(WoP_Flag="Y",IF(fq=1,VLOOKUP(ppt*fq-H18,Charges!$AN$41:$AO$59,2,FALSE),IF(fq=2,VLOOKUP(ppt*fq-G18,Charges!$AP$41:$AQ$79,2,FALSE),VLOOKUP(ppt*fq-D18,Charges!$AR$41:$AS$279,2,FALSE)))*pr/fq,0),0)</f>
        <v>0</v>
      </c>
      <c r="U18" s="14">
        <f ca="1">IFERROR(((T18*(VLOOKUP(Input!$D$18+H18-1,Tab_Mort_Charge,IF(Gender_2="M",2,3),FALSE)*(1+_emr2)+_rpm2)/IF(Model_Type="LA_PQIS",1000/0.0833,(12*1000))))*Flag_Mort_Rider_Charge*(T18&gt;0),0)</f>
        <v>0</v>
      </c>
      <c r="V18" s="34">
        <f>ROUND(MIN(IF(H18&gt;=7,Charges!$C$12*(1+Charges!$C$14)^((H18-7+1)),VLOOKUP(H18,Charges!$B$7:$C$12,2,0))*pr,Charges!$C$13)*B18,Round)</f>
        <v>450</v>
      </c>
      <c r="W18" s="14">
        <f t="shared" ca="1" si="10"/>
        <v>244631.09042269937</v>
      </c>
      <c r="X18" s="14">
        <f t="shared" ca="1" si="11"/>
        <v>245431.94895537887</v>
      </c>
      <c r="Y18" s="213">
        <f t="shared" ca="1" si="34"/>
        <v>276.26120495482951</v>
      </c>
      <c r="Z18" s="14">
        <f t="shared" ca="1" si="12"/>
        <v>245105.96073353218</v>
      </c>
      <c r="AA18" s="14">
        <f>IF(AND($H18=pt,$F18=11),SUM($K$7:K18)*VLOOKUP(pt,ROC,2,FALSE),0)</f>
        <v>0</v>
      </c>
      <c r="AB18" s="14">
        <f>IF(AND($H18=pt,$F18=11),SUM($V$7:V18)*VLOOKUP(pt,ROC,2,FALSE),0)</f>
        <v>0</v>
      </c>
      <c r="AC18" s="14">
        <f>IF(AND($H18=pt,$F18=11),SUM($Q$7:Q18)*VLOOKUP(pt,ROC,2,FALSE),0)</f>
        <v>0</v>
      </c>
      <c r="AD18" s="14">
        <f t="shared" ca="1" si="35"/>
        <v>245105.96073353218</v>
      </c>
      <c r="AE18" s="14">
        <f ca="1">(MAX(sa-CF17*Flag_UL_Type,105%*SUM($I$7:I18),Z18)+AU18)*B18</f>
        <v>3000000</v>
      </c>
      <c r="AF18" s="136"/>
      <c r="AG18" s="18">
        <v>12</v>
      </c>
      <c r="AH18" s="30">
        <f t="shared" ca="1" si="13"/>
        <v>0</v>
      </c>
      <c r="AI18" s="138"/>
      <c r="AJ18" s="50">
        <f>IF(AND(Option_Sys_TopUp&gt;="Y",H18&gt;=sytp,H18&lt;=(dtp+sytp-1),F18=0,H18&lt;=ppt+1),atp,0)+IFERROR(VLOOKUP(H18,Input!$B$55:$C$61,2,0),0)*(F18=0)*(Option_TopUP="Y")*(Option_Sys_TopUp="N")*B18*(pt&gt;=H18+5)</f>
        <v>0</v>
      </c>
      <c r="AK18" s="50">
        <f t="shared" si="14"/>
        <v>0</v>
      </c>
      <c r="AL18" s="50">
        <f t="shared" si="36"/>
        <v>0</v>
      </c>
      <c r="AM18" s="50">
        <f t="shared" ca="1" si="15"/>
        <v>0</v>
      </c>
      <c r="AN18" s="50">
        <f ca="1">IF(B18=0,0,AT18*(_rpm1+(1+_emr1)*VLOOKUP(E18,Tab_Mort_Charge,IF(Input!$C$12="M",2,3),0))*(0.001*0.0833)*Flag_Mort_Rider_Charge*(AT18&gt;0))</f>
        <v>0</v>
      </c>
      <c r="AO18" s="50">
        <f t="shared" ca="1" si="37"/>
        <v>0</v>
      </c>
      <c r="AP18" s="50">
        <f t="shared" ca="1" si="38"/>
        <v>0</v>
      </c>
      <c r="AQ18" s="50">
        <f t="shared" ca="1" si="16"/>
        <v>0</v>
      </c>
      <c r="AR18" s="50">
        <f t="shared" ca="1" si="17"/>
        <v>0</v>
      </c>
      <c r="AS18" s="50">
        <f t="shared" si="18"/>
        <v>0</v>
      </c>
      <c r="AT18" s="50">
        <f ca="1">(MAX((MAX(AS18,105%*SUM($AJ$7:AJ18))-AM18*Flag_UL_Type),0)*B18)</f>
        <v>0</v>
      </c>
      <c r="AU18" s="50">
        <f ca="1">(MAX(AS18,AR18,105%*SUM($AJ$7:AJ18))*B18)</f>
        <v>0</v>
      </c>
      <c r="AV18" s="125"/>
      <c r="AW18" s="12">
        <f t="shared" si="51"/>
        <v>12</v>
      </c>
      <c r="AX18" s="14">
        <f t="shared" si="39"/>
        <v>0</v>
      </c>
      <c r="AY18" s="14">
        <f t="shared" ca="1" si="40"/>
        <v>3749.6451609474939</v>
      </c>
      <c r="AZ18" s="14">
        <f t="shared" ca="1" si="41"/>
        <v>0</v>
      </c>
      <c r="BA18" s="14">
        <f t="shared" ca="1" si="42"/>
        <v>0</v>
      </c>
      <c r="BB18" s="14">
        <f t="shared" si="43"/>
        <v>6000</v>
      </c>
      <c r="BC18" s="14">
        <f t="shared" ca="1" si="19"/>
        <v>49231.371856781603</v>
      </c>
      <c r="BD18" s="14">
        <f t="shared" ca="1" si="20"/>
        <v>10616.583063191238</v>
      </c>
      <c r="BE18" s="14">
        <f t="shared" si="44"/>
        <v>0</v>
      </c>
      <c r="BF18" s="14">
        <f t="shared" ca="1" si="45"/>
        <v>0</v>
      </c>
      <c r="BG18" s="51">
        <f t="shared" si="21"/>
        <v>0</v>
      </c>
      <c r="BH18" s="51">
        <f t="shared" ca="1" si="22"/>
        <v>449.23276286671501</v>
      </c>
      <c r="BI18" s="51">
        <f t="shared" ca="1" si="46"/>
        <v>0</v>
      </c>
      <c r="BJ18" s="51">
        <f t="shared" ca="1" si="23"/>
        <v>0</v>
      </c>
      <c r="BK18" s="51">
        <f t="shared" si="24"/>
        <v>81</v>
      </c>
      <c r="BL18" s="51">
        <f t="shared" ca="1" si="25"/>
        <v>49.727016891869312</v>
      </c>
      <c r="BM18" s="51">
        <f t="shared" si="26"/>
        <v>0</v>
      </c>
      <c r="BN18" s="51">
        <f t="shared" ca="1" si="27"/>
        <v>0</v>
      </c>
      <c r="BO18" s="51">
        <f t="shared" ca="1" si="28"/>
        <v>0</v>
      </c>
      <c r="BP18" s="51">
        <f t="shared" ca="1" si="29"/>
        <v>579.95977975858432</v>
      </c>
      <c r="BR18" s="32"/>
      <c r="BS18" s="126"/>
      <c r="BT18" s="16"/>
      <c r="BU18" s="58"/>
      <c r="BW18" s="51">
        <f>VLOOKUP(H18,Charges!$AT$4:$AU$33,2,FALSE)*I18</f>
        <v>0</v>
      </c>
      <c r="BX18" s="51">
        <f t="shared" si="30"/>
        <v>0</v>
      </c>
      <c r="BY18" s="51">
        <f t="shared" si="47"/>
        <v>0</v>
      </c>
      <c r="BZ18" s="151"/>
      <c r="CA18" s="151"/>
      <c r="CB18" s="32"/>
      <c r="CC18" s="16">
        <f ca="1">SUM($N$7:$N18)</f>
        <v>0</v>
      </c>
      <c r="CD18" s="16">
        <f t="shared" ca="1" si="31"/>
        <v>0</v>
      </c>
      <c r="CE18" s="16">
        <f t="shared" ca="1" si="32"/>
        <v>0</v>
      </c>
      <c r="CF18" s="7">
        <f t="shared" ca="1" si="48"/>
        <v>0</v>
      </c>
    </row>
    <row r="19" spans="1:84" s="7" customFormat="1" x14ac:dyDescent="0.2">
      <c r="A19" s="149"/>
      <c r="B19" s="14">
        <f t="shared" si="0"/>
        <v>1</v>
      </c>
      <c r="C19" s="12">
        <f t="shared" si="1"/>
        <v>1</v>
      </c>
      <c r="D19" s="17">
        <f t="shared" si="49"/>
        <v>13</v>
      </c>
      <c r="E19" s="17">
        <f t="shared" ca="1" si="2"/>
        <v>61</v>
      </c>
      <c r="F19" s="12">
        <f>F7</f>
        <v>0</v>
      </c>
      <c r="G19" s="12">
        <f t="shared" si="52"/>
        <v>3</v>
      </c>
      <c r="H19" s="17">
        <f>+H7+1</f>
        <v>2</v>
      </c>
      <c r="I19" s="29">
        <f t="shared" si="3"/>
        <v>300000</v>
      </c>
      <c r="J19" s="211">
        <f>IFERROR(VLOOKUP(H19,Charges!$T$6:$U$35,2,0)*C19,0)</f>
        <v>0.95</v>
      </c>
      <c r="K19" s="29">
        <f t="shared" si="4"/>
        <v>15000</v>
      </c>
      <c r="L19" s="29">
        <f t="shared" si="5"/>
        <v>282300</v>
      </c>
      <c r="M19" s="147">
        <f t="shared" ca="1" si="6"/>
        <v>0</v>
      </c>
      <c r="N19" s="148">
        <f ca="1">IF(AND(Option_SPW="Y",H19&gt;=Lock_In_Period,Z18&gt;SPW_Amount_pa+IF(option="Single",1/5*pr,2*pr),H19&gt;=SPW_Start_Year,H19&lt;=SPW_Start_Year+SPW_Duration-1,age+H19&gt;=Legal_Age),IF(AND(F19=0,SPW_Payout_Freq=1),SPW_Amount_pa,IF(AND(SPW_Payout_Freq=2,MOD(F19,6)=0),SPW_Amount_pa/SPW_Payout_Freq,IF(AND(SPW_Payout_Freq=4,MOD(F19,3)=0),SPW_Amount_pa/SPW_Payout_Freq,IF(SPW_Payout_Freq=12,SPW_Amount_pa/SPW_Payout_Freq,0)))),0)+IFERROR(VLOOKUP(H19,Input!$B$68:$C$74,2,0),0)*(F19=0)*(Option_PW="Y")*(Option_SPW="N")*(age+H19&gt;=Legal_Age)</f>
        <v>0</v>
      </c>
      <c r="O19" s="148">
        <f t="shared" ca="1" si="33"/>
        <v>0</v>
      </c>
      <c r="P19" s="14">
        <f ca="1">(MAX(MAX(sa-CF18*Flag_UL_Type,105%*SUM($I$7:I19))-(AD18+L19-N19)*Flag_UL_Type,0)*B19)</f>
        <v>2472594.039266468</v>
      </c>
      <c r="Q19" s="213">
        <f t="shared" ca="1" si="7"/>
        <v>2404.5564932859829</v>
      </c>
      <c r="R19" s="14">
        <f t="shared" ca="1" si="8"/>
        <v>0</v>
      </c>
      <c r="S19" s="14">
        <f t="shared" ca="1" si="9"/>
        <v>0</v>
      </c>
      <c r="T19" s="14">
        <f>IFERROR(IF(WoP_Flag="Y",IF(fq=1,VLOOKUP(ppt*fq-H19,Charges!$AN$41:$AO$59,2,FALSE),IF(fq=2,VLOOKUP(ppt*fq-G19,Charges!$AP$41:$AQ$79,2,FALSE),VLOOKUP(ppt*fq-D19,Charges!$AR$41:$AS$279,2,FALSE)))*pr/fq,0),0)</f>
        <v>0</v>
      </c>
      <c r="U19" s="14">
        <f ca="1">IFERROR(((T19*(VLOOKUP(Input!$D$18+H19-1,Tab_Mort_Charge,IF(Gender_2="M",2,3),FALSE)*(1+_emr2)+_rpm2)/IF(Model_Type="LA_PQIS",1000/0.0833,(12*1000))))*Flag_Mort_Rider_Charge*(T19&gt;0),0)</f>
        <v>0</v>
      </c>
      <c r="V19" s="34">
        <f>ROUND(MIN(IF(H19&gt;=7,Charges!$C$12*(1+Charges!$C$14)^((H19-7+1)),VLOOKUP(H19,Charges!$B$7:$C$12,2,0))*pr,Charges!$C$13)*B19,Round)</f>
        <v>450</v>
      </c>
      <c r="W19" s="14">
        <f t="shared" ca="1" si="10"/>
        <v>524037.58407145477</v>
      </c>
      <c r="X19" s="14">
        <f t="shared" ca="1" si="11"/>
        <v>525753.14675779687</v>
      </c>
      <c r="Y19" s="213">
        <f t="shared" ca="1" si="34"/>
        <v>591.79417533170795</v>
      </c>
      <c r="Z19" s="14">
        <f t="shared" ca="1" si="12"/>
        <v>525054.82963090541</v>
      </c>
      <c r="AA19" s="14">
        <f>IF(AND($H19=pt,$F19=11),SUM($K$7:K19)*VLOOKUP(pt,ROC,2,FALSE),0)</f>
        <v>0</v>
      </c>
      <c r="AB19" s="14">
        <f>IF(AND($H19=pt,$F19=11),SUM($V$7:V19)*VLOOKUP(pt,ROC,2,FALSE),0)</f>
        <v>0</v>
      </c>
      <c r="AC19" s="14">
        <f>IF(AND($H19=pt,$F19=11),SUM($Q$7:Q19)*VLOOKUP(pt,ROC,2,FALSE),0)</f>
        <v>0</v>
      </c>
      <c r="AD19" s="14">
        <f t="shared" ca="1" si="35"/>
        <v>525054.82963090541</v>
      </c>
      <c r="AE19" s="14">
        <f ca="1">(MAX(sa-CF18*Flag_UL_Type,105%*SUM($I$7:I19),Z19)+AU19)*B19</f>
        <v>3000000</v>
      </c>
      <c r="AF19" s="136"/>
      <c r="AG19" s="18">
        <v>13</v>
      </c>
      <c r="AH19" s="30">
        <f t="shared" ca="1" si="13"/>
        <v>300000</v>
      </c>
      <c r="AI19" s="138"/>
      <c r="AJ19" s="50">
        <f>IF(AND(Option_Sys_TopUp&gt;="Y",H19&gt;=sytp,H19&lt;=(dtp+sytp-1),F19=0,H19&lt;=ppt+1),atp,0)+IFERROR(VLOOKUP(H19,Input!$B$55:$C$61,2,0),0)*(F19=0)*(Option_TopUP="Y")*(Option_Sys_TopUp="N")*B19*(pt&gt;=H19+5)</f>
        <v>0</v>
      </c>
      <c r="AK19" s="50">
        <f t="shared" si="14"/>
        <v>0</v>
      </c>
      <c r="AL19" s="50">
        <f t="shared" si="36"/>
        <v>0</v>
      </c>
      <c r="AM19" s="50">
        <f t="shared" ca="1" si="15"/>
        <v>0</v>
      </c>
      <c r="AN19" s="50">
        <f ca="1">IF(B19=0,0,AT19*(_rpm1+(1+_emr1)*VLOOKUP(E19,Tab_Mort_Charge,IF(Input!$C$12="M",2,3),0))*(0.001*0.0833)*Flag_Mort_Rider_Charge*(AT19&gt;0))</f>
        <v>0</v>
      </c>
      <c r="AO19" s="50">
        <f t="shared" ca="1" si="37"/>
        <v>0</v>
      </c>
      <c r="AP19" s="50">
        <f t="shared" ca="1" si="38"/>
        <v>0</v>
      </c>
      <c r="AQ19" s="50">
        <f t="shared" ca="1" si="16"/>
        <v>0</v>
      </c>
      <c r="AR19" s="50">
        <f t="shared" ca="1" si="17"/>
        <v>0</v>
      </c>
      <c r="AS19" s="50">
        <f t="shared" si="18"/>
        <v>0</v>
      </c>
      <c r="AT19" s="50">
        <f ca="1">(MAX((MAX(AS19,105%*SUM($AJ$7:AJ19))-AM19*Flag_UL_Type),0)*B19)</f>
        <v>0</v>
      </c>
      <c r="AU19" s="50">
        <f ca="1">(MAX(AS19,AR19,105%*SUM($AJ$7:AJ19))*B19)</f>
        <v>0</v>
      </c>
      <c r="AV19" s="125"/>
      <c r="AW19" s="12">
        <f t="shared" si="51"/>
        <v>13</v>
      </c>
      <c r="AX19" s="14">
        <f t="shared" si="39"/>
        <v>0</v>
      </c>
      <c r="AY19" s="14">
        <f t="shared" ca="1" si="40"/>
        <v>2341.6296628121158</v>
      </c>
      <c r="AZ19" s="14">
        <f t="shared" ca="1" si="41"/>
        <v>0</v>
      </c>
      <c r="BA19" s="14">
        <f t="shared" ca="1" si="42"/>
        <v>0</v>
      </c>
      <c r="BB19" s="14">
        <f t="shared" si="43"/>
        <v>6000</v>
      </c>
      <c r="BC19" s="14">
        <f t="shared" ca="1" si="19"/>
        <v>54353.719070317456</v>
      </c>
      <c r="BD19" s="14">
        <f t="shared" ca="1" si="20"/>
        <v>11285.162771963325</v>
      </c>
      <c r="BE19" s="14">
        <f t="shared" si="44"/>
        <v>0</v>
      </c>
      <c r="BF19" s="14">
        <f t="shared" ca="1" si="45"/>
        <v>0</v>
      </c>
      <c r="BG19" s="51">
        <f t="shared" si="21"/>
        <v>2700</v>
      </c>
      <c r="BH19" s="51">
        <f t="shared" ca="1" si="22"/>
        <v>432.82016879147699</v>
      </c>
      <c r="BI19" s="51">
        <f t="shared" ca="1" si="46"/>
        <v>0</v>
      </c>
      <c r="BJ19" s="51">
        <f t="shared" ca="1" si="23"/>
        <v>0</v>
      </c>
      <c r="BK19" s="51">
        <f t="shared" si="24"/>
        <v>81</v>
      </c>
      <c r="BL19" s="51">
        <f t="shared" ca="1" si="25"/>
        <v>106.52295155970742</v>
      </c>
      <c r="BM19" s="51">
        <f t="shared" si="26"/>
        <v>0</v>
      </c>
      <c r="BN19" s="51">
        <f t="shared" ca="1" si="27"/>
        <v>0</v>
      </c>
      <c r="BO19" s="51">
        <f t="shared" ca="1" si="28"/>
        <v>0</v>
      </c>
      <c r="BP19" s="51">
        <f t="shared" ca="1" si="29"/>
        <v>3320.3431203511846</v>
      </c>
      <c r="BR19" s="32"/>
      <c r="BS19" s="126"/>
      <c r="BT19" s="16"/>
      <c r="BU19" s="58"/>
      <c r="BW19" s="51">
        <f>VLOOKUP(H19,Charges!$AT$4:$AU$33,2,FALSE)*I19</f>
        <v>3000</v>
      </c>
      <c r="BX19" s="51">
        <f t="shared" si="30"/>
        <v>0</v>
      </c>
      <c r="BY19" s="51">
        <f t="shared" si="47"/>
        <v>3000</v>
      </c>
      <c r="BZ19" s="151"/>
      <c r="CA19" s="151"/>
      <c r="CB19" s="32"/>
      <c r="CC19" s="16">
        <f ca="1">SUM($N$7:$N19)</f>
        <v>0</v>
      </c>
      <c r="CD19" s="16">
        <f t="shared" ca="1" si="31"/>
        <v>0</v>
      </c>
      <c r="CE19" s="16">
        <f t="shared" ca="1" si="32"/>
        <v>0</v>
      </c>
      <c r="CF19" s="7">
        <f t="shared" ca="1" si="48"/>
        <v>0</v>
      </c>
    </row>
    <row r="20" spans="1:84" s="7" customFormat="1" x14ac:dyDescent="0.2">
      <c r="A20" s="149"/>
      <c r="B20" s="14">
        <f t="shared" si="0"/>
        <v>1</v>
      </c>
      <c r="C20" s="12">
        <f t="shared" si="1"/>
        <v>1</v>
      </c>
      <c r="D20" s="17">
        <f t="shared" si="49"/>
        <v>14</v>
      </c>
      <c r="E20" s="17">
        <f t="shared" ca="1" si="2"/>
        <v>61</v>
      </c>
      <c r="F20" s="12">
        <f t="shared" ref="F20:F83" si="53">F8</f>
        <v>1</v>
      </c>
      <c r="G20" s="12">
        <f t="shared" si="52"/>
        <v>3</v>
      </c>
      <c r="H20" s="17">
        <f t="shared" ref="H20:H83" si="54">+H8+1</f>
        <v>2</v>
      </c>
      <c r="I20" s="29">
        <f t="shared" si="3"/>
        <v>0</v>
      </c>
      <c r="J20" s="211">
        <f>IFERROR(VLOOKUP(H20,Charges!$T$6:$U$35,2,0)*C20,0)</f>
        <v>0.95</v>
      </c>
      <c r="K20" s="29">
        <f t="shared" si="4"/>
        <v>0</v>
      </c>
      <c r="L20" s="29">
        <f t="shared" si="5"/>
        <v>0</v>
      </c>
      <c r="M20" s="147">
        <f t="shared" ca="1" si="6"/>
        <v>0</v>
      </c>
      <c r="N20" s="148">
        <f ca="1">IF(AND(Option_SPW="Y",H20&gt;=Lock_In_Period,Z19&gt;SPW_Amount_pa+IF(option="Single",1/5*pr,2*pr),H20&gt;=SPW_Start_Year,H20&lt;=SPW_Start_Year+SPW_Duration-1,age+H20&gt;=Legal_Age),IF(AND(F20=0,SPW_Payout_Freq=1),SPW_Amount_pa,IF(AND(SPW_Payout_Freq=2,MOD(F20,6)=0),SPW_Amount_pa/SPW_Payout_Freq,IF(AND(SPW_Payout_Freq=4,MOD(F20,3)=0),SPW_Amount_pa/SPW_Payout_Freq,IF(SPW_Payout_Freq=12,SPW_Amount_pa/SPW_Payout_Freq,0)))),0)+IFERROR(VLOOKUP(H20,Input!$B$68:$C$74,2,0),0)*(F20=0)*(Option_PW="Y")*(Option_SPW="N")*(age+H20&gt;=Legal_Age)</f>
        <v>0</v>
      </c>
      <c r="O20" s="148">
        <f t="shared" ca="1" si="33"/>
        <v>0</v>
      </c>
      <c r="P20" s="14">
        <f ca="1">(MAX(MAX(sa-CF19*Flag_UL_Type,105%*SUM($I$7:I20))-(AD19+L20-N20)*Flag_UL_Type,0)*B20)</f>
        <v>2474945.1703690947</v>
      </c>
      <c r="Q20" s="213">
        <f t="shared" ca="1" si="7"/>
        <v>2406.8429290977751</v>
      </c>
      <c r="R20" s="14">
        <f t="shared" ca="1" si="8"/>
        <v>0</v>
      </c>
      <c r="S20" s="14">
        <f t="shared" ca="1" si="9"/>
        <v>0</v>
      </c>
      <c r="T20" s="14">
        <f>IFERROR(IF(WoP_Flag="Y",IF(fq=1,VLOOKUP(ppt*fq-H20,Charges!$AN$41:$AO$59,2,FALSE),IF(fq=2,VLOOKUP(ppt*fq-G20,Charges!$AP$41:$AQ$79,2,FALSE),VLOOKUP(ppt*fq-D20,Charges!$AR$41:$AS$279,2,FALSE)))*pr/fq,0),0)</f>
        <v>0</v>
      </c>
      <c r="U20" s="14">
        <f ca="1">IFERROR(((T20*(VLOOKUP(Input!$D$18+H20-1,Tab_Mort_Charge,IF(Gender_2="M",2,3),FALSE)*(1+_emr2)+_rpm2)/IF(Model_Type="LA_PQIS",1000/0.0833,(12*1000))))*Flag_Mort_Rider_Charge*(T20&gt;0),0)</f>
        <v>0</v>
      </c>
      <c r="V20" s="34">
        <f>ROUND(MIN(IF(H20&gt;=7,Charges!$C$12*(1+Charges!$C$14)^((H20-7+1)),VLOOKUP(H20,Charges!$B$7:$C$12,2,0))*pr,Charges!$C$13)*B20,Round)</f>
        <v>450</v>
      </c>
      <c r="W20" s="14">
        <f t="shared" ca="1" si="10"/>
        <v>521683.75497457001</v>
      </c>
      <c r="X20" s="14">
        <f t="shared" ca="1" si="11"/>
        <v>523391.61183695716</v>
      </c>
      <c r="Y20" s="213">
        <f t="shared" ca="1" si="34"/>
        <v>589.13600272805604</v>
      </c>
      <c r="Z20" s="14">
        <f t="shared" ca="1" si="12"/>
        <v>522696.43135373807</v>
      </c>
      <c r="AA20" s="14">
        <f>IF(AND($H20=pt,$F20=11),SUM($K$7:K20)*VLOOKUP(pt,ROC,2,FALSE),0)</f>
        <v>0</v>
      </c>
      <c r="AB20" s="14">
        <f>IF(AND($H20=pt,$F20=11),SUM($V$7:V20)*VLOOKUP(pt,ROC,2,FALSE),0)</f>
        <v>0</v>
      </c>
      <c r="AC20" s="14">
        <f>IF(AND($H20=pt,$F20=11),SUM($Q$7:Q20)*VLOOKUP(pt,ROC,2,FALSE),0)</f>
        <v>0</v>
      </c>
      <c r="AD20" s="14">
        <f t="shared" ca="1" si="35"/>
        <v>522696.43135373807</v>
      </c>
      <c r="AE20" s="14">
        <f ca="1">(MAX(sa-CF19*Flag_UL_Type,105%*SUM($I$7:I20),Z20)+AU20)*B20</f>
        <v>3000000</v>
      </c>
      <c r="AF20" s="136"/>
      <c r="AG20" s="18">
        <v>14</v>
      </c>
      <c r="AH20" s="30">
        <f t="shared" ca="1" si="13"/>
        <v>0</v>
      </c>
      <c r="AI20" s="138"/>
      <c r="AJ20" s="50">
        <f>IF(AND(Option_Sys_TopUp&gt;="Y",H20&gt;=sytp,H20&lt;=(dtp+sytp-1),F20=0,H20&lt;=ppt+1),atp,0)+IFERROR(VLOOKUP(H20,Input!$B$55:$C$61,2,0),0)*(F20=0)*(Option_TopUP="Y")*(Option_Sys_TopUp="N")*B20*(pt&gt;=H20+5)</f>
        <v>0</v>
      </c>
      <c r="AK20" s="50">
        <f t="shared" si="14"/>
        <v>0</v>
      </c>
      <c r="AL20" s="50">
        <f t="shared" si="36"/>
        <v>0</v>
      </c>
      <c r="AM20" s="50">
        <f t="shared" ca="1" si="15"/>
        <v>0</v>
      </c>
      <c r="AN20" s="50">
        <f ca="1">IF(B20=0,0,AT20*(_rpm1+(1+_emr1)*VLOOKUP(E20,Tab_Mort_Charge,IF(Input!$C$12="M",2,3),0))*(0.001*0.0833)*Flag_Mort_Rider_Charge*(AT20&gt;0))</f>
        <v>0</v>
      </c>
      <c r="AO20" s="50">
        <f t="shared" ca="1" si="37"/>
        <v>0</v>
      </c>
      <c r="AP20" s="50">
        <f t="shared" ca="1" si="38"/>
        <v>0</v>
      </c>
      <c r="AQ20" s="50">
        <f t="shared" ca="1" si="16"/>
        <v>0</v>
      </c>
      <c r="AR20" s="50">
        <f t="shared" ca="1" si="17"/>
        <v>0</v>
      </c>
      <c r="AS20" s="50">
        <f t="shared" si="18"/>
        <v>0</v>
      </c>
      <c r="AT20" s="50">
        <f ca="1">(MAX((MAX(AS20,105%*SUM($AJ$7:AJ20))-AM20*Flag_UL_Type),0)*B20)</f>
        <v>0</v>
      </c>
      <c r="AU20" s="50">
        <f ca="1">(MAX(AS20,AR20,105%*SUM($AJ$7:AJ20))*B20)</f>
        <v>0</v>
      </c>
      <c r="AV20" s="125"/>
      <c r="AW20" s="12">
        <f t="shared" si="51"/>
        <v>14</v>
      </c>
      <c r="AX20" s="14">
        <f t="shared" si="39"/>
        <v>0</v>
      </c>
      <c r="AY20" s="14">
        <f t="shared" ca="1" si="40"/>
        <v>527.55239062662315</v>
      </c>
      <c r="AZ20" s="14">
        <f t="shared" ca="1" si="41"/>
        <v>0</v>
      </c>
      <c r="BA20" s="14">
        <f t="shared" ca="1" si="42"/>
        <v>0</v>
      </c>
      <c r="BB20" s="14">
        <f t="shared" si="43"/>
        <v>6000</v>
      </c>
      <c r="BC20" s="14">
        <f t="shared" ca="1" si="19"/>
        <v>59624.200977174216</v>
      </c>
      <c r="BD20" s="14">
        <f t="shared" ca="1" si="20"/>
        <v>11907.315606204149</v>
      </c>
      <c r="BE20" s="14">
        <f t="shared" si="44"/>
        <v>0</v>
      </c>
      <c r="BF20" s="14">
        <f t="shared" ca="1" si="45"/>
        <v>0</v>
      </c>
      <c r="BG20" s="51">
        <f t="shared" si="21"/>
        <v>0</v>
      </c>
      <c r="BH20" s="51">
        <f t="shared" ca="1" si="22"/>
        <v>433.23172723760001</v>
      </c>
      <c r="BI20" s="51">
        <f t="shared" ca="1" si="46"/>
        <v>0</v>
      </c>
      <c r="BJ20" s="51">
        <f t="shared" ca="1" si="23"/>
        <v>0</v>
      </c>
      <c r="BK20" s="51">
        <f t="shared" si="24"/>
        <v>81</v>
      </c>
      <c r="BL20" s="51">
        <f t="shared" ca="1" si="25"/>
        <v>106.04448049105008</v>
      </c>
      <c r="BM20" s="51">
        <f t="shared" si="26"/>
        <v>0</v>
      </c>
      <c r="BN20" s="51">
        <f t="shared" ca="1" si="27"/>
        <v>0</v>
      </c>
      <c r="BO20" s="51">
        <f t="shared" ca="1" si="28"/>
        <v>0</v>
      </c>
      <c r="BP20" s="51">
        <f t="shared" ca="1" si="29"/>
        <v>620.27620772865009</v>
      </c>
      <c r="BR20" s="32"/>
      <c r="BS20" s="126"/>
      <c r="BT20" s="16"/>
      <c r="BU20" s="58"/>
      <c r="BW20" s="51">
        <f>VLOOKUP(H20,Charges!$AT$4:$AU$33,2,FALSE)*I20</f>
        <v>0</v>
      </c>
      <c r="BX20" s="51">
        <f t="shared" si="30"/>
        <v>0</v>
      </c>
      <c r="BY20" s="51">
        <f t="shared" si="47"/>
        <v>0</v>
      </c>
      <c r="BZ20" s="151"/>
      <c r="CA20" s="151"/>
      <c r="CB20" s="32"/>
      <c r="CC20" s="16">
        <f ca="1">SUM($N$7:$N20)</f>
        <v>0</v>
      </c>
      <c r="CD20" s="16">
        <f t="shared" ca="1" si="31"/>
        <v>0</v>
      </c>
      <c r="CE20" s="16">
        <f t="shared" ca="1" si="32"/>
        <v>0</v>
      </c>
      <c r="CF20" s="7">
        <f t="shared" ca="1" si="48"/>
        <v>0</v>
      </c>
    </row>
    <row r="21" spans="1:84" s="7" customFormat="1" x14ac:dyDescent="0.2">
      <c r="A21" s="149"/>
      <c r="B21" s="14">
        <f t="shared" si="0"/>
        <v>1</v>
      </c>
      <c r="C21" s="12">
        <f t="shared" si="1"/>
        <v>1</v>
      </c>
      <c r="D21" s="17">
        <f t="shared" si="49"/>
        <v>15</v>
      </c>
      <c r="E21" s="17">
        <f t="shared" ca="1" si="2"/>
        <v>61</v>
      </c>
      <c r="F21" s="12">
        <f t="shared" si="53"/>
        <v>2</v>
      </c>
      <c r="G21" s="12">
        <f t="shared" si="52"/>
        <v>3</v>
      </c>
      <c r="H21" s="17">
        <f t="shared" si="54"/>
        <v>2</v>
      </c>
      <c r="I21" s="29">
        <f t="shared" si="3"/>
        <v>0</v>
      </c>
      <c r="J21" s="211">
        <f>IFERROR(VLOOKUP(H21,Charges!$T$6:$U$35,2,0)*C21,0)</f>
        <v>0.95</v>
      </c>
      <c r="K21" s="29">
        <f t="shared" si="4"/>
        <v>0</v>
      </c>
      <c r="L21" s="29">
        <f t="shared" si="5"/>
        <v>0</v>
      </c>
      <c r="M21" s="147">
        <f t="shared" ca="1" si="6"/>
        <v>0</v>
      </c>
      <c r="N21" s="148">
        <f ca="1">IF(AND(Option_SPW="Y",H21&gt;=Lock_In_Period,Z20&gt;SPW_Amount_pa+IF(option="Single",1/5*pr,2*pr),H21&gt;=SPW_Start_Year,H21&lt;=SPW_Start_Year+SPW_Duration-1,age+H21&gt;=Legal_Age),IF(AND(F21=0,SPW_Payout_Freq=1),SPW_Amount_pa,IF(AND(SPW_Payout_Freq=2,MOD(F21,6)=0),SPW_Amount_pa/SPW_Payout_Freq,IF(AND(SPW_Payout_Freq=4,MOD(F21,3)=0),SPW_Amount_pa/SPW_Payout_Freq,IF(SPW_Payout_Freq=12,SPW_Amount_pa/SPW_Payout_Freq,0)))),0)+IFERROR(VLOOKUP(H21,Input!$B$68:$C$74,2,0),0)*(F21=0)*(Option_PW="Y")*(Option_SPW="N")*(age+H21&gt;=Legal_Age)</f>
        <v>0</v>
      </c>
      <c r="O21" s="148">
        <f t="shared" ca="1" si="33"/>
        <v>0</v>
      </c>
      <c r="P21" s="14">
        <f ca="1">(MAX(MAX(sa-CF20*Flag_UL_Type,105%*SUM($I$7:I21))-(AD20+L21-N21)*Flag_UL_Type,0)*B21)</f>
        <v>2477303.5686462619</v>
      </c>
      <c r="Q21" s="213">
        <f t="shared" ca="1" si="7"/>
        <v>2409.1364321156748</v>
      </c>
      <c r="R21" s="14">
        <f t="shared" ca="1" si="8"/>
        <v>0</v>
      </c>
      <c r="S21" s="14">
        <f t="shared" ca="1" si="9"/>
        <v>0</v>
      </c>
      <c r="T21" s="14">
        <f>IFERROR(IF(WoP_Flag="Y",IF(fq=1,VLOOKUP(ppt*fq-H21,Charges!$AN$41:$AO$59,2,FALSE),IF(fq=2,VLOOKUP(ppt*fq-G21,Charges!$AP$41:$AQ$79,2,FALSE),VLOOKUP(ppt*fq-D21,Charges!$AR$41:$AS$279,2,FALSE)))*pr/fq,0),0)</f>
        <v>0</v>
      </c>
      <c r="U21" s="14">
        <f ca="1">IFERROR(((T21*(VLOOKUP(Input!$D$18+H21-1,Tab_Mort_Charge,IF(Gender_2="M",2,3),FALSE)*(1+_emr2)+_rpm2)/IF(Model_Type="LA_PQIS",1000/0.0833,(12*1000))))*Flag_Mort_Rider_Charge*(T21&gt;0),0)</f>
        <v>0</v>
      </c>
      <c r="V21" s="34">
        <f>ROUND(MIN(IF(H21&gt;=7,Charges!$C$12*(1+Charges!$C$14)^((H21-7+1)),VLOOKUP(H21,Charges!$B$7:$C$12,2,0))*pr,Charges!$C$13)*B21,Round)</f>
        <v>450</v>
      </c>
      <c r="W21" s="14">
        <f t="shared" ca="1" si="10"/>
        <v>519322.65036384156</v>
      </c>
      <c r="X21" s="14">
        <f t="shared" ca="1" si="11"/>
        <v>521022.77758413466</v>
      </c>
      <c r="Y21" s="213">
        <f t="shared" ca="1" si="34"/>
        <v>586.46961390700653</v>
      </c>
      <c r="Z21" s="14">
        <f t="shared" ca="1" si="12"/>
        <v>520330.74343972438</v>
      </c>
      <c r="AA21" s="14">
        <f>IF(AND($H21=pt,$F21=11),SUM($K$7:K21)*VLOOKUP(pt,ROC,2,FALSE),0)</f>
        <v>0</v>
      </c>
      <c r="AB21" s="14">
        <f>IF(AND($H21=pt,$F21=11),SUM($V$7:V21)*VLOOKUP(pt,ROC,2,FALSE),0)</f>
        <v>0</v>
      </c>
      <c r="AC21" s="14">
        <f>IF(AND($H21=pt,$F21=11),SUM($Q$7:Q21)*VLOOKUP(pt,ROC,2,FALSE),0)</f>
        <v>0</v>
      </c>
      <c r="AD21" s="14">
        <f t="shared" ca="1" si="35"/>
        <v>520330.74343972438</v>
      </c>
      <c r="AE21" s="14">
        <f ca="1">(MAX(sa-CF20*Flag_UL_Type,105%*SUM($I$7:I21),Z21)+AU21)*B21</f>
        <v>3000000</v>
      </c>
      <c r="AF21" s="136"/>
      <c r="AG21" s="18">
        <v>15</v>
      </c>
      <c r="AH21" s="30">
        <f t="shared" ca="1" si="13"/>
        <v>0</v>
      </c>
      <c r="AI21" s="138"/>
      <c r="AJ21" s="50">
        <f>IF(AND(Option_Sys_TopUp&gt;="Y",H21&gt;=sytp,H21&lt;=(dtp+sytp-1),F21=0,H21&lt;=ppt+1),atp,0)+IFERROR(VLOOKUP(H21,Input!$B$55:$C$61,2,0),0)*(F21=0)*(Option_TopUP="Y")*(Option_Sys_TopUp="N")*B21*(pt&gt;=H21+5)</f>
        <v>0</v>
      </c>
      <c r="AK21" s="50">
        <f t="shared" si="14"/>
        <v>0</v>
      </c>
      <c r="AL21" s="50">
        <f t="shared" si="36"/>
        <v>0</v>
      </c>
      <c r="AM21" s="50">
        <f t="shared" ca="1" si="15"/>
        <v>0</v>
      </c>
      <c r="AN21" s="50">
        <f ca="1">IF(B21=0,0,AT21*(_rpm1+(1+_emr1)*VLOOKUP(E21,Tab_Mort_Charge,IF(Input!$C$12="M",2,3),0))*(0.001*0.0833)*Flag_Mort_Rider_Charge*(AT21&gt;0))</f>
        <v>0</v>
      </c>
      <c r="AO21" s="50">
        <f t="shared" ca="1" si="37"/>
        <v>0</v>
      </c>
      <c r="AP21" s="50">
        <f t="shared" ca="1" si="38"/>
        <v>0</v>
      </c>
      <c r="AQ21" s="50">
        <f t="shared" ca="1" si="16"/>
        <v>0</v>
      </c>
      <c r="AR21" s="50">
        <f t="shared" ca="1" si="17"/>
        <v>0</v>
      </c>
      <c r="AS21" s="50">
        <f t="shared" si="18"/>
        <v>0</v>
      </c>
      <c r="AT21" s="50">
        <f ca="1">(MAX((MAX(AS21,105%*SUM($AJ$7:AJ21))-AM21*Flag_UL_Type),0)*B21)</f>
        <v>0</v>
      </c>
      <c r="AU21" s="50">
        <f ca="1">(MAX(AS21,AR21,105%*SUM($AJ$7:AJ21))*B21)</f>
        <v>0</v>
      </c>
      <c r="AV21" s="125"/>
      <c r="AW21" s="12">
        <f t="shared" si="51"/>
        <v>15</v>
      </c>
      <c r="AX21" s="14">
        <f t="shared" si="39"/>
        <v>0</v>
      </c>
      <c r="AY21" s="14">
        <f t="shared" ca="1" si="40"/>
        <v>0</v>
      </c>
      <c r="AZ21" s="14">
        <f t="shared" ca="1" si="41"/>
        <v>0</v>
      </c>
      <c r="BA21" s="14">
        <f t="shared" ca="1" si="42"/>
        <v>0</v>
      </c>
      <c r="BB21" s="14">
        <f t="shared" si="43"/>
        <v>6000</v>
      </c>
      <c r="BC21" s="14">
        <f t="shared" ca="1" si="19"/>
        <v>65038.807583248425</v>
      </c>
      <c r="BD21" s="14">
        <f t="shared" ca="1" si="20"/>
        <v>12786.985364984719</v>
      </c>
      <c r="BE21" s="14">
        <f t="shared" si="44"/>
        <v>0</v>
      </c>
      <c r="BF21" s="14">
        <f t="shared" ca="1" si="45"/>
        <v>0</v>
      </c>
      <c r="BG21" s="51">
        <f t="shared" si="21"/>
        <v>0</v>
      </c>
      <c r="BH21" s="51">
        <f t="shared" ca="1" si="22"/>
        <v>433.644557780821</v>
      </c>
      <c r="BI21" s="51">
        <f t="shared" ca="1" si="46"/>
        <v>0</v>
      </c>
      <c r="BJ21" s="51">
        <f t="shared" ca="1" si="23"/>
        <v>0</v>
      </c>
      <c r="BK21" s="51">
        <f t="shared" si="24"/>
        <v>81</v>
      </c>
      <c r="BL21" s="51">
        <f t="shared" ca="1" si="25"/>
        <v>105.56453050326117</v>
      </c>
      <c r="BM21" s="51">
        <f t="shared" si="26"/>
        <v>0</v>
      </c>
      <c r="BN21" s="51">
        <f t="shared" ca="1" si="27"/>
        <v>0</v>
      </c>
      <c r="BO21" s="51">
        <f t="shared" ca="1" si="28"/>
        <v>0</v>
      </c>
      <c r="BP21" s="51">
        <f t="shared" ca="1" si="29"/>
        <v>620.20908828408221</v>
      </c>
      <c r="BR21" s="32"/>
      <c r="BS21" s="126"/>
      <c r="BT21" s="16"/>
      <c r="BU21" s="58"/>
      <c r="BW21" s="51">
        <f>VLOOKUP(H21,Charges!$AT$4:$AU$33,2,FALSE)*I21</f>
        <v>0</v>
      </c>
      <c r="BX21" s="51">
        <f t="shared" si="30"/>
        <v>0</v>
      </c>
      <c r="BY21" s="51">
        <f t="shared" si="47"/>
        <v>0</v>
      </c>
      <c r="BZ21" s="151"/>
      <c r="CA21" s="151"/>
      <c r="CB21" s="32"/>
      <c r="CC21" s="16">
        <f ca="1">SUM($N$7:$N21)</f>
        <v>0</v>
      </c>
      <c r="CD21" s="16">
        <f t="shared" ca="1" si="31"/>
        <v>0</v>
      </c>
      <c r="CE21" s="16">
        <f t="shared" ca="1" si="32"/>
        <v>0</v>
      </c>
      <c r="CF21" s="7">
        <f t="shared" ca="1" si="48"/>
        <v>0</v>
      </c>
    </row>
    <row r="22" spans="1:84" s="7" customFormat="1" x14ac:dyDescent="0.2">
      <c r="A22" s="149"/>
      <c r="B22" s="14">
        <f t="shared" si="0"/>
        <v>1</v>
      </c>
      <c r="C22" s="12">
        <f t="shared" si="1"/>
        <v>1</v>
      </c>
      <c r="D22" s="17">
        <f t="shared" si="49"/>
        <v>16</v>
      </c>
      <c r="E22" s="17">
        <f t="shared" ca="1" si="2"/>
        <v>61</v>
      </c>
      <c r="F22" s="12">
        <f t="shared" si="53"/>
        <v>3</v>
      </c>
      <c r="G22" s="12">
        <f t="shared" si="52"/>
        <v>3</v>
      </c>
      <c r="H22" s="17">
        <f t="shared" si="54"/>
        <v>2</v>
      </c>
      <c r="I22" s="29">
        <f t="shared" si="3"/>
        <v>0</v>
      </c>
      <c r="J22" s="211">
        <f>IFERROR(VLOOKUP(H22,Charges!$T$6:$U$35,2,0)*C22,0)</f>
        <v>0.95</v>
      </c>
      <c r="K22" s="29">
        <f t="shared" si="4"/>
        <v>0</v>
      </c>
      <c r="L22" s="29">
        <f t="shared" si="5"/>
        <v>0</v>
      </c>
      <c r="M22" s="147">
        <f t="shared" ca="1" si="6"/>
        <v>0</v>
      </c>
      <c r="N22" s="148">
        <f ca="1">IF(AND(Option_SPW="Y",H22&gt;=Lock_In_Period,Z21&gt;SPW_Amount_pa+IF(option="Single",1/5*pr,2*pr),H22&gt;=SPW_Start_Year,H22&lt;=SPW_Start_Year+SPW_Duration-1,age+H22&gt;=Legal_Age),IF(AND(F22=0,SPW_Payout_Freq=1),SPW_Amount_pa,IF(AND(SPW_Payout_Freq=2,MOD(F22,6)=0),SPW_Amount_pa/SPW_Payout_Freq,IF(AND(SPW_Payout_Freq=4,MOD(F22,3)=0),SPW_Amount_pa/SPW_Payout_Freq,IF(SPW_Payout_Freq=12,SPW_Amount_pa/SPW_Payout_Freq,0)))),0)+IFERROR(VLOOKUP(H22,Input!$B$68:$C$74,2,0),0)*(F22=0)*(Option_PW="Y")*(Option_SPW="N")*(age+H22&gt;=Legal_Age)</f>
        <v>0</v>
      </c>
      <c r="O22" s="148">
        <f t="shared" ca="1" si="33"/>
        <v>0</v>
      </c>
      <c r="P22" s="14">
        <f ca="1">(MAX(MAX(sa-CF21*Flag_UL_Type,105%*SUM($I$7:I22))-(AD21+L22-N22)*Flag_UL_Type,0)*B22)</f>
        <v>2479669.2565602758</v>
      </c>
      <c r="Q22" s="213">
        <f t="shared" ca="1" si="7"/>
        <v>2411.4370241839247</v>
      </c>
      <c r="R22" s="14">
        <f t="shared" ca="1" si="8"/>
        <v>0</v>
      </c>
      <c r="S22" s="14">
        <f t="shared" ca="1" si="9"/>
        <v>0</v>
      </c>
      <c r="T22" s="14">
        <f>IFERROR(IF(WoP_Flag="Y",IF(fq=1,VLOOKUP(ppt*fq-H22,Charges!$AN$41:$AO$59,2,FALSE),IF(fq=2,VLOOKUP(ppt*fq-G22,Charges!$AP$41:$AQ$79,2,FALSE),VLOOKUP(ppt*fq-D22,Charges!$AR$41:$AS$279,2,FALSE)))*pr/fq,0),0)</f>
        <v>0</v>
      </c>
      <c r="U22" s="14">
        <f ca="1">IFERROR(((T22*(VLOOKUP(Input!$D$18+H22-1,Tab_Mort_Charge,IF(Gender_2="M",2,3),FALSE)*(1+_emr2)+_rpm2)/IF(Model_Type="LA_PQIS",1000/0.0833,(12*1000))))*Flag_Mort_Rider_Charge*(T22&gt;0),0)</f>
        <v>0</v>
      </c>
      <c r="V22" s="34">
        <f>ROUND(MIN(IF(H22&gt;=7,Charges!$C$12*(1+Charges!$C$14)^((H22-7+1)),VLOOKUP(H22,Charges!$B$7:$C$12,2,0))*pr,Charges!$C$13)*B22,Round)</f>
        <v>450</v>
      </c>
      <c r="W22" s="14">
        <f t="shared" ca="1" si="10"/>
        <v>516954.24775118736</v>
      </c>
      <c r="X22" s="14">
        <f t="shared" ca="1" si="11"/>
        <v>518646.62143762712</v>
      </c>
      <c r="Y22" s="213">
        <f t="shared" ca="1" si="34"/>
        <v>583.79498347283129</v>
      </c>
      <c r="Z22" s="14">
        <f t="shared" ca="1" si="12"/>
        <v>517957.74335712916</v>
      </c>
      <c r="AA22" s="14">
        <f>IF(AND($H22=pt,$F22=11),SUM($K$7:K22)*VLOOKUP(pt,ROC,2,FALSE),0)</f>
        <v>0</v>
      </c>
      <c r="AB22" s="14">
        <f>IF(AND($H22=pt,$F22=11),SUM($V$7:V22)*VLOOKUP(pt,ROC,2,FALSE),0)</f>
        <v>0</v>
      </c>
      <c r="AC22" s="14">
        <f>IF(AND($H22=pt,$F22=11),SUM($Q$7:Q22)*VLOOKUP(pt,ROC,2,FALSE),0)</f>
        <v>0</v>
      </c>
      <c r="AD22" s="14">
        <f t="shared" ca="1" si="35"/>
        <v>517957.74335712916</v>
      </c>
      <c r="AE22" s="14">
        <f ca="1">(MAX(sa-CF21*Flag_UL_Type,105%*SUM($I$7:I22),Z22)+AU22)*B22</f>
        <v>3000000</v>
      </c>
      <c r="AF22" s="136"/>
      <c r="AG22" s="18">
        <v>16</v>
      </c>
      <c r="AH22" s="30">
        <f t="shared" ca="1" si="13"/>
        <v>0</v>
      </c>
      <c r="AI22" s="138"/>
      <c r="AJ22" s="50">
        <f>IF(AND(Option_Sys_TopUp&gt;="Y",H22&gt;=sytp,H22&lt;=(dtp+sytp-1),F22=0,H22&lt;=ppt+1),atp,0)+IFERROR(VLOOKUP(H22,Input!$B$55:$C$61,2,0),0)*(F22=0)*(Option_TopUP="Y")*(Option_Sys_TopUp="N")*B22*(pt&gt;=H22+5)</f>
        <v>0</v>
      </c>
      <c r="AK22" s="50">
        <f t="shared" si="14"/>
        <v>0</v>
      </c>
      <c r="AL22" s="50">
        <f t="shared" si="36"/>
        <v>0</v>
      </c>
      <c r="AM22" s="50">
        <f t="shared" ca="1" si="15"/>
        <v>0</v>
      </c>
      <c r="AN22" s="50">
        <f ca="1">IF(B22=0,0,AT22*(_rpm1+(1+_emr1)*VLOOKUP(E22,Tab_Mort_Charge,IF(Input!$C$12="M",2,3),0))*(0.001*0.0833)*Flag_Mort_Rider_Charge*(AT22&gt;0))</f>
        <v>0</v>
      </c>
      <c r="AO22" s="50">
        <f t="shared" ca="1" si="37"/>
        <v>0</v>
      </c>
      <c r="AP22" s="50">
        <f t="shared" ca="1" si="38"/>
        <v>0</v>
      </c>
      <c r="AQ22" s="50">
        <f t="shared" ca="1" si="16"/>
        <v>0</v>
      </c>
      <c r="AR22" s="50">
        <f t="shared" ca="1" si="17"/>
        <v>0</v>
      </c>
      <c r="AS22" s="50">
        <f t="shared" si="18"/>
        <v>0</v>
      </c>
      <c r="AT22" s="50">
        <f ca="1">(MAX((MAX(AS22,105%*SUM($AJ$7:AJ22))-AM22*Flag_UL_Type),0)*B22)</f>
        <v>0</v>
      </c>
      <c r="AU22" s="50">
        <f ca="1">(MAX(AS22,AR22,105%*SUM($AJ$7:AJ22))*B22)</f>
        <v>0</v>
      </c>
      <c r="AV22" s="125"/>
      <c r="AW22" s="12">
        <f t="shared" si="51"/>
        <v>16</v>
      </c>
      <c r="AX22" s="14">
        <f t="shared" si="39"/>
        <v>0</v>
      </c>
      <c r="AY22" s="14">
        <f t="shared" si="40"/>
        <v>0</v>
      </c>
      <c r="AZ22" s="14">
        <f t="shared" ca="1" si="41"/>
        <v>0</v>
      </c>
      <c r="BA22" s="14">
        <f t="shared" ca="1" si="42"/>
        <v>0</v>
      </c>
      <c r="BB22" s="14">
        <f t="shared" si="43"/>
        <v>0</v>
      </c>
      <c r="BC22" s="14">
        <f t="shared" ca="1" si="19"/>
        <v>0</v>
      </c>
      <c r="BD22" s="14">
        <f t="shared" ca="1" si="20"/>
        <v>0</v>
      </c>
      <c r="BE22" s="14">
        <f t="shared" si="44"/>
        <v>0</v>
      </c>
      <c r="BF22" s="14">
        <f t="shared" ca="1" si="45"/>
        <v>0</v>
      </c>
      <c r="BG22" s="51">
        <f t="shared" si="21"/>
        <v>0</v>
      </c>
      <c r="BH22" s="51">
        <f t="shared" ca="1" si="22"/>
        <v>434.058664353106</v>
      </c>
      <c r="BI22" s="51">
        <f t="shared" ca="1" si="46"/>
        <v>0</v>
      </c>
      <c r="BJ22" s="51">
        <f t="shared" ca="1" si="23"/>
        <v>0</v>
      </c>
      <c r="BK22" s="51">
        <f t="shared" si="24"/>
        <v>81</v>
      </c>
      <c r="BL22" s="51">
        <f t="shared" ca="1" si="25"/>
        <v>105.08309702510962</v>
      </c>
      <c r="BM22" s="51">
        <f t="shared" si="26"/>
        <v>0</v>
      </c>
      <c r="BN22" s="51">
        <f t="shared" ca="1" si="27"/>
        <v>0</v>
      </c>
      <c r="BO22" s="51">
        <f t="shared" ca="1" si="28"/>
        <v>0</v>
      </c>
      <c r="BP22" s="51">
        <f t="shared" ca="1" si="29"/>
        <v>620.14176137821562</v>
      </c>
      <c r="BR22" s="32"/>
      <c r="BS22" s="126"/>
      <c r="BT22" s="16"/>
      <c r="BU22" s="58"/>
      <c r="BW22" s="51">
        <f>VLOOKUP(H22,Charges!$AT$4:$AU$33,2,FALSE)*I22</f>
        <v>0</v>
      </c>
      <c r="BX22" s="51">
        <f t="shared" si="30"/>
        <v>0</v>
      </c>
      <c r="BY22" s="51">
        <f t="shared" si="47"/>
        <v>0</v>
      </c>
      <c r="BZ22" s="151"/>
      <c r="CA22" s="151"/>
      <c r="CB22" s="32"/>
      <c r="CC22" s="16">
        <f ca="1">SUM($N$7:$N22)</f>
        <v>0</v>
      </c>
      <c r="CD22" s="16">
        <f t="shared" ca="1" si="31"/>
        <v>0</v>
      </c>
      <c r="CE22" s="16">
        <f t="shared" ca="1" si="32"/>
        <v>0</v>
      </c>
      <c r="CF22" s="7">
        <f t="shared" ca="1" si="48"/>
        <v>0</v>
      </c>
    </row>
    <row r="23" spans="1:84" s="7" customFormat="1" x14ac:dyDescent="0.2">
      <c r="A23" s="149"/>
      <c r="B23" s="14">
        <f t="shared" si="0"/>
        <v>1</v>
      </c>
      <c r="C23" s="12">
        <f t="shared" si="1"/>
        <v>1</v>
      </c>
      <c r="D23" s="17">
        <f t="shared" si="49"/>
        <v>17</v>
      </c>
      <c r="E23" s="17">
        <f t="shared" ca="1" si="2"/>
        <v>61</v>
      </c>
      <c r="F23" s="12">
        <f t="shared" si="53"/>
        <v>4</v>
      </c>
      <c r="G23" s="12">
        <f t="shared" si="52"/>
        <v>3</v>
      </c>
      <c r="H23" s="17">
        <f t="shared" si="54"/>
        <v>2</v>
      </c>
      <c r="I23" s="29">
        <f t="shared" si="3"/>
        <v>0</v>
      </c>
      <c r="J23" s="211">
        <f>IFERROR(VLOOKUP(H23,Charges!$T$6:$U$35,2,0)*C23,0)</f>
        <v>0.95</v>
      </c>
      <c r="K23" s="29">
        <f t="shared" si="4"/>
        <v>0</v>
      </c>
      <c r="L23" s="29">
        <f t="shared" si="5"/>
        <v>0</v>
      </c>
      <c r="M23" s="147">
        <f t="shared" ca="1" si="6"/>
        <v>0</v>
      </c>
      <c r="N23" s="148">
        <f ca="1">IF(AND(Option_SPW="Y",H23&gt;=Lock_In_Period,Z22&gt;SPW_Amount_pa+IF(option="Single",1/5*pr,2*pr),H23&gt;=SPW_Start_Year,H23&lt;=SPW_Start_Year+SPW_Duration-1,age+H23&gt;=Legal_Age),IF(AND(F23=0,SPW_Payout_Freq=1),SPW_Amount_pa,IF(AND(SPW_Payout_Freq=2,MOD(F23,6)=0),SPW_Amount_pa/SPW_Payout_Freq,IF(AND(SPW_Payout_Freq=4,MOD(F23,3)=0),SPW_Amount_pa/SPW_Payout_Freq,IF(SPW_Payout_Freq=12,SPW_Amount_pa/SPW_Payout_Freq,0)))),0)+IFERROR(VLOOKUP(H23,Input!$B$68:$C$74,2,0),0)*(F23=0)*(Option_PW="Y")*(Option_SPW="N")*(age+H23&gt;=Legal_Age)</f>
        <v>0</v>
      </c>
      <c r="O23" s="148">
        <f t="shared" ca="1" si="33"/>
        <v>0</v>
      </c>
      <c r="P23" s="14">
        <f ca="1">(MAX(MAX(sa-CF22*Flag_UL_Type,105%*SUM($I$7:I23))-(AD22+L23-N23)*Flag_UL_Type,0)*B23)</f>
        <v>2482042.2566428706</v>
      </c>
      <c r="Q23" s="213">
        <f t="shared" ca="1" si="7"/>
        <v>2413.7447272142499</v>
      </c>
      <c r="R23" s="14">
        <f t="shared" ca="1" si="8"/>
        <v>0</v>
      </c>
      <c r="S23" s="14">
        <f t="shared" ca="1" si="9"/>
        <v>0</v>
      </c>
      <c r="T23" s="14">
        <f>IFERROR(IF(WoP_Flag="Y",IF(fq=1,VLOOKUP(ppt*fq-H23,Charges!$AN$41:$AO$59,2,FALSE),IF(fq=2,VLOOKUP(ppt*fq-G23,Charges!$AP$41:$AQ$79,2,FALSE),VLOOKUP(ppt*fq-D23,Charges!$AR$41:$AS$279,2,FALSE)))*pr/fq,0),0)</f>
        <v>0</v>
      </c>
      <c r="U23" s="14">
        <f ca="1">IFERROR(((T23*(VLOOKUP(Input!$D$18+H23-1,Tab_Mort_Charge,IF(Gender_2="M",2,3),FALSE)*(1+_emr2)+_rpm2)/IF(Model_Type="LA_PQIS",1000/0.0833,(12*1000))))*Flag_Mort_Rider_Charge*(T23&gt;0),0)</f>
        <v>0</v>
      </c>
      <c r="V23" s="34">
        <f>ROUND(MIN(IF(H23&gt;=7,Charges!$C$12*(1+Charges!$C$14)^((H23-7+1)),VLOOKUP(H23,Charges!$B$7:$C$12,2,0))*pr,Charges!$C$13)*B23,Round)</f>
        <v>450</v>
      </c>
      <c r="W23" s="14">
        <f t="shared" ca="1" si="10"/>
        <v>514578.52457901638</v>
      </c>
      <c r="X23" s="14">
        <f t="shared" ca="1" si="11"/>
        <v>516263.12076599593</v>
      </c>
      <c r="Y23" s="213">
        <f t="shared" ca="1" si="34"/>
        <v>581.11208595130609</v>
      </c>
      <c r="Z23" s="14">
        <f t="shared" ca="1" si="12"/>
        <v>515577.4085045734</v>
      </c>
      <c r="AA23" s="14">
        <f>IF(AND($H23=pt,$F23=11),SUM($K$7:K23)*VLOOKUP(pt,ROC,2,FALSE),0)</f>
        <v>0</v>
      </c>
      <c r="AB23" s="14">
        <f>IF(AND($H23=pt,$F23=11),SUM($V$7:V23)*VLOOKUP(pt,ROC,2,FALSE),0)</f>
        <v>0</v>
      </c>
      <c r="AC23" s="14">
        <f>IF(AND($H23=pt,$F23=11),SUM($Q$7:Q23)*VLOOKUP(pt,ROC,2,FALSE),0)</f>
        <v>0</v>
      </c>
      <c r="AD23" s="14">
        <f t="shared" ca="1" si="35"/>
        <v>515577.4085045734</v>
      </c>
      <c r="AE23" s="14">
        <f ca="1">(MAX(sa-CF22*Flag_UL_Type,105%*SUM($I$7:I23),Z23)+AU23)*B23</f>
        <v>3000000</v>
      </c>
      <c r="AF23" s="136"/>
      <c r="AG23" s="18">
        <v>17</v>
      </c>
      <c r="AH23" s="30">
        <f t="shared" ca="1" si="13"/>
        <v>0</v>
      </c>
      <c r="AI23" s="138"/>
      <c r="AJ23" s="50">
        <f>IF(AND(Option_Sys_TopUp&gt;="Y",H23&gt;=sytp,H23&lt;=(dtp+sytp-1),F23=0,H23&lt;=ppt+1),atp,0)+IFERROR(VLOOKUP(H23,Input!$B$55:$C$61,2,0),0)*(F23=0)*(Option_TopUP="Y")*(Option_Sys_TopUp="N")*B23*(pt&gt;=H23+5)</f>
        <v>0</v>
      </c>
      <c r="AK23" s="50">
        <f t="shared" si="14"/>
        <v>0</v>
      </c>
      <c r="AL23" s="50">
        <f t="shared" si="36"/>
        <v>0</v>
      </c>
      <c r="AM23" s="50">
        <f t="shared" ca="1" si="15"/>
        <v>0</v>
      </c>
      <c r="AN23" s="50">
        <f ca="1">IF(B23=0,0,AT23*(_rpm1+(1+_emr1)*VLOOKUP(E23,Tab_Mort_Charge,IF(Input!$C$12="M",2,3),0))*(0.001*0.0833)*Flag_Mort_Rider_Charge*(AT23&gt;0))</f>
        <v>0</v>
      </c>
      <c r="AO23" s="50">
        <f t="shared" ca="1" si="37"/>
        <v>0</v>
      </c>
      <c r="AP23" s="50">
        <f t="shared" ca="1" si="38"/>
        <v>0</v>
      </c>
      <c r="AQ23" s="50">
        <f t="shared" ca="1" si="16"/>
        <v>0</v>
      </c>
      <c r="AR23" s="50">
        <f t="shared" ca="1" si="17"/>
        <v>0</v>
      </c>
      <c r="AS23" s="50">
        <f t="shared" si="18"/>
        <v>0</v>
      </c>
      <c r="AT23" s="50">
        <f ca="1">(MAX((MAX(AS23,105%*SUM($AJ$7:AJ23))-AM23*Flag_UL_Type),0)*B23)</f>
        <v>0</v>
      </c>
      <c r="AU23" s="50">
        <f ca="1">(MAX(AS23,AR23,105%*SUM($AJ$7:AJ23))*B23)</f>
        <v>0</v>
      </c>
      <c r="AV23" s="125"/>
      <c r="AW23" s="12">
        <f t="shared" si="51"/>
        <v>17</v>
      </c>
      <c r="AX23" s="14">
        <f t="shared" si="39"/>
        <v>0</v>
      </c>
      <c r="AY23" s="14">
        <f t="shared" si="40"/>
        <v>0</v>
      </c>
      <c r="AZ23" s="14">
        <f t="shared" ca="1" si="41"/>
        <v>0</v>
      </c>
      <c r="BA23" s="14">
        <f t="shared" ca="1" si="42"/>
        <v>0</v>
      </c>
      <c r="BB23" s="14">
        <f t="shared" si="43"/>
        <v>0</v>
      </c>
      <c r="BC23" s="14">
        <f t="shared" ca="1" si="19"/>
        <v>0</v>
      </c>
      <c r="BD23" s="14">
        <f t="shared" ca="1" si="20"/>
        <v>0</v>
      </c>
      <c r="BE23" s="14">
        <f t="shared" si="44"/>
        <v>0</v>
      </c>
      <c r="BF23" s="14">
        <f t="shared" ca="1" si="45"/>
        <v>0</v>
      </c>
      <c r="BG23" s="51">
        <f t="shared" si="21"/>
        <v>0</v>
      </c>
      <c r="BH23" s="51">
        <f t="shared" ca="1" si="22"/>
        <v>434.474050898565</v>
      </c>
      <c r="BI23" s="51">
        <f t="shared" ca="1" si="46"/>
        <v>0</v>
      </c>
      <c r="BJ23" s="51">
        <f t="shared" ca="1" si="23"/>
        <v>0</v>
      </c>
      <c r="BK23" s="51">
        <f t="shared" si="24"/>
        <v>81</v>
      </c>
      <c r="BL23" s="51">
        <f t="shared" ca="1" si="25"/>
        <v>104.60017547123509</v>
      </c>
      <c r="BM23" s="51">
        <f t="shared" si="26"/>
        <v>0</v>
      </c>
      <c r="BN23" s="51">
        <f t="shared" ca="1" si="27"/>
        <v>0</v>
      </c>
      <c r="BO23" s="51">
        <f t="shared" ca="1" si="28"/>
        <v>0</v>
      </c>
      <c r="BP23" s="51">
        <f t="shared" ca="1" si="29"/>
        <v>620.07422636980004</v>
      </c>
      <c r="BR23" s="32"/>
      <c r="BS23" s="126"/>
      <c r="BT23" s="16"/>
      <c r="BU23" s="58"/>
      <c r="BW23" s="51">
        <f>VLOOKUP(H23,Charges!$AT$4:$AU$33,2,FALSE)*I23</f>
        <v>0</v>
      </c>
      <c r="BX23" s="51">
        <f t="shared" si="30"/>
        <v>0</v>
      </c>
      <c r="BY23" s="51">
        <f t="shared" si="47"/>
        <v>0</v>
      </c>
      <c r="BZ23" s="151"/>
      <c r="CA23" s="151"/>
      <c r="CB23" s="32"/>
      <c r="CC23" s="16">
        <f ca="1">SUM($N$7:$N23)</f>
        <v>0</v>
      </c>
      <c r="CD23" s="16">
        <f t="shared" ca="1" si="31"/>
        <v>0</v>
      </c>
      <c r="CE23" s="16">
        <f t="shared" ca="1" si="32"/>
        <v>0</v>
      </c>
      <c r="CF23" s="7">
        <f t="shared" ca="1" si="48"/>
        <v>0</v>
      </c>
    </row>
    <row r="24" spans="1:84" s="7" customFormat="1" x14ac:dyDescent="0.2">
      <c r="A24" s="149"/>
      <c r="B24" s="14">
        <f t="shared" si="0"/>
        <v>1</v>
      </c>
      <c r="C24" s="12">
        <f t="shared" si="1"/>
        <v>1</v>
      </c>
      <c r="D24" s="17">
        <f t="shared" si="49"/>
        <v>18</v>
      </c>
      <c r="E24" s="17">
        <f t="shared" ca="1" si="2"/>
        <v>61</v>
      </c>
      <c r="F24" s="12">
        <f t="shared" si="53"/>
        <v>5</v>
      </c>
      <c r="G24" s="12">
        <f t="shared" si="52"/>
        <v>3</v>
      </c>
      <c r="H24" s="17">
        <f t="shared" si="54"/>
        <v>2</v>
      </c>
      <c r="I24" s="29">
        <f t="shared" si="3"/>
        <v>0</v>
      </c>
      <c r="J24" s="211">
        <f>IFERROR(VLOOKUP(H24,Charges!$T$6:$U$35,2,0)*C24,0)</f>
        <v>0.95</v>
      </c>
      <c r="K24" s="29">
        <f t="shared" si="4"/>
        <v>0</v>
      </c>
      <c r="L24" s="29">
        <f t="shared" si="5"/>
        <v>0</v>
      </c>
      <c r="M24" s="147">
        <f t="shared" ca="1" si="6"/>
        <v>0</v>
      </c>
      <c r="N24" s="148">
        <f ca="1">IF(AND(Option_SPW="Y",H24&gt;=Lock_In_Period,Z23&gt;SPW_Amount_pa+IF(option="Single",1/5*pr,2*pr),H24&gt;=SPW_Start_Year,H24&lt;=SPW_Start_Year+SPW_Duration-1,age+H24&gt;=Legal_Age),IF(AND(F24=0,SPW_Payout_Freq=1),SPW_Amount_pa,IF(AND(SPW_Payout_Freq=2,MOD(F24,6)=0),SPW_Amount_pa/SPW_Payout_Freq,IF(AND(SPW_Payout_Freq=4,MOD(F24,3)=0),SPW_Amount_pa/SPW_Payout_Freq,IF(SPW_Payout_Freq=12,SPW_Amount_pa/SPW_Payout_Freq,0)))),0)+IFERROR(VLOOKUP(H24,Input!$B$68:$C$74,2,0),0)*(F24=0)*(Option_PW="Y")*(Option_SPW="N")*(age+H24&gt;=Legal_Age)</f>
        <v>0</v>
      </c>
      <c r="O24" s="148">
        <f t="shared" ca="1" si="33"/>
        <v>0</v>
      </c>
      <c r="P24" s="14">
        <f ca="1">(MAX(MAX(sa-CF23*Flag_UL_Type,105%*SUM($I$7:I24))-(AD23+L24-N24)*Flag_UL_Type,0)*B24)</f>
        <v>2484422.5914954264</v>
      </c>
      <c r="Q24" s="213">
        <f t="shared" ca="1" si="7"/>
        <v>2416.0595631861083</v>
      </c>
      <c r="R24" s="14">
        <f t="shared" ca="1" si="8"/>
        <v>0</v>
      </c>
      <c r="S24" s="14">
        <f t="shared" ca="1" si="9"/>
        <v>0</v>
      </c>
      <c r="T24" s="14">
        <f>IFERROR(IF(WoP_Flag="Y",IF(fq=1,VLOOKUP(ppt*fq-H24,Charges!$AN$41:$AO$59,2,FALSE),IF(fq=2,VLOOKUP(ppt*fq-G24,Charges!$AP$41:$AQ$79,2,FALSE),VLOOKUP(ppt*fq-D24,Charges!$AR$41:$AS$279,2,FALSE)))*pr/fq,0),0)</f>
        <v>0</v>
      </c>
      <c r="U24" s="14">
        <f ca="1">IFERROR(((T24*(VLOOKUP(Input!$D$18+H24-1,Tab_Mort_Charge,IF(Gender_2="M",2,3),FALSE)*(1+_emr2)+_rpm2)/IF(Model_Type="LA_PQIS",1000/0.0833,(12*1000))))*Flag_Mort_Rider_Charge*(T24&gt;0),0)</f>
        <v>0</v>
      </c>
      <c r="V24" s="34">
        <f>ROUND(MIN(IF(H24&gt;=7,Charges!$C$12*(1+Charges!$C$14)^((H24-7+1)),VLOOKUP(H24,Charges!$B$7:$C$12,2,0))*pr,Charges!$C$13)*B24,Round)</f>
        <v>450</v>
      </c>
      <c r="W24" s="14">
        <f t="shared" ca="1" si="10"/>
        <v>512195.45822001377</v>
      </c>
      <c r="X24" s="14">
        <f t="shared" ca="1" si="11"/>
        <v>513872.25286785024</v>
      </c>
      <c r="Y24" s="213">
        <f t="shared" ca="1" si="34"/>
        <v>578.42089578946764</v>
      </c>
      <c r="Z24" s="14">
        <f t="shared" ca="1" si="12"/>
        <v>513189.71621081867</v>
      </c>
      <c r="AA24" s="14">
        <f>IF(AND($H24=pt,$F24=11),SUM($K$7:K24)*VLOOKUP(pt,ROC,2,FALSE),0)</f>
        <v>0</v>
      </c>
      <c r="AB24" s="14">
        <f>IF(AND($H24=pt,$F24=11),SUM($V$7:V24)*VLOOKUP(pt,ROC,2,FALSE),0)</f>
        <v>0</v>
      </c>
      <c r="AC24" s="14">
        <f>IF(AND($H24=pt,$F24=11),SUM($Q$7:Q24)*VLOOKUP(pt,ROC,2,FALSE),0)</f>
        <v>0</v>
      </c>
      <c r="AD24" s="14">
        <f t="shared" ca="1" si="35"/>
        <v>513189.71621081867</v>
      </c>
      <c r="AE24" s="14">
        <f ca="1">(MAX(sa-CF23*Flag_UL_Type,105%*SUM($I$7:I24),Z24)+AU24)*B24</f>
        <v>3000000</v>
      </c>
      <c r="AF24" s="136"/>
      <c r="AG24" s="18">
        <v>18</v>
      </c>
      <c r="AH24" s="30">
        <f t="shared" ca="1" si="13"/>
        <v>0</v>
      </c>
      <c r="AI24" s="138"/>
      <c r="AJ24" s="50">
        <f>IF(AND(Option_Sys_TopUp&gt;="Y",H24&gt;=sytp,H24&lt;=(dtp+sytp-1),F24=0,H24&lt;=ppt+1),atp,0)+IFERROR(VLOOKUP(H24,Input!$B$55:$C$61,2,0),0)*(F24=0)*(Option_TopUP="Y")*(Option_Sys_TopUp="N")*B24*(pt&gt;=H24+5)</f>
        <v>0</v>
      </c>
      <c r="AK24" s="50">
        <f t="shared" si="14"/>
        <v>0</v>
      </c>
      <c r="AL24" s="50">
        <f t="shared" si="36"/>
        <v>0</v>
      </c>
      <c r="AM24" s="50">
        <f t="shared" ca="1" si="15"/>
        <v>0</v>
      </c>
      <c r="AN24" s="50">
        <f ca="1">IF(B24=0,0,AT24*(_rpm1+(1+_emr1)*VLOOKUP(E24,Tab_Mort_Charge,IF(Input!$C$12="M",2,3),0))*(0.001*0.0833)*Flag_Mort_Rider_Charge*(AT24&gt;0))</f>
        <v>0</v>
      </c>
      <c r="AO24" s="50">
        <f t="shared" ca="1" si="37"/>
        <v>0</v>
      </c>
      <c r="AP24" s="50">
        <f t="shared" ca="1" si="38"/>
        <v>0</v>
      </c>
      <c r="AQ24" s="50">
        <f t="shared" ca="1" si="16"/>
        <v>0</v>
      </c>
      <c r="AR24" s="50">
        <f t="shared" ca="1" si="17"/>
        <v>0</v>
      </c>
      <c r="AS24" s="50">
        <f t="shared" si="18"/>
        <v>0</v>
      </c>
      <c r="AT24" s="50">
        <f ca="1">(MAX((MAX(AS24,105%*SUM($AJ$7:AJ24))-AM24*Flag_UL_Type),0)*B24)</f>
        <v>0</v>
      </c>
      <c r="AU24" s="50">
        <f ca="1">(MAX(AS24,AR24,105%*SUM($AJ$7:AJ24))*B24)</f>
        <v>0</v>
      </c>
      <c r="AV24" s="125"/>
      <c r="AW24" s="12">
        <f t="shared" si="51"/>
        <v>18</v>
      </c>
      <c r="AX24" s="14">
        <f t="shared" si="39"/>
        <v>0</v>
      </c>
      <c r="AY24" s="14">
        <f t="shared" si="40"/>
        <v>0</v>
      </c>
      <c r="AZ24" s="14">
        <f t="shared" ca="1" si="41"/>
        <v>0</v>
      </c>
      <c r="BA24" s="14">
        <f t="shared" ca="1" si="42"/>
        <v>0</v>
      </c>
      <c r="BB24" s="14">
        <f t="shared" si="43"/>
        <v>0</v>
      </c>
      <c r="BC24" s="14">
        <f t="shared" ca="1" si="19"/>
        <v>0</v>
      </c>
      <c r="BD24" s="14">
        <f t="shared" ca="1" si="20"/>
        <v>0</v>
      </c>
      <c r="BE24" s="14">
        <f t="shared" si="44"/>
        <v>0</v>
      </c>
      <c r="BF24" s="14">
        <f t="shared" ca="1" si="45"/>
        <v>0</v>
      </c>
      <c r="BG24" s="51">
        <f t="shared" si="21"/>
        <v>0</v>
      </c>
      <c r="BH24" s="51">
        <f t="shared" ca="1" si="22"/>
        <v>434.89072137350001</v>
      </c>
      <c r="BI24" s="51">
        <f t="shared" ca="1" si="46"/>
        <v>0</v>
      </c>
      <c r="BJ24" s="51">
        <f t="shared" ca="1" si="23"/>
        <v>0</v>
      </c>
      <c r="BK24" s="51">
        <f t="shared" si="24"/>
        <v>81</v>
      </c>
      <c r="BL24" s="51">
        <f t="shared" ca="1" si="25"/>
        <v>104.11576124210417</v>
      </c>
      <c r="BM24" s="51">
        <f t="shared" si="26"/>
        <v>0</v>
      </c>
      <c r="BN24" s="51">
        <f t="shared" ca="1" si="27"/>
        <v>0</v>
      </c>
      <c r="BO24" s="51">
        <f t="shared" ca="1" si="28"/>
        <v>0</v>
      </c>
      <c r="BP24" s="51">
        <f t="shared" ca="1" si="29"/>
        <v>620.00648261560423</v>
      </c>
      <c r="BR24" s="32"/>
      <c r="BS24" s="126"/>
      <c r="BT24" s="16"/>
      <c r="BU24" s="58"/>
      <c r="BW24" s="51">
        <f>VLOOKUP(H24,Charges!$AT$4:$AU$33,2,FALSE)*I24</f>
        <v>0</v>
      </c>
      <c r="BX24" s="51">
        <f t="shared" si="30"/>
        <v>0</v>
      </c>
      <c r="BY24" s="51">
        <f t="shared" si="47"/>
        <v>0</v>
      </c>
      <c r="BZ24" s="151"/>
      <c r="CA24" s="151"/>
      <c r="CB24" s="32"/>
      <c r="CC24" s="16">
        <f ca="1">SUM($N$7:$N24)</f>
        <v>0</v>
      </c>
      <c r="CD24" s="16">
        <f t="shared" ca="1" si="31"/>
        <v>0</v>
      </c>
      <c r="CE24" s="16">
        <f t="shared" ca="1" si="32"/>
        <v>0</v>
      </c>
      <c r="CF24" s="7">
        <f t="shared" ca="1" si="48"/>
        <v>0</v>
      </c>
    </row>
    <row r="25" spans="1:84" s="7" customFormat="1" x14ac:dyDescent="0.2">
      <c r="A25" s="149"/>
      <c r="B25" s="14">
        <f t="shared" si="0"/>
        <v>1</v>
      </c>
      <c r="C25" s="12">
        <f t="shared" si="1"/>
        <v>1</v>
      </c>
      <c r="D25" s="17">
        <f t="shared" si="49"/>
        <v>19</v>
      </c>
      <c r="E25" s="17">
        <f t="shared" ca="1" si="2"/>
        <v>61</v>
      </c>
      <c r="F25" s="12">
        <f t="shared" si="53"/>
        <v>6</v>
      </c>
      <c r="G25" s="12">
        <f t="shared" si="52"/>
        <v>4</v>
      </c>
      <c r="H25" s="17">
        <f t="shared" si="54"/>
        <v>2</v>
      </c>
      <c r="I25" s="29">
        <f t="shared" si="3"/>
        <v>0</v>
      </c>
      <c r="J25" s="211">
        <f>IFERROR(VLOOKUP(H25,Charges!$T$6:$U$35,2,0)*C25,0)</f>
        <v>0.95</v>
      </c>
      <c r="K25" s="29">
        <f t="shared" si="4"/>
        <v>0</v>
      </c>
      <c r="L25" s="29">
        <f t="shared" si="5"/>
        <v>0</v>
      </c>
      <c r="M25" s="147">
        <f t="shared" ca="1" si="6"/>
        <v>0</v>
      </c>
      <c r="N25" s="148">
        <f ca="1">IF(AND(Option_SPW="Y",H25&gt;=Lock_In_Period,Z24&gt;SPW_Amount_pa+IF(option="Single",1/5*pr,2*pr),H25&gt;=SPW_Start_Year,H25&lt;=SPW_Start_Year+SPW_Duration-1,age+H25&gt;=Legal_Age),IF(AND(F25=0,SPW_Payout_Freq=1),SPW_Amount_pa,IF(AND(SPW_Payout_Freq=2,MOD(F25,6)=0),SPW_Amount_pa/SPW_Payout_Freq,IF(AND(SPW_Payout_Freq=4,MOD(F25,3)=0),SPW_Amount_pa/SPW_Payout_Freq,IF(SPW_Payout_Freq=12,SPW_Amount_pa/SPW_Payout_Freq,0)))),0)+IFERROR(VLOOKUP(H25,Input!$B$68:$C$74,2,0),0)*(F25=0)*(Option_PW="Y")*(Option_SPW="N")*(age+H25&gt;=Legal_Age)</f>
        <v>0</v>
      </c>
      <c r="O25" s="148">
        <f t="shared" ca="1" si="33"/>
        <v>0</v>
      </c>
      <c r="P25" s="14">
        <f ca="1">(MAX(MAX(sa-CF24*Flag_UL_Type,105%*SUM($I$7:I25))-(AD24+L25-N25)*Flag_UL_Type,0)*B25)</f>
        <v>2486810.2837891812</v>
      </c>
      <c r="Q25" s="213">
        <f t="shared" ca="1" si="7"/>
        <v>2418.3815541469166</v>
      </c>
      <c r="R25" s="14">
        <f t="shared" ca="1" si="8"/>
        <v>0</v>
      </c>
      <c r="S25" s="14">
        <f t="shared" ca="1" si="9"/>
        <v>0</v>
      </c>
      <c r="T25" s="14">
        <f>IFERROR(IF(WoP_Flag="Y",IF(fq=1,VLOOKUP(ppt*fq-H25,Charges!$AN$41:$AO$59,2,FALSE),IF(fq=2,VLOOKUP(ppt*fq-G25,Charges!$AP$41:$AQ$79,2,FALSE),VLOOKUP(ppt*fq-D25,Charges!$AR$41:$AS$279,2,FALSE)))*pr/fq,0),0)</f>
        <v>0</v>
      </c>
      <c r="U25" s="14">
        <f ca="1">IFERROR(((T25*(VLOOKUP(Input!$D$18+H25-1,Tab_Mort_Charge,IF(Gender_2="M",2,3),FALSE)*(1+_emr2)+_rpm2)/IF(Model_Type="LA_PQIS",1000/0.0833,(12*1000))))*Flag_Mort_Rider_Charge*(T25&gt;0),0)</f>
        <v>0</v>
      </c>
      <c r="V25" s="34">
        <f>ROUND(MIN(IF(H25&gt;=7,Charges!$C$12*(1+Charges!$C$14)^((H25-7+1)),VLOOKUP(H25,Charges!$B$7:$C$12,2,0))*pr,Charges!$C$13)*B25,Round)</f>
        <v>450</v>
      </c>
      <c r="W25" s="14">
        <f t="shared" ca="1" si="10"/>
        <v>509805.02597692533</v>
      </c>
      <c r="X25" s="14">
        <f t="shared" ca="1" si="11"/>
        <v>511473.99497163092</v>
      </c>
      <c r="Y25" s="213">
        <f t="shared" ca="1" si="34"/>
        <v>575.72138735537033</v>
      </c>
      <c r="Z25" s="14">
        <f t="shared" ca="1" si="12"/>
        <v>510794.64373455156</v>
      </c>
      <c r="AA25" s="14">
        <f>IF(AND($H25=pt,$F25=11),SUM($K$7:K25)*VLOOKUP(pt,ROC,2,FALSE),0)</f>
        <v>0</v>
      </c>
      <c r="AB25" s="14">
        <f>IF(AND($H25=pt,$F25=11),SUM($V$7:V25)*VLOOKUP(pt,ROC,2,FALSE),0)</f>
        <v>0</v>
      </c>
      <c r="AC25" s="14">
        <f>IF(AND($H25=pt,$F25=11),SUM($Q$7:Q25)*VLOOKUP(pt,ROC,2,FALSE),0)</f>
        <v>0</v>
      </c>
      <c r="AD25" s="14">
        <f t="shared" ca="1" si="35"/>
        <v>510794.64373455156</v>
      </c>
      <c r="AE25" s="14">
        <f ca="1">(MAX(sa-CF24*Flag_UL_Type,105%*SUM($I$7:I25),Z25)+AU25)*B25</f>
        <v>3000000</v>
      </c>
      <c r="AF25" s="136"/>
      <c r="AG25" s="18">
        <v>19</v>
      </c>
      <c r="AH25" s="30">
        <f t="shared" ca="1" si="13"/>
        <v>0</v>
      </c>
      <c r="AI25" s="138"/>
      <c r="AJ25" s="50">
        <f>IF(AND(Option_Sys_TopUp&gt;="Y",H25&gt;=sytp,H25&lt;=(dtp+sytp-1),F25=0,H25&lt;=ppt+1),atp,0)+IFERROR(VLOOKUP(H25,Input!$B$55:$C$61,2,0),0)*(F25=0)*(Option_TopUP="Y")*(Option_Sys_TopUp="N")*B25*(pt&gt;=H25+5)</f>
        <v>0</v>
      </c>
      <c r="AK25" s="50">
        <f t="shared" si="14"/>
        <v>0</v>
      </c>
      <c r="AL25" s="50">
        <f t="shared" si="36"/>
        <v>0</v>
      </c>
      <c r="AM25" s="50">
        <f t="shared" ca="1" si="15"/>
        <v>0</v>
      </c>
      <c r="AN25" s="50">
        <f ca="1">IF(B25=0,0,AT25*(_rpm1+(1+_emr1)*VLOOKUP(E25,Tab_Mort_Charge,IF(Input!$C$12="M",2,3),0))*(0.001*0.0833)*Flag_Mort_Rider_Charge*(AT25&gt;0))</f>
        <v>0</v>
      </c>
      <c r="AO25" s="50">
        <f t="shared" ca="1" si="37"/>
        <v>0</v>
      </c>
      <c r="AP25" s="50">
        <f t="shared" ca="1" si="38"/>
        <v>0</v>
      </c>
      <c r="AQ25" s="50">
        <f t="shared" ca="1" si="16"/>
        <v>0</v>
      </c>
      <c r="AR25" s="50">
        <f t="shared" ca="1" si="17"/>
        <v>0</v>
      </c>
      <c r="AS25" s="50">
        <f t="shared" si="18"/>
        <v>0</v>
      </c>
      <c r="AT25" s="50">
        <f ca="1">(MAX((MAX(AS25,105%*SUM($AJ$7:AJ25))-AM25*Flag_UL_Type),0)*B25)</f>
        <v>0</v>
      </c>
      <c r="AU25" s="50">
        <f ca="1">(MAX(AS25,AR25,105%*SUM($AJ$7:AJ25))*B25)</f>
        <v>0</v>
      </c>
      <c r="AV25" s="125"/>
      <c r="AW25" s="12">
        <f t="shared" si="51"/>
        <v>19</v>
      </c>
      <c r="AX25" s="14">
        <f t="shared" si="39"/>
        <v>0</v>
      </c>
      <c r="AY25" s="14">
        <f t="shared" si="40"/>
        <v>0</v>
      </c>
      <c r="AZ25" s="14">
        <f t="shared" ca="1" si="41"/>
        <v>0</v>
      </c>
      <c r="BA25" s="14">
        <f t="shared" ca="1" si="42"/>
        <v>0</v>
      </c>
      <c r="BB25" s="14">
        <f t="shared" si="43"/>
        <v>0</v>
      </c>
      <c r="BC25" s="14">
        <f t="shared" ca="1" si="19"/>
        <v>0</v>
      </c>
      <c r="BD25" s="14">
        <f t="shared" ca="1" si="20"/>
        <v>0</v>
      </c>
      <c r="BE25" s="14">
        <f t="shared" si="44"/>
        <v>0</v>
      </c>
      <c r="BF25" s="14">
        <f t="shared" ca="1" si="45"/>
        <v>0</v>
      </c>
      <c r="BG25" s="51">
        <f t="shared" si="21"/>
        <v>0</v>
      </c>
      <c r="BH25" s="51">
        <f t="shared" ca="1" si="22"/>
        <v>435.30867974644502</v>
      </c>
      <c r="BI25" s="51">
        <f t="shared" ca="1" si="46"/>
        <v>0</v>
      </c>
      <c r="BJ25" s="51">
        <f t="shared" ca="1" si="23"/>
        <v>0</v>
      </c>
      <c r="BK25" s="51">
        <f t="shared" si="24"/>
        <v>81</v>
      </c>
      <c r="BL25" s="51">
        <f t="shared" ca="1" si="25"/>
        <v>103.62984972396666</v>
      </c>
      <c r="BM25" s="51">
        <f t="shared" si="26"/>
        <v>0</v>
      </c>
      <c r="BN25" s="51">
        <f t="shared" ca="1" si="27"/>
        <v>0</v>
      </c>
      <c r="BO25" s="51">
        <f t="shared" ca="1" si="28"/>
        <v>0</v>
      </c>
      <c r="BP25" s="51">
        <f t="shared" ca="1" si="29"/>
        <v>619.93852947041171</v>
      </c>
      <c r="BR25" s="32"/>
      <c r="BS25" s="126"/>
      <c r="BT25" s="16"/>
      <c r="BU25" s="58"/>
      <c r="BW25" s="51">
        <f>VLOOKUP(H25,Charges!$AT$4:$AU$33,2,FALSE)*I25</f>
        <v>0</v>
      </c>
      <c r="BX25" s="51">
        <f t="shared" si="30"/>
        <v>0</v>
      </c>
      <c r="BY25" s="51">
        <f t="shared" si="47"/>
        <v>0</v>
      </c>
      <c r="BZ25" s="151"/>
      <c r="CA25" s="151"/>
      <c r="CB25" s="32"/>
      <c r="CC25" s="16">
        <f ca="1">SUM($N$7:$N25)</f>
        <v>0</v>
      </c>
      <c r="CD25" s="16">
        <f t="shared" ca="1" si="31"/>
        <v>0</v>
      </c>
      <c r="CE25" s="16">
        <f t="shared" ca="1" si="32"/>
        <v>0</v>
      </c>
      <c r="CF25" s="7">
        <f t="shared" ca="1" si="48"/>
        <v>0</v>
      </c>
    </row>
    <row r="26" spans="1:84" s="7" customFormat="1" x14ac:dyDescent="0.2">
      <c r="A26" s="149"/>
      <c r="B26" s="14">
        <f t="shared" si="0"/>
        <v>1</v>
      </c>
      <c r="C26" s="12">
        <f t="shared" si="1"/>
        <v>1</v>
      </c>
      <c r="D26" s="17">
        <f t="shared" si="49"/>
        <v>20</v>
      </c>
      <c r="E26" s="17">
        <f t="shared" ca="1" si="2"/>
        <v>61</v>
      </c>
      <c r="F26" s="12">
        <f t="shared" si="53"/>
        <v>7</v>
      </c>
      <c r="G26" s="12">
        <f t="shared" si="52"/>
        <v>4</v>
      </c>
      <c r="H26" s="17">
        <f t="shared" si="54"/>
        <v>2</v>
      </c>
      <c r="I26" s="29">
        <f t="shared" si="3"/>
        <v>0</v>
      </c>
      <c r="J26" s="211">
        <f>IFERROR(VLOOKUP(H26,Charges!$T$6:$U$35,2,0)*C26,0)</f>
        <v>0.95</v>
      </c>
      <c r="K26" s="29">
        <f t="shared" si="4"/>
        <v>0</v>
      </c>
      <c r="L26" s="29">
        <f t="shared" si="5"/>
        <v>0</v>
      </c>
      <c r="M26" s="147">
        <f t="shared" ca="1" si="6"/>
        <v>0</v>
      </c>
      <c r="N26" s="148">
        <f ca="1">IF(AND(Option_SPW="Y",H26&gt;=Lock_In_Period,Z25&gt;SPW_Amount_pa+IF(option="Single",1/5*pr,2*pr),H26&gt;=SPW_Start_Year,H26&lt;=SPW_Start_Year+SPW_Duration-1,age+H26&gt;=Legal_Age),IF(AND(F26=0,SPW_Payout_Freq=1),SPW_Amount_pa,IF(AND(SPW_Payout_Freq=2,MOD(F26,6)=0),SPW_Amount_pa/SPW_Payout_Freq,IF(AND(SPW_Payout_Freq=4,MOD(F26,3)=0),SPW_Amount_pa/SPW_Payout_Freq,IF(SPW_Payout_Freq=12,SPW_Amount_pa/SPW_Payout_Freq,0)))),0)+IFERROR(VLOOKUP(H26,Input!$B$68:$C$74,2,0),0)*(F26=0)*(Option_PW="Y")*(Option_SPW="N")*(age+H26&gt;=Legal_Age)</f>
        <v>0</v>
      </c>
      <c r="O26" s="148">
        <f t="shared" ca="1" si="33"/>
        <v>0</v>
      </c>
      <c r="P26" s="14">
        <f ca="1">(MAX(MAX(sa-CF25*Flag_UL_Type,105%*SUM($I$7:I26))-(AD25+L26-N26)*Flag_UL_Type,0)*B26)</f>
        <v>2489205.3562654485</v>
      </c>
      <c r="Q26" s="213">
        <f t="shared" ca="1" si="7"/>
        <v>2420.7107222122086</v>
      </c>
      <c r="R26" s="14">
        <f t="shared" ca="1" si="8"/>
        <v>0</v>
      </c>
      <c r="S26" s="14">
        <f t="shared" ca="1" si="9"/>
        <v>0</v>
      </c>
      <c r="T26" s="14">
        <f>IFERROR(IF(WoP_Flag="Y",IF(fq=1,VLOOKUP(ppt*fq-H26,Charges!$AN$41:$AO$59,2,FALSE),IF(fq=2,VLOOKUP(ppt*fq-G26,Charges!$AP$41:$AQ$79,2,FALSE),VLOOKUP(ppt*fq-D26,Charges!$AR$41:$AS$279,2,FALSE)))*pr/fq,0),0)</f>
        <v>0</v>
      </c>
      <c r="U26" s="14">
        <f ca="1">IFERROR(((T26*(VLOOKUP(Input!$D$18+H26-1,Tab_Mort_Charge,IF(Gender_2="M",2,3),FALSE)*(1+_emr2)+_rpm2)/IF(Model_Type="LA_PQIS",1000/0.0833,(12*1000))))*Flag_Mort_Rider_Charge*(T26&gt;0),0)</f>
        <v>0</v>
      </c>
      <c r="V26" s="34">
        <f>ROUND(MIN(IF(H26&gt;=7,Charges!$C$12*(1+Charges!$C$14)^((H26-7+1)),VLOOKUP(H26,Charges!$B$7:$C$12,2,0))*pr,Charges!$C$13)*B26,Round)</f>
        <v>450</v>
      </c>
      <c r="W26" s="14">
        <f t="shared" ca="1" si="10"/>
        <v>507407.20508234116</v>
      </c>
      <c r="X26" s="14">
        <f t="shared" ca="1" si="11"/>
        <v>509068.32423539361</v>
      </c>
      <c r="Y26" s="213">
        <f t="shared" ca="1" si="34"/>
        <v>573.01353493784211</v>
      </c>
      <c r="Z26" s="14">
        <f t="shared" ca="1" si="12"/>
        <v>508392.16826416698</v>
      </c>
      <c r="AA26" s="14">
        <f>IF(AND($H26=pt,$F26=11),SUM($K$7:K26)*VLOOKUP(pt,ROC,2,FALSE),0)</f>
        <v>0</v>
      </c>
      <c r="AB26" s="14">
        <f>IF(AND($H26=pt,$F26=11),SUM($V$7:V26)*VLOOKUP(pt,ROC,2,FALSE),0)</f>
        <v>0</v>
      </c>
      <c r="AC26" s="14">
        <f>IF(AND($H26=pt,$F26=11),SUM($Q$7:Q26)*VLOOKUP(pt,ROC,2,FALSE),0)</f>
        <v>0</v>
      </c>
      <c r="AD26" s="14">
        <f t="shared" ca="1" si="35"/>
        <v>508392.16826416698</v>
      </c>
      <c r="AE26" s="14">
        <f ca="1">(MAX(sa-CF25*Flag_UL_Type,105%*SUM($I$7:I26),Z26)+AU26)*B26</f>
        <v>3000000</v>
      </c>
      <c r="AF26" s="136"/>
      <c r="AG26" s="18">
        <v>20</v>
      </c>
      <c r="AH26" s="30">
        <f t="shared" ca="1" si="13"/>
        <v>0</v>
      </c>
      <c r="AI26" s="138"/>
      <c r="AJ26" s="50">
        <f>IF(AND(Option_Sys_TopUp&gt;="Y",H26&gt;=sytp,H26&lt;=(dtp+sytp-1),F26=0,H26&lt;=ppt+1),atp,0)+IFERROR(VLOOKUP(H26,Input!$B$55:$C$61,2,0),0)*(F26=0)*(Option_TopUP="Y")*(Option_Sys_TopUp="N")*B26*(pt&gt;=H26+5)</f>
        <v>0</v>
      </c>
      <c r="AK26" s="50">
        <f t="shared" si="14"/>
        <v>0</v>
      </c>
      <c r="AL26" s="50">
        <f t="shared" si="36"/>
        <v>0</v>
      </c>
      <c r="AM26" s="50">
        <f t="shared" ca="1" si="15"/>
        <v>0</v>
      </c>
      <c r="AN26" s="50">
        <f ca="1">IF(B26=0,0,AT26*(_rpm1+(1+_emr1)*VLOOKUP(E26,Tab_Mort_Charge,IF(Input!$C$12="M",2,3),0))*(0.001*0.0833)*Flag_Mort_Rider_Charge*(AT26&gt;0))</f>
        <v>0</v>
      </c>
      <c r="AO26" s="50">
        <f t="shared" ca="1" si="37"/>
        <v>0</v>
      </c>
      <c r="AP26" s="50">
        <f t="shared" ca="1" si="38"/>
        <v>0</v>
      </c>
      <c r="AQ26" s="50">
        <f t="shared" ca="1" si="16"/>
        <v>0</v>
      </c>
      <c r="AR26" s="50">
        <f t="shared" ca="1" si="17"/>
        <v>0</v>
      </c>
      <c r="AS26" s="50">
        <f t="shared" si="18"/>
        <v>0</v>
      </c>
      <c r="AT26" s="50">
        <f ca="1">(MAX((MAX(AS26,105%*SUM($AJ$7:AJ26))-AM26*Flag_UL_Type),0)*B26)</f>
        <v>0</v>
      </c>
      <c r="AU26" s="50">
        <f ca="1">(MAX(AS26,AR26,105%*SUM($AJ$7:AJ26))*B26)</f>
        <v>0</v>
      </c>
      <c r="AV26" s="125"/>
      <c r="AW26" s="12">
        <f t="shared" si="51"/>
        <v>20</v>
      </c>
      <c r="AX26" s="14">
        <f t="shared" si="39"/>
        <v>0</v>
      </c>
      <c r="AY26" s="14">
        <f t="shared" si="40"/>
        <v>0</v>
      </c>
      <c r="AZ26" s="14">
        <f t="shared" ca="1" si="41"/>
        <v>0</v>
      </c>
      <c r="BA26" s="14">
        <f t="shared" ca="1" si="42"/>
        <v>0</v>
      </c>
      <c r="BB26" s="14">
        <f t="shared" si="43"/>
        <v>0</v>
      </c>
      <c r="BC26" s="14">
        <f t="shared" ca="1" si="19"/>
        <v>0</v>
      </c>
      <c r="BD26" s="14">
        <f t="shared" ca="1" si="20"/>
        <v>0</v>
      </c>
      <c r="BE26" s="14">
        <f t="shared" si="44"/>
        <v>0</v>
      </c>
      <c r="BF26" s="14">
        <f t="shared" ca="1" si="45"/>
        <v>0</v>
      </c>
      <c r="BG26" s="51">
        <f t="shared" si="21"/>
        <v>0</v>
      </c>
      <c r="BH26" s="51">
        <f t="shared" ca="1" si="22"/>
        <v>435.72792999819802</v>
      </c>
      <c r="BI26" s="51">
        <f t="shared" ca="1" si="46"/>
        <v>0</v>
      </c>
      <c r="BJ26" s="51">
        <f t="shared" ca="1" si="23"/>
        <v>0</v>
      </c>
      <c r="BK26" s="51">
        <f t="shared" si="24"/>
        <v>81</v>
      </c>
      <c r="BL26" s="51">
        <f t="shared" ca="1" si="25"/>
        <v>103.14243628881158</v>
      </c>
      <c r="BM26" s="51">
        <f t="shared" si="26"/>
        <v>0</v>
      </c>
      <c r="BN26" s="51">
        <f t="shared" ca="1" si="27"/>
        <v>0</v>
      </c>
      <c r="BO26" s="51">
        <f t="shared" ca="1" si="28"/>
        <v>0</v>
      </c>
      <c r="BP26" s="51">
        <f t="shared" ca="1" si="29"/>
        <v>619.87036628700969</v>
      </c>
      <c r="BR26" s="32"/>
      <c r="BS26" s="126"/>
      <c r="BT26" s="16"/>
      <c r="BU26" s="58"/>
      <c r="BW26" s="51">
        <f>VLOOKUP(H26,Charges!$AT$4:$AU$33,2,FALSE)*I26</f>
        <v>0</v>
      </c>
      <c r="BX26" s="51">
        <f t="shared" si="30"/>
        <v>0</v>
      </c>
      <c r="BY26" s="51">
        <f t="shared" si="47"/>
        <v>0</v>
      </c>
      <c r="BZ26" s="151"/>
      <c r="CA26" s="151"/>
      <c r="CB26" s="32"/>
      <c r="CC26" s="16">
        <f ca="1">SUM($N$7:$N26)</f>
        <v>0</v>
      </c>
      <c r="CD26" s="16">
        <f t="shared" ca="1" si="31"/>
        <v>0</v>
      </c>
      <c r="CE26" s="16">
        <f t="shared" ca="1" si="32"/>
        <v>0</v>
      </c>
      <c r="CF26" s="7">
        <f t="shared" ca="1" si="48"/>
        <v>0</v>
      </c>
    </row>
    <row r="27" spans="1:84" s="7" customFormat="1" x14ac:dyDescent="0.2">
      <c r="A27" s="149"/>
      <c r="B27" s="14">
        <f t="shared" si="0"/>
        <v>1</v>
      </c>
      <c r="C27" s="12">
        <f t="shared" si="1"/>
        <v>1</v>
      </c>
      <c r="D27" s="17">
        <f t="shared" si="49"/>
        <v>21</v>
      </c>
      <c r="E27" s="17">
        <f t="shared" ca="1" si="2"/>
        <v>61</v>
      </c>
      <c r="F27" s="12">
        <f t="shared" si="53"/>
        <v>8</v>
      </c>
      <c r="G27" s="12">
        <f t="shared" si="52"/>
        <v>4</v>
      </c>
      <c r="H27" s="17">
        <f t="shared" si="54"/>
        <v>2</v>
      </c>
      <c r="I27" s="29">
        <f t="shared" si="3"/>
        <v>0</v>
      </c>
      <c r="J27" s="211">
        <f>IFERROR(VLOOKUP(H27,Charges!$T$6:$U$35,2,0)*C27,0)</f>
        <v>0.95</v>
      </c>
      <c r="K27" s="29">
        <f t="shared" si="4"/>
        <v>0</v>
      </c>
      <c r="L27" s="29">
        <f t="shared" si="5"/>
        <v>0</v>
      </c>
      <c r="M27" s="147">
        <f t="shared" ca="1" si="6"/>
        <v>0</v>
      </c>
      <c r="N27" s="148">
        <f ca="1">IF(AND(Option_SPW="Y",H27&gt;=Lock_In_Period,Z26&gt;SPW_Amount_pa+IF(option="Single",1/5*pr,2*pr),H27&gt;=SPW_Start_Year,H27&lt;=SPW_Start_Year+SPW_Duration-1,age+H27&gt;=Legal_Age),IF(AND(F27=0,SPW_Payout_Freq=1),SPW_Amount_pa,IF(AND(SPW_Payout_Freq=2,MOD(F27,6)=0),SPW_Amount_pa/SPW_Payout_Freq,IF(AND(SPW_Payout_Freq=4,MOD(F27,3)=0),SPW_Amount_pa/SPW_Payout_Freq,IF(SPW_Payout_Freq=12,SPW_Amount_pa/SPW_Payout_Freq,0)))),0)+IFERROR(VLOOKUP(H27,Input!$B$68:$C$74,2,0),0)*(F27=0)*(Option_PW="Y")*(Option_SPW="N")*(age+H27&gt;=Legal_Age)</f>
        <v>0</v>
      </c>
      <c r="O27" s="148">
        <f t="shared" ca="1" si="33"/>
        <v>0</v>
      </c>
      <c r="P27" s="14">
        <f ca="1">(MAX(MAX(sa-CF26*Flag_UL_Type,105%*SUM($I$7:I27))-(AD26+L27-N27)*Flag_UL_Type,0)*B27)</f>
        <v>2491607.8317358331</v>
      </c>
      <c r="Q27" s="213">
        <f t="shared" ca="1" si="7"/>
        <v>2423.0470895659</v>
      </c>
      <c r="R27" s="14">
        <f t="shared" ca="1" si="8"/>
        <v>0</v>
      </c>
      <c r="S27" s="14">
        <f t="shared" ca="1" si="9"/>
        <v>0</v>
      </c>
      <c r="T27" s="14">
        <f>IFERROR(IF(WoP_Flag="Y",IF(fq=1,VLOOKUP(ppt*fq-H27,Charges!$AN$41:$AO$59,2,FALSE),IF(fq=2,VLOOKUP(ppt*fq-G27,Charges!$AP$41:$AQ$79,2,FALSE),VLOOKUP(ppt*fq-D27,Charges!$AR$41:$AS$279,2,FALSE)))*pr/fq,0),0)</f>
        <v>0</v>
      </c>
      <c r="U27" s="14">
        <f ca="1">IFERROR(((T27*(VLOOKUP(Input!$D$18+H27-1,Tab_Mort_Charge,IF(Gender_2="M",2,3),FALSE)*(1+_emr2)+_rpm2)/IF(Model_Type="LA_PQIS",1000/0.0833,(12*1000))))*Flag_Mort_Rider_Charge*(T27&gt;0),0)</f>
        <v>0</v>
      </c>
      <c r="V27" s="34">
        <f>ROUND(MIN(IF(H27&gt;=7,Charges!$C$12*(1+Charges!$C$14)^((H27-7+1)),VLOOKUP(H27,Charges!$B$7:$C$12,2,0))*pr,Charges!$C$13)*B27,Round)</f>
        <v>450</v>
      </c>
      <c r="W27" s="14">
        <f t="shared" ca="1" si="10"/>
        <v>505001.97269847919</v>
      </c>
      <c r="X27" s="14">
        <f t="shared" ca="1" si="11"/>
        <v>506655.21774659114</v>
      </c>
      <c r="Y27" s="213">
        <f t="shared" ca="1" si="34"/>
        <v>570.29731274623953</v>
      </c>
      <c r="Z27" s="14">
        <f t="shared" ca="1" si="12"/>
        <v>505982.26691755059</v>
      </c>
      <c r="AA27" s="14">
        <f>IF(AND($H27=pt,$F27=11),SUM($K$7:K27)*VLOOKUP(pt,ROC,2,FALSE),0)</f>
        <v>0</v>
      </c>
      <c r="AB27" s="14">
        <f>IF(AND($H27=pt,$F27=11),SUM($V$7:V27)*VLOOKUP(pt,ROC,2,FALSE),0)</f>
        <v>0</v>
      </c>
      <c r="AC27" s="14">
        <f>IF(AND($H27=pt,$F27=11),SUM($Q$7:Q27)*VLOOKUP(pt,ROC,2,FALSE),0)</f>
        <v>0</v>
      </c>
      <c r="AD27" s="14">
        <f t="shared" ca="1" si="35"/>
        <v>505982.26691755059</v>
      </c>
      <c r="AE27" s="14">
        <f ca="1">(MAX(sa-CF26*Flag_UL_Type,105%*SUM($I$7:I27),Z27)+AU27)*B27</f>
        <v>3000000</v>
      </c>
      <c r="AF27" s="136"/>
      <c r="AG27" s="18">
        <v>21</v>
      </c>
      <c r="AH27" s="30">
        <f t="shared" ca="1" si="13"/>
        <v>0</v>
      </c>
      <c r="AI27" s="138"/>
      <c r="AJ27" s="50">
        <f>IF(AND(Option_Sys_TopUp&gt;="Y",H27&gt;=sytp,H27&lt;=(dtp+sytp-1),F27=0,H27&lt;=ppt+1),atp,0)+IFERROR(VLOOKUP(H27,Input!$B$55:$C$61,2,0),0)*(F27=0)*(Option_TopUP="Y")*(Option_Sys_TopUp="N")*B27*(pt&gt;=H27+5)</f>
        <v>0</v>
      </c>
      <c r="AK27" s="50">
        <f t="shared" si="14"/>
        <v>0</v>
      </c>
      <c r="AL27" s="50">
        <f t="shared" si="36"/>
        <v>0</v>
      </c>
      <c r="AM27" s="50">
        <f t="shared" ca="1" si="15"/>
        <v>0</v>
      </c>
      <c r="AN27" s="50">
        <f ca="1">IF(B27=0,0,AT27*(_rpm1+(1+_emr1)*VLOOKUP(E27,Tab_Mort_Charge,IF(Input!$C$12="M",2,3),0))*(0.001*0.0833)*Flag_Mort_Rider_Charge*(AT27&gt;0))</f>
        <v>0</v>
      </c>
      <c r="AO27" s="50">
        <f t="shared" ca="1" si="37"/>
        <v>0</v>
      </c>
      <c r="AP27" s="50">
        <f t="shared" ca="1" si="38"/>
        <v>0</v>
      </c>
      <c r="AQ27" s="50">
        <f t="shared" ca="1" si="16"/>
        <v>0</v>
      </c>
      <c r="AR27" s="50">
        <f t="shared" ca="1" si="17"/>
        <v>0</v>
      </c>
      <c r="AS27" s="50">
        <f t="shared" si="18"/>
        <v>0</v>
      </c>
      <c r="AT27" s="50">
        <f ca="1">(MAX((MAX(AS27,105%*SUM($AJ$7:AJ27))-AM27*Flag_UL_Type),0)*B27)</f>
        <v>0</v>
      </c>
      <c r="AU27" s="50">
        <f ca="1">(MAX(AS27,AR27,105%*SUM($AJ$7:AJ27))*B27)</f>
        <v>0</v>
      </c>
      <c r="AV27" s="125"/>
      <c r="AW27" s="12">
        <f t="shared" si="51"/>
        <v>21</v>
      </c>
      <c r="AX27" s="14">
        <f t="shared" si="39"/>
        <v>0</v>
      </c>
      <c r="AY27" s="14">
        <f t="shared" si="40"/>
        <v>0</v>
      </c>
      <c r="AZ27" s="14">
        <f t="shared" ca="1" si="41"/>
        <v>0</v>
      </c>
      <c r="BA27" s="14">
        <f t="shared" ca="1" si="42"/>
        <v>0</v>
      </c>
      <c r="BB27" s="14">
        <f t="shared" si="43"/>
        <v>0</v>
      </c>
      <c r="BC27" s="14">
        <f t="shared" ca="1" si="19"/>
        <v>0</v>
      </c>
      <c r="BD27" s="14">
        <f t="shared" ca="1" si="20"/>
        <v>0</v>
      </c>
      <c r="BE27" s="14">
        <f t="shared" si="44"/>
        <v>0</v>
      </c>
      <c r="BF27" s="14">
        <f t="shared" ca="1" si="45"/>
        <v>0</v>
      </c>
      <c r="BG27" s="51">
        <f t="shared" si="21"/>
        <v>0</v>
      </c>
      <c r="BH27" s="51">
        <f t="shared" ca="1" si="22"/>
        <v>436.14847612186202</v>
      </c>
      <c r="BI27" s="51">
        <f t="shared" ca="1" si="46"/>
        <v>0</v>
      </c>
      <c r="BJ27" s="51">
        <f t="shared" ca="1" si="23"/>
        <v>0</v>
      </c>
      <c r="BK27" s="51">
        <f t="shared" si="24"/>
        <v>81</v>
      </c>
      <c r="BL27" s="51">
        <f t="shared" ca="1" si="25"/>
        <v>102.65351629432311</v>
      </c>
      <c r="BM27" s="51">
        <f t="shared" si="26"/>
        <v>0</v>
      </c>
      <c r="BN27" s="51">
        <f t="shared" ca="1" si="27"/>
        <v>0</v>
      </c>
      <c r="BO27" s="51">
        <f t="shared" ca="1" si="28"/>
        <v>0</v>
      </c>
      <c r="BP27" s="51">
        <f t="shared" ca="1" si="29"/>
        <v>619.80199241618516</v>
      </c>
      <c r="BR27" s="32"/>
      <c r="BS27" s="126"/>
      <c r="BT27" s="16"/>
      <c r="BU27" s="58"/>
      <c r="BW27" s="51">
        <f>VLOOKUP(H27,Charges!$AT$4:$AU$33,2,FALSE)*I27</f>
        <v>0</v>
      </c>
      <c r="BX27" s="51">
        <f t="shared" si="30"/>
        <v>0</v>
      </c>
      <c r="BY27" s="51">
        <f t="shared" si="47"/>
        <v>0</v>
      </c>
      <c r="BZ27" s="151"/>
      <c r="CA27" s="151"/>
      <c r="CB27" s="32"/>
      <c r="CC27" s="16">
        <f ca="1">SUM($N$7:$N27)</f>
        <v>0</v>
      </c>
      <c r="CD27" s="16">
        <f t="shared" ca="1" si="31"/>
        <v>0</v>
      </c>
      <c r="CE27" s="16">
        <f t="shared" ca="1" si="32"/>
        <v>0</v>
      </c>
      <c r="CF27" s="7">
        <f t="shared" ca="1" si="48"/>
        <v>0</v>
      </c>
    </row>
    <row r="28" spans="1:84" s="7" customFormat="1" x14ac:dyDescent="0.2">
      <c r="A28" s="149"/>
      <c r="B28" s="14">
        <f t="shared" si="0"/>
        <v>1</v>
      </c>
      <c r="C28" s="12">
        <f t="shared" si="1"/>
        <v>1</v>
      </c>
      <c r="D28" s="17">
        <f t="shared" si="49"/>
        <v>22</v>
      </c>
      <c r="E28" s="17">
        <f t="shared" ca="1" si="2"/>
        <v>61</v>
      </c>
      <c r="F28" s="12">
        <f t="shared" si="53"/>
        <v>9</v>
      </c>
      <c r="G28" s="12">
        <f t="shared" si="52"/>
        <v>4</v>
      </c>
      <c r="H28" s="17">
        <f t="shared" si="54"/>
        <v>2</v>
      </c>
      <c r="I28" s="29">
        <f t="shared" si="3"/>
        <v>0</v>
      </c>
      <c r="J28" s="211">
        <f>IFERROR(VLOOKUP(H28,Charges!$T$6:$U$35,2,0)*C28,0)</f>
        <v>0.95</v>
      </c>
      <c r="K28" s="29">
        <f t="shared" si="4"/>
        <v>0</v>
      </c>
      <c r="L28" s="29">
        <f t="shared" si="5"/>
        <v>0</v>
      </c>
      <c r="M28" s="147">
        <f t="shared" ca="1" si="6"/>
        <v>0</v>
      </c>
      <c r="N28" s="148">
        <f ca="1">IF(AND(Option_SPW="Y",H28&gt;=Lock_In_Period,Z27&gt;SPW_Amount_pa+IF(option="Single",1/5*pr,2*pr),H28&gt;=SPW_Start_Year,H28&lt;=SPW_Start_Year+SPW_Duration-1,age+H28&gt;=Legal_Age),IF(AND(F28=0,SPW_Payout_Freq=1),SPW_Amount_pa,IF(AND(SPW_Payout_Freq=2,MOD(F28,6)=0),SPW_Amount_pa/SPW_Payout_Freq,IF(AND(SPW_Payout_Freq=4,MOD(F28,3)=0),SPW_Amount_pa/SPW_Payout_Freq,IF(SPW_Payout_Freq=12,SPW_Amount_pa/SPW_Payout_Freq,0)))),0)+IFERROR(VLOOKUP(H28,Input!$B$68:$C$74,2,0),0)*(F28=0)*(Option_PW="Y")*(Option_SPW="N")*(age+H28&gt;=Legal_Age)</f>
        <v>0</v>
      </c>
      <c r="O28" s="148">
        <f t="shared" ca="1" si="33"/>
        <v>0</v>
      </c>
      <c r="P28" s="14">
        <f ca="1">(MAX(MAX(sa-CF27*Flag_UL_Type,105%*SUM($I$7:I28))-(AD27+L28-N28)*Flag_UL_Type,0)*B28)</f>
        <v>2494017.7330824495</v>
      </c>
      <c r="Q28" s="213">
        <f t="shared" ca="1" si="7"/>
        <v>2425.3906784604665</v>
      </c>
      <c r="R28" s="14">
        <f t="shared" ca="1" si="8"/>
        <v>0</v>
      </c>
      <c r="S28" s="14">
        <f t="shared" ca="1" si="9"/>
        <v>0</v>
      </c>
      <c r="T28" s="14">
        <f>IFERROR(IF(WoP_Flag="Y",IF(fq=1,VLOOKUP(ppt*fq-H28,Charges!$AN$41:$AO$59,2,FALSE),IF(fq=2,VLOOKUP(ppt*fq-G28,Charges!$AP$41:$AQ$79,2,FALSE),VLOOKUP(ppt*fq-D28,Charges!$AR$41:$AS$279,2,FALSE)))*pr/fq,0),0)</f>
        <v>0</v>
      </c>
      <c r="U28" s="14">
        <f ca="1">IFERROR(((T28*(VLOOKUP(Input!$D$18+H28-1,Tab_Mort_Charge,IF(Gender_2="M",2,3),FALSE)*(1+_emr2)+_rpm2)/IF(Model_Type="LA_PQIS",1000/0.0833,(12*1000))))*Flag_Mort_Rider_Charge*(T28&gt;0),0)</f>
        <v>0</v>
      </c>
      <c r="V28" s="34">
        <f>ROUND(MIN(IF(H28&gt;=7,Charges!$C$12*(1+Charges!$C$14)^((H28-7+1)),VLOOKUP(H28,Charges!$B$7:$C$12,2,0))*pr,Charges!$C$13)*B28,Round)</f>
        <v>450</v>
      </c>
      <c r="W28" s="14">
        <f t="shared" ca="1" si="10"/>
        <v>502589.30591696722</v>
      </c>
      <c r="X28" s="14">
        <f t="shared" ca="1" si="11"/>
        <v>504234.65252185531</v>
      </c>
      <c r="Y28" s="213">
        <f t="shared" ca="1" si="34"/>
        <v>567.5726949102019</v>
      </c>
      <c r="Z28" s="14">
        <f t="shared" ca="1" si="12"/>
        <v>503564.91674186126</v>
      </c>
      <c r="AA28" s="14">
        <f>IF(AND($H28=pt,$F28=11),SUM($K$7:K28)*VLOOKUP(pt,ROC,2,FALSE),0)</f>
        <v>0</v>
      </c>
      <c r="AB28" s="14">
        <f>IF(AND($H28=pt,$F28=11),SUM($V$7:V28)*VLOOKUP(pt,ROC,2,FALSE),0)</f>
        <v>0</v>
      </c>
      <c r="AC28" s="14">
        <f>IF(AND($H28=pt,$F28=11),SUM($Q$7:Q28)*VLOOKUP(pt,ROC,2,FALSE),0)</f>
        <v>0</v>
      </c>
      <c r="AD28" s="14">
        <f t="shared" ca="1" si="35"/>
        <v>503564.91674186126</v>
      </c>
      <c r="AE28" s="14">
        <f ca="1">(MAX(sa-CF27*Flag_UL_Type,105%*SUM($I$7:I28),Z28)+AU28)*B28</f>
        <v>3000000</v>
      </c>
      <c r="AF28" s="136"/>
      <c r="AG28" s="18">
        <v>22</v>
      </c>
      <c r="AH28" s="30">
        <f t="shared" ca="1" si="13"/>
        <v>0</v>
      </c>
      <c r="AI28" s="138"/>
      <c r="AJ28" s="50">
        <f>IF(AND(Option_Sys_TopUp&gt;="Y",H28&gt;=sytp,H28&lt;=(dtp+sytp-1),F28=0,H28&lt;=ppt+1),atp,0)+IFERROR(VLOOKUP(H28,Input!$B$55:$C$61,2,0),0)*(F28=0)*(Option_TopUP="Y")*(Option_Sys_TopUp="N")*B28*(pt&gt;=H28+5)</f>
        <v>0</v>
      </c>
      <c r="AK28" s="50">
        <f t="shared" si="14"/>
        <v>0</v>
      </c>
      <c r="AL28" s="50">
        <f t="shared" si="36"/>
        <v>0</v>
      </c>
      <c r="AM28" s="50">
        <f t="shared" ca="1" si="15"/>
        <v>0</v>
      </c>
      <c r="AN28" s="50">
        <f ca="1">IF(B28=0,0,AT28*(_rpm1+(1+_emr1)*VLOOKUP(E28,Tab_Mort_Charge,IF(Input!$C$12="M",2,3),0))*(0.001*0.0833)*Flag_Mort_Rider_Charge*(AT28&gt;0))</f>
        <v>0</v>
      </c>
      <c r="AO28" s="50">
        <f t="shared" ca="1" si="37"/>
        <v>0</v>
      </c>
      <c r="AP28" s="50">
        <f t="shared" ca="1" si="38"/>
        <v>0</v>
      </c>
      <c r="AQ28" s="50">
        <f t="shared" ca="1" si="16"/>
        <v>0</v>
      </c>
      <c r="AR28" s="50">
        <f t="shared" ca="1" si="17"/>
        <v>0</v>
      </c>
      <c r="AS28" s="50">
        <f t="shared" si="18"/>
        <v>0</v>
      </c>
      <c r="AT28" s="50">
        <f ca="1">(MAX((MAX(AS28,105%*SUM($AJ$7:AJ28))-AM28*Flag_UL_Type),0)*B28)</f>
        <v>0</v>
      </c>
      <c r="AU28" s="50">
        <f ca="1">(MAX(AS28,AR28,105%*SUM($AJ$7:AJ28))*B28)</f>
        <v>0</v>
      </c>
      <c r="AV28" s="125"/>
      <c r="AW28" s="12">
        <f t="shared" si="51"/>
        <v>22</v>
      </c>
      <c r="AX28" s="14">
        <f t="shared" si="39"/>
        <v>0</v>
      </c>
      <c r="AY28" s="14">
        <f t="shared" si="40"/>
        <v>0</v>
      </c>
      <c r="AZ28" s="14">
        <f t="shared" ca="1" si="41"/>
        <v>0</v>
      </c>
      <c r="BA28" s="14">
        <f t="shared" ca="1" si="42"/>
        <v>0</v>
      </c>
      <c r="BB28" s="14">
        <f t="shared" si="43"/>
        <v>0</v>
      </c>
      <c r="BC28" s="14">
        <f t="shared" ca="1" si="19"/>
        <v>0</v>
      </c>
      <c r="BD28" s="14">
        <f t="shared" ca="1" si="20"/>
        <v>0</v>
      </c>
      <c r="BE28" s="14">
        <f t="shared" si="44"/>
        <v>0</v>
      </c>
      <c r="BF28" s="14">
        <f t="shared" ca="1" si="45"/>
        <v>0</v>
      </c>
      <c r="BG28" s="51">
        <f t="shared" si="21"/>
        <v>0</v>
      </c>
      <c r="BH28" s="51">
        <f t="shared" ca="1" si="22"/>
        <v>436.57032212288402</v>
      </c>
      <c r="BI28" s="51">
        <f t="shared" ca="1" si="46"/>
        <v>0</v>
      </c>
      <c r="BJ28" s="51">
        <f t="shared" ca="1" si="23"/>
        <v>0</v>
      </c>
      <c r="BK28" s="51">
        <f t="shared" si="24"/>
        <v>81</v>
      </c>
      <c r="BL28" s="51">
        <f t="shared" ca="1" si="25"/>
        <v>102.16308508383634</v>
      </c>
      <c r="BM28" s="51">
        <f t="shared" si="26"/>
        <v>0</v>
      </c>
      <c r="BN28" s="51">
        <f t="shared" ca="1" si="27"/>
        <v>0</v>
      </c>
      <c r="BO28" s="51">
        <f t="shared" ca="1" si="28"/>
        <v>0</v>
      </c>
      <c r="BP28" s="51">
        <f t="shared" ca="1" si="29"/>
        <v>619.73340720672036</v>
      </c>
      <c r="BR28" s="32"/>
      <c r="BS28" s="126"/>
      <c r="BT28" s="16"/>
      <c r="BU28" s="58"/>
      <c r="BW28" s="51">
        <f>VLOOKUP(H28,Charges!$AT$4:$AU$33,2,FALSE)*I28</f>
        <v>0</v>
      </c>
      <c r="BX28" s="51">
        <f t="shared" si="30"/>
        <v>0</v>
      </c>
      <c r="BY28" s="51">
        <f t="shared" si="47"/>
        <v>0</v>
      </c>
      <c r="BZ28" s="151"/>
      <c r="CA28" s="151"/>
      <c r="CB28" s="32"/>
      <c r="CC28" s="16">
        <f ca="1">SUM($N$7:$N28)</f>
        <v>0</v>
      </c>
      <c r="CD28" s="16">
        <f t="shared" ca="1" si="31"/>
        <v>0</v>
      </c>
      <c r="CE28" s="16">
        <f t="shared" ca="1" si="32"/>
        <v>0</v>
      </c>
      <c r="CF28" s="7">
        <f t="shared" ca="1" si="48"/>
        <v>0</v>
      </c>
    </row>
    <row r="29" spans="1:84" s="7" customFormat="1" x14ac:dyDescent="0.2">
      <c r="A29" s="149"/>
      <c r="B29" s="14">
        <f t="shared" si="0"/>
        <v>1</v>
      </c>
      <c r="C29" s="12">
        <f t="shared" si="1"/>
        <v>1</v>
      </c>
      <c r="D29" s="17">
        <f t="shared" si="49"/>
        <v>23</v>
      </c>
      <c r="E29" s="17">
        <f t="shared" ca="1" si="2"/>
        <v>61</v>
      </c>
      <c r="F29" s="12">
        <f t="shared" si="53"/>
        <v>10</v>
      </c>
      <c r="G29" s="12">
        <f t="shared" si="52"/>
        <v>4</v>
      </c>
      <c r="H29" s="17">
        <f t="shared" si="54"/>
        <v>2</v>
      </c>
      <c r="I29" s="29">
        <f t="shared" si="3"/>
        <v>0</v>
      </c>
      <c r="J29" s="211">
        <f>IFERROR(VLOOKUP(H29,Charges!$T$6:$U$35,2,0)*C29,0)</f>
        <v>0.95</v>
      </c>
      <c r="K29" s="29">
        <f t="shared" si="4"/>
        <v>0</v>
      </c>
      <c r="L29" s="29">
        <f t="shared" si="5"/>
        <v>0</v>
      </c>
      <c r="M29" s="147">
        <f t="shared" ca="1" si="6"/>
        <v>0</v>
      </c>
      <c r="N29" s="148">
        <f ca="1">IF(AND(Option_SPW="Y",H29&gt;=Lock_In_Period,Z28&gt;SPW_Amount_pa+IF(option="Single",1/5*pr,2*pr),H29&gt;=SPW_Start_Year,H29&lt;=SPW_Start_Year+SPW_Duration-1,age+H29&gt;=Legal_Age),IF(AND(F29=0,SPW_Payout_Freq=1),SPW_Amount_pa,IF(AND(SPW_Payout_Freq=2,MOD(F29,6)=0),SPW_Amount_pa/SPW_Payout_Freq,IF(AND(SPW_Payout_Freq=4,MOD(F29,3)=0),SPW_Amount_pa/SPW_Payout_Freq,IF(SPW_Payout_Freq=12,SPW_Amount_pa/SPW_Payout_Freq,0)))),0)+IFERROR(VLOOKUP(H29,Input!$B$68:$C$74,2,0),0)*(F29=0)*(Option_PW="Y")*(Option_SPW="N")*(age+H29&gt;=Legal_Age)</f>
        <v>0</v>
      </c>
      <c r="O29" s="148">
        <f t="shared" ca="1" si="33"/>
        <v>0</v>
      </c>
      <c r="P29" s="14">
        <f ca="1">(MAX(MAX(sa-CF28*Flag_UL_Type,105%*SUM($I$7:I29))-(AD28+L29-N29)*Flag_UL_Type,0)*B29)</f>
        <v>2496435.083258139</v>
      </c>
      <c r="Q29" s="213">
        <f t="shared" ca="1" si="7"/>
        <v>2427.7415112171498</v>
      </c>
      <c r="R29" s="14">
        <f t="shared" ca="1" si="8"/>
        <v>0</v>
      </c>
      <c r="S29" s="14">
        <f t="shared" ca="1" si="9"/>
        <v>0</v>
      </c>
      <c r="T29" s="14">
        <f>IFERROR(IF(WoP_Flag="Y",IF(fq=1,VLOOKUP(ppt*fq-H29,Charges!$AN$41:$AO$59,2,FALSE),IF(fq=2,VLOOKUP(ppt*fq-G29,Charges!$AP$41:$AQ$79,2,FALSE),VLOOKUP(ppt*fq-D29,Charges!$AR$41:$AS$279,2,FALSE)))*pr/fq,0),0)</f>
        <v>0</v>
      </c>
      <c r="U29" s="14">
        <f ca="1">IFERROR(((T29*(VLOOKUP(Input!$D$18+H29-1,Tab_Mort_Charge,IF(Gender_2="M",2,3),FALSE)*(1+_emr2)+_rpm2)/IF(Model_Type="LA_PQIS",1000/0.0833,(12*1000))))*Flag_Mort_Rider_Charge*(T29&gt;0),0)</f>
        <v>0</v>
      </c>
      <c r="V29" s="34">
        <f>ROUND(MIN(IF(H29&gt;=7,Charges!$C$12*(1+Charges!$C$14)^((H29-7+1)),VLOOKUP(H29,Charges!$B$7:$C$12,2,0))*pr,Charges!$C$13)*B29,Round)</f>
        <v>450</v>
      </c>
      <c r="W29" s="14">
        <f t="shared" ca="1" si="10"/>
        <v>500169.18175862503</v>
      </c>
      <c r="X29" s="14">
        <f t="shared" ca="1" si="11"/>
        <v>501806.60550677811</v>
      </c>
      <c r="Y29" s="213">
        <f t="shared" ca="1" si="34"/>
        <v>564.83965547940579</v>
      </c>
      <c r="Z29" s="14">
        <f t="shared" ca="1" si="12"/>
        <v>501140.0947133124</v>
      </c>
      <c r="AA29" s="14">
        <f>IF(AND($H29=pt,$F29=11),SUM($K$7:K29)*VLOOKUP(pt,ROC,2,FALSE),0)</f>
        <v>0</v>
      </c>
      <c r="AB29" s="14">
        <f>IF(AND($H29=pt,$F29=11),SUM($V$7:V29)*VLOOKUP(pt,ROC,2,FALSE),0)</f>
        <v>0</v>
      </c>
      <c r="AC29" s="14">
        <f>IF(AND($H29=pt,$F29=11),SUM($Q$7:Q29)*VLOOKUP(pt,ROC,2,FALSE),0)</f>
        <v>0</v>
      </c>
      <c r="AD29" s="14">
        <f t="shared" ca="1" si="35"/>
        <v>501140.0947133124</v>
      </c>
      <c r="AE29" s="14">
        <f ca="1">(MAX(sa-CF28*Flag_UL_Type,105%*SUM($I$7:I29),Z29)+AU29)*B29</f>
        <v>3000000</v>
      </c>
      <c r="AF29" s="136"/>
      <c r="AG29" s="18">
        <v>23</v>
      </c>
      <c r="AH29" s="30">
        <f t="shared" ca="1" si="13"/>
        <v>0</v>
      </c>
      <c r="AI29" s="138"/>
      <c r="AJ29" s="50">
        <f>IF(AND(Option_Sys_TopUp&gt;="Y",H29&gt;=sytp,H29&lt;=(dtp+sytp-1),F29=0,H29&lt;=ppt+1),atp,0)+IFERROR(VLOOKUP(H29,Input!$B$55:$C$61,2,0),0)*(F29=0)*(Option_TopUP="Y")*(Option_Sys_TopUp="N")*B29*(pt&gt;=H29+5)</f>
        <v>0</v>
      </c>
      <c r="AK29" s="50">
        <f t="shared" si="14"/>
        <v>0</v>
      </c>
      <c r="AL29" s="50">
        <f t="shared" si="36"/>
        <v>0</v>
      </c>
      <c r="AM29" s="50">
        <f t="shared" ca="1" si="15"/>
        <v>0</v>
      </c>
      <c r="AN29" s="50">
        <f ca="1">IF(B29=0,0,AT29*(_rpm1+(1+_emr1)*VLOOKUP(E29,Tab_Mort_Charge,IF(Input!$C$12="M",2,3),0))*(0.001*0.0833)*Flag_Mort_Rider_Charge*(AT29&gt;0))</f>
        <v>0</v>
      </c>
      <c r="AO29" s="50">
        <f t="shared" ca="1" si="37"/>
        <v>0</v>
      </c>
      <c r="AP29" s="50">
        <f t="shared" ca="1" si="38"/>
        <v>0</v>
      </c>
      <c r="AQ29" s="50">
        <f t="shared" ca="1" si="16"/>
        <v>0</v>
      </c>
      <c r="AR29" s="50">
        <f t="shared" ca="1" si="17"/>
        <v>0</v>
      </c>
      <c r="AS29" s="50">
        <f t="shared" si="18"/>
        <v>0</v>
      </c>
      <c r="AT29" s="50">
        <f ca="1">(MAX((MAX(AS29,105%*SUM($AJ$7:AJ29))-AM29*Flag_UL_Type),0)*B29)</f>
        <v>0</v>
      </c>
      <c r="AU29" s="50">
        <f ca="1">(MAX(AS29,AR29,105%*SUM($AJ$7:AJ29))*B29)</f>
        <v>0</v>
      </c>
      <c r="AV29" s="125"/>
      <c r="AW29" s="12">
        <f t="shared" si="51"/>
        <v>23</v>
      </c>
      <c r="AX29" s="14">
        <f t="shared" si="39"/>
        <v>0</v>
      </c>
      <c r="AY29" s="14">
        <f t="shared" si="40"/>
        <v>0</v>
      </c>
      <c r="AZ29" s="14">
        <f t="shared" ca="1" si="41"/>
        <v>0</v>
      </c>
      <c r="BA29" s="14">
        <f t="shared" ca="1" si="42"/>
        <v>0</v>
      </c>
      <c r="BB29" s="14">
        <f t="shared" si="43"/>
        <v>0</v>
      </c>
      <c r="BC29" s="14">
        <f t="shared" ca="1" si="19"/>
        <v>0</v>
      </c>
      <c r="BD29" s="14">
        <f t="shared" ca="1" si="20"/>
        <v>0</v>
      </c>
      <c r="BE29" s="14">
        <f t="shared" si="44"/>
        <v>0</v>
      </c>
      <c r="BF29" s="14">
        <f t="shared" ca="1" si="45"/>
        <v>0</v>
      </c>
      <c r="BG29" s="51">
        <f t="shared" si="21"/>
        <v>0</v>
      </c>
      <c r="BH29" s="51">
        <f t="shared" ca="1" si="22"/>
        <v>436.99347201908699</v>
      </c>
      <c r="BI29" s="51">
        <f t="shared" ca="1" si="46"/>
        <v>0</v>
      </c>
      <c r="BJ29" s="51">
        <f t="shared" ca="1" si="23"/>
        <v>0</v>
      </c>
      <c r="BK29" s="51">
        <f t="shared" si="24"/>
        <v>81</v>
      </c>
      <c r="BL29" s="51">
        <f t="shared" ca="1" si="25"/>
        <v>101.67113798629303</v>
      </c>
      <c r="BM29" s="51">
        <f t="shared" si="26"/>
        <v>0</v>
      </c>
      <c r="BN29" s="51">
        <f t="shared" ca="1" si="27"/>
        <v>0</v>
      </c>
      <c r="BO29" s="51">
        <f t="shared" ca="1" si="28"/>
        <v>0</v>
      </c>
      <c r="BP29" s="51">
        <f t="shared" ca="1" si="29"/>
        <v>619.66461000538004</v>
      </c>
      <c r="BR29" s="32"/>
      <c r="BS29" s="126"/>
      <c r="BT29" s="16"/>
      <c r="BU29" s="58"/>
      <c r="BW29" s="51">
        <f>VLOOKUP(H29,Charges!$AT$4:$AU$33,2,FALSE)*I29</f>
        <v>0</v>
      </c>
      <c r="BX29" s="51">
        <f t="shared" si="30"/>
        <v>0</v>
      </c>
      <c r="BY29" s="51">
        <f t="shared" si="47"/>
        <v>0</v>
      </c>
      <c r="BZ29" s="151"/>
      <c r="CA29" s="151"/>
      <c r="CB29" s="32"/>
      <c r="CC29" s="16">
        <f ca="1">SUM($N$7:$N29)</f>
        <v>0</v>
      </c>
      <c r="CD29" s="16">
        <f t="shared" ca="1" si="31"/>
        <v>0</v>
      </c>
      <c r="CE29" s="16">
        <f t="shared" ca="1" si="32"/>
        <v>0</v>
      </c>
      <c r="CF29" s="7">
        <f t="shared" ca="1" si="48"/>
        <v>0</v>
      </c>
    </row>
    <row r="30" spans="1:84" s="7" customFormat="1" x14ac:dyDescent="0.2">
      <c r="A30" s="149"/>
      <c r="B30" s="14">
        <f t="shared" si="0"/>
        <v>1</v>
      </c>
      <c r="C30" s="12">
        <f t="shared" si="1"/>
        <v>1</v>
      </c>
      <c r="D30" s="17">
        <f t="shared" si="49"/>
        <v>24</v>
      </c>
      <c r="E30" s="17">
        <f t="shared" ca="1" si="2"/>
        <v>61</v>
      </c>
      <c r="F30" s="12">
        <f t="shared" si="53"/>
        <v>11</v>
      </c>
      <c r="G30" s="12">
        <f t="shared" si="52"/>
        <v>4</v>
      </c>
      <c r="H30" s="17">
        <f t="shared" si="54"/>
        <v>2</v>
      </c>
      <c r="I30" s="29">
        <f t="shared" si="3"/>
        <v>0</v>
      </c>
      <c r="J30" s="211">
        <f>IFERROR(VLOOKUP(H30,Charges!$T$6:$U$35,2,0)*C30,0)</f>
        <v>0.95</v>
      </c>
      <c r="K30" s="29">
        <f t="shared" si="4"/>
        <v>0</v>
      </c>
      <c r="L30" s="29">
        <f t="shared" si="5"/>
        <v>0</v>
      </c>
      <c r="M30" s="147">
        <f t="shared" ca="1" si="6"/>
        <v>0</v>
      </c>
      <c r="N30" s="148">
        <f ca="1">IF(AND(Option_SPW="Y",H30&gt;=Lock_In_Period,Z29&gt;SPW_Amount_pa+IF(option="Single",1/5*pr,2*pr),H30&gt;=SPW_Start_Year,H30&lt;=SPW_Start_Year+SPW_Duration-1,age+H30&gt;=Legal_Age),IF(AND(F30=0,SPW_Payout_Freq=1),SPW_Amount_pa,IF(AND(SPW_Payout_Freq=2,MOD(F30,6)=0),SPW_Amount_pa/SPW_Payout_Freq,IF(AND(SPW_Payout_Freq=4,MOD(F30,3)=0),SPW_Amount_pa/SPW_Payout_Freq,IF(SPW_Payout_Freq=12,SPW_Amount_pa/SPW_Payout_Freq,0)))),0)+IFERROR(VLOOKUP(H30,Input!$B$68:$C$74,2,0),0)*(F30=0)*(Option_PW="Y")*(Option_SPW="N")*(age+H30&gt;=Legal_Age)</f>
        <v>0</v>
      </c>
      <c r="O30" s="148">
        <f t="shared" ca="1" si="33"/>
        <v>0</v>
      </c>
      <c r="P30" s="14">
        <f ca="1">(MAX(MAX(sa-CF29*Flag_UL_Type,105%*SUM($I$7:I30))-(AD29+L30-N30)*Flag_UL_Type,0)*B30)</f>
        <v>2498859.9052866874</v>
      </c>
      <c r="Q30" s="213">
        <f t="shared" ca="1" si="7"/>
        <v>2430.0996102262166</v>
      </c>
      <c r="R30" s="14">
        <f t="shared" ca="1" si="8"/>
        <v>0</v>
      </c>
      <c r="S30" s="14">
        <f t="shared" ca="1" si="9"/>
        <v>0</v>
      </c>
      <c r="T30" s="14">
        <f>IFERROR(IF(WoP_Flag="Y",IF(fq=1,VLOOKUP(ppt*fq-H30,Charges!$AN$41:$AO$59,2,FALSE),IF(fq=2,VLOOKUP(ppt*fq-G30,Charges!$AP$41:$AQ$79,2,FALSE),VLOOKUP(ppt*fq-D30,Charges!$AR$41:$AS$279,2,FALSE)))*pr/fq,0),0)</f>
        <v>0</v>
      </c>
      <c r="U30" s="14">
        <f ca="1">IFERROR(((T30*(VLOOKUP(Input!$D$18+H30-1,Tab_Mort_Charge,IF(Gender_2="M",2,3),FALSE)*(1+_emr2)+_rpm2)/IF(Model_Type="LA_PQIS",1000/0.0833,(12*1000))))*Flag_Mort_Rider_Charge*(T30&gt;0),0)</f>
        <v>0</v>
      </c>
      <c r="V30" s="34">
        <f>ROUND(MIN(IF(H30&gt;=7,Charges!$C$12*(1+Charges!$C$14)^((H30-7+1)),VLOOKUP(H30,Charges!$B$7:$C$12,2,0))*pr,Charges!$C$13)*B30,Round)</f>
        <v>450</v>
      </c>
      <c r="W30" s="14">
        <f t="shared" ca="1" si="10"/>
        <v>497741.57717324549</v>
      </c>
      <c r="X30" s="14">
        <f t="shared" ca="1" si="11"/>
        <v>499371.053575692</v>
      </c>
      <c r="Y30" s="213">
        <f t="shared" ca="1" si="34"/>
        <v>562.09816842331657</v>
      </c>
      <c r="Z30" s="14">
        <f t="shared" ca="1" si="12"/>
        <v>498707.77773695247</v>
      </c>
      <c r="AA30" s="14">
        <f>IF(AND($H30=pt,$F30=11),SUM($K$7:K30)*VLOOKUP(pt,ROC,2,FALSE),0)</f>
        <v>0</v>
      </c>
      <c r="AB30" s="14">
        <f>IF(AND($H30=pt,$F30=11),SUM($V$7:V30)*VLOOKUP(pt,ROC,2,FALSE),0)</f>
        <v>0</v>
      </c>
      <c r="AC30" s="14">
        <f>IF(AND($H30=pt,$F30=11),SUM($Q$7:Q30)*VLOOKUP(pt,ROC,2,FALSE),0)</f>
        <v>0</v>
      </c>
      <c r="AD30" s="14">
        <f t="shared" ca="1" si="35"/>
        <v>498707.77773695247</v>
      </c>
      <c r="AE30" s="14">
        <f ca="1">(MAX(sa-CF29*Flag_UL_Type,105%*SUM($I$7:I30),Z30)+AU30)*B30</f>
        <v>3000000</v>
      </c>
      <c r="AF30" s="136"/>
      <c r="AG30" s="18">
        <v>24</v>
      </c>
      <c r="AH30" s="30">
        <f t="shared" ca="1" si="13"/>
        <v>0</v>
      </c>
      <c r="AI30" s="138"/>
      <c r="AJ30" s="50">
        <f>IF(AND(Option_Sys_TopUp&gt;="Y",H30&gt;=sytp,H30&lt;=(dtp+sytp-1),F30=0,H30&lt;=ppt+1),atp,0)+IFERROR(VLOOKUP(H30,Input!$B$55:$C$61,2,0),0)*(F30=0)*(Option_TopUP="Y")*(Option_Sys_TopUp="N")*B30*(pt&gt;=H30+5)</f>
        <v>0</v>
      </c>
      <c r="AK30" s="50">
        <f t="shared" si="14"/>
        <v>0</v>
      </c>
      <c r="AL30" s="50">
        <f t="shared" si="36"/>
        <v>0</v>
      </c>
      <c r="AM30" s="50">
        <f t="shared" ca="1" si="15"/>
        <v>0</v>
      </c>
      <c r="AN30" s="50">
        <f ca="1">IF(B30=0,0,AT30*(_rpm1+(1+_emr1)*VLOOKUP(E30,Tab_Mort_Charge,IF(Input!$C$12="M",2,3),0))*(0.001*0.0833)*Flag_Mort_Rider_Charge*(AT30&gt;0))</f>
        <v>0</v>
      </c>
      <c r="AO30" s="50">
        <f t="shared" ca="1" si="37"/>
        <v>0</v>
      </c>
      <c r="AP30" s="50">
        <f t="shared" ca="1" si="38"/>
        <v>0</v>
      </c>
      <c r="AQ30" s="50">
        <f t="shared" ca="1" si="16"/>
        <v>0</v>
      </c>
      <c r="AR30" s="50">
        <f t="shared" ca="1" si="17"/>
        <v>0</v>
      </c>
      <c r="AS30" s="50">
        <f t="shared" si="18"/>
        <v>0</v>
      </c>
      <c r="AT30" s="50">
        <f ca="1">(MAX((MAX(AS30,105%*SUM($AJ$7:AJ30))-AM30*Flag_UL_Type),0)*B30)</f>
        <v>0</v>
      </c>
      <c r="AU30" s="50">
        <f ca="1">(MAX(AS30,AR30,105%*SUM($AJ$7:AJ30))*B30)</f>
        <v>0</v>
      </c>
      <c r="AV30" s="125"/>
      <c r="AW30" s="12">
        <f t="shared" si="51"/>
        <v>24</v>
      </c>
      <c r="AX30" s="14">
        <f t="shared" si="39"/>
        <v>0</v>
      </c>
      <c r="AY30" s="14">
        <f t="shared" si="40"/>
        <v>0</v>
      </c>
      <c r="AZ30" s="14">
        <f t="shared" ca="1" si="41"/>
        <v>0</v>
      </c>
      <c r="BA30" s="14">
        <f t="shared" ca="1" si="42"/>
        <v>0</v>
      </c>
      <c r="BB30" s="14">
        <f t="shared" si="43"/>
        <v>0</v>
      </c>
      <c r="BC30" s="14">
        <f t="shared" ca="1" si="19"/>
        <v>0</v>
      </c>
      <c r="BD30" s="14">
        <f t="shared" ca="1" si="20"/>
        <v>0</v>
      </c>
      <c r="BE30" s="14">
        <f t="shared" si="44"/>
        <v>0</v>
      </c>
      <c r="BF30" s="14">
        <f t="shared" ca="1" si="45"/>
        <v>0</v>
      </c>
      <c r="BG30" s="51">
        <f t="shared" si="21"/>
        <v>0</v>
      </c>
      <c r="BH30" s="51">
        <f t="shared" ca="1" si="22"/>
        <v>437.41792984071901</v>
      </c>
      <c r="BI30" s="51">
        <f t="shared" ca="1" si="46"/>
        <v>0</v>
      </c>
      <c r="BJ30" s="51">
        <f t="shared" ca="1" si="23"/>
        <v>0</v>
      </c>
      <c r="BK30" s="51">
        <f t="shared" si="24"/>
        <v>81</v>
      </c>
      <c r="BL30" s="51">
        <f t="shared" ca="1" si="25"/>
        <v>101.17767031619698</v>
      </c>
      <c r="BM30" s="51">
        <f t="shared" si="26"/>
        <v>0</v>
      </c>
      <c r="BN30" s="51">
        <f t="shared" ca="1" si="27"/>
        <v>0</v>
      </c>
      <c r="BO30" s="51">
        <f t="shared" ca="1" si="28"/>
        <v>0</v>
      </c>
      <c r="BP30" s="51">
        <f t="shared" ca="1" si="29"/>
        <v>619.59560015691602</v>
      </c>
      <c r="BR30" s="32"/>
      <c r="BS30" s="126"/>
      <c r="BT30" s="16"/>
      <c r="BU30" s="58"/>
      <c r="BW30" s="51">
        <f>VLOOKUP(H30,Charges!$AT$4:$AU$33,2,FALSE)*I30</f>
        <v>0</v>
      </c>
      <c r="BX30" s="51">
        <f t="shared" si="30"/>
        <v>0</v>
      </c>
      <c r="BY30" s="51">
        <f t="shared" si="47"/>
        <v>0</v>
      </c>
      <c r="BZ30" s="151"/>
      <c r="CA30" s="151"/>
      <c r="CB30" s="32"/>
      <c r="CC30" s="16">
        <f ca="1">SUM($N$7:$N30)</f>
        <v>0</v>
      </c>
      <c r="CD30" s="16">
        <f t="shared" ca="1" si="31"/>
        <v>0</v>
      </c>
      <c r="CE30" s="16">
        <f t="shared" ca="1" si="32"/>
        <v>0</v>
      </c>
      <c r="CF30" s="7">
        <f t="shared" ca="1" si="48"/>
        <v>0</v>
      </c>
    </row>
    <row r="31" spans="1:84" s="7" customFormat="1" x14ac:dyDescent="0.2">
      <c r="A31" s="149"/>
      <c r="B31" s="14">
        <f t="shared" si="0"/>
        <v>1</v>
      </c>
      <c r="C31" s="12">
        <f t="shared" si="1"/>
        <v>1</v>
      </c>
      <c r="D31" s="17">
        <f t="shared" si="49"/>
        <v>25</v>
      </c>
      <c r="E31" s="17">
        <f t="shared" ca="1" si="2"/>
        <v>62</v>
      </c>
      <c r="F31" s="12">
        <f t="shared" si="53"/>
        <v>0</v>
      </c>
      <c r="G31" s="12">
        <f t="shared" si="52"/>
        <v>5</v>
      </c>
      <c r="H31" s="17">
        <f t="shared" si="54"/>
        <v>3</v>
      </c>
      <c r="I31" s="29">
        <f t="shared" si="3"/>
        <v>300000</v>
      </c>
      <c r="J31" s="211">
        <f>IFERROR(VLOOKUP(H31,Charges!$T$6:$U$35,2,0)*C31,0)</f>
        <v>0.96499999999999997</v>
      </c>
      <c r="K31" s="29">
        <f t="shared" si="4"/>
        <v>10500</v>
      </c>
      <c r="L31" s="29">
        <f t="shared" si="5"/>
        <v>287610</v>
      </c>
      <c r="M31" s="147">
        <f t="shared" ca="1" si="6"/>
        <v>0</v>
      </c>
      <c r="N31" s="148">
        <f ca="1">IF(AND(Option_SPW="Y",H31&gt;=Lock_In_Period,Z30&gt;SPW_Amount_pa+IF(option="Single",1/5*pr,2*pr),H31&gt;=SPW_Start_Year,H31&lt;=SPW_Start_Year+SPW_Duration-1,age+H31&gt;=Legal_Age),IF(AND(F31=0,SPW_Payout_Freq=1),SPW_Amount_pa,IF(AND(SPW_Payout_Freq=2,MOD(F31,6)=0),SPW_Amount_pa/SPW_Payout_Freq,IF(AND(SPW_Payout_Freq=4,MOD(F31,3)=0),SPW_Amount_pa/SPW_Payout_Freq,IF(SPW_Payout_Freq=12,SPW_Amount_pa/SPW_Payout_Freq,0)))),0)+IFERROR(VLOOKUP(H31,Input!$B$68:$C$74,2,0),0)*(F31=0)*(Option_PW="Y")*(Option_SPW="N")*(age+H31&gt;=Legal_Age)</f>
        <v>0</v>
      </c>
      <c r="O31" s="148">
        <f t="shared" ca="1" si="33"/>
        <v>0</v>
      </c>
      <c r="P31" s="14">
        <f ca="1">(MAX(MAX(sa-CF30*Flag_UL_Type,105%*SUM($I$7:I31))-(AD30+L31-N31)*Flag_UL_Type,0)*B31)</f>
        <v>2213682.2222630475</v>
      </c>
      <c r="Q31" s="213">
        <f t="shared" ca="1" si="7"/>
        <v>2307.8006114129334</v>
      </c>
      <c r="R31" s="14">
        <f t="shared" ca="1" si="8"/>
        <v>0</v>
      </c>
      <c r="S31" s="14">
        <f t="shared" ca="1" si="9"/>
        <v>0</v>
      </c>
      <c r="T31" s="14">
        <f>IFERROR(IF(WoP_Flag="Y",IF(fq=1,VLOOKUP(ppt*fq-H31,Charges!$AN$41:$AO$59,2,FALSE),IF(fq=2,VLOOKUP(ppt*fq-G31,Charges!$AP$41:$AQ$79,2,FALSE),VLOOKUP(ppt*fq-D31,Charges!$AR$41:$AS$279,2,FALSE)))*pr/fq,0),0)</f>
        <v>0</v>
      </c>
      <c r="U31" s="14">
        <f ca="1">IFERROR(((T31*(VLOOKUP(Input!$D$18+H31-1,Tab_Mort_Charge,IF(Gender_2="M",2,3),FALSE)*(1+_emr2)+_rpm2)/IF(Model_Type="LA_PQIS",1000/0.0833,(12*1000))))*Flag_Mort_Rider_Charge*(T31&gt;0),0)</f>
        <v>0</v>
      </c>
      <c r="V31" s="34">
        <f>ROUND(MIN(IF(H31&gt;=7,Charges!$C$12*(1+Charges!$C$14)^((H31-7+1)),VLOOKUP(H31,Charges!$B$7:$C$12,2,0))*pr,Charges!$C$13)*B31,Round)</f>
        <v>450</v>
      </c>
      <c r="W31" s="14">
        <f t="shared" ca="1" si="10"/>
        <v>783063.57301548531</v>
      </c>
      <c r="X31" s="14">
        <f t="shared" ca="1" si="11"/>
        <v>785627.11938645691</v>
      </c>
      <c r="Y31" s="213">
        <f t="shared" ca="1" si="34"/>
        <v>884.31149885198226</v>
      </c>
      <c r="Z31" s="14">
        <f t="shared" ca="1" si="12"/>
        <v>784583.63181781152</v>
      </c>
      <c r="AA31" s="14">
        <f>IF(AND($H31=pt,$F31=11),SUM($K$7:K31)*VLOOKUP(pt,ROC,2,FALSE),0)</f>
        <v>0</v>
      </c>
      <c r="AB31" s="14">
        <f>IF(AND($H31=pt,$F31=11),SUM($V$7:V31)*VLOOKUP(pt,ROC,2,FALSE),0)</f>
        <v>0</v>
      </c>
      <c r="AC31" s="14">
        <f>IF(AND($H31=pt,$F31=11),SUM($Q$7:Q31)*VLOOKUP(pt,ROC,2,FALSE),0)</f>
        <v>0</v>
      </c>
      <c r="AD31" s="14">
        <f t="shared" ca="1" si="35"/>
        <v>784583.63181781152</v>
      </c>
      <c r="AE31" s="14">
        <f ca="1">(MAX(sa-CF30*Flag_UL_Type,105%*SUM($I$7:I31),Z31)+AU31)*B31</f>
        <v>3000000</v>
      </c>
      <c r="AF31" s="136"/>
      <c r="AG31" s="18">
        <v>25</v>
      </c>
      <c r="AH31" s="30">
        <f t="shared" ca="1" si="13"/>
        <v>300000</v>
      </c>
      <c r="AI31" s="138"/>
      <c r="AJ31" s="50">
        <f>IF(AND(Option_Sys_TopUp&gt;="Y",H31&gt;=sytp,H31&lt;=(dtp+sytp-1),F31=0,H31&lt;=ppt+1),atp,0)+IFERROR(VLOOKUP(H31,Input!$B$55:$C$61,2,0),0)*(F31=0)*(Option_TopUP="Y")*(Option_Sys_TopUp="N")*B31*(pt&gt;=H31+5)</f>
        <v>0</v>
      </c>
      <c r="AK31" s="50">
        <f t="shared" si="14"/>
        <v>0</v>
      </c>
      <c r="AL31" s="50">
        <f t="shared" si="36"/>
        <v>0</v>
      </c>
      <c r="AM31" s="50">
        <f t="shared" ca="1" si="15"/>
        <v>0</v>
      </c>
      <c r="AN31" s="50">
        <f ca="1">IF(B31=0,0,AT31*(_rpm1+(1+_emr1)*VLOOKUP(E31,Tab_Mort_Charge,IF(Input!$C$12="M",2,3),0))*(0.001*0.0833)*Flag_Mort_Rider_Charge*(AT31&gt;0))</f>
        <v>0</v>
      </c>
      <c r="AO31" s="50">
        <f t="shared" ca="1" si="37"/>
        <v>0</v>
      </c>
      <c r="AP31" s="50">
        <f t="shared" ca="1" si="38"/>
        <v>0</v>
      </c>
      <c r="AQ31" s="50">
        <f t="shared" ca="1" si="16"/>
        <v>0</v>
      </c>
      <c r="AR31" s="50">
        <f t="shared" ca="1" si="17"/>
        <v>0</v>
      </c>
      <c r="AS31" s="50">
        <f t="shared" si="18"/>
        <v>0</v>
      </c>
      <c r="AT31" s="50">
        <f ca="1">(MAX((MAX(AS31,105%*SUM($AJ$7:AJ31))-AM31*Flag_UL_Type),0)*B31)</f>
        <v>0</v>
      </c>
      <c r="AU31" s="50">
        <f ca="1">(MAX(AS31,AR31,105%*SUM($AJ$7:AJ31))*B31)</f>
        <v>0</v>
      </c>
      <c r="AV31" s="125"/>
      <c r="AW31" s="12">
        <f t="shared" si="51"/>
        <v>25</v>
      </c>
      <c r="AX31" s="14">
        <f t="shared" si="39"/>
        <v>0</v>
      </c>
      <c r="AY31" s="14">
        <f t="shared" si="40"/>
        <v>0</v>
      </c>
      <c r="AZ31" s="14">
        <f t="shared" ca="1" si="41"/>
        <v>0</v>
      </c>
      <c r="BA31" s="14">
        <f t="shared" ca="1" si="42"/>
        <v>0</v>
      </c>
      <c r="BB31" s="14">
        <f t="shared" si="43"/>
        <v>0</v>
      </c>
      <c r="BC31" s="14">
        <f t="shared" ca="1" si="19"/>
        <v>0</v>
      </c>
      <c r="BD31" s="14">
        <f t="shared" ca="1" si="20"/>
        <v>0</v>
      </c>
      <c r="BE31" s="14">
        <f t="shared" si="44"/>
        <v>0</v>
      </c>
      <c r="BF31" s="14">
        <f t="shared" ca="1" si="45"/>
        <v>0</v>
      </c>
      <c r="BG31" s="51">
        <f t="shared" si="21"/>
        <v>1890</v>
      </c>
      <c r="BH31" s="51">
        <f t="shared" ca="1" si="22"/>
        <v>415.40411005432799</v>
      </c>
      <c r="BI31" s="51">
        <f t="shared" ca="1" si="46"/>
        <v>0</v>
      </c>
      <c r="BJ31" s="51">
        <f t="shared" ca="1" si="23"/>
        <v>0</v>
      </c>
      <c r="BK31" s="51">
        <f t="shared" si="24"/>
        <v>81</v>
      </c>
      <c r="BL31" s="51">
        <f t="shared" ca="1" si="25"/>
        <v>159.17606979335679</v>
      </c>
      <c r="BM31" s="51">
        <f t="shared" si="26"/>
        <v>0</v>
      </c>
      <c r="BN31" s="51">
        <f t="shared" ca="1" si="27"/>
        <v>0</v>
      </c>
      <c r="BO31" s="51">
        <f t="shared" ca="1" si="28"/>
        <v>0</v>
      </c>
      <c r="BP31" s="51">
        <f t="shared" ca="1" si="29"/>
        <v>2545.580179847685</v>
      </c>
      <c r="BR31" s="32"/>
      <c r="BS31" s="126"/>
      <c r="BT31" s="16"/>
      <c r="BU31" s="58"/>
      <c r="BW31" s="51">
        <f>VLOOKUP(H31,Charges!$AT$4:$AU$33,2,FALSE)*I31</f>
        <v>3000</v>
      </c>
      <c r="BX31" s="51">
        <f t="shared" si="30"/>
        <v>0</v>
      </c>
      <c r="BY31" s="51">
        <f t="shared" si="47"/>
        <v>3000</v>
      </c>
      <c r="BZ31" s="151"/>
      <c r="CA31" s="151"/>
      <c r="CB31" s="32"/>
      <c r="CC31" s="16">
        <f ca="1">SUM($N$7:$N31)</f>
        <v>0</v>
      </c>
      <c r="CD31" s="16">
        <f t="shared" ca="1" si="31"/>
        <v>0</v>
      </c>
      <c r="CE31" s="16">
        <f t="shared" ca="1" si="32"/>
        <v>0</v>
      </c>
      <c r="CF31" s="7">
        <f t="shared" ca="1" si="48"/>
        <v>0</v>
      </c>
    </row>
    <row r="32" spans="1:84" s="7" customFormat="1" x14ac:dyDescent="0.2">
      <c r="A32" s="149"/>
      <c r="B32" s="14">
        <f t="shared" si="0"/>
        <v>1</v>
      </c>
      <c r="C32" s="12">
        <f t="shared" si="1"/>
        <v>1</v>
      </c>
      <c r="D32" s="17">
        <f t="shared" si="49"/>
        <v>26</v>
      </c>
      <c r="E32" s="17">
        <f t="shared" ca="1" si="2"/>
        <v>62</v>
      </c>
      <c r="F32" s="12">
        <f t="shared" si="53"/>
        <v>1</v>
      </c>
      <c r="G32" s="12">
        <f t="shared" si="52"/>
        <v>5</v>
      </c>
      <c r="H32" s="17">
        <f t="shared" si="54"/>
        <v>3</v>
      </c>
      <c r="I32" s="29">
        <f t="shared" si="3"/>
        <v>0</v>
      </c>
      <c r="J32" s="211">
        <f>IFERROR(VLOOKUP(H32,Charges!$T$6:$U$35,2,0)*C32,0)</f>
        <v>0.96499999999999997</v>
      </c>
      <c r="K32" s="29">
        <f t="shared" si="4"/>
        <v>0</v>
      </c>
      <c r="L32" s="29">
        <f t="shared" si="5"/>
        <v>0</v>
      </c>
      <c r="M32" s="147">
        <f t="shared" ca="1" si="6"/>
        <v>0</v>
      </c>
      <c r="N32" s="148">
        <f ca="1">IF(AND(Option_SPW="Y",H32&gt;=Lock_In_Period,Z31&gt;SPW_Amount_pa+IF(option="Single",1/5*pr,2*pr),H32&gt;=SPW_Start_Year,H32&lt;=SPW_Start_Year+SPW_Duration-1,age+H32&gt;=Legal_Age),IF(AND(F32=0,SPW_Payout_Freq=1),SPW_Amount_pa,IF(AND(SPW_Payout_Freq=2,MOD(F32,6)=0),SPW_Amount_pa/SPW_Payout_Freq,IF(AND(SPW_Payout_Freq=4,MOD(F32,3)=0),SPW_Amount_pa/SPW_Payout_Freq,IF(SPW_Payout_Freq=12,SPW_Amount_pa/SPW_Payout_Freq,0)))),0)+IFERROR(VLOOKUP(H32,Input!$B$68:$C$74,2,0),0)*(F32=0)*(Option_PW="Y")*(Option_SPW="N")*(age+H32&gt;=Legal_Age)</f>
        <v>0</v>
      </c>
      <c r="O32" s="148">
        <f t="shared" ca="1" si="33"/>
        <v>0</v>
      </c>
      <c r="P32" s="14">
        <f ca="1">(MAX(MAX(sa-CF31*Flag_UL_Type,105%*SUM($I$7:I32))-(AD31+L32-N32)*Flag_UL_Type,0)*B32)</f>
        <v>2215416.3681821884</v>
      </c>
      <c r="Q32" s="213">
        <f t="shared" ca="1" si="7"/>
        <v>2309.6084874360668</v>
      </c>
      <c r="R32" s="14">
        <f t="shared" ca="1" si="8"/>
        <v>0</v>
      </c>
      <c r="S32" s="14">
        <f t="shared" ca="1" si="9"/>
        <v>0</v>
      </c>
      <c r="T32" s="14">
        <f>IFERROR(IF(WoP_Flag="Y",IF(fq=1,VLOOKUP(ppt*fq-H32,Charges!$AN$41:$AO$59,2,FALSE),IF(fq=2,VLOOKUP(ppt*fq-G32,Charges!$AP$41:$AQ$79,2,FALSE),VLOOKUP(ppt*fq-D32,Charges!$AR$41:$AS$279,2,FALSE)))*pr/fq,0),0)</f>
        <v>0</v>
      </c>
      <c r="U32" s="14">
        <f ca="1">IFERROR(((T32*(VLOOKUP(Input!$D$18+H32-1,Tab_Mort_Charge,IF(Gender_2="M",2,3),FALSE)*(1+_emr2)+_rpm2)/IF(Model_Type="LA_PQIS",1000/0.0833,(12*1000))))*Flag_Mort_Rider_Charge*(T32&gt;0),0)</f>
        <v>0</v>
      </c>
      <c r="V32" s="34">
        <f>ROUND(MIN(IF(H32&gt;=7,Charges!$C$12*(1+Charges!$C$14)^((H32-7+1)),VLOOKUP(H32,Charges!$B$7:$C$12,2,0))*pr,Charges!$C$13)*B32,Round)</f>
        <v>450</v>
      </c>
      <c r="W32" s="14">
        <f t="shared" ca="1" si="10"/>
        <v>781327.29380263691</v>
      </c>
      <c r="X32" s="14">
        <f t="shared" ca="1" si="11"/>
        <v>783885.15604727645</v>
      </c>
      <c r="Y32" s="213">
        <f t="shared" ca="1" si="34"/>
        <v>882.35072360198967</v>
      </c>
      <c r="Z32" s="14">
        <f t="shared" ca="1" si="12"/>
        <v>782843.98219342611</v>
      </c>
      <c r="AA32" s="14">
        <f>IF(AND($H32=pt,$F32=11),SUM($K$7:K32)*VLOOKUP(pt,ROC,2,FALSE),0)</f>
        <v>0</v>
      </c>
      <c r="AB32" s="14">
        <f>IF(AND($H32=pt,$F32=11),SUM($V$7:V32)*VLOOKUP(pt,ROC,2,FALSE),0)</f>
        <v>0</v>
      </c>
      <c r="AC32" s="14">
        <f>IF(AND($H32=pt,$F32=11),SUM($Q$7:Q32)*VLOOKUP(pt,ROC,2,FALSE),0)</f>
        <v>0</v>
      </c>
      <c r="AD32" s="14">
        <f t="shared" ca="1" si="35"/>
        <v>782843.98219342611</v>
      </c>
      <c r="AE32" s="14">
        <f ca="1">(MAX(sa-CF31*Flag_UL_Type,105%*SUM($I$7:I32),Z32)+AU32)*B32</f>
        <v>3000000</v>
      </c>
      <c r="AF32" s="136"/>
      <c r="AG32" s="18">
        <v>26</v>
      </c>
      <c r="AH32" s="30">
        <f t="shared" ca="1" si="13"/>
        <v>0</v>
      </c>
      <c r="AI32" s="138"/>
      <c r="AJ32" s="50">
        <f>IF(AND(Option_Sys_TopUp&gt;="Y",H32&gt;=sytp,H32&lt;=(dtp+sytp-1),F32=0,H32&lt;=ppt+1),atp,0)+IFERROR(VLOOKUP(H32,Input!$B$55:$C$61,2,0),0)*(F32=0)*(Option_TopUP="Y")*(Option_Sys_TopUp="N")*B32*(pt&gt;=H32+5)</f>
        <v>0</v>
      </c>
      <c r="AK32" s="50">
        <f t="shared" si="14"/>
        <v>0</v>
      </c>
      <c r="AL32" s="50">
        <f t="shared" si="36"/>
        <v>0</v>
      </c>
      <c r="AM32" s="50">
        <f t="shared" ca="1" si="15"/>
        <v>0</v>
      </c>
      <c r="AN32" s="50">
        <f ca="1">IF(B32=0,0,AT32*(_rpm1+(1+_emr1)*VLOOKUP(E32,Tab_Mort_Charge,IF(Input!$C$12="M",2,3),0))*(0.001*0.0833)*Flag_Mort_Rider_Charge*(AT32&gt;0))</f>
        <v>0</v>
      </c>
      <c r="AO32" s="50">
        <f t="shared" ca="1" si="37"/>
        <v>0</v>
      </c>
      <c r="AP32" s="50">
        <f t="shared" ca="1" si="38"/>
        <v>0</v>
      </c>
      <c r="AQ32" s="50">
        <f t="shared" ca="1" si="16"/>
        <v>0</v>
      </c>
      <c r="AR32" s="50">
        <f t="shared" ca="1" si="17"/>
        <v>0</v>
      </c>
      <c r="AS32" s="50">
        <f t="shared" si="18"/>
        <v>0</v>
      </c>
      <c r="AT32" s="50">
        <f ca="1">(MAX((MAX(AS32,105%*SUM($AJ$7:AJ32))-AM32*Flag_UL_Type),0)*B32)</f>
        <v>0</v>
      </c>
      <c r="AU32" s="50">
        <f ca="1">(MAX(AS32,AR32,105%*SUM($AJ$7:AJ32))*B32)</f>
        <v>0</v>
      </c>
      <c r="AV32" s="125"/>
      <c r="AW32" s="12">
        <f t="shared" si="51"/>
        <v>26</v>
      </c>
      <c r="AX32" s="14">
        <f t="shared" si="39"/>
        <v>0</v>
      </c>
      <c r="AY32" s="14">
        <f t="shared" si="40"/>
        <v>0</v>
      </c>
      <c r="AZ32" s="14">
        <f t="shared" ca="1" si="41"/>
        <v>0</v>
      </c>
      <c r="BA32" s="14">
        <f t="shared" ca="1" si="42"/>
        <v>0</v>
      </c>
      <c r="BB32" s="14">
        <f t="shared" si="43"/>
        <v>0</v>
      </c>
      <c r="BC32" s="14">
        <f t="shared" ca="1" si="19"/>
        <v>0</v>
      </c>
      <c r="BD32" s="14">
        <f t="shared" ca="1" si="20"/>
        <v>0</v>
      </c>
      <c r="BE32" s="14">
        <f t="shared" si="44"/>
        <v>0</v>
      </c>
      <c r="BF32" s="14">
        <f t="shared" ca="1" si="45"/>
        <v>0</v>
      </c>
      <c r="BG32" s="51">
        <f t="shared" si="21"/>
        <v>0</v>
      </c>
      <c r="BH32" s="51">
        <f t="shared" ca="1" si="22"/>
        <v>415.72952773849198</v>
      </c>
      <c r="BI32" s="51">
        <f t="shared" ca="1" si="46"/>
        <v>0</v>
      </c>
      <c r="BJ32" s="51">
        <f t="shared" ca="1" si="23"/>
        <v>0</v>
      </c>
      <c r="BK32" s="51">
        <f t="shared" si="24"/>
        <v>81</v>
      </c>
      <c r="BL32" s="51">
        <f t="shared" ca="1" si="25"/>
        <v>158.82313024835813</v>
      </c>
      <c r="BM32" s="51">
        <f t="shared" si="26"/>
        <v>0</v>
      </c>
      <c r="BN32" s="51">
        <f t="shared" ca="1" si="27"/>
        <v>0</v>
      </c>
      <c r="BO32" s="51">
        <f t="shared" ca="1" si="28"/>
        <v>0</v>
      </c>
      <c r="BP32" s="51">
        <f t="shared" ca="1" si="29"/>
        <v>655.55265798685014</v>
      </c>
      <c r="BR32" s="32"/>
      <c r="BS32" s="126"/>
      <c r="BT32" s="16"/>
      <c r="BU32" s="58"/>
      <c r="BW32" s="51">
        <f>VLOOKUP(H32,Charges!$AT$4:$AU$33,2,FALSE)*I32</f>
        <v>0</v>
      </c>
      <c r="BX32" s="51">
        <f t="shared" si="30"/>
        <v>0</v>
      </c>
      <c r="BY32" s="51">
        <f t="shared" si="47"/>
        <v>0</v>
      </c>
      <c r="BZ32" s="151"/>
      <c r="CA32" s="151"/>
      <c r="CB32" s="32"/>
      <c r="CC32" s="16">
        <f ca="1">SUM($N$7:$N32)</f>
        <v>0</v>
      </c>
      <c r="CD32" s="16">
        <f t="shared" ca="1" si="31"/>
        <v>0</v>
      </c>
      <c r="CE32" s="16">
        <f t="shared" ca="1" si="32"/>
        <v>0</v>
      </c>
      <c r="CF32" s="7">
        <f t="shared" ca="1" si="48"/>
        <v>0</v>
      </c>
    </row>
    <row r="33" spans="1:84" s="7" customFormat="1" x14ac:dyDescent="0.2">
      <c r="A33" s="149"/>
      <c r="B33" s="14">
        <f t="shared" si="0"/>
        <v>1</v>
      </c>
      <c r="C33" s="12">
        <f t="shared" si="1"/>
        <v>1</v>
      </c>
      <c r="D33" s="17">
        <f t="shared" si="49"/>
        <v>27</v>
      </c>
      <c r="E33" s="17">
        <f t="shared" ca="1" si="2"/>
        <v>62</v>
      </c>
      <c r="F33" s="12">
        <f t="shared" si="53"/>
        <v>2</v>
      </c>
      <c r="G33" s="12">
        <f t="shared" si="52"/>
        <v>5</v>
      </c>
      <c r="H33" s="17">
        <f t="shared" si="54"/>
        <v>3</v>
      </c>
      <c r="I33" s="29">
        <f t="shared" si="3"/>
        <v>0</v>
      </c>
      <c r="J33" s="211">
        <f>IFERROR(VLOOKUP(H33,Charges!$T$6:$U$35,2,0)*C33,0)</f>
        <v>0.96499999999999997</v>
      </c>
      <c r="K33" s="29">
        <f t="shared" si="4"/>
        <v>0</v>
      </c>
      <c r="L33" s="29">
        <f t="shared" si="5"/>
        <v>0</v>
      </c>
      <c r="M33" s="147">
        <f t="shared" ca="1" si="6"/>
        <v>0</v>
      </c>
      <c r="N33" s="148">
        <f ca="1">IF(AND(Option_SPW="Y",H33&gt;=Lock_In_Period,Z32&gt;SPW_Amount_pa+IF(option="Single",1/5*pr,2*pr),H33&gt;=SPW_Start_Year,H33&lt;=SPW_Start_Year+SPW_Duration-1,age+H33&gt;=Legal_Age),IF(AND(F33=0,SPW_Payout_Freq=1),SPW_Amount_pa,IF(AND(SPW_Payout_Freq=2,MOD(F33,6)=0),SPW_Amount_pa/SPW_Payout_Freq,IF(AND(SPW_Payout_Freq=4,MOD(F33,3)=0),SPW_Amount_pa/SPW_Payout_Freq,IF(SPW_Payout_Freq=12,SPW_Amount_pa/SPW_Payout_Freq,0)))),0)+IFERROR(VLOOKUP(H33,Input!$B$68:$C$74,2,0),0)*(F33=0)*(Option_PW="Y")*(Option_SPW="N")*(age+H33&gt;=Legal_Age)</f>
        <v>0</v>
      </c>
      <c r="O33" s="148">
        <f t="shared" ca="1" si="33"/>
        <v>0</v>
      </c>
      <c r="P33" s="14">
        <f ca="1">(MAX(MAX(sa-CF32*Flag_UL_Type,105%*SUM($I$7:I33))-(AD32+L33-N33)*Flag_UL_Type,0)*B33)</f>
        <v>2217156.0178065738</v>
      </c>
      <c r="Q33" s="213">
        <f t="shared" ca="1" si="7"/>
        <v>2311.42210116365</v>
      </c>
      <c r="R33" s="14">
        <f t="shared" ca="1" si="8"/>
        <v>0</v>
      </c>
      <c r="S33" s="14">
        <f t="shared" ca="1" si="9"/>
        <v>0</v>
      </c>
      <c r="T33" s="14">
        <f>IFERROR(IF(WoP_Flag="Y",IF(fq=1,VLOOKUP(ppt*fq-H33,Charges!$AN$41:$AO$59,2,FALSE),IF(fq=2,VLOOKUP(ppt*fq-G33,Charges!$AP$41:$AQ$79,2,FALSE),VLOOKUP(ppt*fq-D33,Charges!$AR$41:$AS$279,2,FALSE)))*pr/fq,0),0)</f>
        <v>0</v>
      </c>
      <c r="U33" s="14">
        <f ca="1">IFERROR(((T33*(VLOOKUP(Input!$D$18+H33-1,Tab_Mort_Charge,IF(Gender_2="M",2,3),FALSE)*(1+_emr2)+_rpm2)/IF(Model_Type="LA_PQIS",1000/0.0833,(12*1000))))*Flag_Mort_Rider_Charge*(T33&gt;0),0)</f>
        <v>0</v>
      </c>
      <c r="V33" s="34">
        <f>ROUND(MIN(IF(H33&gt;=7,Charges!$C$12*(1+Charges!$C$14)^((H33-7+1)),VLOOKUP(H33,Charges!$B$7:$C$12,2,0))*pr,Charges!$C$13)*B33,Round)</f>
        <v>450</v>
      </c>
      <c r="W33" s="14">
        <f t="shared" ca="1" si="10"/>
        <v>779585.50411405298</v>
      </c>
      <c r="X33" s="14">
        <f t="shared" ca="1" si="11"/>
        <v>782137.6641924968</v>
      </c>
      <c r="Y33" s="213">
        <f t="shared" ca="1" si="34"/>
        <v>880.38372538718943</v>
      </c>
      <c r="Z33" s="14">
        <f t="shared" ca="1" si="12"/>
        <v>781098.81139653991</v>
      </c>
      <c r="AA33" s="14">
        <f>IF(AND($H33=pt,$F33=11),SUM($K$7:K33)*VLOOKUP(pt,ROC,2,FALSE),0)</f>
        <v>0</v>
      </c>
      <c r="AB33" s="14">
        <f>IF(AND($H33=pt,$F33=11),SUM($V$7:V33)*VLOOKUP(pt,ROC,2,FALSE),0)</f>
        <v>0</v>
      </c>
      <c r="AC33" s="14">
        <f>IF(AND($H33=pt,$F33=11),SUM($Q$7:Q33)*VLOOKUP(pt,ROC,2,FALSE),0)</f>
        <v>0</v>
      </c>
      <c r="AD33" s="14">
        <f t="shared" ca="1" si="35"/>
        <v>781098.81139653991</v>
      </c>
      <c r="AE33" s="14">
        <f ca="1">(MAX(sa-CF32*Flag_UL_Type,105%*SUM($I$7:I33),Z33)+AU33)*B33</f>
        <v>3000000</v>
      </c>
      <c r="AF33" s="136"/>
      <c r="AG33" s="18">
        <v>27</v>
      </c>
      <c r="AH33" s="30">
        <f t="shared" ca="1" si="13"/>
        <v>0</v>
      </c>
      <c r="AI33" s="138"/>
      <c r="AJ33" s="50">
        <f>IF(AND(Option_Sys_TopUp&gt;="Y",H33&gt;=sytp,H33&lt;=(dtp+sytp-1),F33=0,H33&lt;=ppt+1),atp,0)+IFERROR(VLOOKUP(H33,Input!$B$55:$C$61,2,0),0)*(F33=0)*(Option_TopUP="Y")*(Option_Sys_TopUp="N")*B33*(pt&gt;=H33+5)</f>
        <v>0</v>
      </c>
      <c r="AK33" s="50">
        <f t="shared" si="14"/>
        <v>0</v>
      </c>
      <c r="AL33" s="50">
        <f t="shared" si="36"/>
        <v>0</v>
      </c>
      <c r="AM33" s="50">
        <f t="shared" ca="1" si="15"/>
        <v>0</v>
      </c>
      <c r="AN33" s="50">
        <f ca="1">IF(B33=0,0,AT33*(_rpm1+(1+_emr1)*VLOOKUP(E33,Tab_Mort_Charge,IF(Input!$C$12="M",2,3),0))*(0.001*0.0833)*Flag_Mort_Rider_Charge*(AT33&gt;0))</f>
        <v>0</v>
      </c>
      <c r="AO33" s="50">
        <f t="shared" ca="1" si="37"/>
        <v>0</v>
      </c>
      <c r="AP33" s="50">
        <f t="shared" ca="1" si="38"/>
        <v>0</v>
      </c>
      <c r="AQ33" s="50">
        <f t="shared" ca="1" si="16"/>
        <v>0</v>
      </c>
      <c r="AR33" s="50">
        <f t="shared" ca="1" si="17"/>
        <v>0</v>
      </c>
      <c r="AS33" s="50">
        <f t="shared" si="18"/>
        <v>0</v>
      </c>
      <c r="AT33" s="50">
        <f ca="1">(MAX((MAX(AS33,105%*SUM($AJ$7:AJ33))-AM33*Flag_UL_Type),0)*B33)</f>
        <v>0</v>
      </c>
      <c r="AU33" s="50">
        <f ca="1">(MAX(AS33,AR33,105%*SUM($AJ$7:AJ33))*B33)</f>
        <v>0</v>
      </c>
      <c r="AV33" s="125"/>
      <c r="AW33" s="12">
        <f t="shared" si="51"/>
        <v>27</v>
      </c>
      <c r="AX33" s="14">
        <f t="shared" si="39"/>
        <v>0</v>
      </c>
      <c r="AY33" s="14">
        <f t="shared" si="40"/>
        <v>0</v>
      </c>
      <c r="AZ33" s="14">
        <f t="shared" ca="1" si="41"/>
        <v>0</v>
      </c>
      <c r="BA33" s="14">
        <f t="shared" ca="1" si="42"/>
        <v>0</v>
      </c>
      <c r="BB33" s="14">
        <f t="shared" si="43"/>
        <v>0</v>
      </c>
      <c r="BC33" s="14">
        <f t="shared" ca="1" si="19"/>
        <v>0</v>
      </c>
      <c r="BD33" s="14">
        <f t="shared" ca="1" si="20"/>
        <v>0</v>
      </c>
      <c r="BE33" s="14">
        <f t="shared" si="44"/>
        <v>0</v>
      </c>
      <c r="BF33" s="14">
        <f t="shared" ca="1" si="45"/>
        <v>0</v>
      </c>
      <c r="BG33" s="51">
        <f t="shared" si="21"/>
        <v>0</v>
      </c>
      <c r="BH33" s="51">
        <f t="shared" ca="1" si="22"/>
        <v>416.05597820945701</v>
      </c>
      <c r="BI33" s="51">
        <f t="shared" ca="1" si="46"/>
        <v>0</v>
      </c>
      <c r="BJ33" s="51">
        <f t="shared" ca="1" si="23"/>
        <v>0</v>
      </c>
      <c r="BK33" s="51">
        <f t="shared" si="24"/>
        <v>81</v>
      </c>
      <c r="BL33" s="51">
        <f t="shared" ca="1" si="25"/>
        <v>158.46907056969408</v>
      </c>
      <c r="BM33" s="51">
        <f t="shared" si="26"/>
        <v>0</v>
      </c>
      <c r="BN33" s="51">
        <f t="shared" ca="1" si="27"/>
        <v>0</v>
      </c>
      <c r="BO33" s="51">
        <f t="shared" ca="1" si="28"/>
        <v>0</v>
      </c>
      <c r="BP33" s="51">
        <f t="shared" ca="1" si="29"/>
        <v>655.52504877915112</v>
      </c>
      <c r="BR33" s="32"/>
      <c r="BS33" s="126"/>
      <c r="BT33" s="16"/>
      <c r="BU33" s="58"/>
      <c r="BW33" s="51">
        <f>VLOOKUP(H33,Charges!$AT$4:$AU$33,2,FALSE)*I33</f>
        <v>0</v>
      </c>
      <c r="BX33" s="51">
        <f t="shared" si="30"/>
        <v>0</v>
      </c>
      <c r="BY33" s="51">
        <f t="shared" si="47"/>
        <v>0</v>
      </c>
      <c r="BZ33" s="151"/>
      <c r="CA33" s="151"/>
      <c r="CB33" s="32"/>
      <c r="CC33" s="16">
        <f ca="1">SUM($N$7:$N33)</f>
        <v>0</v>
      </c>
      <c r="CD33" s="16">
        <f t="shared" ca="1" si="31"/>
        <v>0</v>
      </c>
      <c r="CE33" s="16">
        <f t="shared" ca="1" si="32"/>
        <v>0</v>
      </c>
      <c r="CF33" s="7">
        <f t="shared" ca="1" si="48"/>
        <v>0</v>
      </c>
    </row>
    <row r="34" spans="1:84" s="7" customFormat="1" x14ac:dyDescent="0.2">
      <c r="A34" s="149"/>
      <c r="B34" s="14">
        <f t="shared" si="0"/>
        <v>1</v>
      </c>
      <c r="C34" s="12">
        <f t="shared" si="1"/>
        <v>1</v>
      </c>
      <c r="D34" s="17">
        <f t="shared" si="49"/>
        <v>28</v>
      </c>
      <c r="E34" s="17">
        <f t="shared" ca="1" si="2"/>
        <v>62</v>
      </c>
      <c r="F34" s="12">
        <f t="shared" si="53"/>
        <v>3</v>
      </c>
      <c r="G34" s="12">
        <f t="shared" si="52"/>
        <v>5</v>
      </c>
      <c r="H34" s="17">
        <f t="shared" si="54"/>
        <v>3</v>
      </c>
      <c r="I34" s="29">
        <f t="shared" si="3"/>
        <v>0</v>
      </c>
      <c r="J34" s="211">
        <f>IFERROR(VLOOKUP(H34,Charges!$T$6:$U$35,2,0)*C34,0)</f>
        <v>0.96499999999999997</v>
      </c>
      <c r="K34" s="29">
        <f t="shared" si="4"/>
        <v>0</v>
      </c>
      <c r="L34" s="29">
        <f t="shared" si="5"/>
        <v>0</v>
      </c>
      <c r="M34" s="147">
        <f t="shared" ca="1" si="6"/>
        <v>0</v>
      </c>
      <c r="N34" s="148">
        <f ca="1">IF(AND(Option_SPW="Y",H34&gt;=Lock_In_Period,Z33&gt;SPW_Amount_pa+IF(option="Single",1/5*pr,2*pr),H34&gt;=SPW_Start_Year,H34&lt;=SPW_Start_Year+SPW_Duration-1,age+H34&gt;=Legal_Age),IF(AND(F34=0,SPW_Payout_Freq=1),SPW_Amount_pa,IF(AND(SPW_Payout_Freq=2,MOD(F34,6)=0),SPW_Amount_pa/SPW_Payout_Freq,IF(AND(SPW_Payout_Freq=4,MOD(F34,3)=0),SPW_Amount_pa/SPW_Payout_Freq,IF(SPW_Payout_Freq=12,SPW_Amount_pa/SPW_Payout_Freq,0)))),0)+IFERROR(VLOOKUP(H34,Input!$B$68:$C$74,2,0),0)*(F34=0)*(Option_PW="Y")*(Option_SPW="N")*(age+H34&gt;=Legal_Age)</f>
        <v>0</v>
      </c>
      <c r="O34" s="148">
        <f t="shared" ca="1" si="33"/>
        <v>0</v>
      </c>
      <c r="P34" s="14">
        <f ca="1">(MAX(MAX(sa-CF33*Flag_UL_Type,105%*SUM($I$7:I34))-(AD33+L34-N34)*Flag_UL_Type,0)*B34)</f>
        <v>2218901.1886034599</v>
      </c>
      <c r="Q34" s="213">
        <f t="shared" ca="1" si="7"/>
        <v>2313.241470805583</v>
      </c>
      <c r="R34" s="14">
        <f t="shared" ca="1" si="8"/>
        <v>0</v>
      </c>
      <c r="S34" s="14">
        <f t="shared" ca="1" si="9"/>
        <v>0</v>
      </c>
      <c r="T34" s="14">
        <f>IFERROR(IF(WoP_Flag="Y",IF(fq=1,VLOOKUP(ppt*fq-H34,Charges!$AN$41:$AO$59,2,FALSE),IF(fq=2,VLOOKUP(ppt*fq-G34,Charges!$AP$41:$AQ$79,2,FALSE),VLOOKUP(ppt*fq-D34,Charges!$AR$41:$AS$279,2,FALSE)))*pr/fq,0),0)</f>
        <v>0</v>
      </c>
      <c r="U34" s="14">
        <f ca="1">IFERROR(((T34*(VLOOKUP(Input!$D$18+H34-1,Tab_Mort_Charge,IF(Gender_2="M",2,3),FALSE)*(1+_emr2)+_rpm2)/IF(Model_Type="LA_PQIS",1000/0.0833,(12*1000))))*Flag_Mort_Rider_Charge*(T34&gt;0),0)</f>
        <v>0</v>
      </c>
      <c r="V34" s="34">
        <f>ROUND(MIN(IF(H34&gt;=7,Charges!$C$12*(1+Charges!$C$14)^((H34-7+1)),VLOOKUP(H34,Charges!$B$7:$C$12,2,0))*pr,Charges!$C$13)*B34,Round)</f>
        <v>450</v>
      </c>
      <c r="W34" s="14">
        <f t="shared" ca="1" si="10"/>
        <v>777838.18646098929</v>
      </c>
      <c r="X34" s="14">
        <f t="shared" ca="1" si="11"/>
        <v>780384.62627612008</v>
      </c>
      <c r="Y34" s="213">
        <f t="shared" ca="1" si="34"/>
        <v>878.41048445759156</v>
      </c>
      <c r="Z34" s="14">
        <f t="shared" ca="1" si="12"/>
        <v>779348.10190446011</v>
      </c>
      <c r="AA34" s="14">
        <f>IF(AND($H34=pt,$F34=11),SUM($K$7:K34)*VLOOKUP(pt,ROC,2,FALSE),0)</f>
        <v>0</v>
      </c>
      <c r="AB34" s="14">
        <f>IF(AND($H34=pt,$F34=11),SUM($V$7:V34)*VLOOKUP(pt,ROC,2,FALSE),0)</f>
        <v>0</v>
      </c>
      <c r="AC34" s="14">
        <f>IF(AND($H34=pt,$F34=11),SUM($Q$7:Q34)*VLOOKUP(pt,ROC,2,FALSE),0)</f>
        <v>0</v>
      </c>
      <c r="AD34" s="14">
        <f t="shared" ca="1" si="35"/>
        <v>779348.10190446011</v>
      </c>
      <c r="AE34" s="14">
        <f ca="1">(MAX(sa-CF33*Flag_UL_Type,105%*SUM($I$7:I34),Z34)+AU34)*B34</f>
        <v>3000000</v>
      </c>
      <c r="AF34" s="136"/>
      <c r="AG34" s="18">
        <v>28</v>
      </c>
      <c r="AH34" s="30">
        <f t="shared" ca="1" si="13"/>
        <v>0</v>
      </c>
      <c r="AI34" s="138"/>
      <c r="AJ34" s="50">
        <f>IF(AND(Option_Sys_TopUp&gt;="Y",H34&gt;=sytp,H34&lt;=(dtp+sytp-1),F34=0,H34&lt;=ppt+1),atp,0)+IFERROR(VLOOKUP(H34,Input!$B$55:$C$61,2,0),0)*(F34=0)*(Option_TopUP="Y")*(Option_Sys_TopUp="N")*B34*(pt&gt;=H34+5)</f>
        <v>0</v>
      </c>
      <c r="AK34" s="50">
        <f t="shared" si="14"/>
        <v>0</v>
      </c>
      <c r="AL34" s="50">
        <f t="shared" si="36"/>
        <v>0</v>
      </c>
      <c r="AM34" s="50">
        <f t="shared" ca="1" si="15"/>
        <v>0</v>
      </c>
      <c r="AN34" s="50">
        <f ca="1">IF(B34=0,0,AT34*(_rpm1+(1+_emr1)*VLOOKUP(E34,Tab_Mort_Charge,IF(Input!$C$12="M",2,3),0))*(0.001*0.0833)*Flag_Mort_Rider_Charge*(AT34&gt;0))</f>
        <v>0</v>
      </c>
      <c r="AO34" s="50">
        <f t="shared" ca="1" si="37"/>
        <v>0</v>
      </c>
      <c r="AP34" s="50">
        <f t="shared" ca="1" si="38"/>
        <v>0</v>
      </c>
      <c r="AQ34" s="50">
        <f t="shared" ca="1" si="16"/>
        <v>0</v>
      </c>
      <c r="AR34" s="50">
        <f t="shared" ca="1" si="17"/>
        <v>0</v>
      </c>
      <c r="AS34" s="50">
        <f t="shared" si="18"/>
        <v>0</v>
      </c>
      <c r="AT34" s="50">
        <f ca="1">(MAX((MAX(AS34,105%*SUM($AJ$7:AJ34))-AM34*Flag_UL_Type),0)*B34)</f>
        <v>0</v>
      </c>
      <c r="AU34" s="50">
        <f ca="1">(MAX(AS34,AR34,105%*SUM($AJ$7:AJ34))*B34)</f>
        <v>0</v>
      </c>
      <c r="AV34" s="125"/>
      <c r="AW34" s="12">
        <f t="shared" si="51"/>
        <v>28</v>
      </c>
      <c r="AX34" s="14">
        <f t="shared" si="39"/>
        <v>0</v>
      </c>
      <c r="AY34" s="14">
        <f t="shared" si="40"/>
        <v>0</v>
      </c>
      <c r="AZ34" s="14">
        <f t="shared" ca="1" si="41"/>
        <v>0</v>
      </c>
      <c r="BA34" s="14">
        <f t="shared" ca="1" si="42"/>
        <v>0</v>
      </c>
      <c r="BB34" s="14">
        <f t="shared" si="43"/>
        <v>0</v>
      </c>
      <c r="BC34" s="14">
        <f t="shared" ca="1" si="19"/>
        <v>0</v>
      </c>
      <c r="BD34" s="14">
        <f t="shared" ca="1" si="20"/>
        <v>0</v>
      </c>
      <c r="BE34" s="14">
        <f t="shared" si="44"/>
        <v>0</v>
      </c>
      <c r="BF34" s="14">
        <f t="shared" ca="1" si="45"/>
        <v>0</v>
      </c>
      <c r="BG34" s="51">
        <f t="shared" si="21"/>
        <v>0</v>
      </c>
      <c r="BH34" s="51">
        <f t="shared" ca="1" si="22"/>
        <v>416.38346474500503</v>
      </c>
      <c r="BI34" s="51">
        <f t="shared" ca="1" si="46"/>
        <v>0</v>
      </c>
      <c r="BJ34" s="51">
        <f t="shared" ca="1" si="23"/>
        <v>0</v>
      </c>
      <c r="BK34" s="51">
        <f t="shared" si="24"/>
        <v>81</v>
      </c>
      <c r="BL34" s="51">
        <f t="shared" ca="1" si="25"/>
        <v>158.11388720236647</v>
      </c>
      <c r="BM34" s="51">
        <f t="shared" si="26"/>
        <v>0</v>
      </c>
      <c r="BN34" s="51">
        <f t="shared" ca="1" si="27"/>
        <v>0</v>
      </c>
      <c r="BO34" s="51">
        <f t="shared" ca="1" si="28"/>
        <v>0</v>
      </c>
      <c r="BP34" s="51">
        <f t="shared" ca="1" si="29"/>
        <v>655.4973519473715</v>
      </c>
      <c r="BR34" s="32"/>
      <c r="BS34" s="126"/>
      <c r="BT34" s="16"/>
      <c r="BU34" s="58"/>
      <c r="BW34" s="51">
        <f>VLOOKUP(H34,Charges!$AT$4:$AU$33,2,FALSE)*I34</f>
        <v>0</v>
      </c>
      <c r="BX34" s="51">
        <f t="shared" si="30"/>
        <v>0</v>
      </c>
      <c r="BY34" s="51">
        <f t="shared" si="47"/>
        <v>0</v>
      </c>
      <c r="BZ34" s="151"/>
      <c r="CA34" s="151"/>
      <c r="CB34" s="32"/>
      <c r="CC34" s="16">
        <f ca="1">SUM($N$7:$N34)</f>
        <v>0</v>
      </c>
      <c r="CD34" s="16">
        <f t="shared" ca="1" si="31"/>
        <v>0</v>
      </c>
      <c r="CE34" s="16">
        <f t="shared" ca="1" si="32"/>
        <v>0</v>
      </c>
      <c r="CF34" s="7">
        <f t="shared" ca="1" si="48"/>
        <v>0</v>
      </c>
    </row>
    <row r="35" spans="1:84" s="7" customFormat="1" x14ac:dyDescent="0.2">
      <c r="A35" s="149"/>
      <c r="B35" s="14">
        <f t="shared" si="0"/>
        <v>1</v>
      </c>
      <c r="C35" s="12">
        <f t="shared" si="1"/>
        <v>1</v>
      </c>
      <c r="D35" s="17">
        <f t="shared" si="49"/>
        <v>29</v>
      </c>
      <c r="E35" s="17">
        <f t="shared" ca="1" si="2"/>
        <v>62</v>
      </c>
      <c r="F35" s="12">
        <f t="shared" si="53"/>
        <v>4</v>
      </c>
      <c r="G35" s="12">
        <f t="shared" si="52"/>
        <v>5</v>
      </c>
      <c r="H35" s="17">
        <f t="shared" si="54"/>
        <v>3</v>
      </c>
      <c r="I35" s="29">
        <f t="shared" si="3"/>
        <v>0</v>
      </c>
      <c r="J35" s="211">
        <f>IFERROR(VLOOKUP(H35,Charges!$T$6:$U$35,2,0)*C35,0)</f>
        <v>0.96499999999999997</v>
      </c>
      <c r="K35" s="29">
        <f t="shared" si="4"/>
        <v>0</v>
      </c>
      <c r="L35" s="29">
        <f t="shared" si="5"/>
        <v>0</v>
      </c>
      <c r="M35" s="147">
        <f t="shared" ca="1" si="6"/>
        <v>0</v>
      </c>
      <c r="N35" s="148">
        <f ca="1">IF(AND(Option_SPW="Y",H35&gt;=Lock_In_Period,Z34&gt;SPW_Amount_pa+IF(option="Single",1/5*pr,2*pr),H35&gt;=SPW_Start_Year,H35&lt;=SPW_Start_Year+SPW_Duration-1,age+H35&gt;=Legal_Age),IF(AND(F35=0,SPW_Payout_Freq=1),SPW_Amount_pa,IF(AND(SPW_Payout_Freq=2,MOD(F35,6)=0),SPW_Amount_pa/SPW_Payout_Freq,IF(AND(SPW_Payout_Freq=4,MOD(F35,3)=0),SPW_Amount_pa/SPW_Payout_Freq,IF(SPW_Payout_Freq=12,SPW_Amount_pa/SPW_Payout_Freq,0)))),0)+IFERROR(VLOOKUP(H35,Input!$B$68:$C$74,2,0),0)*(F35=0)*(Option_PW="Y")*(Option_SPW="N")*(age+H35&gt;=Legal_Age)</f>
        <v>0</v>
      </c>
      <c r="O35" s="148">
        <f t="shared" ca="1" si="33"/>
        <v>0</v>
      </c>
      <c r="P35" s="14">
        <f ca="1">(MAX(MAX(sa-CF34*Flag_UL_Type,105%*SUM($I$7:I35))-(AD34+L35-N35)*Flag_UL_Type,0)*B35)</f>
        <v>2220651.8980955398</v>
      </c>
      <c r="Q35" s="213">
        <f t="shared" ca="1" si="7"/>
        <v>2315.0666146295666</v>
      </c>
      <c r="R35" s="14">
        <f t="shared" ca="1" si="8"/>
        <v>0</v>
      </c>
      <c r="S35" s="14">
        <f t="shared" ca="1" si="9"/>
        <v>0</v>
      </c>
      <c r="T35" s="14">
        <f>IFERROR(IF(WoP_Flag="Y",IF(fq=1,VLOOKUP(ppt*fq-H35,Charges!$AN$41:$AO$59,2,FALSE),IF(fq=2,VLOOKUP(ppt*fq-G35,Charges!$AP$41:$AQ$79,2,FALSE),VLOOKUP(ppt*fq-D35,Charges!$AR$41:$AS$279,2,FALSE)))*pr/fq,0),0)</f>
        <v>0</v>
      </c>
      <c r="U35" s="14">
        <f ca="1">IFERROR(((T35*(VLOOKUP(Input!$D$18+H35-1,Tab_Mort_Charge,IF(Gender_2="M",2,3),FALSE)*(1+_emr2)+_rpm2)/IF(Model_Type="LA_PQIS",1000/0.0833,(12*1000))))*Flag_Mort_Rider_Charge*(T35&gt;0),0)</f>
        <v>0</v>
      </c>
      <c r="V35" s="34">
        <f>ROUND(MIN(IF(H35&gt;=7,Charges!$C$12*(1+Charges!$C$14)^((H35-7+1)),VLOOKUP(H35,Charges!$B$7:$C$12,2,0))*pr,Charges!$C$13)*B35,Round)</f>
        <v>450</v>
      </c>
      <c r="W35" s="14">
        <f t="shared" ca="1" si="10"/>
        <v>776085.32329919725</v>
      </c>
      <c r="X35" s="14">
        <f t="shared" ca="1" si="11"/>
        <v>778626.02469646255</v>
      </c>
      <c r="Y35" s="213">
        <f t="shared" ca="1" si="34"/>
        <v>876.43098100052543</v>
      </c>
      <c r="Z35" s="14">
        <f t="shared" ca="1" si="12"/>
        <v>777591.83613888198</v>
      </c>
      <c r="AA35" s="14">
        <f>IF(AND($H35=pt,$F35=11),SUM($K$7:K35)*VLOOKUP(pt,ROC,2,FALSE),0)</f>
        <v>0</v>
      </c>
      <c r="AB35" s="14">
        <f>IF(AND($H35=pt,$F35=11),SUM($V$7:V35)*VLOOKUP(pt,ROC,2,FALSE),0)</f>
        <v>0</v>
      </c>
      <c r="AC35" s="14">
        <f>IF(AND($H35=pt,$F35=11),SUM($Q$7:Q35)*VLOOKUP(pt,ROC,2,FALSE),0)</f>
        <v>0</v>
      </c>
      <c r="AD35" s="14">
        <f t="shared" ca="1" si="35"/>
        <v>777591.83613888198</v>
      </c>
      <c r="AE35" s="14">
        <f ca="1">(MAX(sa-CF34*Flag_UL_Type,105%*SUM($I$7:I35),Z35)+AU35)*B35</f>
        <v>3000000</v>
      </c>
      <c r="AF35" s="136"/>
      <c r="AG35" s="18">
        <v>29</v>
      </c>
      <c r="AH35" s="30">
        <f t="shared" ca="1" si="13"/>
        <v>0</v>
      </c>
      <c r="AI35" s="138"/>
      <c r="AJ35" s="50">
        <f>IF(AND(Option_Sys_TopUp&gt;="Y",H35&gt;=sytp,H35&lt;=(dtp+sytp-1),F35=0,H35&lt;=ppt+1),atp,0)+IFERROR(VLOOKUP(H35,Input!$B$55:$C$61,2,0),0)*(F35=0)*(Option_TopUP="Y")*(Option_Sys_TopUp="N")*B35*(pt&gt;=H35+5)</f>
        <v>0</v>
      </c>
      <c r="AK35" s="50">
        <f t="shared" si="14"/>
        <v>0</v>
      </c>
      <c r="AL35" s="50">
        <f t="shared" si="36"/>
        <v>0</v>
      </c>
      <c r="AM35" s="50">
        <f t="shared" ca="1" si="15"/>
        <v>0</v>
      </c>
      <c r="AN35" s="50">
        <f ca="1">IF(B35=0,0,AT35*(_rpm1+(1+_emr1)*VLOOKUP(E35,Tab_Mort_Charge,IF(Input!$C$12="M",2,3),0))*(0.001*0.0833)*Flag_Mort_Rider_Charge*(AT35&gt;0))</f>
        <v>0</v>
      </c>
      <c r="AO35" s="50">
        <f t="shared" ca="1" si="37"/>
        <v>0</v>
      </c>
      <c r="AP35" s="50">
        <f t="shared" ca="1" si="38"/>
        <v>0</v>
      </c>
      <c r="AQ35" s="50">
        <f t="shared" ca="1" si="16"/>
        <v>0</v>
      </c>
      <c r="AR35" s="50">
        <f t="shared" ca="1" si="17"/>
        <v>0</v>
      </c>
      <c r="AS35" s="50">
        <f t="shared" si="18"/>
        <v>0</v>
      </c>
      <c r="AT35" s="50">
        <f ca="1">(MAX((MAX(AS35,105%*SUM($AJ$7:AJ35))-AM35*Flag_UL_Type),0)*B35)</f>
        <v>0</v>
      </c>
      <c r="AU35" s="50">
        <f ca="1">(MAX(AS35,AR35,105%*SUM($AJ$7:AJ35))*B35)</f>
        <v>0</v>
      </c>
      <c r="AV35" s="125"/>
      <c r="AW35" s="12">
        <f t="shared" si="51"/>
        <v>29</v>
      </c>
      <c r="AX35" s="14">
        <f t="shared" si="39"/>
        <v>0</v>
      </c>
      <c r="AY35" s="14">
        <f t="shared" si="40"/>
        <v>0</v>
      </c>
      <c r="AZ35" s="14">
        <f t="shared" ca="1" si="41"/>
        <v>0</v>
      </c>
      <c r="BA35" s="14">
        <f t="shared" ca="1" si="42"/>
        <v>0</v>
      </c>
      <c r="BB35" s="14">
        <f t="shared" si="43"/>
        <v>0</v>
      </c>
      <c r="BC35" s="14">
        <f t="shared" ca="1" si="19"/>
        <v>0</v>
      </c>
      <c r="BD35" s="14">
        <f t="shared" ca="1" si="20"/>
        <v>0</v>
      </c>
      <c r="BE35" s="14">
        <f t="shared" si="44"/>
        <v>0</v>
      </c>
      <c r="BF35" s="14">
        <f t="shared" ca="1" si="45"/>
        <v>0</v>
      </c>
      <c r="BG35" s="51">
        <f t="shared" si="21"/>
        <v>0</v>
      </c>
      <c r="BH35" s="51">
        <f t="shared" ca="1" si="22"/>
        <v>416.71199063332199</v>
      </c>
      <c r="BI35" s="51">
        <f t="shared" ca="1" si="46"/>
        <v>0</v>
      </c>
      <c r="BJ35" s="51">
        <f t="shared" ca="1" si="23"/>
        <v>0</v>
      </c>
      <c r="BK35" s="51">
        <f t="shared" si="24"/>
        <v>81</v>
      </c>
      <c r="BL35" s="51">
        <f t="shared" ca="1" si="25"/>
        <v>157.75757658009456</v>
      </c>
      <c r="BM35" s="51">
        <f t="shared" si="26"/>
        <v>0</v>
      </c>
      <c r="BN35" s="51">
        <f t="shared" ca="1" si="27"/>
        <v>0</v>
      </c>
      <c r="BO35" s="51">
        <f t="shared" ca="1" si="28"/>
        <v>0</v>
      </c>
      <c r="BP35" s="51">
        <f t="shared" ca="1" si="29"/>
        <v>655.46956721341655</v>
      </c>
      <c r="BR35" s="32"/>
      <c r="BS35" s="126"/>
      <c r="BT35" s="16"/>
      <c r="BU35" s="58"/>
      <c r="BW35" s="51">
        <f>VLOOKUP(H35,Charges!$AT$4:$AU$33,2,FALSE)*I35</f>
        <v>0</v>
      </c>
      <c r="BX35" s="51">
        <f t="shared" si="30"/>
        <v>0</v>
      </c>
      <c r="BY35" s="51">
        <f t="shared" si="47"/>
        <v>0</v>
      </c>
      <c r="BZ35" s="151"/>
      <c r="CA35" s="151"/>
      <c r="CB35" s="32"/>
      <c r="CC35" s="16">
        <f ca="1">SUM($N$7:$N35)</f>
        <v>0</v>
      </c>
      <c r="CD35" s="16">
        <f t="shared" ca="1" si="31"/>
        <v>0</v>
      </c>
      <c r="CE35" s="16">
        <f t="shared" ca="1" si="32"/>
        <v>0</v>
      </c>
      <c r="CF35" s="7">
        <f t="shared" ca="1" si="48"/>
        <v>0</v>
      </c>
    </row>
    <row r="36" spans="1:84" s="7" customFormat="1" x14ac:dyDescent="0.2">
      <c r="A36" s="149"/>
      <c r="B36" s="14">
        <f t="shared" si="0"/>
        <v>1</v>
      </c>
      <c r="C36" s="12">
        <f t="shared" si="1"/>
        <v>1</v>
      </c>
      <c r="D36" s="17">
        <f t="shared" si="49"/>
        <v>30</v>
      </c>
      <c r="E36" s="17">
        <f t="shared" ca="1" si="2"/>
        <v>62</v>
      </c>
      <c r="F36" s="12">
        <f t="shared" si="53"/>
        <v>5</v>
      </c>
      <c r="G36" s="12">
        <f t="shared" si="52"/>
        <v>5</v>
      </c>
      <c r="H36" s="17">
        <f t="shared" si="54"/>
        <v>3</v>
      </c>
      <c r="I36" s="29">
        <f t="shared" si="3"/>
        <v>0</v>
      </c>
      <c r="J36" s="211">
        <f>IFERROR(VLOOKUP(H36,Charges!$T$6:$U$35,2,0)*C36,0)</f>
        <v>0.96499999999999997</v>
      </c>
      <c r="K36" s="29">
        <f t="shared" si="4"/>
        <v>0</v>
      </c>
      <c r="L36" s="29">
        <f t="shared" si="5"/>
        <v>0</v>
      </c>
      <c r="M36" s="147">
        <f t="shared" ca="1" si="6"/>
        <v>0</v>
      </c>
      <c r="N36" s="148">
        <f ca="1">IF(AND(Option_SPW="Y",H36&gt;=Lock_In_Period,Z35&gt;SPW_Amount_pa+IF(option="Single",1/5*pr,2*pr),H36&gt;=SPW_Start_Year,H36&lt;=SPW_Start_Year+SPW_Duration-1,age+H36&gt;=Legal_Age),IF(AND(F36=0,SPW_Payout_Freq=1),SPW_Amount_pa,IF(AND(SPW_Payout_Freq=2,MOD(F36,6)=0),SPW_Amount_pa/SPW_Payout_Freq,IF(AND(SPW_Payout_Freq=4,MOD(F36,3)=0),SPW_Amount_pa/SPW_Payout_Freq,IF(SPW_Payout_Freq=12,SPW_Amount_pa/SPW_Payout_Freq,0)))),0)+IFERROR(VLOOKUP(H36,Input!$B$68:$C$74,2,0),0)*(F36=0)*(Option_PW="Y")*(Option_SPW="N")*(age+H36&gt;=Legal_Age)</f>
        <v>0</v>
      </c>
      <c r="O36" s="148">
        <f t="shared" ca="1" si="33"/>
        <v>0</v>
      </c>
      <c r="P36" s="14">
        <f ca="1">(MAX(MAX(sa-CF35*Flag_UL_Type,105%*SUM($I$7:I36))-(AD35+L36-N36)*Flag_UL_Type,0)*B36)</f>
        <v>2222408.1638611183</v>
      </c>
      <c r="Q36" s="213">
        <f t="shared" ca="1" si="7"/>
        <v>2316.8975509612833</v>
      </c>
      <c r="R36" s="14">
        <f t="shared" ca="1" si="8"/>
        <v>0</v>
      </c>
      <c r="S36" s="14">
        <f t="shared" ca="1" si="9"/>
        <v>0</v>
      </c>
      <c r="T36" s="14">
        <f>IFERROR(IF(WoP_Flag="Y",IF(fq=1,VLOOKUP(ppt*fq-H36,Charges!$AN$41:$AO$59,2,FALSE),IF(fq=2,VLOOKUP(ppt*fq-G36,Charges!$AP$41:$AQ$79,2,FALSE),VLOOKUP(ppt*fq-D36,Charges!$AR$41:$AS$279,2,FALSE)))*pr/fq,0),0)</f>
        <v>0</v>
      </c>
      <c r="U36" s="14">
        <f ca="1">IFERROR(((T36*(VLOOKUP(Input!$D$18+H36-1,Tab_Mort_Charge,IF(Gender_2="M",2,3),FALSE)*(1+_emr2)+_rpm2)/IF(Model_Type="LA_PQIS",1000/0.0833,(12*1000))))*Flag_Mort_Rider_Charge*(T36&gt;0),0)</f>
        <v>0</v>
      </c>
      <c r="V36" s="34">
        <f>ROUND(MIN(IF(H36&gt;=7,Charges!$C$12*(1+Charges!$C$14)^((H36-7+1)),VLOOKUP(H36,Charges!$B$7:$C$12,2,0))*pr,Charges!$C$13)*B36,Round)</f>
        <v>450</v>
      </c>
      <c r="W36" s="14">
        <f t="shared" ca="1" si="10"/>
        <v>774326.89702874771</v>
      </c>
      <c r="X36" s="14">
        <f t="shared" ca="1" si="11"/>
        <v>776861.84179597732</v>
      </c>
      <c r="Y36" s="213">
        <f t="shared" ca="1" si="34"/>
        <v>874.44519514044021</v>
      </c>
      <c r="Z36" s="14">
        <f t="shared" ca="1" si="12"/>
        <v>775829.99646571162</v>
      </c>
      <c r="AA36" s="14">
        <f>IF(AND($H36=pt,$F36=11),SUM($K$7:K36)*VLOOKUP(pt,ROC,2,FALSE),0)</f>
        <v>0</v>
      </c>
      <c r="AB36" s="14">
        <f>IF(AND($H36=pt,$F36=11),SUM($V$7:V36)*VLOOKUP(pt,ROC,2,FALSE),0)</f>
        <v>0</v>
      </c>
      <c r="AC36" s="14">
        <f>IF(AND($H36=pt,$F36=11),SUM($Q$7:Q36)*VLOOKUP(pt,ROC,2,FALSE),0)</f>
        <v>0</v>
      </c>
      <c r="AD36" s="14">
        <f t="shared" ca="1" si="35"/>
        <v>775829.99646571162</v>
      </c>
      <c r="AE36" s="14">
        <f ca="1">(MAX(sa-CF35*Flag_UL_Type,105%*SUM($I$7:I36),Z36)+AU36)*B36</f>
        <v>3000000</v>
      </c>
      <c r="AF36" s="136"/>
      <c r="AG36" s="18">
        <v>30</v>
      </c>
      <c r="AH36" s="30">
        <f t="shared" ca="1" si="13"/>
        <v>0</v>
      </c>
      <c r="AI36" s="138"/>
      <c r="AJ36" s="50">
        <f>IF(AND(Option_Sys_TopUp&gt;="Y",H36&gt;=sytp,H36&lt;=(dtp+sytp-1),F36=0,H36&lt;=ppt+1),atp,0)+IFERROR(VLOOKUP(H36,Input!$B$55:$C$61,2,0),0)*(F36=0)*(Option_TopUP="Y")*(Option_Sys_TopUp="N")*B36*(pt&gt;=H36+5)</f>
        <v>0</v>
      </c>
      <c r="AK36" s="50">
        <f t="shared" si="14"/>
        <v>0</v>
      </c>
      <c r="AL36" s="50">
        <f t="shared" si="36"/>
        <v>0</v>
      </c>
      <c r="AM36" s="50">
        <f t="shared" ca="1" si="15"/>
        <v>0</v>
      </c>
      <c r="AN36" s="50">
        <f ca="1">IF(B36=0,0,AT36*(_rpm1+(1+_emr1)*VLOOKUP(E36,Tab_Mort_Charge,IF(Input!$C$12="M",2,3),0))*(0.001*0.0833)*Flag_Mort_Rider_Charge*(AT36&gt;0))</f>
        <v>0</v>
      </c>
      <c r="AO36" s="50">
        <f t="shared" ca="1" si="37"/>
        <v>0</v>
      </c>
      <c r="AP36" s="50">
        <f t="shared" ca="1" si="38"/>
        <v>0</v>
      </c>
      <c r="AQ36" s="50">
        <f t="shared" ca="1" si="16"/>
        <v>0</v>
      </c>
      <c r="AR36" s="50">
        <f t="shared" ca="1" si="17"/>
        <v>0</v>
      </c>
      <c r="AS36" s="50">
        <f t="shared" si="18"/>
        <v>0</v>
      </c>
      <c r="AT36" s="50">
        <f ca="1">(MAX((MAX(AS36,105%*SUM($AJ$7:AJ36))-AM36*Flag_UL_Type),0)*B36)</f>
        <v>0</v>
      </c>
      <c r="AU36" s="50">
        <f ca="1">(MAX(AS36,AR36,105%*SUM($AJ$7:AJ36))*B36)</f>
        <v>0</v>
      </c>
      <c r="AV36" s="125"/>
      <c r="AW36" s="12">
        <f t="shared" si="51"/>
        <v>30</v>
      </c>
      <c r="AX36" s="14">
        <f t="shared" si="39"/>
        <v>0</v>
      </c>
      <c r="AY36" s="14">
        <f t="shared" si="40"/>
        <v>0</v>
      </c>
      <c r="AZ36" s="14">
        <f t="shared" ca="1" si="41"/>
        <v>0</v>
      </c>
      <c r="BA36" s="14">
        <f t="shared" ca="1" si="42"/>
        <v>0</v>
      </c>
      <c r="BB36" s="14">
        <f t="shared" si="43"/>
        <v>0</v>
      </c>
      <c r="BC36" s="14">
        <f t="shared" ca="1" si="19"/>
        <v>0</v>
      </c>
      <c r="BD36" s="14">
        <f t="shared" ca="1" si="20"/>
        <v>0</v>
      </c>
      <c r="BE36" s="14">
        <f t="shared" si="44"/>
        <v>0</v>
      </c>
      <c r="BF36" s="14">
        <f t="shared" ca="1" si="45"/>
        <v>0</v>
      </c>
      <c r="BG36" s="51">
        <f t="shared" si="21"/>
        <v>0</v>
      </c>
      <c r="BH36" s="51">
        <f t="shared" ca="1" si="22"/>
        <v>417.04155917303098</v>
      </c>
      <c r="BI36" s="51">
        <f t="shared" ca="1" si="46"/>
        <v>0</v>
      </c>
      <c r="BJ36" s="51">
        <f t="shared" ca="1" si="23"/>
        <v>0</v>
      </c>
      <c r="BK36" s="51">
        <f t="shared" si="24"/>
        <v>81</v>
      </c>
      <c r="BL36" s="51">
        <f t="shared" ca="1" si="25"/>
        <v>157.40013512527923</v>
      </c>
      <c r="BM36" s="51">
        <f t="shared" si="26"/>
        <v>0</v>
      </c>
      <c r="BN36" s="51">
        <f t="shared" ca="1" si="27"/>
        <v>0</v>
      </c>
      <c r="BO36" s="51">
        <f t="shared" ca="1" si="28"/>
        <v>0</v>
      </c>
      <c r="BP36" s="51">
        <f t="shared" ca="1" si="29"/>
        <v>655.44169429831027</v>
      </c>
      <c r="BR36" s="32"/>
      <c r="BS36" s="126"/>
      <c r="BT36" s="16"/>
      <c r="BU36" s="58"/>
      <c r="BW36" s="51">
        <f>VLOOKUP(H36,Charges!$AT$4:$AU$33,2,FALSE)*I36</f>
        <v>0</v>
      </c>
      <c r="BX36" s="51">
        <f t="shared" si="30"/>
        <v>0</v>
      </c>
      <c r="BY36" s="51">
        <f t="shared" si="47"/>
        <v>0</v>
      </c>
      <c r="BZ36" s="151"/>
      <c r="CA36" s="151"/>
      <c r="CB36" s="32"/>
      <c r="CC36" s="16">
        <f ca="1">SUM($N$7:$N36)</f>
        <v>0</v>
      </c>
      <c r="CD36" s="16">
        <f t="shared" ca="1" si="31"/>
        <v>0</v>
      </c>
      <c r="CE36" s="16">
        <f t="shared" ca="1" si="32"/>
        <v>0</v>
      </c>
      <c r="CF36" s="7">
        <f t="shared" ca="1" si="48"/>
        <v>0</v>
      </c>
    </row>
    <row r="37" spans="1:84" s="7" customFormat="1" x14ac:dyDescent="0.2">
      <c r="A37" s="149"/>
      <c r="B37" s="14">
        <f t="shared" si="0"/>
        <v>1</v>
      </c>
      <c r="C37" s="12">
        <f t="shared" si="1"/>
        <v>1</v>
      </c>
      <c r="D37" s="17">
        <f t="shared" si="49"/>
        <v>31</v>
      </c>
      <c r="E37" s="17">
        <f t="shared" ca="1" si="2"/>
        <v>62</v>
      </c>
      <c r="F37" s="12">
        <f t="shared" si="53"/>
        <v>6</v>
      </c>
      <c r="G37" s="12">
        <f t="shared" si="52"/>
        <v>6</v>
      </c>
      <c r="H37" s="17">
        <f t="shared" si="54"/>
        <v>3</v>
      </c>
      <c r="I37" s="29">
        <f t="shared" si="3"/>
        <v>0</v>
      </c>
      <c r="J37" s="211">
        <f>IFERROR(VLOOKUP(H37,Charges!$T$6:$U$35,2,0)*C37,0)</f>
        <v>0.96499999999999997</v>
      </c>
      <c r="K37" s="29">
        <f t="shared" si="4"/>
        <v>0</v>
      </c>
      <c r="L37" s="29">
        <f t="shared" si="5"/>
        <v>0</v>
      </c>
      <c r="M37" s="147">
        <f t="shared" ca="1" si="6"/>
        <v>0</v>
      </c>
      <c r="N37" s="148">
        <f ca="1">IF(AND(Option_SPW="Y",H37&gt;=Lock_In_Period,Z36&gt;SPW_Amount_pa+IF(option="Single",1/5*pr,2*pr),H37&gt;=SPW_Start_Year,H37&lt;=SPW_Start_Year+SPW_Duration-1,age+H37&gt;=Legal_Age),IF(AND(F37=0,SPW_Payout_Freq=1),SPW_Amount_pa,IF(AND(SPW_Payout_Freq=2,MOD(F37,6)=0),SPW_Amount_pa/SPW_Payout_Freq,IF(AND(SPW_Payout_Freq=4,MOD(F37,3)=0),SPW_Amount_pa/SPW_Payout_Freq,IF(SPW_Payout_Freq=12,SPW_Amount_pa/SPW_Payout_Freq,0)))),0)+IFERROR(VLOOKUP(H37,Input!$B$68:$C$74,2,0),0)*(F37=0)*(Option_PW="Y")*(Option_SPW="N")*(age+H37&gt;=Legal_Age)</f>
        <v>0</v>
      </c>
      <c r="O37" s="148">
        <f t="shared" ca="1" si="33"/>
        <v>0</v>
      </c>
      <c r="P37" s="14">
        <f ca="1">(MAX(MAX(sa-CF36*Flag_UL_Type,105%*SUM($I$7:I37))-(AD36+L37-N37)*Flag_UL_Type,0)*B37)</f>
        <v>2224170.0035342881</v>
      </c>
      <c r="Q37" s="213">
        <f t="shared" ca="1" si="7"/>
        <v>2318.73429818455</v>
      </c>
      <c r="R37" s="14">
        <f t="shared" ca="1" si="8"/>
        <v>0</v>
      </c>
      <c r="S37" s="14">
        <f t="shared" ca="1" si="9"/>
        <v>0</v>
      </c>
      <c r="T37" s="14">
        <f>IFERROR(IF(WoP_Flag="Y",IF(fq=1,VLOOKUP(ppt*fq-H37,Charges!$AN$41:$AO$59,2,FALSE),IF(fq=2,VLOOKUP(ppt*fq-G37,Charges!$AP$41:$AQ$79,2,FALSE),VLOOKUP(ppt*fq-D37,Charges!$AR$41:$AS$279,2,FALSE)))*pr/fq,0),0)</f>
        <v>0</v>
      </c>
      <c r="U37" s="14">
        <f ca="1">IFERROR(((T37*(VLOOKUP(Input!$D$18+H37-1,Tab_Mort_Charge,IF(Gender_2="M",2,3),FALSE)*(1+_emr2)+_rpm2)/IF(Model_Type="LA_PQIS",1000/0.0833,(12*1000))))*Flag_Mort_Rider_Charge*(T37&gt;0),0)</f>
        <v>0</v>
      </c>
      <c r="V37" s="34">
        <f>ROUND(MIN(IF(H37&gt;=7,Charges!$C$12*(1+Charges!$C$14)^((H37-7+1)),VLOOKUP(H37,Charges!$B$7:$C$12,2,0))*pr,Charges!$C$13)*B37,Round)</f>
        <v>450</v>
      </c>
      <c r="W37" s="14">
        <f t="shared" ca="1" si="10"/>
        <v>772562.88999385387</v>
      </c>
      <c r="X37" s="14">
        <f t="shared" ca="1" si="11"/>
        <v>775092.05986107734</v>
      </c>
      <c r="Y37" s="213">
        <f t="shared" ca="1" si="34"/>
        <v>872.45310693870545</v>
      </c>
      <c r="Z37" s="14">
        <f t="shared" ca="1" si="12"/>
        <v>774062.56519488967</v>
      </c>
      <c r="AA37" s="14">
        <f>IF(AND($H37=pt,$F37=11),SUM($K$7:K37)*VLOOKUP(pt,ROC,2,FALSE),0)</f>
        <v>0</v>
      </c>
      <c r="AB37" s="14">
        <f>IF(AND($H37=pt,$F37=11),SUM($V$7:V37)*VLOOKUP(pt,ROC,2,FALSE),0)</f>
        <v>0</v>
      </c>
      <c r="AC37" s="14">
        <f>IF(AND($H37=pt,$F37=11),SUM($Q$7:Q37)*VLOOKUP(pt,ROC,2,FALSE),0)</f>
        <v>0</v>
      </c>
      <c r="AD37" s="14">
        <f t="shared" ca="1" si="35"/>
        <v>774062.56519488967</v>
      </c>
      <c r="AE37" s="14">
        <f ca="1">(MAX(sa-CF36*Flag_UL_Type,105%*SUM($I$7:I37),Z37)+AU37)*B37</f>
        <v>3000000</v>
      </c>
      <c r="AF37" s="136"/>
      <c r="AG37" s="18">
        <v>31</v>
      </c>
      <c r="AH37" s="30">
        <f t="shared" ca="1" si="13"/>
        <v>0</v>
      </c>
      <c r="AI37" s="138"/>
      <c r="AJ37" s="50">
        <f>IF(AND(Option_Sys_TopUp&gt;="Y",H37&gt;=sytp,H37&lt;=(dtp+sytp-1),F37=0,H37&lt;=ppt+1),atp,0)+IFERROR(VLOOKUP(H37,Input!$B$55:$C$61,2,0),0)*(F37=0)*(Option_TopUP="Y")*(Option_Sys_TopUp="N")*B37*(pt&gt;=H37+5)</f>
        <v>0</v>
      </c>
      <c r="AK37" s="50">
        <f t="shared" si="14"/>
        <v>0</v>
      </c>
      <c r="AL37" s="50">
        <f t="shared" si="36"/>
        <v>0</v>
      </c>
      <c r="AM37" s="50">
        <f t="shared" ca="1" si="15"/>
        <v>0</v>
      </c>
      <c r="AN37" s="50">
        <f ca="1">IF(B37=0,0,AT37*(_rpm1+(1+_emr1)*VLOOKUP(E37,Tab_Mort_Charge,IF(Input!$C$12="M",2,3),0))*(0.001*0.0833)*Flag_Mort_Rider_Charge*(AT37&gt;0))</f>
        <v>0</v>
      </c>
      <c r="AO37" s="50">
        <f t="shared" ca="1" si="37"/>
        <v>0</v>
      </c>
      <c r="AP37" s="50">
        <f t="shared" ca="1" si="38"/>
        <v>0</v>
      </c>
      <c r="AQ37" s="50">
        <f t="shared" ca="1" si="16"/>
        <v>0</v>
      </c>
      <c r="AR37" s="50">
        <f t="shared" ca="1" si="17"/>
        <v>0</v>
      </c>
      <c r="AS37" s="50">
        <f t="shared" si="18"/>
        <v>0</v>
      </c>
      <c r="AT37" s="50">
        <f ca="1">(MAX((MAX(AS37,105%*SUM($AJ$7:AJ37))-AM37*Flag_UL_Type),0)*B37)</f>
        <v>0</v>
      </c>
      <c r="AU37" s="50">
        <f ca="1">(MAX(AS37,AR37,105%*SUM($AJ$7:AJ37))*B37)</f>
        <v>0</v>
      </c>
      <c r="AV37" s="125"/>
      <c r="AW37" s="13"/>
      <c r="AX37" s="13"/>
      <c r="AY37" s="13"/>
      <c r="AZ37" s="13"/>
      <c r="BA37" s="13"/>
      <c r="BG37" s="51">
        <f t="shared" si="21"/>
        <v>0</v>
      </c>
      <c r="BH37" s="51">
        <f t="shared" ca="1" si="22"/>
        <v>417.37217367321898</v>
      </c>
      <c r="BI37" s="51">
        <f t="shared" ca="1" si="46"/>
        <v>0</v>
      </c>
      <c r="BJ37" s="51">
        <f t="shared" ca="1" si="23"/>
        <v>0</v>
      </c>
      <c r="BK37" s="51">
        <f t="shared" si="24"/>
        <v>81</v>
      </c>
      <c r="BL37" s="51">
        <f t="shared" ca="1" si="25"/>
        <v>157.04155924896696</v>
      </c>
      <c r="BM37" s="51">
        <f t="shared" si="26"/>
        <v>0</v>
      </c>
      <c r="BN37" s="51">
        <f t="shared" ca="1" si="27"/>
        <v>0</v>
      </c>
      <c r="BO37" s="51">
        <f t="shared" ca="1" si="28"/>
        <v>0</v>
      </c>
      <c r="BP37" s="51">
        <f t="shared" ca="1" si="29"/>
        <v>655.413732922186</v>
      </c>
      <c r="BR37" s="32"/>
      <c r="BS37" s="126"/>
      <c r="BT37" s="16"/>
      <c r="BU37" s="58"/>
      <c r="BW37" s="51">
        <f>VLOOKUP(H37,Charges!$AT$4:$AU$33,2,FALSE)*I37</f>
        <v>0</v>
      </c>
      <c r="BX37" s="51">
        <f t="shared" si="30"/>
        <v>0</v>
      </c>
      <c r="BY37" s="51">
        <f t="shared" si="47"/>
        <v>0</v>
      </c>
      <c r="BZ37" s="151"/>
      <c r="CA37" s="151"/>
      <c r="CB37" s="32"/>
      <c r="CC37" s="16">
        <f ca="1">SUM($N$7:$N37)</f>
        <v>0</v>
      </c>
      <c r="CD37" s="16">
        <f t="shared" ca="1" si="31"/>
        <v>0</v>
      </c>
      <c r="CE37" s="16">
        <f t="shared" ca="1" si="32"/>
        <v>0</v>
      </c>
      <c r="CF37" s="7">
        <f t="shared" ca="1" si="48"/>
        <v>0</v>
      </c>
    </row>
    <row r="38" spans="1:84" s="7" customFormat="1" x14ac:dyDescent="0.2">
      <c r="A38" s="149"/>
      <c r="B38" s="14">
        <f t="shared" si="0"/>
        <v>1</v>
      </c>
      <c r="C38" s="12">
        <f t="shared" si="1"/>
        <v>1</v>
      </c>
      <c r="D38" s="17">
        <f t="shared" si="49"/>
        <v>32</v>
      </c>
      <c r="E38" s="17">
        <f t="shared" ca="1" si="2"/>
        <v>62</v>
      </c>
      <c r="F38" s="12">
        <f t="shared" si="53"/>
        <v>7</v>
      </c>
      <c r="G38" s="12">
        <f t="shared" si="52"/>
        <v>6</v>
      </c>
      <c r="H38" s="17">
        <f t="shared" si="54"/>
        <v>3</v>
      </c>
      <c r="I38" s="29">
        <f t="shared" si="3"/>
        <v>0</v>
      </c>
      <c r="J38" s="211">
        <f>IFERROR(VLOOKUP(H38,Charges!$T$6:$U$35,2,0)*C38,0)</f>
        <v>0.96499999999999997</v>
      </c>
      <c r="K38" s="29">
        <f t="shared" si="4"/>
        <v>0</v>
      </c>
      <c r="L38" s="29">
        <f t="shared" si="5"/>
        <v>0</v>
      </c>
      <c r="M38" s="147">
        <f t="shared" ca="1" si="6"/>
        <v>0</v>
      </c>
      <c r="N38" s="148">
        <f ca="1">IF(AND(Option_SPW="Y",H38&gt;=Lock_In_Period,Z37&gt;SPW_Amount_pa+IF(option="Single",1/5*pr,2*pr),H38&gt;=SPW_Start_Year,H38&lt;=SPW_Start_Year+SPW_Duration-1,age+H38&gt;=Legal_Age),IF(AND(F38=0,SPW_Payout_Freq=1),SPW_Amount_pa,IF(AND(SPW_Payout_Freq=2,MOD(F38,6)=0),SPW_Amount_pa/SPW_Payout_Freq,IF(AND(SPW_Payout_Freq=4,MOD(F38,3)=0),SPW_Amount_pa/SPW_Payout_Freq,IF(SPW_Payout_Freq=12,SPW_Amount_pa/SPW_Payout_Freq,0)))),0)+IFERROR(VLOOKUP(H38,Input!$B$68:$C$74,2,0),0)*(F38=0)*(Option_PW="Y")*(Option_SPW="N")*(age+H38&gt;=Legal_Age)</f>
        <v>0</v>
      </c>
      <c r="O38" s="148">
        <f t="shared" ca="1" si="33"/>
        <v>0</v>
      </c>
      <c r="P38" s="14">
        <f ca="1">(MAX(MAX(sa-CF37*Flag_UL_Type,105%*SUM($I$7:I38))-(AD37+L38-N38)*Flag_UL_Type,0)*B38)</f>
        <v>2225937.4348051101</v>
      </c>
      <c r="Q38" s="213">
        <f t="shared" ca="1" si="7"/>
        <v>2320.576874741575</v>
      </c>
      <c r="R38" s="14">
        <f t="shared" ca="1" si="8"/>
        <v>0</v>
      </c>
      <c r="S38" s="14">
        <f t="shared" ca="1" si="9"/>
        <v>0</v>
      </c>
      <c r="T38" s="14">
        <f>IFERROR(IF(WoP_Flag="Y",IF(fq=1,VLOOKUP(ppt*fq-H38,Charges!$AN$41:$AO$59,2,FALSE),IF(fq=2,VLOOKUP(ppt*fq-G38,Charges!$AP$41:$AQ$79,2,FALSE),VLOOKUP(ppt*fq-D38,Charges!$AR$41:$AS$279,2,FALSE)))*pr/fq,0),0)</f>
        <v>0</v>
      </c>
      <c r="U38" s="14">
        <f ca="1">IFERROR(((T38*(VLOOKUP(Input!$D$18+H38-1,Tab_Mort_Charge,IF(Gender_2="M",2,3),FALSE)*(1+_emr2)+_rpm2)/IF(Model_Type="LA_PQIS",1000/0.0833,(12*1000))))*Flag_Mort_Rider_Charge*(T38&gt;0),0)</f>
        <v>0</v>
      </c>
      <c r="V38" s="34">
        <f>ROUND(MIN(IF(H38&gt;=7,Charges!$C$12*(1+Charges!$C$14)^((H38-7+1)),VLOOKUP(H38,Charges!$B$7:$C$12,2,0))*pr,Charges!$C$13)*B38,Round)</f>
        <v>450</v>
      </c>
      <c r="W38" s="14">
        <f t="shared" ca="1" si="10"/>
        <v>770793.28448269458</v>
      </c>
      <c r="X38" s="14">
        <f t="shared" ca="1" si="11"/>
        <v>773316.66112195735</v>
      </c>
      <c r="Y38" s="213">
        <f t="shared" ca="1" si="34"/>
        <v>870.45469639341115</v>
      </c>
      <c r="Z38" s="14">
        <f t="shared" ca="1" si="12"/>
        <v>772289.52458021312</v>
      </c>
      <c r="AA38" s="14">
        <f>IF(AND($H38=pt,$F38=11),SUM($K$7:K38)*VLOOKUP(pt,ROC,2,FALSE),0)</f>
        <v>0</v>
      </c>
      <c r="AB38" s="14">
        <f>IF(AND($H38=pt,$F38=11),SUM($V$7:V38)*VLOOKUP(pt,ROC,2,FALSE),0)</f>
        <v>0</v>
      </c>
      <c r="AC38" s="14">
        <f>IF(AND($H38=pt,$F38=11),SUM($Q$7:Q38)*VLOOKUP(pt,ROC,2,FALSE),0)</f>
        <v>0</v>
      </c>
      <c r="AD38" s="14">
        <f t="shared" ca="1" si="35"/>
        <v>772289.52458021312</v>
      </c>
      <c r="AE38" s="14">
        <f ca="1">(MAX(sa-CF37*Flag_UL_Type,105%*SUM($I$7:I38),Z38)+AU38)*B38</f>
        <v>3000000</v>
      </c>
      <c r="AF38" s="136"/>
      <c r="AG38" s="18">
        <v>32</v>
      </c>
      <c r="AH38" s="30">
        <f t="shared" ca="1" si="13"/>
        <v>0</v>
      </c>
      <c r="AI38" s="138"/>
      <c r="AJ38" s="50">
        <f>IF(AND(Option_Sys_TopUp&gt;="Y",H38&gt;=sytp,H38&lt;=(dtp+sytp-1),F38=0,H38&lt;=ppt+1),atp,0)+IFERROR(VLOOKUP(H38,Input!$B$55:$C$61,2,0),0)*(F38=0)*(Option_TopUP="Y")*(Option_Sys_TopUp="N")*B38*(pt&gt;=H38+5)</f>
        <v>0</v>
      </c>
      <c r="AK38" s="50">
        <f t="shared" si="14"/>
        <v>0</v>
      </c>
      <c r="AL38" s="50">
        <f t="shared" si="36"/>
        <v>0</v>
      </c>
      <c r="AM38" s="50">
        <f t="shared" ca="1" si="15"/>
        <v>0</v>
      </c>
      <c r="AN38" s="50">
        <f ca="1">IF(B38=0,0,AT38*(_rpm1+(1+_emr1)*VLOOKUP(E38,Tab_Mort_Charge,IF(Input!$C$12="M",2,3),0))*(0.001*0.0833)*Flag_Mort_Rider_Charge*(AT38&gt;0))</f>
        <v>0</v>
      </c>
      <c r="AO38" s="50">
        <f t="shared" ca="1" si="37"/>
        <v>0</v>
      </c>
      <c r="AP38" s="50">
        <f t="shared" ca="1" si="38"/>
        <v>0</v>
      </c>
      <c r="AQ38" s="50">
        <f t="shared" ca="1" si="16"/>
        <v>0</v>
      </c>
      <c r="AR38" s="50">
        <f t="shared" ca="1" si="17"/>
        <v>0</v>
      </c>
      <c r="AS38" s="50">
        <f t="shared" si="18"/>
        <v>0</v>
      </c>
      <c r="AT38" s="50">
        <f ca="1">(MAX((MAX(AS38,105%*SUM($AJ$7:AJ38))-AM38*Flag_UL_Type),0)*B38)</f>
        <v>0</v>
      </c>
      <c r="AU38" s="50">
        <f ca="1">(MAX(AS38,AR38,105%*SUM($AJ$7:AJ38))*B38)</f>
        <v>0</v>
      </c>
      <c r="AV38" s="125"/>
      <c r="AW38" s="13"/>
      <c r="AX38" s="13"/>
      <c r="AY38" s="13"/>
      <c r="AZ38" s="13"/>
      <c r="BA38" s="13"/>
      <c r="BG38" s="51">
        <f t="shared" si="21"/>
        <v>0</v>
      </c>
      <c r="BH38" s="51">
        <f t="shared" ca="1" si="22"/>
        <v>417.703837453483</v>
      </c>
      <c r="BI38" s="51">
        <f t="shared" ca="1" si="46"/>
        <v>0</v>
      </c>
      <c r="BJ38" s="51">
        <f t="shared" ca="1" si="23"/>
        <v>0</v>
      </c>
      <c r="BK38" s="51">
        <f t="shared" si="24"/>
        <v>81</v>
      </c>
      <c r="BL38" s="51">
        <f t="shared" ca="1" si="25"/>
        <v>156.681845350814</v>
      </c>
      <c r="BM38" s="51">
        <f t="shared" si="26"/>
        <v>0</v>
      </c>
      <c r="BN38" s="51">
        <f t="shared" ca="1" si="27"/>
        <v>0</v>
      </c>
      <c r="BO38" s="51">
        <f t="shared" ca="1" si="28"/>
        <v>0</v>
      </c>
      <c r="BP38" s="51">
        <f t="shared" ca="1" si="29"/>
        <v>655.38568280429695</v>
      </c>
      <c r="BR38" s="32"/>
      <c r="BS38" s="126"/>
      <c r="BT38" s="16"/>
      <c r="BU38" s="58"/>
      <c r="BW38" s="51">
        <f>VLOOKUP(H38,Charges!$AT$4:$AU$33,2,FALSE)*I38</f>
        <v>0</v>
      </c>
      <c r="BX38" s="51">
        <f t="shared" si="30"/>
        <v>0</v>
      </c>
      <c r="BY38" s="51">
        <f t="shared" si="47"/>
        <v>0</v>
      </c>
      <c r="BZ38" s="151"/>
      <c r="CA38" s="151"/>
      <c r="CB38" s="32"/>
      <c r="CC38" s="16">
        <f ca="1">SUM($N$7:$N38)</f>
        <v>0</v>
      </c>
      <c r="CD38" s="16">
        <f t="shared" ca="1" si="31"/>
        <v>0</v>
      </c>
      <c r="CE38" s="16">
        <f t="shared" ca="1" si="32"/>
        <v>0</v>
      </c>
      <c r="CF38" s="7">
        <f t="shared" ca="1" si="48"/>
        <v>0</v>
      </c>
    </row>
    <row r="39" spans="1:84" s="7" customFormat="1" x14ac:dyDescent="0.2">
      <c r="A39" s="149"/>
      <c r="B39" s="14">
        <f t="shared" si="0"/>
        <v>1</v>
      </c>
      <c r="C39" s="12">
        <f t="shared" si="1"/>
        <v>1</v>
      </c>
      <c r="D39" s="17">
        <f t="shared" si="49"/>
        <v>33</v>
      </c>
      <c r="E39" s="17">
        <f t="shared" ca="1" si="2"/>
        <v>62</v>
      </c>
      <c r="F39" s="12">
        <f t="shared" si="53"/>
        <v>8</v>
      </c>
      <c r="G39" s="12">
        <f t="shared" si="52"/>
        <v>6</v>
      </c>
      <c r="H39" s="17">
        <f t="shared" si="54"/>
        <v>3</v>
      </c>
      <c r="I39" s="29">
        <f t="shared" si="3"/>
        <v>0</v>
      </c>
      <c r="J39" s="211">
        <f>IFERROR(VLOOKUP(H39,Charges!$T$6:$U$35,2,0)*C39,0)</f>
        <v>0.96499999999999997</v>
      </c>
      <c r="K39" s="29">
        <f t="shared" si="4"/>
        <v>0</v>
      </c>
      <c r="L39" s="29">
        <f t="shared" si="5"/>
        <v>0</v>
      </c>
      <c r="M39" s="147">
        <f t="shared" ca="1" si="6"/>
        <v>0</v>
      </c>
      <c r="N39" s="148">
        <f ca="1">IF(AND(Option_SPW="Y",H39&gt;=Lock_In_Period,Z38&gt;SPW_Amount_pa+IF(option="Single",1/5*pr,2*pr),H39&gt;=SPW_Start_Year,H39&lt;=SPW_Start_Year+SPW_Duration-1,age+H39&gt;=Legal_Age),IF(AND(F39=0,SPW_Payout_Freq=1),SPW_Amount_pa,IF(AND(SPW_Payout_Freq=2,MOD(F39,6)=0),SPW_Amount_pa/SPW_Payout_Freq,IF(AND(SPW_Payout_Freq=4,MOD(F39,3)=0),SPW_Amount_pa/SPW_Payout_Freq,IF(SPW_Payout_Freq=12,SPW_Amount_pa/SPW_Payout_Freq,0)))),0)+IFERROR(VLOOKUP(H39,Input!$B$68:$C$74,2,0),0)*(F39=0)*(Option_PW="Y")*(Option_SPW="N")*(age+H39&gt;=Legal_Age)</f>
        <v>0</v>
      </c>
      <c r="O39" s="148">
        <f t="shared" ca="1" si="33"/>
        <v>0</v>
      </c>
      <c r="P39" s="14">
        <f ca="1">(MAX(MAX(sa-CF38*Flag_UL_Type,105%*SUM($I$7:I39))-(AD38+L39-N39)*Flag_UL_Type,0)*B39)</f>
        <v>2227710.4754197868</v>
      </c>
      <c r="Q39" s="213">
        <f t="shared" ca="1" si="7"/>
        <v>2322.42529913305</v>
      </c>
      <c r="R39" s="14">
        <f t="shared" ca="1" si="8"/>
        <v>0</v>
      </c>
      <c r="S39" s="14">
        <f t="shared" ca="1" si="9"/>
        <v>0</v>
      </c>
      <c r="T39" s="14">
        <f>IFERROR(IF(WoP_Flag="Y",IF(fq=1,VLOOKUP(ppt*fq-H39,Charges!$AN$41:$AO$59,2,FALSE),IF(fq=2,VLOOKUP(ppt*fq-G39,Charges!$AP$41:$AQ$79,2,FALSE),VLOOKUP(ppt*fq-D39,Charges!$AR$41:$AS$279,2,FALSE)))*pr/fq,0),0)</f>
        <v>0</v>
      </c>
      <c r="U39" s="14">
        <f ca="1">IFERROR(((T39*(VLOOKUP(Input!$D$18+H39-1,Tab_Mort_Charge,IF(Gender_2="M",2,3),FALSE)*(1+_emr2)+_rpm2)/IF(Model_Type="LA_PQIS",1000/0.0833,(12*1000))))*Flag_Mort_Rider_Charge*(T39&gt;0),0)</f>
        <v>0</v>
      </c>
      <c r="V39" s="34">
        <f>ROUND(MIN(IF(H39&gt;=7,Charges!$C$12*(1+Charges!$C$14)^((H39-7+1)),VLOOKUP(H39,Charges!$B$7:$C$12,2,0))*pr,Charges!$C$13)*B39,Round)</f>
        <v>450</v>
      </c>
      <c r="W39" s="14">
        <f t="shared" ca="1" si="10"/>
        <v>769018.06272723607</v>
      </c>
      <c r="X39" s="14">
        <f t="shared" ca="1" si="11"/>
        <v>771535.62775241572</v>
      </c>
      <c r="Y39" s="213">
        <f t="shared" ca="1" si="34"/>
        <v>868.44994343916642</v>
      </c>
      <c r="Z39" s="14">
        <f t="shared" ca="1" si="12"/>
        <v>770510.85681915749</v>
      </c>
      <c r="AA39" s="14">
        <f>IF(AND($H39=pt,$F39=11),SUM($K$7:K39)*VLOOKUP(pt,ROC,2,FALSE),0)</f>
        <v>0</v>
      </c>
      <c r="AB39" s="14">
        <f>IF(AND($H39=pt,$F39=11),SUM($V$7:V39)*VLOOKUP(pt,ROC,2,FALSE),0)</f>
        <v>0</v>
      </c>
      <c r="AC39" s="14">
        <f>IF(AND($H39=pt,$F39=11),SUM($Q$7:Q39)*VLOOKUP(pt,ROC,2,FALSE),0)</f>
        <v>0</v>
      </c>
      <c r="AD39" s="14">
        <f t="shared" ca="1" si="35"/>
        <v>770510.85681915749</v>
      </c>
      <c r="AE39" s="14">
        <f ca="1">(MAX(sa-CF38*Flag_UL_Type,105%*SUM($I$7:I39),Z39)+AU39)*B39</f>
        <v>3000000</v>
      </c>
      <c r="AF39" s="136"/>
      <c r="AG39" s="18">
        <v>33</v>
      </c>
      <c r="AH39" s="30">
        <f t="shared" ca="1" si="13"/>
        <v>0</v>
      </c>
      <c r="AI39" s="138"/>
      <c r="AJ39" s="50">
        <f>IF(AND(Option_Sys_TopUp&gt;="Y",H39&gt;=sytp,H39&lt;=(dtp+sytp-1),F39=0,H39&lt;=ppt+1),atp,0)+IFERROR(VLOOKUP(H39,Input!$B$55:$C$61,2,0),0)*(F39=0)*(Option_TopUP="Y")*(Option_Sys_TopUp="N")*B39*(pt&gt;=H39+5)</f>
        <v>0</v>
      </c>
      <c r="AK39" s="50">
        <f t="shared" si="14"/>
        <v>0</v>
      </c>
      <c r="AL39" s="50">
        <f t="shared" si="36"/>
        <v>0</v>
      </c>
      <c r="AM39" s="50">
        <f t="shared" ca="1" si="15"/>
        <v>0</v>
      </c>
      <c r="AN39" s="50">
        <f ca="1">IF(B39=0,0,AT39*(_rpm1+(1+_emr1)*VLOOKUP(E39,Tab_Mort_Charge,IF(Input!$C$12="M",2,3),0))*(0.001*0.0833)*Flag_Mort_Rider_Charge*(AT39&gt;0))</f>
        <v>0</v>
      </c>
      <c r="AO39" s="50">
        <f t="shared" ca="1" si="37"/>
        <v>0</v>
      </c>
      <c r="AP39" s="50">
        <f t="shared" ca="1" si="38"/>
        <v>0</v>
      </c>
      <c r="AQ39" s="50">
        <f t="shared" ca="1" si="16"/>
        <v>0</v>
      </c>
      <c r="AR39" s="50">
        <f t="shared" ca="1" si="17"/>
        <v>0</v>
      </c>
      <c r="AS39" s="50">
        <f t="shared" si="18"/>
        <v>0</v>
      </c>
      <c r="AT39" s="50">
        <f ca="1">(MAX((MAX(AS39,105%*SUM($AJ$7:AJ39))-AM39*Flag_UL_Type),0)*B39)</f>
        <v>0</v>
      </c>
      <c r="AU39" s="50">
        <f ca="1">(MAX(AS39,AR39,105%*SUM($AJ$7:AJ39))*B39)</f>
        <v>0</v>
      </c>
      <c r="AV39" s="125"/>
      <c r="AW39" s="13"/>
      <c r="AX39" s="13"/>
      <c r="AY39" s="13"/>
      <c r="AZ39" s="13"/>
      <c r="BA39" s="13"/>
      <c r="BG39" s="51">
        <f t="shared" si="21"/>
        <v>0</v>
      </c>
      <c r="BH39" s="51">
        <f t="shared" ca="1" si="22"/>
        <v>418.03655384394898</v>
      </c>
      <c r="BI39" s="51">
        <f t="shared" ca="1" si="46"/>
        <v>0</v>
      </c>
      <c r="BJ39" s="51">
        <f t="shared" ca="1" si="23"/>
        <v>0</v>
      </c>
      <c r="BK39" s="51">
        <f t="shared" si="24"/>
        <v>81</v>
      </c>
      <c r="BL39" s="51">
        <f t="shared" ca="1" si="25"/>
        <v>156.32098981904994</v>
      </c>
      <c r="BM39" s="51">
        <f t="shared" si="26"/>
        <v>0</v>
      </c>
      <c r="BN39" s="51">
        <f t="shared" ca="1" si="27"/>
        <v>0</v>
      </c>
      <c r="BO39" s="51">
        <f t="shared" ca="1" si="28"/>
        <v>0</v>
      </c>
      <c r="BP39" s="51">
        <f t="shared" ca="1" si="29"/>
        <v>655.35754366299898</v>
      </c>
      <c r="BR39" s="32"/>
      <c r="BS39" s="126"/>
      <c r="BT39" s="16"/>
      <c r="BU39" s="58"/>
      <c r="BW39" s="51">
        <f>VLOOKUP(H39,Charges!$AT$4:$AU$33,2,FALSE)*I39</f>
        <v>0</v>
      </c>
      <c r="BX39" s="51">
        <f t="shared" si="30"/>
        <v>0</v>
      </c>
      <c r="BY39" s="51">
        <f t="shared" si="47"/>
        <v>0</v>
      </c>
      <c r="BZ39" s="151"/>
      <c r="CA39" s="151"/>
      <c r="CB39" s="32"/>
      <c r="CC39" s="16">
        <f ca="1">SUM($N$7:$N39)</f>
        <v>0</v>
      </c>
      <c r="CD39" s="16">
        <f t="shared" ca="1" si="31"/>
        <v>0</v>
      </c>
      <c r="CE39" s="16">
        <f t="shared" ca="1" si="32"/>
        <v>0</v>
      </c>
      <c r="CF39" s="7">
        <f t="shared" ca="1" si="48"/>
        <v>0</v>
      </c>
    </row>
    <row r="40" spans="1:84" s="7" customFormat="1" x14ac:dyDescent="0.2">
      <c r="A40" s="149"/>
      <c r="B40" s="14">
        <f t="shared" si="0"/>
        <v>1</v>
      </c>
      <c r="C40" s="12">
        <f t="shared" si="1"/>
        <v>1</v>
      </c>
      <c r="D40" s="17">
        <f t="shared" si="49"/>
        <v>34</v>
      </c>
      <c r="E40" s="17">
        <f t="shared" ca="1" si="2"/>
        <v>62</v>
      </c>
      <c r="F40" s="12">
        <f t="shared" si="53"/>
        <v>9</v>
      </c>
      <c r="G40" s="12">
        <f t="shared" si="52"/>
        <v>6</v>
      </c>
      <c r="H40" s="17">
        <f t="shared" si="54"/>
        <v>3</v>
      </c>
      <c r="I40" s="29">
        <f t="shared" si="3"/>
        <v>0</v>
      </c>
      <c r="J40" s="211">
        <f>IFERROR(VLOOKUP(H40,Charges!$T$6:$U$35,2,0)*C40,0)</f>
        <v>0.96499999999999997</v>
      </c>
      <c r="K40" s="29">
        <f t="shared" si="4"/>
        <v>0</v>
      </c>
      <c r="L40" s="29">
        <f t="shared" si="5"/>
        <v>0</v>
      </c>
      <c r="M40" s="147">
        <f t="shared" ca="1" si="6"/>
        <v>0</v>
      </c>
      <c r="N40" s="148">
        <f ca="1">IF(AND(Option_SPW="Y",H40&gt;=Lock_In_Period,Z39&gt;SPW_Amount_pa+IF(option="Single",1/5*pr,2*pr),H40&gt;=SPW_Start_Year,H40&lt;=SPW_Start_Year+SPW_Duration-1,age+H40&gt;=Legal_Age),IF(AND(F40=0,SPW_Payout_Freq=1),SPW_Amount_pa,IF(AND(SPW_Payout_Freq=2,MOD(F40,6)=0),SPW_Amount_pa/SPW_Payout_Freq,IF(AND(SPW_Payout_Freq=4,MOD(F40,3)=0),SPW_Amount_pa/SPW_Payout_Freq,IF(SPW_Payout_Freq=12,SPW_Amount_pa/SPW_Payout_Freq,0)))),0)+IFERROR(VLOOKUP(H40,Input!$B$68:$C$74,2,0),0)*(F40=0)*(Option_PW="Y")*(Option_SPW="N")*(age+H40&gt;=Legal_Age)</f>
        <v>0</v>
      </c>
      <c r="O40" s="148">
        <f t="shared" ca="1" si="33"/>
        <v>0</v>
      </c>
      <c r="P40" s="14">
        <f ca="1">(MAX(MAX(sa-CF39*Flag_UL_Type,105%*SUM($I$7:I40))-(AD39+L40-N40)*Flag_UL_Type,0)*B40)</f>
        <v>2229489.1431808425</v>
      </c>
      <c r="Q40" s="213">
        <f t="shared" ca="1" si="7"/>
        <v>2324.2795899184166</v>
      </c>
      <c r="R40" s="14">
        <f t="shared" ca="1" si="8"/>
        <v>0</v>
      </c>
      <c r="S40" s="14">
        <f t="shared" ca="1" si="9"/>
        <v>0</v>
      </c>
      <c r="T40" s="14">
        <f>IFERROR(IF(WoP_Flag="Y",IF(fq=1,VLOOKUP(ppt*fq-H40,Charges!$AN$41:$AO$59,2,FALSE),IF(fq=2,VLOOKUP(ppt*fq-G40,Charges!$AP$41:$AQ$79,2,FALSE),VLOOKUP(ppt*fq-D40,Charges!$AR$41:$AS$279,2,FALSE)))*pr/fq,0),0)</f>
        <v>0</v>
      </c>
      <c r="U40" s="14">
        <f ca="1">IFERROR(((T40*(VLOOKUP(Input!$D$18+H40-1,Tab_Mort_Charge,IF(Gender_2="M",2,3),FALSE)*(1+_emr2)+_rpm2)/IF(Model_Type="LA_PQIS",1000/0.0833,(12*1000))))*Flag_Mort_Rider_Charge*(T40&gt;0),0)</f>
        <v>0</v>
      </c>
      <c r="V40" s="34">
        <f>ROUND(MIN(IF(H40&gt;=7,Charges!$C$12*(1+Charges!$C$14)^((H40-7+1)),VLOOKUP(H40,Charges!$B$7:$C$12,2,0))*pr,Charges!$C$13)*B40,Round)</f>
        <v>450</v>
      </c>
      <c r="W40" s="14">
        <f t="shared" ca="1" si="10"/>
        <v>767237.2069030538</v>
      </c>
      <c r="X40" s="14">
        <f t="shared" ca="1" si="11"/>
        <v>769748.94186967553</v>
      </c>
      <c r="Y40" s="213">
        <f t="shared" ca="1" si="34"/>
        <v>866.43882794689887</v>
      </c>
      <c r="Z40" s="14">
        <f t="shared" ca="1" si="12"/>
        <v>768726.54405269818</v>
      </c>
      <c r="AA40" s="14">
        <f>IF(AND($H40=pt,$F40=11),SUM($K$7:K40)*VLOOKUP(pt,ROC,2,FALSE),0)</f>
        <v>0</v>
      </c>
      <c r="AB40" s="14">
        <f>IF(AND($H40=pt,$F40=11),SUM($V$7:V40)*VLOOKUP(pt,ROC,2,FALSE),0)</f>
        <v>0</v>
      </c>
      <c r="AC40" s="14">
        <f>IF(AND($H40=pt,$F40=11),SUM($Q$7:Q40)*VLOOKUP(pt,ROC,2,FALSE),0)</f>
        <v>0</v>
      </c>
      <c r="AD40" s="14">
        <f t="shared" ca="1" si="35"/>
        <v>768726.54405269818</v>
      </c>
      <c r="AE40" s="14">
        <f ca="1">(MAX(sa-CF39*Flag_UL_Type,105%*SUM($I$7:I40),Z40)+AU40)*B40</f>
        <v>3000000</v>
      </c>
      <c r="AF40" s="136"/>
      <c r="AG40" s="18">
        <v>34</v>
      </c>
      <c r="AH40" s="30">
        <f t="shared" ca="1" si="13"/>
        <v>0</v>
      </c>
      <c r="AI40" s="138"/>
      <c r="AJ40" s="50">
        <f>IF(AND(Option_Sys_TopUp&gt;="Y",H40&gt;=sytp,H40&lt;=(dtp+sytp-1),F40=0,H40&lt;=ppt+1),atp,0)+IFERROR(VLOOKUP(H40,Input!$B$55:$C$61,2,0),0)*(F40=0)*(Option_TopUP="Y")*(Option_Sys_TopUp="N")*B40*(pt&gt;=H40+5)</f>
        <v>0</v>
      </c>
      <c r="AK40" s="50">
        <f t="shared" si="14"/>
        <v>0</v>
      </c>
      <c r="AL40" s="50">
        <f t="shared" si="36"/>
        <v>0</v>
      </c>
      <c r="AM40" s="50">
        <f t="shared" ca="1" si="15"/>
        <v>0</v>
      </c>
      <c r="AN40" s="50">
        <f ca="1">IF(B40=0,0,AT40*(_rpm1+(1+_emr1)*VLOOKUP(E40,Tab_Mort_Charge,IF(Input!$C$12="M",2,3),0))*(0.001*0.0833)*Flag_Mort_Rider_Charge*(AT40&gt;0))</f>
        <v>0</v>
      </c>
      <c r="AO40" s="50">
        <f t="shared" ca="1" si="37"/>
        <v>0</v>
      </c>
      <c r="AP40" s="50">
        <f t="shared" ca="1" si="38"/>
        <v>0</v>
      </c>
      <c r="AQ40" s="50">
        <f t="shared" ca="1" si="16"/>
        <v>0</v>
      </c>
      <c r="AR40" s="50">
        <f t="shared" ca="1" si="17"/>
        <v>0</v>
      </c>
      <c r="AS40" s="50">
        <f t="shared" si="18"/>
        <v>0</v>
      </c>
      <c r="AT40" s="50">
        <f ca="1">(MAX((MAX(AS40,105%*SUM($AJ$7:AJ40))-AM40*Flag_UL_Type),0)*B40)</f>
        <v>0</v>
      </c>
      <c r="AU40" s="50">
        <f ca="1">(MAX(AS40,AR40,105%*SUM($AJ$7:AJ40))*B40)</f>
        <v>0</v>
      </c>
      <c r="AV40" s="125"/>
      <c r="AW40" s="13"/>
      <c r="AX40" s="13"/>
      <c r="AY40" s="13"/>
      <c r="AZ40" s="13"/>
      <c r="BA40" s="13"/>
      <c r="BG40" s="51">
        <f t="shared" si="21"/>
        <v>0</v>
      </c>
      <c r="BH40" s="51">
        <f t="shared" ca="1" si="22"/>
        <v>418.37032618531498</v>
      </c>
      <c r="BI40" s="51">
        <f t="shared" ca="1" si="46"/>
        <v>0</v>
      </c>
      <c r="BJ40" s="51">
        <f t="shared" ca="1" si="23"/>
        <v>0</v>
      </c>
      <c r="BK40" s="51">
        <f t="shared" si="24"/>
        <v>81</v>
      </c>
      <c r="BL40" s="51">
        <f t="shared" ca="1" si="25"/>
        <v>155.95898903044178</v>
      </c>
      <c r="BM40" s="51">
        <f t="shared" si="26"/>
        <v>0</v>
      </c>
      <c r="BN40" s="51">
        <f t="shared" ca="1" si="27"/>
        <v>0</v>
      </c>
      <c r="BO40" s="51">
        <f t="shared" ca="1" si="28"/>
        <v>0</v>
      </c>
      <c r="BP40" s="51">
        <f t="shared" ca="1" si="29"/>
        <v>655.32931521575676</v>
      </c>
      <c r="BR40" s="32"/>
      <c r="BS40" s="126"/>
      <c r="BT40" s="16"/>
      <c r="BU40" s="58"/>
      <c r="BW40" s="51">
        <f>VLOOKUP(H40,Charges!$AT$4:$AU$33,2,FALSE)*I40</f>
        <v>0</v>
      </c>
      <c r="BX40" s="51">
        <f t="shared" si="30"/>
        <v>0</v>
      </c>
      <c r="BY40" s="51">
        <f t="shared" si="47"/>
        <v>0</v>
      </c>
      <c r="BZ40" s="151"/>
      <c r="CA40" s="151"/>
      <c r="CB40" s="32"/>
      <c r="CC40" s="16">
        <f ca="1">SUM($N$7:$N40)</f>
        <v>0</v>
      </c>
      <c r="CD40" s="16">
        <f t="shared" ca="1" si="31"/>
        <v>0</v>
      </c>
      <c r="CE40" s="16">
        <f t="shared" ca="1" si="32"/>
        <v>0</v>
      </c>
      <c r="CF40" s="7">
        <f t="shared" ca="1" si="48"/>
        <v>0</v>
      </c>
    </row>
    <row r="41" spans="1:84" s="7" customFormat="1" x14ac:dyDescent="0.2">
      <c r="A41" s="149"/>
      <c r="B41" s="14">
        <f t="shared" si="0"/>
        <v>1</v>
      </c>
      <c r="C41" s="12">
        <f t="shared" si="1"/>
        <v>1</v>
      </c>
      <c r="D41" s="17">
        <f t="shared" si="49"/>
        <v>35</v>
      </c>
      <c r="E41" s="17">
        <f t="shared" ca="1" si="2"/>
        <v>62</v>
      </c>
      <c r="F41" s="12">
        <f t="shared" si="53"/>
        <v>10</v>
      </c>
      <c r="G41" s="12">
        <f t="shared" si="52"/>
        <v>6</v>
      </c>
      <c r="H41" s="17">
        <f t="shared" si="54"/>
        <v>3</v>
      </c>
      <c r="I41" s="29">
        <f t="shared" si="3"/>
        <v>0</v>
      </c>
      <c r="J41" s="211">
        <f>IFERROR(VLOOKUP(H41,Charges!$T$6:$U$35,2,0)*C41,0)</f>
        <v>0.96499999999999997</v>
      </c>
      <c r="K41" s="29">
        <f t="shared" si="4"/>
        <v>0</v>
      </c>
      <c r="L41" s="29">
        <f t="shared" si="5"/>
        <v>0</v>
      </c>
      <c r="M41" s="147">
        <f t="shared" ca="1" si="6"/>
        <v>0</v>
      </c>
      <c r="N41" s="148">
        <f ca="1">IF(AND(Option_SPW="Y",H41&gt;=Lock_In_Period,Z40&gt;SPW_Amount_pa+IF(option="Single",1/5*pr,2*pr),H41&gt;=SPW_Start_Year,H41&lt;=SPW_Start_Year+SPW_Duration-1,age+H41&gt;=Legal_Age),IF(AND(F41=0,SPW_Payout_Freq=1),SPW_Amount_pa,IF(AND(SPW_Payout_Freq=2,MOD(F41,6)=0),SPW_Amount_pa/SPW_Payout_Freq,IF(AND(SPW_Payout_Freq=4,MOD(F41,3)=0),SPW_Amount_pa/SPW_Payout_Freq,IF(SPW_Payout_Freq=12,SPW_Amount_pa/SPW_Payout_Freq,0)))),0)+IFERROR(VLOOKUP(H41,Input!$B$68:$C$74,2,0),0)*(F41=0)*(Option_PW="Y")*(Option_SPW="N")*(age+H41&gt;=Legal_Age)</f>
        <v>0</v>
      </c>
      <c r="O41" s="148">
        <f t="shared" ca="1" si="33"/>
        <v>0</v>
      </c>
      <c r="P41" s="14">
        <f ca="1">(MAX(MAX(sa-CF40*Flag_UL_Type,105%*SUM($I$7:I41))-(AD40+L41-N41)*Flag_UL_Type,0)*B41)</f>
        <v>2231273.4559473018</v>
      </c>
      <c r="Q41" s="213">
        <f t="shared" ca="1" si="7"/>
        <v>2326.1397657159919</v>
      </c>
      <c r="R41" s="14">
        <f t="shared" ca="1" si="8"/>
        <v>0</v>
      </c>
      <c r="S41" s="14">
        <f t="shared" ca="1" si="9"/>
        <v>0</v>
      </c>
      <c r="T41" s="14">
        <f>IFERROR(IF(WoP_Flag="Y",IF(fq=1,VLOOKUP(ppt*fq-H41,Charges!$AN$41:$AO$59,2,FALSE),IF(fq=2,VLOOKUP(ppt*fq-G41,Charges!$AP$41:$AQ$79,2,FALSE),VLOOKUP(ppt*fq-D41,Charges!$AR$41:$AS$279,2,FALSE)))*pr/fq,0),0)</f>
        <v>0</v>
      </c>
      <c r="U41" s="14">
        <f ca="1">IFERROR(((T41*(VLOOKUP(Input!$D$18+H41-1,Tab_Mort_Charge,IF(Gender_2="M",2,3),FALSE)*(1+_emr2)+_rpm2)/IF(Model_Type="LA_PQIS",1000/0.0833,(12*1000))))*Flag_Mort_Rider_Charge*(T41&gt;0),0)</f>
        <v>0</v>
      </c>
      <c r="V41" s="34">
        <f>ROUND(MIN(IF(H41&gt;=7,Charges!$C$12*(1+Charges!$C$14)^((H41-7+1)),VLOOKUP(H41,Charges!$B$7:$C$12,2,0))*pr,Charges!$C$13)*B41,Round)</f>
        <v>450</v>
      </c>
      <c r="W41" s="14">
        <f t="shared" ca="1" si="10"/>
        <v>765450.69912915328</v>
      </c>
      <c r="X41" s="14">
        <f t="shared" ca="1" si="11"/>
        <v>767956.58553420438</v>
      </c>
      <c r="Y41" s="213">
        <f t="shared" ca="1" si="34"/>
        <v>864.42132972365118</v>
      </c>
      <c r="Z41" s="14">
        <f t="shared" ca="1" si="12"/>
        <v>766936.56836513046</v>
      </c>
      <c r="AA41" s="14">
        <f>IF(AND($H41=pt,$F41=11),SUM($K$7:K41)*VLOOKUP(pt,ROC,2,FALSE),0)</f>
        <v>0</v>
      </c>
      <c r="AB41" s="14">
        <f>IF(AND($H41=pt,$F41=11),SUM($V$7:V41)*VLOOKUP(pt,ROC,2,FALSE),0)</f>
        <v>0</v>
      </c>
      <c r="AC41" s="14">
        <f>IF(AND($H41=pt,$F41=11),SUM($Q$7:Q41)*VLOOKUP(pt,ROC,2,FALSE),0)</f>
        <v>0</v>
      </c>
      <c r="AD41" s="14">
        <f t="shared" ca="1" si="35"/>
        <v>766936.56836513046</v>
      </c>
      <c r="AE41" s="14">
        <f ca="1">(MAX(sa-CF40*Flag_UL_Type,105%*SUM($I$7:I41),Z41)+AU41)*B41</f>
        <v>3000000</v>
      </c>
      <c r="AF41" s="136"/>
      <c r="AG41" s="18">
        <v>35</v>
      </c>
      <c r="AH41" s="30">
        <f t="shared" ca="1" si="13"/>
        <v>0</v>
      </c>
      <c r="AI41" s="138"/>
      <c r="AJ41" s="50">
        <f>IF(AND(Option_Sys_TopUp&gt;="Y",H41&gt;=sytp,H41&lt;=(dtp+sytp-1),F41=0,H41&lt;=ppt+1),atp,0)+IFERROR(VLOOKUP(H41,Input!$B$55:$C$61,2,0),0)*(F41=0)*(Option_TopUP="Y")*(Option_Sys_TopUp="N")*B41*(pt&gt;=H41+5)</f>
        <v>0</v>
      </c>
      <c r="AK41" s="50">
        <f t="shared" si="14"/>
        <v>0</v>
      </c>
      <c r="AL41" s="50">
        <f t="shared" si="36"/>
        <v>0</v>
      </c>
      <c r="AM41" s="50">
        <f t="shared" ca="1" si="15"/>
        <v>0</v>
      </c>
      <c r="AN41" s="50">
        <f ca="1">IF(B41=0,0,AT41*(_rpm1+(1+_emr1)*VLOOKUP(E41,Tab_Mort_Charge,IF(Input!$C$12="M",2,3),0))*(0.001*0.0833)*Flag_Mort_Rider_Charge*(AT41&gt;0))</f>
        <v>0</v>
      </c>
      <c r="AO41" s="50">
        <f t="shared" ca="1" si="37"/>
        <v>0</v>
      </c>
      <c r="AP41" s="50">
        <f t="shared" ca="1" si="38"/>
        <v>0</v>
      </c>
      <c r="AQ41" s="50">
        <f t="shared" ca="1" si="16"/>
        <v>0</v>
      </c>
      <c r="AR41" s="50">
        <f t="shared" ca="1" si="17"/>
        <v>0</v>
      </c>
      <c r="AS41" s="50">
        <f t="shared" si="18"/>
        <v>0</v>
      </c>
      <c r="AT41" s="50">
        <f ca="1">(MAX((MAX(AS41,105%*SUM($AJ$7:AJ41))-AM41*Flag_UL_Type),0)*B41)</f>
        <v>0</v>
      </c>
      <c r="AU41" s="50">
        <f ca="1">(MAX(AS41,AR41,105%*SUM($AJ$7:AJ41))*B41)</f>
        <v>0</v>
      </c>
      <c r="AV41" s="125"/>
      <c r="AW41" s="13"/>
      <c r="AX41" s="13"/>
      <c r="AY41" s="13"/>
      <c r="AZ41" s="13"/>
      <c r="BA41" s="13"/>
      <c r="BG41" s="51">
        <f t="shared" si="21"/>
        <v>0</v>
      </c>
      <c r="BH41" s="51">
        <f t="shared" ca="1" si="22"/>
        <v>418.70515782887799</v>
      </c>
      <c r="BI41" s="51">
        <f t="shared" ca="1" si="46"/>
        <v>0</v>
      </c>
      <c r="BJ41" s="51">
        <f t="shared" ca="1" si="23"/>
        <v>0</v>
      </c>
      <c r="BK41" s="51">
        <f t="shared" si="24"/>
        <v>81</v>
      </c>
      <c r="BL41" s="51">
        <f t="shared" ca="1" si="25"/>
        <v>155.59583935025719</v>
      </c>
      <c r="BM41" s="51">
        <f t="shared" si="26"/>
        <v>0</v>
      </c>
      <c r="BN41" s="51">
        <f t="shared" ca="1" si="27"/>
        <v>0</v>
      </c>
      <c r="BO41" s="51">
        <f t="shared" ca="1" si="28"/>
        <v>0</v>
      </c>
      <c r="BP41" s="51">
        <f t="shared" ca="1" si="29"/>
        <v>655.30099717913515</v>
      </c>
      <c r="BR41" s="32"/>
      <c r="BS41" s="126"/>
      <c r="BT41" s="16"/>
      <c r="BU41" s="58"/>
      <c r="BW41" s="51">
        <f>VLOOKUP(H41,Charges!$AT$4:$AU$33,2,FALSE)*I41</f>
        <v>0</v>
      </c>
      <c r="BX41" s="51">
        <f t="shared" si="30"/>
        <v>0</v>
      </c>
      <c r="BY41" s="51">
        <f t="shared" si="47"/>
        <v>0</v>
      </c>
      <c r="BZ41" s="151"/>
      <c r="CA41" s="151"/>
      <c r="CB41" s="32"/>
      <c r="CC41" s="16">
        <f ca="1">SUM($N$7:$N41)</f>
        <v>0</v>
      </c>
      <c r="CD41" s="16">
        <f t="shared" ca="1" si="31"/>
        <v>0</v>
      </c>
      <c r="CE41" s="16">
        <f t="shared" ca="1" si="32"/>
        <v>0</v>
      </c>
      <c r="CF41" s="7">
        <f t="shared" ca="1" si="48"/>
        <v>0</v>
      </c>
    </row>
    <row r="42" spans="1:84" s="7" customFormat="1" x14ac:dyDescent="0.2">
      <c r="A42" s="149"/>
      <c r="B42" s="14">
        <f t="shared" si="0"/>
        <v>1</v>
      </c>
      <c r="C42" s="12">
        <f t="shared" si="1"/>
        <v>1</v>
      </c>
      <c r="D42" s="17">
        <f t="shared" si="49"/>
        <v>36</v>
      </c>
      <c r="E42" s="17">
        <f t="shared" ca="1" si="2"/>
        <v>62</v>
      </c>
      <c r="F42" s="12">
        <f t="shared" si="53"/>
        <v>11</v>
      </c>
      <c r="G42" s="12">
        <f t="shared" si="52"/>
        <v>6</v>
      </c>
      <c r="H42" s="17">
        <f t="shared" si="54"/>
        <v>3</v>
      </c>
      <c r="I42" s="29">
        <f t="shared" si="3"/>
        <v>0</v>
      </c>
      <c r="J42" s="211">
        <f>IFERROR(VLOOKUP(H42,Charges!$T$6:$U$35,2,0)*C42,0)</f>
        <v>0.96499999999999997</v>
      </c>
      <c r="K42" s="29">
        <f t="shared" si="4"/>
        <v>0</v>
      </c>
      <c r="L42" s="29">
        <f t="shared" si="5"/>
        <v>0</v>
      </c>
      <c r="M42" s="147">
        <f t="shared" ca="1" si="6"/>
        <v>0</v>
      </c>
      <c r="N42" s="148">
        <f ca="1">IF(AND(Option_SPW="Y",H42&gt;=Lock_In_Period,Z41&gt;SPW_Amount_pa+IF(option="Single",1/5*pr,2*pr),H42&gt;=SPW_Start_Year,H42&lt;=SPW_Start_Year+SPW_Duration-1,age+H42&gt;=Legal_Age),IF(AND(F42=0,SPW_Payout_Freq=1),SPW_Amount_pa,IF(AND(SPW_Payout_Freq=2,MOD(F42,6)=0),SPW_Amount_pa/SPW_Payout_Freq,IF(AND(SPW_Payout_Freq=4,MOD(F42,3)=0),SPW_Amount_pa/SPW_Payout_Freq,IF(SPW_Payout_Freq=12,SPW_Amount_pa/SPW_Payout_Freq,0)))),0)+IFERROR(VLOOKUP(H42,Input!$B$68:$C$74,2,0),0)*(F42=0)*(Option_PW="Y")*(Option_SPW="N")*(age+H42&gt;=Legal_Age)</f>
        <v>0</v>
      </c>
      <c r="O42" s="148">
        <f t="shared" ca="1" si="33"/>
        <v>0</v>
      </c>
      <c r="P42" s="14">
        <f ca="1">(MAX(MAX(sa-CF41*Flag_UL_Type,105%*SUM($I$7:I42))-(AD41+L42-N42)*Flag_UL_Type,0)*B42)</f>
        <v>2233063.4316348694</v>
      </c>
      <c r="Q42" s="213">
        <f t="shared" ca="1" si="7"/>
        <v>2328.0058452032085</v>
      </c>
      <c r="R42" s="14">
        <f t="shared" ca="1" si="8"/>
        <v>0</v>
      </c>
      <c r="S42" s="14">
        <f t="shared" ca="1" si="9"/>
        <v>0</v>
      </c>
      <c r="T42" s="14">
        <f>IFERROR(IF(WoP_Flag="Y",IF(fq=1,VLOOKUP(ppt*fq-H42,Charges!$AN$41:$AO$59,2,FALSE),IF(fq=2,VLOOKUP(ppt*fq-G42,Charges!$AP$41:$AQ$79,2,FALSE),VLOOKUP(ppt*fq-D42,Charges!$AR$41:$AS$279,2,FALSE)))*pr/fq,0),0)</f>
        <v>0</v>
      </c>
      <c r="U42" s="14">
        <f ca="1">IFERROR(((T42*(VLOOKUP(Input!$D$18+H42-1,Tab_Mort_Charge,IF(Gender_2="M",2,3),FALSE)*(1+_emr2)+_rpm2)/IF(Model_Type="LA_PQIS",1000/0.0833,(12*1000))))*Flag_Mort_Rider_Charge*(T42&gt;0),0)</f>
        <v>0</v>
      </c>
      <c r="V42" s="34">
        <f>ROUND(MIN(IF(H42&gt;=7,Charges!$C$12*(1+Charges!$C$14)^((H42-7+1)),VLOOKUP(H42,Charges!$B$7:$C$12,2,0))*pr,Charges!$C$13)*B42,Round)</f>
        <v>450</v>
      </c>
      <c r="W42" s="14">
        <f t="shared" ca="1" si="10"/>
        <v>763658.52146779071</v>
      </c>
      <c r="X42" s="14">
        <f t="shared" ca="1" si="11"/>
        <v>766158.54074953496</v>
      </c>
      <c r="Y42" s="213">
        <f t="shared" ca="1" si="34"/>
        <v>862.39742851237975</v>
      </c>
      <c r="Z42" s="14">
        <f t="shared" ca="1" si="12"/>
        <v>765140.91178389033</v>
      </c>
      <c r="AA42" s="14">
        <f>IF(AND($H42=pt,$F42=11),SUM($K$7:K42)*VLOOKUP(pt,ROC,2,FALSE),0)</f>
        <v>0</v>
      </c>
      <c r="AB42" s="14">
        <f>IF(AND($H42=pt,$F42=11),SUM($V$7:V42)*VLOOKUP(pt,ROC,2,FALSE),0)</f>
        <v>0</v>
      </c>
      <c r="AC42" s="14">
        <f>IF(AND($H42=pt,$F42=11),SUM($Q$7:Q42)*VLOOKUP(pt,ROC,2,FALSE),0)</f>
        <v>0</v>
      </c>
      <c r="AD42" s="14">
        <f t="shared" ca="1" si="35"/>
        <v>765140.91178389033</v>
      </c>
      <c r="AE42" s="14">
        <f ca="1">(MAX(sa-CF41*Flag_UL_Type,105%*SUM($I$7:I42),Z42)+AU42)*B42</f>
        <v>3000000</v>
      </c>
      <c r="AF42" s="136"/>
      <c r="AG42" s="18">
        <v>36</v>
      </c>
      <c r="AH42" s="30">
        <f t="shared" ca="1" si="13"/>
        <v>0</v>
      </c>
      <c r="AI42" s="138"/>
      <c r="AJ42" s="50">
        <f>IF(AND(Option_Sys_TopUp&gt;="Y",H42&gt;=sytp,H42&lt;=(dtp+sytp-1),F42=0,H42&lt;=ppt+1),atp,0)+IFERROR(VLOOKUP(H42,Input!$B$55:$C$61,2,0),0)*(F42=0)*(Option_TopUP="Y")*(Option_Sys_TopUp="N")*B42*(pt&gt;=H42+5)</f>
        <v>0</v>
      </c>
      <c r="AK42" s="50">
        <f t="shared" si="14"/>
        <v>0</v>
      </c>
      <c r="AL42" s="50">
        <f t="shared" si="36"/>
        <v>0</v>
      </c>
      <c r="AM42" s="50">
        <f t="shared" ca="1" si="15"/>
        <v>0</v>
      </c>
      <c r="AN42" s="50">
        <f ca="1">IF(B42=0,0,AT42*(_rpm1+(1+_emr1)*VLOOKUP(E42,Tab_Mort_Charge,IF(Input!$C$12="M",2,3),0))*(0.001*0.0833)*Flag_Mort_Rider_Charge*(AT42&gt;0))</f>
        <v>0</v>
      </c>
      <c r="AO42" s="50">
        <f t="shared" ca="1" si="37"/>
        <v>0</v>
      </c>
      <c r="AP42" s="50">
        <f t="shared" ca="1" si="38"/>
        <v>0</v>
      </c>
      <c r="AQ42" s="50">
        <f t="shared" ca="1" si="16"/>
        <v>0</v>
      </c>
      <c r="AR42" s="50">
        <f t="shared" ca="1" si="17"/>
        <v>0</v>
      </c>
      <c r="AS42" s="50">
        <f t="shared" si="18"/>
        <v>0</v>
      </c>
      <c r="AT42" s="50">
        <f ca="1">(MAX((MAX(AS42,105%*SUM($AJ$7:AJ42))-AM42*Flag_UL_Type),0)*B42)</f>
        <v>0</v>
      </c>
      <c r="AU42" s="50">
        <f ca="1">(MAX(AS42,AR42,105%*SUM($AJ$7:AJ42))*B42)</f>
        <v>0</v>
      </c>
      <c r="AV42" s="125"/>
      <c r="AW42" s="13"/>
      <c r="AX42" s="13"/>
      <c r="AY42" s="13"/>
      <c r="AZ42" s="13"/>
      <c r="BA42" s="13"/>
      <c r="BG42" s="51">
        <f t="shared" si="21"/>
        <v>0</v>
      </c>
      <c r="BH42" s="51">
        <f t="shared" ca="1" si="22"/>
        <v>419.041052136578</v>
      </c>
      <c r="BI42" s="51">
        <f t="shared" ca="1" si="46"/>
        <v>0</v>
      </c>
      <c r="BJ42" s="51">
        <f t="shared" ca="1" si="23"/>
        <v>0</v>
      </c>
      <c r="BK42" s="51">
        <f t="shared" si="24"/>
        <v>81</v>
      </c>
      <c r="BL42" s="51">
        <f t="shared" ca="1" si="25"/>
        <v>155.23153713222834</v>
      </c>
      <c r="BM42" s="51">
        <f t="shared" si="26"/>
        <v>0</v>
      </c>
      <c r="BN42" s="51">
        <f t="shared" ca="1" si="27"/>
        <v>0</v>
      </c>
      <c r="BO42" s="51">
        <f t="shared" ca="1" si="28"/>
        <v>0</v>
      </c>
      <c r="BP42" s="51">
        <f t="shared" ca="1" si="29"/>
        <v>655.27258926880631</v>
      </c>
      <c r="BR42" s="32"/>
      <c r="BS42" s="126"/>
      <c r="BT42" s="16"/>
      <c r="BU42" s="58"/>
      <c r="BW42" s="51">
        <f>VLOOKUP(H42,Charges!$AT$4:$AU$33,2,FALSE)*I42</f>
        <v>0</v>
      </c>
      <c r="BX42" s="51">
        <f t="shared" si="30"/>
        <v>0</v>
      </c>
      <c r="BY42" s="51">
        <f t="shared" si="47"/>
        <v>0</v>
      </c>
      <c r="BZ42" s="151"/>
      <c r="CA42" s="151"/>
      <c r="CB42" s="32"/>
      <c r="CC42" s="16">
        <f ca="1">SUM($N$7:$N42)</f>
        <v>0</v>
      </c>
      <c r="CD42" s="16">
        <f t="shared" ca="1" si="31"/>
        <v>0</v>
      </c>
      <c r="CE42" s="16">
        <f t="shared" ca="1" si="32"/>
        <v>0</v>
      </c>
      <c r="CF42" s="7">
        <f t="shared" ca="1" si="48"/>
        <v>0</v>
      </c>
    </row>
    <row r="43" spans="1:84" s="7" customFormat="1" x14ac:dyDescent="0.2">
      <c r="A43" s="149"/>
      <c r="B43" s="14">
        <f t="shared" si="0"/>
        <v>1</v>
      </c>
      <c r="C43" s="12">
        <f t="shared" si="1"/>
        <v>1</v>
      </c>
      <c r="D43" s="17">
        <f t="shared" si="49"/>
        <v>37</v>
      </c>
      <c r="E43" s="17">
        <f t="shared" ca="1" si="2"/>
        <v>63</v>
      </c>
      <c r="F43" s="12">
        <f t="shared" si="53"/>
        <v>0</v>
      </c>
      <c r="G43" s="12">
        <f t="shared" si="52"/>
        <v>7</v>
      </c>
      <c r="H43" s="17">
        <f t="shared" si="54"/>
        <v>4</v>
      </c>
      <c r="I43" s="29">
        <f t="shared" si="3"/>
        <v>300000</v>
      </c>
      <c r="J43" s="211">
        <f>IFERROR(VLOOKUP(H43,Charges!$T$6:$U$35,2,0)*C43,0)</f>
        <v>0.96499999999999997</v>
      </c>
      <c r="K43" s="29">
        <f t="shared" si="4"/>
        <v>10500</v>
      </c>
      <c r="L43" s="29">
        <f t="shared" si="5"/>
        <v>287610</v>
      </c>
      <c r="M43" s="147">
        <f t="shared" ca="1" si="6"/>
        <v>0</v>
      </c>
      <c r="N43" s="148">
        <f ca="1">IF(AND(Option_SPW="Y",H43&gt;=Lock_In_Period,Z42&gt;SPW_Amount_pa+IF(option="Single",1/5*pr,2*pr),H43&gt;=SPW_Start_Year,H43&lt;=SPW_Start_Year+SPW_Duration-1,age+H43&gt;=Legal_Age),IF(AND(F43=0,SPW_Payout_Freq=1),SPW_Amount_pa,IF(AND(SPW_Payout_Freq=2,MOD(F43,6)=0),SPW_Amount_pa/SPW_Payout_Freq,IF(AND(SPW_Payout_Freq=4,MOD(F43,3)=0),SPW_Amount_pa/SPW_Payout_Freq,IF(SPW_Payout_Freq=12,SPW_Amount_pa/SPW_Payout_Freq,0)))),0)+IFERROR(VLOOKUP(H43,Input!$B$68:$C$74,2,0),0)*(F43=0)*(Option_PW="Y")*(Option_SPW="N")*(age+H43&gt;=Legal_Age)</f>
        <v>0</v>
      </c>
      <c r="O43" s="148">
        <f t="shared" ca="1" si="33"/>
        <v>0</v>
      </c>
      <c r="P43" s="14">
        <f ca="1">(MAX(MAX(sa-CF42*Flag_UL_Type,105%*SUM($I$7:I43))-(AD42+L43-N43)*Flag_UL_Type,0)*B43)</f>
        <v>1947249.0882161097</v>
      </c>
      <c r="Q43" s="213">
        <f t="shared" ca="1" si="7"/>
        <v>2177.819607336633</v>
      </c>
      <c r="R43" s="14">
        <f t="shared" ca="1" si="8"/>
        <v>0</v>
      </c>
      <c r="S43" s="14">
        <f t="shared" ca="1" si="9"/>
        <v>0</v>
      </c>
      <c r="T43" s="14">
        <f>IFERROR(IF(WoP_Flag="Y",IF(fq=1,VLOOKUP(ppt*fq-H43,Charges!$AN$41:$AO$59,2,FALSE),IF(fq=2,VLOOKUP(ppt*fq-G43,Charges!$AP$41:$AQ$79,2,FALSE),VLOOKUP(ppt*fq-D43,Charges!$AR$41:$AS$279,2,FALSE)))*pr/fq,0),0)</f>
        <v>0</v>
      </c>
      <c r="U43" s="14">
        <f ca="1">IFERROR(((T43*(VLOOKUP(Input!$D$18+H43-1,Tab_Mort_Charge,IF(Gender_2="M",2,3),FALSE)*(1+_emr2)+_rpm2)/IF(Model_Type="LA_PQIS",1000/0.0833,(12*1000))))*Flag_Mort_Rider_Charge*(T43&gt;0),0)</f>
        <v>0</v>
      </c>
      <c r="V43" s="34">
        <f>ROUND(MIN(IF(H43&gt;=7,Charges!$C$12*(1+Charges!$C$14)^((H43-7+1)),VLOOKUP(H43,Charges!$B$7:$C$12,2,0))*pr,Charges!$C$13)*B43,Round)</f>
        <v>450</v>
      </c>
      <c r="W43" s="14">
        <f t="shared" ca="1" si="10"/>
        <v>1049650.0846472331</v>
      </c>
      <c r="X43" s="14">
        <f t="shared" ca="1" si="11"/>
        <v>1053086.3658867313</v>
      </c>
      <c r="Y43" s="213">
        <f t="shared" ca="1" si="34"/>
        <v>1185.366899458812</v>
      </c>
      <c r="Z43" s="14">
        <f t="shared" ca="1" si="12"/>
        <v>1051687.6329453699</v>
      </c>
      <c r="AA43" s="14">
        <f>IF(AND($H43=pt,$F43=11),SUM($K$7:K43)*VLOOKUP(pt,ROC,2,FALSE),0)</f>
        <v>0</v>
      </c>
      <c r="AB43" s="14">
        <f>IF(AND($H43=pt,$F43=11),SUM($V$7:V43)*VLOOKUP(pt,ROC,2,FALSE),0)</f>
        <v>0</v>
      </c>
      <c r="AC43" s="14">
        <f>IF(AND($H43=pt,$F43=11),SUM($Q$7:Q43)*VLOOKUP(pt,ROC,2,FALSE),0)</f>
        <v>0</v>
      </c>
      <c r="AD43" s="14">
        <f t="shared" ca="1" si="35"/>
        <v>1051687.6329453699</v>
      </c>
      <c r="AE43" s="14">
        <f ca="1">(MAX(sa-CF42*Flag_UL_Type,105%*SUM($I$7:I43),Z43)+AU43)*B43</f>
        <v>3000000</v>
      </c>
      <c r="AF43" s="136"/>
      <c r="AG43" s="18">
        <v>37</v>
      </c>
      <c r="AH43" s="30">
        <f t="shared" ca="1" si="13"/>
        <v>300000</v>
      </c>
      <c r="AI43" s="138"/>
      <c r="AJ43" s="50">
        <f>IF(AND(Option_Sys_TopUp&gt;="Y",H43&gt;=sytp,H43&lt;=(dtp+sytp-1),F43=0,H43&lt;=ppt+1),atp,0)+IFERROR(VLOOKUP(H43,Input!$B$55:$C$61,2,0),0)*(F43=0)*(Option_TopUP="Y")*(Option_Sys_TopUp="N")*B43*(pt&gt;=H43+5)</f>
        <v>0</v>
      </c>
      <c r="AK43" s="50">
        <f t="shared" si="14"/>
        <v>0</v>
      </c>
      <c r="AL43" s="50">
        <f t="shared" si="36"/>
        <v>0</v>
      </c>
      <c r="AM43" s="50">
        <f t="shared" ca="1" si="15"/>
        <v>0</v>
      </c>
      <c r="AN43" s="50">
        <f ca="1">IF(B43=0,0,AT43*(_rpm1+(1+_emr1)*VLOOKUP(E43,Tab_Mort_Charge,IF(Input!$C$12="M",2,3),0))*(0.001*0.0833)*Flag_Mort_Rider_Charge*(AT43&gt;0))</f>
        <v>0</v>
      </c>
      <c r="AO43" s="50">
        <f t="shared" ca="1" si="37"/>
        <v>0</v>
      </c>
      <c r="AP43" s="50">
        <f t="shared" ca="1" si="38"/>
        <v>0</v>
      </c>
      <c r="AQ43" s="50">
        <f t="shared" ca="1" si="16"/>
        <v>0</v>
      </c>
      <c r="AR43" s="50">
        <f t="shared" ca="1" si="17"/>
        <v>0</v>
      </c>
      <c r="AS43" s="50">
        <f t="shared" si="18"/>
        <v>0</v>
      </c>
      <c r="AT43" s="50">
        <f ca="1">(MAX((MAX(AS43,105%*SUM($AJ$7:AJ43))-AM43*Flag_UL_Type),0)*B43)</f>
        <v>0</v>
      </c>
      <c r="AU43" s="50">
        <f ca="1">(MAX(AS43,AR43,105%*SUM($AJ$7:AJ43))*B43)</f>
        <v>0</v>
      </c>
      <c r="AV43" s="125"/>
      <c r="AW43" s="13"/>
      <c r="AX43" s="13"/>
      <c r="AY43" s="13"/>
      <c r="AZ43" s="13"/>
      <c r="BA43" s="13"/>
      <c r="BG43" s="51">
        <f t="shared" si="21"/>
        <v>1890</v>
      </c>
      <c r="BH43" s="51">
        <f t="shared" ca="1" si="22"/>
        <v>392.00752932059402</v>
      </c>
      <c r="BI43" s="51">
        <f t="shared" ca="1" si="46"/>
        <v>0</v>
      </c>
      <c r="BJ43" s="51">
        <f t="shared" ca="1" si="23"/>
        <v>0</v>
      </c>
      <c r="BK43" s="51">
        <f t="shared" si="24"/>
        <v>81</v>
      </c>
      <c r="BL43" s="51">
        <f t="shared" ca="1" si="25"/>
        <v>213.36604190258615</v>
      </c>
      <c r="BM43" s="51">
        <f t="shared" si="26"/>
        <v>0</v>
      </c>
      <c r="BN43" s="51">
        <f t="shared" ca="1" si="27"/>
        <v>0</v>
      </c>
      <c r="BO43" s="51">
        <f t="shared" ca="1" si="28"/>
        <v>0</v>
      </c>
      <c r="BP43" s="51">
        <f t="shared" ca="1" si="29"/>
        <v>2576.3735712231801</v>
      </c>
      <c r="BR43" s="32"/>
      <c r="BS43" s="126"/>
      <c r="BT43" s="16"/>
      <c r="BU43" s="58"/>
      <c r="BW43" s="51">
        <f>VLOOKUP(H43,Charges!$AT$4:$AU$33,2,FALSE)*I43</f>
        <v>3000</v>
      </c>
      <c r="BX43" s="51">
        <f t="shared" si="30"/>
        <v>0</v>
      </c>
      <c r="BY43" s="51">
        <f t="shared" si="47"/>
        <v>3000</v>
      </c>
      <c r="BZ43" s="151"/>
      <c r="CA43" s="151"/>
      <c r="CB43" s="32"/>
      <c r="CC43" s="16">
        <f ca="1">SUM($N$7:$N43)</f>
        <v>0</v>
      </c>
      <c r="CD43" s="16">
        <f t="shared" ca="1" si="31"/>
        <v>0</v>
      </c>
      <c r="CE43" s="16">
        <f t="shared" ca="1" si="32"/>
        <v>0</v>
      </c>
      <c r="CF43" s="7">
        <f t="shared" ca="1" si="48"/>
        <v>0</v>
      </c>
    </row>
    <row r="44" spans="1:84" s="7" customFormat="1" x14ac:dyDescent="0.2">
      <c r="A44" s="149"/>
      <c r="B44" s="14">
        <f t="shared" si="0"/>
        <v>1</v>
      </c>
      <c r="C44" s="12">
        <f t="shared" si="1"/>
        <v>1</v>
      </c>
      <c r="D44" s="17">
        <f t="shared" si="49"/>
        <v>38</v>
      </c>
      <c r="E44" s="17">
        <f t="shared" ca="1" si="2"/>
        <v>63</v>
      </c>
      <c r="F44" s="12">
        <f t="shared" si="53"/>
        <v>1</v>
      </c>
      <c r="G44" s="12">
        <f t="shared" si="52"/>
        <v>7</v>
      </c>
      <c r="H44" s="17">
        <f t="shared" si="54"/>
        <v>4</v>
      </c>
      <c r="I44" s="29">
        <f t="shared" si="3"/>
        <v>0</v>
      </c>
      <c r="J44" s="211">
        <f>IFERROR(VLOOKUP(H44,Charges!$T$6:$U$35,2,0)*C44,0)</f>
        <v>0.96499999999999997</v>
      </c>
      <c r="K44" s="29">
        <f t="shared" si="4"/>
        <v>0</v>
      </c>
      <c r="L44" s="29">
        <f t="shared" si="5"/>
        <v>0</v>
      </c>
      <c r="M44" s="147">
        <f t="shared" ca="1" si="6"/>
        <v>0</v>
      </c>
      <c r="N44" s="148">
        <f ca="1">IF(AND(Option_SPW="Y",H44&gt;=Lock_In_Period,Z43&gt;SPW_Amount_pa+IF(option="Single",1/5*pr,2*pr),H44&gt;=SPW_Start_Year,H44&lt;=SPW_Start_Year+SPW_Duration-1,age+H44&gt;=Legal_Age),IF(AND(F44=0,SPW_Payout_Freq=1),SPW_Amount_pa,IF(AND(SPW_Payout_Freq=2,MOD(F44,6)=0),SPW_Amount_pa/SPW_Payout_Freq,IF(AND(SPW_Payout_Freq=4,MOD(F44,3)=0),SPW_Amount_pa/SPW_Payout_Freq,IF(SPW_Payout_Freq=12,SPW_Amount_pa/SPW_Payout_Freq,0)))),0)+IFERROR(VLOOKUP(H44,Input!$B$68:$C$74,2,0),0)*(F44=0)*(Option_PW="Y")*(Option_SPW="N")*(age+H44&gt;=Legal_Age)</f>
        <v>0</v>
      </c>
      <c r="O44" s="148">
        <f t="shared" ca="1" si="33"/>
        <v>0</v>
      </c>
      <c r="P44" s="14">
        <f ca="1">(MAX(MAX(sa-CF43*Flag_UL_Type,105%*SUM($I$7:I44))-(AD43+L44-N44)*Flag_UL_Type,0)*B44)</f>
        <v>1948312.3670546301</v>
      </c>
      <c r="Q44" s="213">
        <f t="shared" ca="1" si="7"/>
        <v>2179.0087872502913</v>
      </c>
      <c r="R44" s="14">
        <f t="shared" ca="1" si="8"/>
        <v>0</v>
      </c>
      <c r="S44" s="14">
        <f t="shared" ca="1" si="9"/>
        <v>0</v>
      </c>
      <c r="T44" s="14">
        <f>IFERROR(IF(WoP_Flag="Y",IF(fq=1,VLOOKUP(ppt*fq-H44,Charges!$AN$41:$AO$59,2,FALSE),IF(fq=2,VLOOKUP(ppt*fq-G44,Charges!$AP$41:$AQ$79,2,FALSE),VLOOKUP(ppt*fq-D44,Charges!$AR$41:$AS$279,2,FALSE)))*pr/fq,0),0)</f>
        <v>0</v>
      </c>
      <c r="U44" s="14">
        <f ca="1">IFERROR(((T44*(VLOOKUP(Input!$D$18+H44-1,Tab_Mort_Charge,IF(Gender_2="M",2,3),FALSE)*(1+_emr2)+_rpm2)/IF(Model_Type="LA_PQIS",1000/0.0833,(12*1000))))*Flag_Mort_Rider_Charge*(T44&gt;0),0)</f>
        <v>0</v>
      </c>
      <c r="V44" s="34">
        <f>ROUND(MIN(IF(H44&gt;=7,Charges!$C$12*(1+Charges!$C$14)^((H44-7+1)),VLOOKUP(H44,Charges!$B$7:$C$12,2,0))*pr,Charges!$C$13)*B44,Round)</f>
        <v>450</v>
      </c>
      <c r="W44" s="14">
        <f t="shared" ca="1" si="10"/>
        <v>1048585.4025764146</v>
      </c>
      <c r="X44" s="14">
        <f t="shared" ca="1" si="11"/>
        <v>1052018.1983238622</v>
      </c>
      <c r="Y44" s="213">
        <f t="shared" ca="1" si="34"/>
        <v>1184.1645569794898</v>
      </c>
      <c r="Z44" s="14">
        <f t="shared" ca="1" si="12"/>
        <v>1050620.8841466263</v>
      </c>
      <c r="AA44" s="14">
        <f>IF(AND($H44=pt,$F44=11),SUM($K$7:K44)*VLOOKUP(pt,ROC,2,FALSE),0)</f>
        <v>0</v>
      </c>
      <c r="AB44" s="14">
        <f>IF(AND($H44=pt,$F44=11),SUM($V$7:V44)*VLOOKUP(pt,ROC,2,FALSE),0)</f>
        <v>0</v>
      </c>
      <c r="AC44" s="14">
        <f>IF(AND($H44=pt,$F44=11),SUM($Q$7:Q44)*VLOOKUP(pt,ROC,2,FALSE),0)</f>
        <v>0</v>
      </c>
      <c r="AD44" s="14">
        <f t="shared" ca="1" si="35"/>
        <v>1050620.8841466263</v>
      </c>
      <c r="AE44" s="14">
        <f ca="1">(MAX(sa-CF43*Flag_UL_Type,105%*SUM($I$7:I44),Z44)+AU44)*B44</f>
        <v>3000000</v>
      </c>
      <c r="AF44" s="136"/>
      <c r="AG44" s="18">
        <v>38</v>
      </c>
      <c r="AH44" s="30">
        <f t="shared" ca="1" si="13"/>
        <v>0</v>
      </c>
      <c r="AI44" s="138"/>
      <c r="AJ44" s="50">
        <f>IF(AND(Option_Sys_TopUp&gt;="Y",H44&gt;=sytp,H44&lt;=(dtp+sytp-1),F44=0,H44&lt;=ppt+1),atp,0)+IFERROR(VLOOKUP(H44,Input!$B$55:$C$61,2,0),0)*(F44=0)*(Option_TopUP="Y")*(Option_Sys_TopUp="N")*B44*(pt&gt;=H44+5)</f>
        <v>0</v>
      </c>
      <c r="AK44" s="50">
        <f t="shared" si="14"/>
        <v>0</v>
      </c>
      <c r="AL44" s="50">
        <f t="shared" si="36"/>
        <v>0</v>
      </c>
      <c r="AM44" s="50">
        <f t="shared" ca="1" si="15"/>
        <v>0</v>
      </c>
      <c r="AN44" s="50">
        <f ca="1">IF(B44=0,0,AT44*(_rpm1+(1+_emr1)*VLOOKUP(E44,Tab_Mort_Charge,IF(Input!$C$12="M",2,3),0))*(0.001*0.0833)*Flag_Mort_Rider_Charge*(AT44&gt;0))</f>
        <v>0</v>
      </c>
      <c r="AO44" s="50">
        <f t="shared" ca="1" si="37"/>
        <v>0</v>
      </c>
      <c r="AP44" s="50">
        <f t="shared" ca="1" si="38"/>
        <v>0</v>
      </c>
      <c r="AQ44" s="50">
        <f t="shared" ca="1" si="16"/>
        <v>0</v>
      </c>
      <c r="AR44" s="50">
        <f t="shared" ca="1" si="17"/>
        <v>0</v>
      </c>
      <c r="AS44" s="50">
        <f t="shared" si="18"/>
        <v>0</v>
      </c>
      <c r="AT44" s="50">
        <f ca="1">(MAX((MAX(AS44,105%*SUM($AJ$7:AJ44))-AM44*Flag_UL_Type),0)*B44)</f>
        <v>0</v>
      </c>
      <c r="AU44" s="50">
        <f ca="1">(MAX(AS44,AR44,105%*SUM($AJ$7:AJ44))*B44)</f>
        <v>0</v>
      </c>
      <c r="AV44" s="125"/>
      <c r="AW44" s="13"/>
      <c r="AX44" s="13"/>
      <c r="AY44" s="13"/>
      <c r="AZ44" s="13"/>
      <c r="BA44" s="13"/>
      <c r="BG44" s="51">
        <f t="shared" si="21"/>
        <v>0</v>
      </c>
      <c r="BH44" s="51">
        <f t="shared" ca="1" si="22"/>
        <v>392.22158170505202</v>
      </c>
      <c r="BI44" s="51">
        <f t="shared" ca="1" si="46"/>
        <v>0</v>
      </c>
      <c r="BJ44" s="51">
        <f t="shared" ca="1" si="23"/>
        <v>0</v>
      </c>
      <c r="BK44" s="51">
        <f t="shared" si="24"/>
        <v>81</v>
      </c>
      <c r="BL44" s="51">
        <f t="shared" ca="1" si="25"/>
        <v>213.14962025630817</v>
      </c>
      <c r="BM44" s="51">
        <f t="shared" si="26"/>
        <v>0</v>
      </c>
      <c r="BN44" s="51">
        <f t="shared" ca="1" si="27"/>
        <v>0</v>
      </c>
      <c r="BO44" s="51">
        <f t="shared" ca="1" si="28"/>
        <v>0</v>
      </c>
      <c r="BP44" s="51">
        <f t="shared" ca="1" si="29"/>
        <v>686.37120196136016</v>
      </c>
      <c r="BR44" s="32"/>
      <c r="BS44" s="126"/>
      <c r="BT44" s="16"/>
      <c r="BU44" s="58"/>
      <c r="BW44" s="51">
        <f>VLOOKUP(H44,Charges!$AT$4:$AU$33,2,FALSE)*I44</f>
        <v>0</v>
      </c>
      <c r="BX44" s="51">
        <f t="shared" si="30"/>
        <v>0</v>
      </c>
      <c r="BY44" s="51">
        <f t="shared" si="47"/>
        <v>0</v>
      </c>
      <c r="BZ44" s="151"/>
      <c r="CA44" s="151"/>
      <c r="CB44" s="32"/>
      <c r="CC44" s="16">
        <f ca="1">SUM($N$7:$N44)</f>
        <v>0</v>
      </c>
      <c r="CD44" s="16">
        <f t="shared" ca="1" si="31"/>
        <v>0</v>
      </c>
      <c r="CE44" s="16">
        <f t="shared" ca="1" si="32"/>
        <v>0</v>
      </c>
      <c r="CF44" s="7">
        <f t="shared" ca="1" si="48"/>
        <v>0</v>
      </c>
    </row>
    <row r="45" spans="1:84" s="7" customFormat="1" x14ac:dyDescent="0.2">
      <c r="A45" s="149"/>
      <c r="B45" s="14">
        <f t="shared" si="0"/>
        <v>1</v>
      </c>
      <c r="C45" s="12">
        <f t="shared" si="1"/>
        <v>1</v>
      </c>
      <c r="D45" s="17">
        <f t="shared" si="49"/>
        <v>39</v>
      </c>
      <c r="E45" s="17">
        <f t="shared" ca="1" si="2"/>
        <v>63</v>
      </c>
      <c r="F45" s="12">
        <f t="shared" si="53"/>
        <v>2</v>
      </c>
      <c r="G45" s="12">
        <f t="shared" si="52"/>
        <v>7</v>
      </c>
      <c r="H45" s="17">
        <f t="shared" si="54"/>
        <v>4</v>
      </c>
      <c r="I45" s="29">
        <f t="shared" si="3"/>
        <v>0</v>
      </c>
      <c r="J45" s="211">
        <f>IFERROR(VLOOKUP(H45,Charges!$T$6:$U$35,2,0)*C45,0)</f>
        <v>0.96499999999999997</v>
      </c>
      <c r="K45" s="29">
        <f t="shared" si="4"/>
        <v>0</v>
      </c>
      <c r="L45" s="29">
        <f t="shared" si="5"/>
        <v>0</v>
      </c>
      <c r="M45" s="147">
        <f t="shared" ca="1" si="6"/>
        <v>0</v>
      </c>
      <c r="N45" s="148">
        <f ca="1">IF(AND(Option_SPW="Y",H45&gt;=Lock_In_Period,Z44&gt;SPW_Amount_pa+IF(option="Single",1/5*pr,2*pr),H45&gt;=SPW_Start_Year,H45&lt;=SPW_Start_Year+SPW_Duration-1,age+H45&gt;=Legal_Age),IF(AND(F45=0,SPW_Payout_Freq=1),SPW_Amount_pa,IF(AND(SPW_Payout_Freq=2,MOD(F45,6)=0),SPW_Amount_pa/SPW_Payout_Freq,IF(AND(SPW_Payout_Freq=4,MOD(F45,3)=0),SPW_Amount_pa/SPW_Payout_Freq,IF(SPW_Payout_Freq=12,SPW_Amount_pa/SPW_Payout_Freq,0)))),0)+IFERROR(VLOOKUP(H45,Input!$B$68:$C$74,2,0),0)*(F45=0)*(Option_PW="Y")*(Option_SPW="N")*(age+H45&gt;=Legal_Age)</f>
        <v>0</v>
      </c>
      <c r="O45" s="148">
        <f t="shared" ca="1" si="33"/>
        <v>0</v>
      </c>
      <c r="P45" s="14">
        <f ca="1">(MAX(MAX(sa-CF44*Flag_UL_Type,105%*SUM($I$7:I45))-(AD44+L45-N45)*Flag_UL_Type,0)*B45)</f>
        <v>1949379.1158533737</v>
      </c>
      <c r="Q45" s="213">
        <f t="shared" ca="1" si="7"/>
        <v>2180.2018479963749</v>
      </c>
      <c r="R45" s="14">
        <f t="shared" ca="1" si="8"/>
        <v>0</v>
      </c>
      <c r="S45" s="14">
        <f t="shared" ca="1" si="9"/>
        <v>0</v>
      </c>
      <c r="T45" s="14">
        <f>IFERROR(IF(WoP_Flag="Y",IF(fq=1,VLOOKUP(ppt*fq-H45,Charges!$AN$41:$AO$59,2,FALSE),IF(fq=2,VLOOKUP(ppt*fq-G45,Charges!$AP$41:$AQ$79,2,FALSE),VLOOKUP(ppt*fq-D45,Charges!$AR$41:$AS$279,2,FALSE)))*pr/fq,0),0)</f>
        <v>0</v>
      </c>
      <c r="U45" s="14">
        <f ca="1">IFERROR(((T45*(VLOOKUP(Input!$D$18+H45-1,Tab_Mort_Charge,IF(Gender_2="M",2,3),FALSE)*(1+_emr2)+_rpm2)/IF(Model_Type="LA_PQIS",1000/0.0833,(12*1000))))*Flag_Mort_Rider_Charge*(T45&gt;0),0)</f>
        <v>0</v>
      </c>
      <c r="V45" s="34">
        <f>ROUND(MIN(IF(H45&gt;=7,Charges!$C$12*(1+Charges!$C$14)^((H45-7+1)),VLOOKUP(H45,Charges!$B$7:$C$12,2,0))*pr,Charges!$C$13)*B45,Round)</f>
        <v>450</v>
      </c>
      <c r="W45" s="14">
        <f t="shared" ca="1" si="10"/>
        <v>1047517.2459659906</v>
      </c>
      <c r="X45" s="14">
        <f t="shared" ca="1" si="11"/>
        <v>1050946.5448466488</v>
      </c>
      <c r="Y45" s="213">
        <f t="shared" ca="1" si="34"/>
        <v>1182.9582907123265</v>
      </c>
      <c r="Z45" s="14">
        <f t="shared" ca="1" si="12"/>
        <v>1049550.6540636083</v>
      </c>
      <c r="AA45" s="14">
        <f>IF(AND($H45=pt,$F45=11),SUM($K$7:K45)*VLOOKUP(pt,ROC,2,FALSE),0)</f>
        <v>0</v>
      </c>
      <c r="AB45" s="14">
        <f>IF(AND($H45=pt,$F45=11),SUM($V$7:V45)*VLOOKUP(pt,ROC,2,FALSE),0)</f>
        <v>0</v>
      </c>
      <c r="AC45" s="14">
        <f>IF(AND($H45=pt,$F45=11),SUM($Q$7:Q45)*VLOOKUP(pt,ROC,2,FALSE),0)</f>
        <v>0</v>
      </c>
      <c r="AD45" s="14">
        <f t="shared" ca="1" si="35"/>
        <v>1049550.6540636083</v>
      </c>
      <c r="AE45" s="14">
        <f ca="1">(MAX(sa-CF44*Flag_UL_Type,105%*SUM($I$7:I45),Z45)+AU45)*B45</f>
        <v>3000000</v>
      </c>
      <c r="AF45" s="136"/>
      <c r="AG45" s="18">
        <v>39</v>
      </c>
      <c r="AH45" s="30">
        <f t="shared" ca="1" si="13"/>
        <v>0</v>
      </c>
      <c r="AI45" s="138"/>
      <c r="AJ45" s="50">
        <f>IF(AND(Option_Sys_TopUp&gt;="Y",H45&gt;=sytp,H45&lt;=(dtp+sytp-1),F45=0,H45&lt;=ppt+1),atp,0)+IFERROR(VLOOKUP(H45,Input!$B$55:$C$61,2,0),0)*(F45=0)*(Option_TopUP="Y")*(Option_Sys_TopUp="N")*B45*(pt&gt;=H45+5)</f>
        <v>0</v>
      </c>
      <c r="AK45" s="50">
        <f t="shared" si="14"/>
        <v>0</v>
      </c>
      <c r="AL45" s="50">
        <f t="shared" si="36"/>
        <v>0</v>
      </c>
      <c r="AM45" s="50">
        <f t="shared" ca="1" si="15"/>
        <v>0</v>
      </c>
      <c r="AN45" s="50">
        <f ca="1">IF(B45=0,0,AT45*(_rpm1+(1+_emr1)*VLOOKUP(E45,Tab_Mort_Charge,IF(Input!$C$12="M",2,3),0))*(0.001*0.0833)*Flag_Mort_Rider_Charge*(AT45&gt;0))</f>
        <v>0</v>
      </c>
      <c r="AO45" s="50">
        <f t="shared" ca="1" si="37"/>
        <v>0</v>
      </c>
      <c r="AP45" s="50">
        <f t="shared" ca="1" si="38"/>
        <v>0</v>
      </c>
      <c r="AQ45" s="50">
        <f t="shared" ca="1" si="16"/>
        <v>0</v>
      </c>
      <c r="AR45" s="50">
        <f t="shared" ca="1" si="17"/>
        <v>0</v>
      </c>
      <c r="AS45" s="50">
        <f t="shared" si="18"/>
        <v>0</v>
      </c>
      <c r="AT45" s="50">
        <f ca="1">(MAX((MAX(AS45,105%*SUM($AJ$7:AJ45))-AM45*Flag_UL_Type),0)*B45)</f>
        <v>0</v>
      </c>
      <c r="AU45" s="50">
        <f ca="1">(MAX(AS45,AR45,105%*SUM($AJ$7:AJ45))*B45)</f>
        <v>0</v>
      </c>
      <c r="AV45" s="125"/>
      <c r="AW45" s="13"/>
      <c r="AX45" s="13"/>
      <c r="AY45" s="13"/>
      <c r="AZ45" s="13"/>
      <c r="BA45" s="13"/>
      <c r="BG45" s="51">
        <f t="shared" si="21"/>
        <v>0</v>
      </c>
      <c r="BH45" s="51">
        <f t="shared" ca="1" si="22"/>
        <v>392.43633263934697</v>
      </c>
      <c r="BI45" s="51">
        <f t="shared" ca="1" si="46"/>
        <v>0</v>
      </c>
      <c r="BJ45" s="51">
        <f t="shared" ca="1" si="23"/>
        <v>0</v>
      </c>
      <c r="BK45" s="51">
        <f t="shared" si="24"/>
        <v>81</v>
      </c>
      <c r="BL45" s="51">
        <f t="shared" ca="1" si="25"/>
        <v>212.93249232821876</v>
      </c>
      <c r="BM45" s="51">
        <f t="shared" si="26"/>
        <v>0</v>
      </c>
      <c r="BN45" s="51">
        <f t="shared" ca="1" si="27"/>
        <v>0</v>
      </c>
      <c r="BO45" s="51">
        <f t="shared" ca="1" si="28"/>
        <v>0</v>
      </c>
      <c r="BP45" s="51">
        <f t="shared" ca="1" si="29"/>
        <v>686.36882496756573</v>
      </c>
      <c r="BR45" s="32"/>
      <c r="BS45" s="126"/>
      <c r="BT45" s="16"/>
      <c r="BU45" s="58"/>
      <c r="BW45" s="51">
        <f>VLOOKUP(H45,Charges!$AT$4:$AU$33,2,FALSE)*I45</f>
        <v>0</v>
      </c>
      <c r="BX45" s="51">
        <f t="shared" si="30"/>
        <v>0</v>
      </c>
      <c r="BY45" s="51">
        <f t="shared" si="47"/>
        <v>0</v>
      </c>
      <c r="BZ45" s="151"/>
      <c r="CA45" s="151"/>
      <c r="CB45" s="32"/>
      <c r="CC45" s="16">
        <f ca="1">SUM($N$7:$N45)</f>
        <v>0</v>
      </c>
      <c r="CD45" s="16">
        <f t="shared" ca="1" si="31"/>
        <v>0</v>
      </c>
      <c r="CE45" s="16">
        <f t="shared" ca="1" si="32"/>
        <v>0</v>
      </c>
      <c r="CF45" s="7">
        <f t="shared" ca="1" si="48"/>
        <v>0</v>
      </c>
    </row>
    <row r="46" spans="1:84" s="7" customFormat="1" x14ac:dyDescent="0.2">
      <c r="A46" s="149"/>
      <c r="B46" s="14">
        <f t="shared" si="0"/>
        <v>1</v>
      </c>
      <c r="C46" s="12">
        <f t="shared" si="1"/>
        <v>1</v>
      </c>
      <c r="D46" s="17">
        <f t="shared" si="49"/>
        <v>40</v>
      </c>
      <c r="E46" s="17">
        <f t="shared" ca="1" si="2"/>
        <v>63</v>
      </c>
      <c r="F46" s="12">
        <f t="shared" si="53"/>
        <v>3</v>
      </c>
      <c r="G46" s="12">
        <f t="shared" si="52"/>
        <v>7</v>
      </c>
      <c r="H46" s="17">
        <f t="shared" si="54"/>
        <v>4</v>
      </c>
      <c r="I46" s="29">
        <f t="shared" si="3"/>
        <v>0</v>
      </c>
      <c r="J46" s="211">
        <f>IFERROR(VLOOKUP(H46,Charges!$T$6:$U$35,2,0)*C46,0)</f>
        <v>0.96499999999999997</v>
      </c>
      <c r="K46" s="29">
        <f t="shared" si="4"/>
        <v>0</v>
      </c>
      <c r="L46" s="29">
        <f t="shared" si="5"/>
        <v>0</v>
      </c>
      <c r="M46" s="147">
        <f t="shared" ca="1" si="6"/>
        <v>0</v>
      </c>
      <c r="N46" s="148">
        <f ca="1">IF(AND(Option_SPW="Y",H46&gt;=Lock_In_Period,Z45&gt;SPW_Amount_pa+IF(option="Single",1/5*pr,2*pr),H46&gt;=SPW_Start_Year,H46&lt;=SPW_Start_Year+SPW_Duration-1,age+H46&gt;=Legal_Age),IF(AND(F46=0,SPW_Payout_Freq=1),SPW_Amount_pa,IF(AND(SPW_Payout_Freq=2,MOD(F46,6)=0),SPW_Amount_pa/SPW_Payout_Freq,IF(AND(SPW_Payout_Freq=4,MOD(F46,3)=0),SPW_Amount_pa/SPW_Payout_Freq,IF(SPW_Payout_Freq=12,SPW_Amount_pa/SPW_Payout_Freq,0)))),0)+IFERROR(VLOOKUP(H46,Input!$B$68:$C$74,2,0),0)*(F46=0)*(Option_PW="Y")*(Option_SPW="N")*(age+H46&gt;=Legal_Age)</f>
        <v>0</v>
      </c>
      <c r="O46" s="148">
        <f t="shared" ca="1" si="33"/>
        <v>0</v>
      </c>
      <c r="P46" s="14">
        <f ca="1">(MAX(MAX(sa-CF45*Flag_UL_Type,105%*SUM($I$7:I46))-(AD45+L46-N46)*Flag_UL_Type,0)*B46)</f>
        <v>1950449.3459363917</v>
      </c>
      <c r="Q46" s="213">
        <f t="shared" ca="1" si="7"/>
        <v>2181.398802239808</v>
      </c>
      <c r="R46" s="14">
        <f t="shared" ca="1" si="8"/>
        <v>0</v>
      </c>
      <c r="S46" s="14">
        <f t="shared" ca="1" si="9"/>
        <v>0</v>
      </c>
      <c r="T46" s="14">
        <f>IFERROR(IF(WoP_Flag="Y",IF(fq=1,VLOOKUP(ppt*fq-H46,Charges!$AN$41:$AO$59,2,FALSE),IF(fq=2,VLOOKUP(ppt*fq-G46,Charges!$AP$41:$AQ$79,2,FALSE),VLOOKUP(ppt*fq-D46,Charges!$AR$41:$AS$279,2,FALSE)))*pr/fq,0),0)</f>
        <v>0</v>
      </c>
      <c r="U46" s="14">
        <f ca="1">IFERROR(((T46*(VLOOKUP(Input!$D$18+H46-1,Tab_Mort_Charge,IF(Gender_2="M",2,3),FALSE)*(1+_emr2)+_rpm2)/IF(Model_Type="LA_PQIS",1000/0.0833,(12*1000))))*Flag_Mort_Rider_Charge*(T46&gt;0),0)</f>
        <v>0</v>
      </c>
      <c r="V46" s="34">
        <f>ROUND(MIN(IF(H46&gt;=7,Charges!$C$12*(1+Charges!$C$14)^((H46-7+1)),VLOOKUP(H46,Charges!$B$7:$C$12,2,0))*pr,Charges!$C$13)*B46,Round)</f>
        <v>450</v>
      </c>
      <c r="W46" s="14">
        <f t="shared" ca="1" si="10"/>
        <v>1046445.6034769653</v>
      </c>
      <c r="X46" s="14">
        <f t="shared" ca="1" si="11"/>
        <v>1049871.3940789751</v>
      </c>
      <c r="Y46" s="213">
        <f t="shared" ca="1" si="34"/>
        <v>1181.7480878522267</v>
      </c>
      <c r="Z46" s="14">
        <f t="shared" ca="1" si="12"/>
        <v>1048476.9313353094</v>
      </c>
      <c r="AA46" s="14">
        <f>IF(AND($H46=pt,$F46=11),SUM($K$7:K46)*VLOOKUP(pt,ROC,2,FALSE),0)</f>
        <v>0</v>
      </c>
      <c r="AB46" s="14">
        <f>IF(AND($H46=pt,$F46=11),SUM($V$7:V46)*VLOOKUP(pt,ROC,2,FALSE),0)</f>
        <v>0</v>
      </c>
      <c r="AC46" s="14">
        <f>IF(AND($H46=pt,$F46=11),SUM($Q$7:Q46)*VLOOKUP(pt,ROC,2,FALSE),0)</f>
        <v>0</v>
      </c>
      <c r="AD46" s="14">
        <f t="shared" ca="1" si="35"/>
        <v>1048476.9313353094</v>
      </c>
      <c r="AE46" s="14">
        <f ca="1">(MAX(sa-CF45*Flag_UL_Type,105%*SUM($I$7:I46),Z46)+AU46)*B46</f>
        <v>3000000</v>
      </c>
      <c r="AF46" s="136"/>
      <c r="AG46" s="18">
        <v>40</v>
      </c>
      <c r="AH46" s="30">
        <f t="shared" ca="1" si="13"/>
        <v>0</v>
      </c>
      <c r="AI46" s="138"/>
      <c r="AJ46" s="50">
        <f>IF(AND(Option_Sys_TopUp&gt;="Y",H46&gt;=sytp,H46&lt;=(dtp+sytp-1),F46=0,H46&lt;=ppt+1),atp,0)+IFERROR(VLOOKUP(H46,Input!$B$55:$C$61,2,0),0)*(F46=0)*(Option_TopUP="Y")*(Option_Sys_TopUp="N")*B46*(pt&gt;=H46+5)</f>
        <v>0</v>
      </c>
      <c r="AK46" s="50">
        <f t="shared" si="14"/>
        <v>0</v>
      </c>
      <c r="AL46" s="50">
        <f t="shared" si="36"/>
        <v>0</v>
      </c>
      <c r="AM46" s="50">
        <f t="shared" ca="1" si="15"/>
        <v>0</v>
      </c>
      <c r="AN46" s="50">
        <f ca="1">IF(B46=0,0,AT46*(_rpm1+(1+_emr1)*VLOOKUP(E46,Tab_Mort_Charge,IF(Input!$C$12="M",2,3),0))*(0.001*0.0833)*Flag_Mort_Rider_Charge*(AT46&gt;0))</f>
        <v>0</v>
      </c>
      <c r="AO46" s="50">
        <f t="shared" ca="1" si="37"/>
        <v>0</v>
      </c>
      <c r="AP46" s="50">
        <f t="shared" ca="1" si="38"/>
        <v>0</v>
      </c>
      <c r="AQ46" s="50">
        <f t="shared" ca="1" si="16"/>
        <v>0</v>
      </c>
      <c r="AR46" s="50">
        <f t="shared" ca="1" si="17"/>
        <v>0</v>
      </c>
      <c r="AS46" s="50">
        <f t="shared" si="18"/>
        <v>0</v>
      </c>
      <c r="AT46" s="50">
        <f ca="1">(MAX((MAX(AS46,105%*SUM($AJ$7:AJ46))-AM46*Flag_UL_Type),0)*B46)</f>
        <v>0</v>
      </c>
      <c r="AU46" s="50">
        <f ca="1">(MAX(AS46,AR46,105%*SUM($AJ$7:AJ46))*B46)</f>
        <v>0</v>
      </c>
      <c r="AV46" s="125"/>
      <c r="AW46" s="13"/>
      <c r="AX46" s="13"/>
      <c r="AY46" s="13"/>
      <c r="AZ46" s="13"/>
      <c r="BA46" s="13"/>
      <c r="BG46" s="51">
        <f t="shared" si="21"/>
        <v>0</v>
      </c>
      <c r="BH46" s="51">
        <f t="shared" ca="1" si="22"/>
        <v>392.65178440316498</v>
      </c>
      <c r="BI46" s="51">
        <f t="shared" ca="1" si="46"/>
        <v>0</v>
      </c>
      <c r="BJ46" s="51">
        <f t="shared" ca="1" si="23"/>
        <v>0</v>
      </c>
      <c r="BK46" s="51">
        <f t="shared" si="24"/>
        <v>81</v>
      </c>
      <c r="BL46" s="51">
        <f t="shared" ca="1" si="25"/>
        <v>212.71465581340081</v>
      </c>
      <c r="BM46" s="51">
        <f t="shared" si="26"/>
        <v>0</v>
      </c>
      <c r="BN46" s="51">
        <f t="shared" ca="1" si="27"/>
        <v>0</v>
      </c>
      <c r="BO46" s="51">
        <f t="shared" ca="1" si="28"/>
        <v>0</v>
      </c>
      <c r="BP46" s="51">
        <f t="shared" ca="1" si="29"/>
        <v>686.36644021656582</v>
      </c>
      <c r="BR46" s="32"/>
      <c r="BS46" s="126"/>
      <c r="BT46" s="16"/>
      <c r="BU46" s="58"/>
      <c r="BW46" s="51">
        <f>VLOOKUP(H46,Charges!$AT$4:$AU$33,2,FALSE)*I46</f>
        <v>0</v>
      </c>
      <c r="BX46" s="51">
        <f t="shared" si="30"/>
        <v>0</v>
      </c>
      <c r="BY46" s="51">
        <f t="shared" si="47"/>
        <v>0</v>
      </c>
      <c r="BZ46" s="151"/>
      <c r="CA46" s="151"/>
      <c r="CB46" s="32"/>
      <c r="CC46" s="16">
        <f ca="1">SUM($N$7:$N46)</f>
        <v>0</v>
      </c>
      <c r="CD46" s="16">
        <f t="shared" ca="1" si="31"/>
        <v>0</v>
      </c>
      <c r="CE46" s="16">
        <f t="shared" ca="1" si="32"/>
        <v>0</v>
      </c>
      <c r="CF46" s="7">
        <f t="shared" ca="1" si="48"/>
        <v>0</v>
      </c>
    </row>
    <row r="47" spans="1:84" s="7" customFormat="1" x14ac:dyDescent="0.2">
      <c r="A47" s="149"/>
      <c r="B47" s="14">
        <f t="shared" si="0"/>
        <v>1</v>
      </c>
      <c r="C47" s="12">
        <f t="shared" si="1"/>
        <v>1</v>
      </c>
      <c r="D47" s="17">
        <f t="shared" si="49"/>
        <v>41</v>
      </c>
      <c r="E47" s="17">
        <f t="shared" ca="1" si="2"/>
        <v>63</v>
      </c>
      <c r="F47" s="12">
        <f t="shared" si="53"/>
        <v>4</v>
      </c>
      <c r="G47" s="12">
        <f t="shared" si="52"/>
        <v>7</v>
      </c>
      <c r="H47" s="17">
        <f t="shared" si="54"/>
        <v>4</v>
      </c>
      <c r="I47" s="29">
        <f t="shared" si="3"/>
        <v>0</v>
      </c>
      <c r="J47" s="211">
        <f>IFERROR(VLOOKUP(H47,Charges!$T$6:$U$35,2,0)*C47,0)</f>
        <v>0.96499999999999997</v>
      </c>
      <c r="K47" s="29">
        <f t="shared" si="4"/>
        <v>0</v>
      </c>
      <c r="L47" s="29">
        <f t="shared" si="5"/>
        <v>0</v>
      </c>
      <c r="M47" s="147">
        <f t="shared" ca="1" si="6"/>
        <v>0</v>
      </c>
      <c r="N47" s="148">
        <f ca="1">IF(AND(Option_SPW="Y",H47&gt;=Lock_In_Period,Z46&gt;SPW_Amount_pa+IF(option="Single",1/5*pr,2*pr),H47&gt;=SPW_Start_Year,H47&lt;=SPW_Start_Year+SPW_Duration-1,age+H47&gt;=Legal_Age),IF(AND(F47=0,SPW_Payout_Freq=1),SPW_Amount_pa,IF(AND(SPW_Payout_Freq=2,MOD(F47,6)=0),SPW_Amount_pa/SPW_Payout_Freq,IF(AND(SPW_Payout_Freq=4,MOD(F47,3)=0),SPW_Amount_pa/SPW_Payout_Freq,IF(SPW_Payout_Freq=12,SPW_Amount_pa/SPW_Payout_Freq,0)))),0)+IFERROR(VLOOKUP(H47,Input!$B$68:$C$74,2,0),0)*(F47=0)*(Option_PW="Y")*(Option_SPW="N")*(age+H47&gt;=Legal_Age)</f>
        <v>0</v>
      </c>
      <c r="O47" s="148">
        <f t="shared" ca="1" si="33"/>
        <v>0</v>
      </c>
      <c r="P47" s="14">
        <f ca="1">(MAX(MAX(sa-CF46*Flag_UL_Type,105%*SUM($I$7:I47))-(AD46+L47-N47)*Flag_UL_Type,0)*B47)</f>
        <v>1951523.0686646905</v>
      </c>
      <c r="Q47" s="213">
        <f t="shared" ca="1" si="7"/>
        <v>2182.599662686825</v>
      </c>
      <c r="R47" s="14">
        <f t="shared" ca="1" si="8"/>
        <v>0</v>
      </c>
      <c r="S47" s="14">
        <f t="shared" ca="1" si="9"/>
        <v>0</v>
      </c>
      <c r="T47" s="14">
        <f>IFERROR(IF(WoP_Flag="Y",IF(fq=1,VLOOKUP(ppt*fq-H47,Charges!$AN$41:$AO$59,2,FALSE),IF(fq=2,VLOOKUP(ppt*fq-G47,Charges!$AP$41:$AQ$79,2,FALSE),VLOOKUP(ppt*fq-D47,Charges!$AR$41:$AS$279,2,FALSE)))*pr/fq,0),0)</f>
        <v>0</v>
      </c>
      <c r="U47" s="14">
        <f ca="1">IFERROR(((T47*(VLOOKUP(Input!$D$18+H47-1,Tab_Mort_Charge,IF(Gender_2="M",2,3),FALSE)*(1+_emr2)+_rpm2)/IF(Model_Type="LA_PQIS",1000/0.0833,(12*1000))))*Flag_Mort_Rider_Charge*(T47&gt;0),0)</f>
        <v>0</v>
      </c>
      <c r="V47" s="34">
        <f>ROUND(MIN(IF(H47&gt;=7,Charges!$C$12*(1+Charges!$C$14)^((H47-7+1)),VLOOKUP(H47,Charges!$B$7:$C$12,2,0))*pr,Charges!$C$13)*B47,Round)</f>
        <v>450</v>
      </c>
      <c r="W47" s="14">
        <f t="shared" ca="1" si="10"/>
        <v>1045370.463733339</v>
      </c>
      <c r="X47" s="14">
        <f t="shared" ca="1" si="11"/>
        <v>1048792.7346075985</v>
      </c>
      <c r="Y47" s="213">
        <f t="shared" ca="1" si="34"/>
        <v>1180.5339355523051</v>
      </c>
      <c r="Z47" s="14">
        <f t="shared" ca="1" si="12"/>
        <v>1047399.7045636468</v>
      </c>
      <c r="AA47" s="14">
        <f>IF(AND($H47=pt,$F47=11),SUM($K$7:K47)*VLOOKUP(pt,ROC,2,FALSE),0)</f>
        <v>0</v>
      </c>
      <c r="AB47" s="14">
        <f>IF(AND($H47=pt,$F47=11),SUM($V$7:V47)*VLOOKUP(pt,ROC,2,FALSE),0)</f>
        <v>0</v>
      </c>
      <c r="AC47" s="14">
        <f>IF(AND($H47=pt,$F47=11),SUM($Q$7:Q47)*VLOOKUP(pt,ROC,2,FALSE),0)</f>
        <v>0</v>
      </c>
      <c r="AD47" s="14">
        <f t="shared" ca="1" si="35"/>
        <v>1047399.7045636468</v>
      </c>
      <c r="AE47" s="14">
        <f ca="1">(MAX(sa-CF46*Flag_UL_Type,105%*SUM($I$7:I47),Z47)+AU47)*B47</f>
        <v>3000000</v>
      </c>
      <c r="AF47" s="136"/>
      <c r="AG47" s="18">
        <v>41</v>
      </c>
      <c r="AH47" s="30">
        <f t="shared" ca="1" si="13"/>
        <v>0</v>
      </c>
      <c r="AI47" s="138"/>
      <c r="AJ47" s="50">
        <f>IF(AND(Option_Sys_TopUp&gt;="Y",H47&gt;=sytp,H47&lt;=(dtp+sytp-1),F47=0,H47&lt;=ppt+1),atp,0)+IFERROR(VLOOKUP(H47,Input!$B$55:$C$61,2,0),0)*(F47=0)*(Option_TopUP="Y")*(Option_Sys_TopUp="N")*B47*(pt&gt;=H47+5)</f>
        <v>0</v>
      </c>
      <c r="AK47" s="50">
        <f t="shared" si="14"/>
        <v>0</v>
      </c>
      <c r="AL47" s="50">
        <f t="shared" si="36"/>
        <v>0</v>
      </c>
      <c r="AM47" s="50">
        <f t="shared" ca="1" si="15"/>
        <v>0</v>
      </c>
      <c r="AN47" s="50">
        <f ca="1">IF(B47=0,0,AT47*(_rpm1+(1+_emr1)*VLOOKUP(E47,Tab_Mort_Charge,IF(Input!$C$12="M",2,3),0))*(0.001*0.0833)*Flag_Mort_Rider_Charge*(AT47&gt;0))</f>
        <v>0</v>
      </c>
      <c r="AO47" s="50">
        <f t="shared" ca="1" si="37"/>
        <v>0</v>
      </c>
      <c r="AP47" s="50">
        <f t="shared" ca="1" si="38"/>
        <v>0</v>
      </c>
      <c r="AQ47" s="50">
        <f t="shared" ca="1" si="16"/>
        <v>0</v>
      </c>
      <c r="AR47" s="50">
        <f t="shared" ca="1" si="17"/>
        <v>0</v>
      </c>
      <c r="AS47" s="50">
        <f t="shared" si="18"/>
        <v>0</v>
      </c>
      <c r="AT47" s="50">
        <f ca="1">(MAX((MAX(AS47,105%*SUM($AJ$7:AJ47))-AM47*Flag_UL_Type),0)*B47)</f>
        <v>0</v>
      </c>
      <c r="AU47" s="50">
        <f ca="1">(MAX(AS47,AR47,105%*SUM($AJ$7:AJ47))*B47)</f>
        <v>0</v>
      </c>
      <c r="AV47" s="125"/>
      <c r="AW47" s="13"/>
      <c r="AX47" s="13"/>
      <c r="AY47" s="13"/>
      <c r="AZ47" s="13"/>
      <c r="BA47" s="13"/>
      <c r="BG47" s="51">
        <f t="shared" si="21"/>
        <v>0</v>
      </c>
      <c r="BH47" s="51">
        <f t="shared" ca="1" si="22"/>
        <v>392.86793928362903</v>
      </c>
      <c r="BI47" s="51">
        <f t="shared" ca="1" si="46"/>
        <v>0</v>
      </c>
      <c r="BJ47" s="51">
        <f t="shared" ca="1" si="23"/>
        <v>0</v>
      </c>
      <c r="BK47" s="51">
        <f t="shared" si="24"/>
        <v>81</v>
      </c>
      <c r="BL47" s="51">
        <f t="shared" ca="1" si="25"/>
        <v>212.49610839941491</v>
      </c>
      <c r="BM47" s="51">
        <f t="shared" si="26"/>
        <v>0</v>
      </c>
      <c r="BN47" s="51">
        <f t="shared" ca="1" si="27"/>
        <v>0</v>
      </c>
      <c r="BO47" s="51">
        <f t="shared" ca="1" si="28"/>
        <v>0</v>
      </c>
      <c r="BP47" s="51">
        <f t="shared" ca="1" si="29"/>
        <v>686.36404768304396</v>
      </c>
      <c r="BR47" s="32"/>
      <c r="BS47" s="126"/>
      <c r="BT47" s="16"/>
      <c r="BU47" s="58"/>
      <c r="BW47" s="51">
        <f>VLOOKUP(H47,Charges!$AT$4:$AU$33,2,FALSE)*I47</f>
        <v>0</v>
      </c>
      <c r="BX47" s="51">
        <f t="shared" si="30"/>
        <v>0</v>
      </c>
      <c r="BY47" s="51">
        <f t="shared" si="47"/>
        <v>0</v>
      </c>
      <c r="BZ47" s="151"/>
      <c r="CA47" s="151"/>
      <c r="CB47" s="32"/>
      <c r="CC47" s="16">
        <f ca="1">SUM($N$7:$N47)</f>
        <v>0</v>
      </c>
      <c r="CD47" s="16">
        <f t="shared" ca="1" si="31"/>
        <v>0</v>
      </c>
      <c r="CE47" s="16">
        <f t="shared" ca="1" si="32"/>
        <v>0</v>
      </c>
      <c r="CF47" s="7">
        <f t="shared" ca="1" si="48"/>
        <v>0</v>
      </c>
    </row>
    <row r="48" spans="1:84" s="7" customFormat="1" x14ac:dyDescent="0.2">
      <c r="A48" s="149"/>
      <c r="B48" s="14">
        <f t="shared" si="0"/>
        <v>1</v>
      </c>
      <c r="C48" s="12">
        <f t="shared" si="1"/>
        <v>1</v>
      </c>
      <c r="D48" s="17">
        <f t="shared" si="49"/>
        <v>42</v>
      </c>
      <c r="E48" s="17">
        <f t="shared" ca="1" si="2"/>
        <v>63</v>
      </c>
      <c r="F48" s="12">
        <f t="shared" si="53"/>
        <v>5</v>
      </c>
      <c r="G48" s="12">
        <f t="shared" si="52"/>
        <v>7</v>
      </c>
      <c r="H48" s="17">
        <f t="shared" si="54"/>
        <v>4</v>
      </c>
      <c r="I48" s="29">
        <f t="shared" si="3"/>
        <v>0</v>
      </c>
      <c r="J48" s="211">
        <f>IFERROR(VLOOKUP(H48,Charges!$T$6:$U$35,2,0)*C48,0)</f>
        <v>0.96499999999999997</v>
      </c>
      <c r="K48" s="29">
        <f t="shared" si="4"/>
        <v>0</v>
      </c>
      <c r="L48" s="29">
        <f t="shared" si="5"/>
        <v>0</v>
      </c>
      <c r="M48" s="147">
        <f t="shared" ca="1" si="6"/>
        <v>0</v>
      </c>
      <c r="N48" s="148">
        <f ca="1">IF(AND(Option_SPW="Y",H48&gt;=Lock_In_Period,Z47&gt;SPW_Amount_pa+IF(option="Single",1/5*pr,2*pr),H48&gt;=SPW_Start_Year,H48&lt;=SPW_Start_Year+SPW_Duration-1,age+H48&gt;=Legal_Age),IF(AND(F48=0,SPW_Payout_Freq=1),SPW_Amount_pa,IF(AND(SPW_Payout_Freq=2,MOD(F48,6)=0),SPW_Amount_pa/SPW_Payout_Freq,IF(AND(SPW_Payout_Freq=4,MOD(F48,3)=0),SPW_Amount_pa/SPW_Payout_Freq,IF(SPW_Payout_Freq=12,SPW_Amount_pa/SPW_Payout_Freq,0)))),0)+IFERROR(VLOOKUP(H48,Input!$B$68:$C$74,2,0),0)*(F48=0)*(Option_PW="Y")*(Option_SPW="N")*(age+H48&gt;=Legal_Age)</f>
        <v>0</v>
      </c>
      <c r="O48" s="148">
        <f t="shared" ca="1" si="33"/>
        <v>0</v>
      </c>
      <c r="P48" s="14">
        <f ca="1">(MAX(MAX(sa-CF47*Flag_UL_Type,105%*SUM($I$7:I48))-(AD47+L48-N48)*Flag_UL_Type,0)*B48)</f>
        <v>1952600.2954363532</v>
      </c>
      <c r="Q48" s="213">
        <f t="shared" ca="1" si="7"/>
        <v>2183.8044420851497</v>
      </c>
      <c r="R48" s="14">
        <f t="shared" ca="1" si="8"/>
        <v>0</v>
      </c>
      <c r="S48" s="14">
        <f t="shared" ca="1" si="9"/>
        <v>0</v>
      </c>
      <c r="T48" s="14">
        <f>IFERROR(IF(WoP_Flag="Y",IF(fq=1,VLOOKUP(ppt*fq-H48,Charges!$AN$41:$AO$59,2,FALSE),IF(fq=2,VLOOKUP(ppt*fq-G48,Charges!$AP$41:$AQ$79,2,FALSE),VLOOKUP(ppt*fq-D48,Charges!$AR$41:$AS$279,2,FALSE)))*pr/fq,0),0)</f>
        <v>0</v>
      </c>
      <c r="U48" s="14">
        <f ca="1">IFERROR(((T48*(VLOOKUP(Input!$D$18+H48-1,Tab_Mort_Charge,IF(Gender_2="M",2,3),FALSE)*(1+_emr2)+_rpm2)/IF(Model_Type="LA_PQIS",1000/0.0833,(12*1000))))*Flag_Mort_Rider_Charge*(T48&gt;0),0)</f>
        <v>0</v>
      </c>
      <c r="V48" s="34">
        <f>ROUND(MIN(IF(H48&gt;=7,Charges!$C$12*(1+Charges!$C$14)^((H48-7+1)),VLOOKUP(H48,Charges!$B$7:$C$12,2,0))*pr,Charges!$C$13)*B48,Round)</f>
        <v>450</v>
      </c>
      <c r="W48" s="14">
        <f t="shared" ca="1" si="10"/>
        <v>1044291.8153219863</v>
      </c>
      <c r="X48" s="14">
        <f t="shared" ca="1" si="11"/>
        <v>1047710.5549820306</v>
      </c>
      <c r="Y48" s="213">
        <f t="shared" ca="1" si="34"/>
        <v>1179.3158209237517</v>
      </c>
      <c r="Z48" s="14">
        <f t="shared" ca="1" si="12"/>
        <v>1046318.9623133406</v>
      </c>
      <c r="AA48" s="14">
        <f>IF(AND($H48=pt,$F48=11),SUM($K$7:K48)*VLOOKUP(pt,ROC,2,FALSE),0)</f>
        <v>0</v>
      </c>
      <c r="AB48" s="14">
        <f>IF(AND($H48=pt,$F48=11),SUM($V$7:V48)*VLOOKUP(pt,ROC,2,FALSE),0)</f>
        <v>0</v>
      </c>
      <c r="AC48" s="14">
        <f>IF(AND($H48=pt,$F48=11),SUM($Q$7:Q48)*VLOOKUP(pt,ROC,2,FALSE),0)</f>
        <v>0</v>
      </c>
      <c r="AD48" s="14">
        <f t="shared" ca="1" si="35"/>
        <v>1046318.9623133406</v>
      </c>
      <c r="AE48" s="14">
        <f ca="1">(MAX(sa-CF47*Flag_UL_Type,105%*SUM($I$7:I48),Z48)+AU48)*B48</f>
        <v>3000000</v>
      </c>
      <c r="AF48" s="136"/>
      <c r="AG48" s="18">
        <v>42</v>
      </c>
      <c r="AH48" s="30">
        <f t="shared" ca="1" si="13"/>
        <v>0</v>
      </c>
      <c r="AI48" s="138"/>
      <c r="AJ48" s="50">
        <f>IF(AND(Option_Sys_TopUp&gt;="Y",H48&gt;=sytp,H48&lt;=(dtp+sytp-1),F48=0,H48&lt;=ppt+1),atp,0)+IFERROR(VLOOKUP(H48,Input!$B$55:$C$61,2,0),0)*(F48=0)*(Option_TopUP="Y")*(Option_Sys_TopUp="N")*B48*(pt&gt;=H48+5)</f>
        <v>0</v>
      </c>
      <c r="AK48" s="50">
        <f t="shared" si="14"/>
        <v>0</v>
      </c>
      <c r="AL48" s="50">
        <f t="shared" si="36"/>
        <v>0</v>
      </c>
      <c r="AM48" s="50">
        <f t="shared" ca="1" si="15"/>
        <v>0</v>
      </c>
      <c r="AN48" s="50">
        <f ca="1">IF(B48=0,0,AT48*(_rpm1+(1+_emr1)*VLOOKUP(E48,Tab_Mort_Charge,IF(Input!$C$12="M",2,3),0))*(0.001*0.0833)*Flag_Mort_Rider_Charge*(AT48&gt;0))</f>
        <v>0</v>
      </c>
      <c r="AO48" s="50">
        <f t="shared" ca="1" si="37"/>
        <v>0</v>
      </c>
      <c r="AP48" s="50">
        <f t="shared" ca="1" si="38"/>
        <v>0</v>
      </c>
      <c r="AQ48" s="50">
        <f t="shared" ca="1" si="16"/>
        <v>0</v>
      </c>
      <c r="AR48" s="50">
        <f t="shared" ca="1" si="17"/>
        <v>0</v>
      </c>
      <c r="AS48" s="50">
        <f t="shared" si="18"/>
        <v>0</v>
      </c>
      <c r="AT48" s="50">
        <f ca="1">(MAX((MAX(AS48,105%*SUM($AJ$7:AJ48))-AM48*Flag_UL_Type),0)*B48)</f>
        <v>0</v>
      </c>
      <c r="AU48" s="50">
        <f ca="1">(MAX(AS48,AR48,105%*SUM($AJ$7:AJ48))*B48)</f>
        <v>0</v>
      </c>
      <c r="AV48" s="125"/>
      <c r="AW48" s="13"/>
      <c r="AX48" s="13"/>
      <c r="AY48" s="13"/>
      <c r="AZ48" s="13"/>
      <c r="BA48" s="13"/>
      <c r="BG48" s="51">
        <f t="shared" si="21"/>
        <v>0</v>
      </c>
      <c r="BH48" s="51">
        <f t="shared" ca="1" si="22"/>
        <v>393.084799575327</v>
      </c>
      <c r="BI48" s="51">
        <f t="shared" ca="1" si="46"/>
        <v>0</v>
      </c>
      <c r="BJ48" s="51">
        <f t="shared" ca="1" si="23"/>
        <v>0</v>
      </c>
      <c r="BK48" s="51">
        <f t="shared" si="24"/>
        <v>81</v>
      </c>
      <c r="BL48" s="51">
        <f t="shared" ca="1" si="25"/>
        <v>212.2768477662753</v>
      </c>
      <c r="BM48" s="51">
        <f t="shared" si="26"/>
        <v>0</v>
      </c>
      <c r="BN48" s="51">
        <f t="shared" ca="1" si="27"/>
        <v>0</v>
      </c>
      <c r="BO48" s="51">
        <f t="shared" ca="1" si="28"/>
        <v>0</v>
      </c>
      <c r="BP48" s="51">
        <f t="shared" ca="1" si="29"/>
        <v>686.36164734160229</v>
      </c>
      <c r="BR48" s="32"/>
      <c r="BS48" s="126"/>
      <c r="BT48" s="16"/>
      <c r="BU48" s="58"/>
      <c r="BW48" s="51">
        <f>VLOOKUP(H48,Charges!$AT$4:$AU$33,2,FALSE)*I48</f>
        <v>0</v>
      </c>
      <c r="BX48" s="51">
        <f t="shared" si="30"/>
        <v>0</v>
      </c>
      <c r="BY48" s="51">
        <f t="shared" si="47"/>
        <v>0</v>
      </c>
      <c r="BZ48" s="151"/>
      <c r="CA48" s="151"/>
      <c r="CB48" s="32"/>
      <c r="CC48" s="16">
        <f ca="1">SUM($N$7:$N48)</f>
        <v>0</v>
      </c>
      <c r="CD48" s="16">
        <f t="shared" ca="1" si="31"/>
        <v>0</v>
      </c>
      <c r="CE48" s="16">
        <f t="shared" ca="1" si="32"/>
        <v>0</v>
      </c>
      <c r="CF48" s="7">
        <f t="shared" ca="1" si="48"/>
        <v>0</v>
      </c>
    </row>
    <row r="49" spans="1:84" s="7" customFormat="1" x14ac:dyDescent="0.2">
      <c r="A49" s="149"/>
      <c r="B49" s="14">
        <f t="shared" si="0"/>
        <v>1</v>
      </c>
      <c r="C49" s="12">
        <f t="shared" si="1"/>
        <v>1</v>
      </c>
      <c r="D49" s="17">
        <f t="shared" si="49"/>
        <v>43</v>
      </c>
      <c r="E49" s="17">
        <f t="shared" ca="1" si="2"/>
        <v>63</v>
      </c>
      <c r="F49" s="12">
        <f t="shared" si="53"/>
        <v>6</v>
      </c>
      <c r="G49" s="12">
        <f t="shared" si="52"/>
        <v>8</v>
      </c>
      <c r="H49" s="17">
        <f t="shared" si="54"/>
        <v>4</v>
      </c>
      <c r="I49" s="29">
        <f t="shared" si="3"/>
        <v>0</v>
      </c>
      <c r="J49" s="211">
        <f>IFERROR(VLOOKUP(H49,Charges!$T$6:$U$35,2,0)*C49,0)</f>
        <v>0.96499999999999997</v>
      </c>
      <c r="K49" s="29">
        <f t="shared" si="4"/>
        <v>0</v>
      </c>
      <c r="L49" s="29">
        <f t="shared" si="5"/>
        <v>0</v>
      </c>
      <c r="M49" s="147">
        <f t="shared" ca="1" si="6"/>
        <v>0</v>
      </c>
      <c r="N49" s="148">
        <f ca="1">IF(AND(Option_SPW="Y",H49&gt;=Lock_In_Period,Z48&gt;SPW_Amount_pa+IF(option="Single",1/5*pr,2*pr),H49&gt;=SPW_Start_Year,H49&lt;=SPW_Start_Year+SPW_Duration-1,age+H49&gt;=Legal_Age),IF(AND(F49=0,SPW_Payout_Freq=1),SPW_Amount_pa,IF(AND(SPW_Payout_Freq=2,MOD(F49,6)=0),SPW_Amount_pa/SPW_Payout_Freq,IF(AND(SPW_Payout_Freq=4,MOD(F49,3)=0),SPW_Amount_pa/SPW_Payout_Freq,IF(SPW_Payout_Freq=12,SPW_Amount_pa/SPW_Payout_Freq,0)))),0)+IFERROR(VLOOKUP(H49,Input!$B$68:$C$74,2,0),0)*(F49=0)*(Option_PW="Y")*(Option_SPW="N")*(age+H49&gt;=Legal_Age)</f>
        <v>0</v>
      </c>
      <c r="O49" s="148">
        <f t="shared" ca="1" si="33"/>
        <v>0</v>
      </c>
      <c r="P49" s="14">
        <f ca="1">(MAX(MAX(sa-CF48*Flag_UL_Type,105%*SUM($I$7:I49))-(AD48+L49-N49)*Flag_UL_Type,0)*B49)</f>
        <v>1953681.0376866595</v>
      </c>
      <c r="Q49" s="213">
        <f t="shared" ca="1" si="7"/>
        <v>2185.0131532240748</v>
      </c>
      <c r="R49" s="14">
        <f t="shared" ca="1" si="8"/>
        <v>0</v>
      </c>
      <c r="S49" s="14">
        <f t="shared" ca="1" si="9"/>
        <v>0</v>
      </c>
      <c r="T49" s="14">
        <f>IFERROR(IF(WoP_Flag="Y",IF(fq=1,VLOOKUP(ppt*fq-H49,Charges!$AN$41:$AO$59,2,FALSE),IF(fq=2,VLOOKUP(ppt*fq-G49,Charges!$AP$41:$AQ$79,2,FALSE),VLOOKUP(ppt*fq-D49,Charges!$AR$41:$AS$279,2,FALSE)))*pr/fq,0),0)</f>
        <v>0</v>
      </c>
      <c r="U49" s="14">
        <f ca="1">IFERROR(((T49*(VLOOKUP(Input!$D$18+H49-1,Tab_Mort_Charge,IF(Gender_2="M",2,3),FALSE)*(1+_emr2)+_rpm2)/IF(Model_Type="LA_PQIS",1000/0.0833,(12*1000))))*Flag_Mort_Rider_Charge*(T49&gt;0),0)</f>
        <v>0</v>
      </c>
      <c r="V49" s="34">
        <f>ROUND(MIN(IF(H49&gt;=7,Charges!$C$12*(1+Charges!$C$14)^((H49-7+1)),VLOOKUP(H49,Charges!$B$7:$C$12,2,0))*pr,Charges!$C$13)*B49,Round)</f>
        <v>450</v>
      </c>
      <c r="W49" s="14">
        <f t="shared" ca="1" si="10"/>
        <v>1043209.6467925363</v>
      </c>
      <c r="X49" s="14">
        <f t="shared" ca="1" si="11"/>
        <v>1046624.8437144146</v>
      </c>
      <c r="Y49" s="213">
        <f t="shared" ca="1" si="34"/>
        <v>1178.093731035694</v>
      </c>
      <c r="Z49" s="14">
        <f t="shared" ca="1" si="12"/>
        <v>1045234.6931117926</v>
      </c>
      <c r="AA49" s="14">
        <f>IF(AND($H49=pt,$F49=11),SUM($K$7:K49)*VLOOKUP(pt,ROC,2,FALSE),0)</f>
        <v>0</v>
      </c>
      <c r="AB49" s="14">
        <f>IF(AND($H49=pt,$F49=11),SUM($V$7:V49)*VLOOKUP(pt,ROC,2,FALSE),0)</f>
        <v>0</v>
      </c>
      <c r="AC49" s="14">
        <f>IF(AND($H49=pt,$F49=11),SUM($Q$7:Q49)*VLOOKUP(pt,ROC,2,FALSE),0)</f>
        <v>0</v>
      </c>
      <c r="AD49" s="14">
        <f t="shared" ca="1" si="35"/>
        <v>1045234.6931117926</v>
      </c>
      <c r="AE49" s="14">
        <f ca="1">(MAX(sa-CF48*Flag_UL_Type,105%*SUM($I$7:I49),Z49)+AU49)*B49</f>
        <v>3000000</v>
      </c>
      <c r="AF49" s="136"/>
      <c r="AG49" s="18">
        <v>43</v>
      </c>
      <c r="AH49" s="30">
        <f t="shared" ca="1" si="13"/>
        <v>0</v>
      </c>
      <c r="AI49" s="138"/>
      <c r="AJ49" s="50">
        <f>IF(AND(Option_Sys_TopUp&gt;="Y",H49&gt;=sytp,H49&lt;=(dtp+sytp-1),F49=0,H49&lt;=ppt+1),atp,0)+IFERROR(VLOOKUP(H49,Input!$B$55:$C$61,2,0),0)*(F49=0)*(Option_TopUP="Y")*(Option_Sys_TopUp="N")*B49*(pt&gt;=H49+5)</f>
        <v>0</v>
      </c>
      <c r="AK49" s="50">
        <f t="shared" si="14"/>
        <v>0</v>
      </c>
      <c r="AL49" s="50">
        <f t="shared" si="36"/>
        <v>0</v>
      </c>
      <c r="AM49" s="50">
        <f t="shared" ca="1" si="15"/>
        <v>0</v>
      </c>
      <c r="AN49" s="50">
        <f ca="1">IF(B49=0,0,AT49*(_rpm1+(1+_emr1)*VLOOKUP(E49,Tab_Mort_Charge,IF(Input!$C$12="M",2,3),0))*(0.001*0.0833)*Flag_Mort_Rider_Charge*(AT49&gt;0))</f>
        <v>0</v>
      </c>
      <c r="AO49" s="50">
        <f t="shared" ca="1" si="37"/>
        <v>0</v>
      </c>
      <c r="AP49" s="50">
        <f t="shared" ca="1" si="38"/>
        <v>0</v>
      </c>
      <c r="AQ49" s="50">
        <f t="shared" ca="1" si="16"/>
        <v>0</v>
      </c>
      <c r="AR49" s="50">
        <f t="shared" ca="1" si="17"/>
        <v>0</v>
      </c>
      <c r="AS49" s="50">
        <f t="shared" si="18"/>
        <v>0</v>
      </c>
      <c r="AT49" s="50">
        <f ca="1">(MAX((MAX(AS49,105%*SUM($AJ$7:AJ49))-AM49*Flag_UL_Type),0)*B49)</f>
        <v>0</v>
      </c>
      <c r="AU49" s="50">
        <f ca="1">(MAX(AS49,AR49,105%*SUM($AJ$7:AJ49))*B49)</f>
        <v>0</v>
      </c>
      <c r="AV49" s="125"/>
      <c r="AW49" s="13"/>
      <c r="AX49" s="13"/>
      <c r="AY49" s="13"/>
      <c r="AZ49" s="13"/>
      <c r="BA49" s="13"/>
      <c r="BG49" s="51">
        <f t="shared" si="21"/>
        <v>0</v>
      </c>
      <c r="BH49" s="51">
        <f t="shared" ca="1" si="22"/>
        <v>393.302367580333</v>
      </c>
      <c r="BI49" s="51">
        <f t="shared" ca="1" si="46"/>
        <v>0</v>
      </c>
      <c r="BJ49" s="51">
        <f t="shared" ca="1" si="23"/>
        <v>0</v>
      </c>
      <c r="BK49" s="51">
        <f t="shared" si="24"/>
        <v>81</v>
      </c>
      <c r="BL49" s="51">
        <f t="shared" ca="1" si="25"/>
        <v>212.0568715864249</v>
      </c>
      <c r="BM49" s="51">
        <f t="shared" si="26"/>
        <v>0</v>
      </c>
      <c r="BN49" s="51">
        <f t="shared" ca="1" si="27"/>
        <v>0</v>
      </c>
      <c r="BO49" s="51">
        <f t="shared" ca="1" si="28"/>
        <v>0</v>
      </c>
      <c r="BP49" s="51">
        <f t="shared" ca="1" si="29"/>
        <v>686.3592391667579</v>
      </c>
      <c r="BR49" s="32"/>
      <c r="BS49" s="126"/>
      <c r="BT49" s="16"/>
      <c r="BU49" s="58"/>
      <c r="BW49" s="51">
        <f>VLOOKUP(H49,Charges!$AT$4:$AU$33,2,FALSE)*I49</f>
        <v>0</v>
      </c>
      <c r="BX49" s="51">
        <f t="shared" si="30"/>
        <v>0</v>
      </c>
      <c r="BY49" s="51">
        <f t="shared" si="47"/>
        <v>0</v>
      </c>
      <c r="BZ49" s="151"/>
      <c r="CA49" s="151"/>
      <c r="CB49" s="32"/>
      <c r="CC49" s="16">
        <f ca="1">SUM($N$7:$N49)</f>
        <v>0</v>
      </c>
      <c r="CD49" s="16">
        <f t="shared" ca="1" si="31"/>
        <v>0</v>
      </c>
      <c r="CE49" s="16">
        <f t="shared" ca="1" si="32"/>
        <v>0</v>
      </c>
      <c r="CF49" s="7">
        <f t="shared" ca="1" si="48"/>
        <v>0</v>
      </c>
    </row>
    <row r="50" spans="1:84" s="7" customFormat="1" x14ac:dyDescent="0.2">
      <c r="A50" s="149"/>
      <c r="B50" s="14">
        <f t="shared" si="0"/>
        <v>1</v>
      </c>
      <c r="C50" s="12">
        <f t="shared" si="1"/>
        <v>1</v>
      </c>
      <c r="D50" s="17">
        <f t="shared" si="49"/>
        <v>44</v>
      </c>
      <c r="E50" s="17">
        <f t="shared" ca="1" si="2"/>
        <v>63</v>
      </c>
      <c r="F50" s="12">
        <f t="shared" si="53"/>
        <v>7</v>
      </c>
      <c r="G50" s="12">
        <f t="shared" si="52"/>
        <v>8</v>
      </c>
      <c r="H50" s="17">
        <f t="shared" si="54"/>
        <v>4</v>
      </c>
      <c r="I50" s="29">
        <f t="shared" si="3"/>
        <v>0</v>
      </c>
      <c r="J50" s="211">
        <f>IFERROR(VLOOKUP(H50,Charges!$T$6:$U$35,2,0)*C50,0)</f>
        <v>0.96499999999999997</v>
      </c>
      <c r="K50" s="29">
        <f t="shared" si="4"/>
        <v>0</v>
      </c>
      <c r="L50" s="29">
        <f t="shared" si="5"/>
        <v>0</v>
      </c>
      <c r="M50" s="147">
        <f t="shared" ca="1" si="6"/>
        <v>0</v>
      </c>
      <c r="N50" s="148">
        <f ca="1">IF(AND(Option_SPW="Y",H50&gt;=Lock_In_Period,Z49&gt;SPW_Amount_pa+IF(option="Single",1/5*pr,2*pr),H50&gt;=SPW_Start_Year,H50&lt;=SPW_Start_Year+SPW_Duration-1,age+H50&gt;=Legal_Age),IF(AND(F50=0,SPW_Payout_Freq=1),SPW_Amount_pa,IF(AND(SPW_Payout_Freq=2,MOD(F50,6)=0),SPW_Amount_pa/SPW_Payout_Freq,IF(AND(SPW_Payout_Freq=4,MOD(F50,3)=0),SPW_Amount_pa/SPW_Payout_Freq,IF(SPW_Payout_Freq=12,SPW_Amount_pa/SPW_Payout_Freq,0)))),0)+IFERROR(VLOOKUP(H50,Input!$B$68:$C$74,2,0),0)*(F50=0)*(Option_PW="Y")*(Option_SPW="N")*(age+H50&gt;=Legal_Age)</f>
        <v>0</v>
      </c>
      <c r="O50" s="148">
        <f t="shared" ca="1" si="33"/>
        <v>0</v>
      </c>
      <c r="P50" s="14">
        <f ca="1">(MAX(MAX(sa-CF49*Flag_UL_Type,105%*SUM($I$7:I50))-(AD49+L50-N50)*Flag_UL_Type,0)*B50)</f>
        <v>1954765.3068882073</v>
      </c>
      <c r="Q50" s="213">
        <f t="shared" ca="1" si="7"/>
        <v>2186.2258089346583</v>
      </c>
      <c r="R50" s="14">
        <f t="shared" ca="1" si="8"/>
        <v>0</v>
      </c>
      <c r="S50" s="14">
        <f t="shared" ca="1" si="9"/>
        <v>0</v>
      </c>
      <c r="T50" s="14">
        <f>IFERROR(IF(WoP_Flag="Y",IF(fq=1,VLOOKUP(ppt*fq-H50,Charges!$AN$41:$AO$59,2,FALSE),IF(fq=2,VLOOKUP(ppt*fq-G50,Charges!$AP$41:$AQ$79,2,FALSE),VLOOKUP(ppt*fq-D50,Charges!$AR$41:$AS$279,2,FALSE)))*pr/fq,0),0)</f>
        <v>0</v>
      </c>
      <c r="U50" s="14">
        <f ca="1">IFERROR(((T50*(VLOOKUP(Input!$D$18+H50-1,Tab_Mort_Charge,IF(Gender_2="M",2,3),FALSE)*(1+_emr2)+_rpm2)/IF(Model_Type="LA_PQIS",1000/0.0833,(12*1000))))*Flag_Mort_Rider_Charge*(T50&gt;0),0)</f>
        <v>0</v>
      </c>
      <c r="V50" s="34">
        <f>ROUND(MIN(IF(H50&gt;=7,Charges!$C$12*(1+Charges!$C$14)^((H50-7+1)),VLOOKUP(H50,Charges!$B$7:$C$12,2,0))*pr,Charges!$C$13)*B50,Round)</f>
        <v>450</v>
      </c>
      <c r="W50" s="14">
        <f t="shared" ca="1" si="10"/>
        <v>1042123.9466572497</v>
      </c>
      <c r="X50" s="14">
        <f t="shared" ca="1" si="11"/>
        <v>1045535.5892794037</v>
      </c>
      <c r="Y50" s="213">
        <f t="shared" ca="1" si="34"/>
        <v>1176.8676529150609</v>
      </c>
      <c r="Z50" s="14">
        <f t="shared" ca="1" si="12"/>
        <v>1044146.8854489638</v>
      </c>
      <c r="AA50" s="14">
        <f>IF(AND($H50=pt,$F50=11),SUM($K$7:K50)*VLOOKUP(pt,ROC,2,FALSE),0)</f>
        <v>0</v>
      </c>
      <c r="AB50" s="14">
        <f>IF(AND($H50=pt,$F50=11),SUM($V$7:V50)*VLOOKUP(pt,ROC,2,FALSE),0)</f>
        <v>0</v>
      </c>
      <c r="AC50" s="14">
        <f>IF(AND($H50=pt,$F50=11),SUM($Q$7:Q50)*VLOOKUP(pt,ROC,2,FALSE),0)</f>
        <v>0</v>
      </c>
      <c r="AD50" s="14">
        <f t="shared" ca="1" si="35"/>
        <v>1044146.8854489638</v>
      </c>
      <c r="AE50" s="14">
        <f ca="1">(MAX(sa-CF49*Flag_UL_Type,105%*SUM($I$7:I50),Z50)+AU50)*B50</f>
        <v>3000000</v>
      </c>
      <c r="AF50" s="136"/>
      <c r="AG50" s="18">
        <v>44</v>
      </c>
      <c r="AH50" s="30">
        <f t="shared" ca="1" si="13"/>
        <v>0</v>
      </c>
      <c r="AI50" s="138"/>
      <c r="AJ50" s="50">
        <f>IF(AND(Option_Sys_TopUp&gt;="Y",H50&gt;=sytp,H50&lt;=(dtp+sytp-1),F50=0,H50&lt;=ppt+1),atp,0)+IFERROR(VLOOKUP(H50,Input!$B$55:$C$61,2,0),0)*(F50=0)*(Option_TopUP="Y")*(Option_Sys_TopUp="N")*B50*(pt&gt;=H50+5)</f>
        <v>0</v>
      </c>
      <c r="AK50" s="50">
        <f t="shared" si="14"/>
        <v>0</v>
      </c>
      <c r="AL50" s="50">
        <f t="shared" si="36"/>
        <v>0</v>
      </c>
      <c r="AM50" s="50">
        <f t="shared" ca="1" si="15"/>
        <v>0</v>
      </c>
      <c r="AN50" s="50">
        <f ca="1">IF(B50=0,0,AT50*(_rpm1+(1+_emr1)*VLOOKUP(E50,Tab_Mort_Charge,IF(Input!$C$12="M",2,3),0))*(0.001*0.0833)*Flag_Mort_Rider_Charge*(AT50&gt;0))</f>
        <v>0</v>
      </c>
      <c r="AO50" s="50">
        <f t="shared" ca="1" si="37"/>
        <v>0</v>
      </c>
      <c r="AP50" s="50">
        <f t="shared" ca="1" si="38"/>
        <v>0</v>
      </c>
      <c r="AQ50" s="50">
        <f t="shared" ca="1" si="16"/>
        <v>0</v>
      </c>
      <c r="AR50" s="50">
        <f t="shared" ca="1" si="17"/>
        <v>0</v>
      </c>
      <c r="AS50" s="50">
        <f t="shared" si="18"/>
        <v>0</v>
      </c>
      <c r="AT50" s="50">
        <f ca="1">(MAX((MAX(AS50,105%*SUM($AJ$7:AJ50))-AM50*Flag_UL_Type),0)*B50)</f>
        <v>0</v>
      </c>
      <c r="AU50" s="50">
        <f ca="1">(MAX(AS50,AR50,105%*SUM($AJ$7:AJ50))*B50)</f>
        <v>0</v>
      </c>
      <c r="AV50" s="125"/>
      <c r="AW50" s="13"/>
      <c r="AX50" s="13"/>
      <c r="AY50" s="13"/>
      <c r="AZ50" s="13"/>
      <c r="BA50" s="13"/>
      <c r="BG50" s="51">
        <f t="shared" si="21"/>
        <v>0</v>
      </c>
      <c r="BH50" s="51">
        <f t="shared" ca="1" si="22"/>
        <v>393.520645608238</v>
      </c>
      <c r="BI50" s="51">
        <f t="shared" ca="1" si="46"/>
        <v>0</v>
      </c>
      <c r="BJ50" s="51">
        <f t="shared" ca="1" si="23"/>
        <v>0</v>
      </c>
      <c r="BK50" s="51">
        <f t="shared" si="24"/>
        <v>81</v>
      </c>
      <c r="BL50" s="51">
        <f t="shared" ca="1" si="25"/>
        <v>211.83617752471096</v>
      </c>
      <c r="BM50" s="51">
        <f t="shared" si="26"/>
        <v>0</v>
      </c>
      <c r="BN50" s="51">
        <f t="shared" ca="1" si="27"/>
        <v>0</v>
      </c>
      <c r="BO50" s="51">
        <f t="shared" ca="1" si="28"/>
        <v>0</v>
      </c>
      <c r="BP50" s="51">
        <f t="shared" ca="1" si="29"/>
        <v>686.35682313294899</v>
      </c>
      <c r="BR50" s="32"/>
      <c r="BS50" s="126"/>
      <c r="BT50" s="16"/>
      <c r="BU50" s="58"/>
      <c r="BW50" s="51">
        <f>VLOOKUP(H50,Charges!$AT$4:$AU$33,2,FALSE)*I50</f>
        <v>0</v>
      </c>
      <c r="BX50" s="51">
        <f t="shared" si="30"/>
        <v>0</v>
      </c>
      <c r="BY50" s="51">
        <f t="shared" si="47"/>
        <v>0</v>
      </c>
      <c r="BZ50" s="151"/>
      <c r="CA50" s="151"/>
      <c r="CB50" s="32"/>
      <c r="CC50" s="16">
        <f ca="1">SUM($N$7:$N50)</f>
        <v>0</v>
      </c>
      <c r="CD50" s="16">
        <f t="shared" ca="1" si="31"/>
        <v>0</v>
      </c>
      <c r="CE50" s="16">
        <f t="shared" ca="1" si="32"/>
        <v>0</v>
      </c>
      <c r="CF50" s="7">
        <f t="shared" ca="1" si="48"/>
        <v>0</v>
      </c>
    </row>
    <row r="51" spans="1:84" s="7" customFormat="1" x14ac:dyDescent="0.2">
      <c r="A51" s="149"/>
      <c r="B51" s="14">
        <f t="shared" si="0"/>
        <v>1</v>
      </c>
      <c r="C51" s="12">
        <f t="shared" si="1"/>
        <v>1</v>
      </c>
      <c r="D51" s="17">
        <f t="shared" si="49"/>
        <v>45</v>
      </c>
      <c r="E51" s="17">
        <f t="shared" ca="1" si="2"/>
        <v>63</v>
      </c>
      <c r="F51" s="12">
        <f t="shared" si="53"/>
        <v>8</v>
      </c>
      <c r="G51" s="12">
        <f t="shared" si="52"/>
        <v>8</v>
      </c>
      <c r="H51" s="17">
        <f t="shared" si="54"/>
        <v>4</v>
      </c>
      <c r="I51" s="29">
        <f t="shared" si="3"/>
        <v>0</v>
      </c>
      <c r="J51" s="211">
        <f>IFERROR(VLOOKUP(H51,Charges!$T$6:$U$35,2,0)*C51,0)</f>
        <v>0.96499999999999997</v>
      </c>
      <c r="K51" s="29">
        <f t="shared" si="4"/>
        <v>0</v>
      </c>
      <c r="L51" s="29">
        <f t="shared" si="5"/>
        <v>0</v>
      </c>
      <c r="M51" s="147">
        <f t="shared" ca="1" si="6"/>
        <v>0</v>
      </c>
      <c r="N51" s="148">
        <f ca="1">IF(AND(Option_SPW="Y",H51&gt;=Lock_In_Period,Z50&gt;SPW_Amount_pa+IF(option="Single",1/5*pr,2*pr),H51&gt;=SPW_Start_Year,H51&lt;=SPW_Start_Year+SPW_Duration-1,age+H51&gt;=Legal_Age),IF(AND(F51=0,SPW_Payout_Freq=1),SPW_Amount_pa,IF(AND(SPW_Payout_Freq=2,MOD(F51,6)=0),SPW_Amount_pa/SPW_Payout_Freq,IF(AND(SPW_Payout_Freq=4,MOD(F51,3)=0),SPW_Amount_pa/SPW_Payout_Freq,IF(SPW_Payout_Freq=12,SPW_Amount_pa/SPW_Payout_Freq,0)))),0)+IFERROR(VLOOKUP(H51,Input!$B$68:$C$74,2,0),0)*(F51=0)*(Option_PW="Y")*(Option_SPW="N")*(age+H51&gt;=Legal_Age)</f>
        <v>0</v>
      </c>
      <c r="O51" s="148">
        <f t="shared" ca="1" si="33"/>
        <v>0</v>
      </c>
      <c r="P51" s="14">
        <f ca="1">(MAX(MAX(sa-CF50*Flag_UL_Type,105%*SUM($I$7:I51))-(AD50+L51-N51)*Flag_UL_Type,0)*B51)</f>
        <v>1955853.1145510362</v>
      </c>
      <c r="Q51" s="213">
        <f t="shared" ca="1" si="7"/>
        <v>2187.4424220898336</v>
      </c>
      <c r="R51" s="14">
        <f t="shared" ca="1" si="8"/>
        <v>0</v>
      </c>
      <c r="S51" s="14">
        <f t="shared" ca="1" si="9"/>
        <v>0</v>
      </c>
      <c r="T51" s="14">
        <f>IFERROR(IF(WoP_Flag="Y",IF(fq=1,VLOOKUP(ppt*fq-H51,Charges!$AN$41:$AO$59,2,FALSE),IF(fq=2,VLOOKUP(ppt*fq-G51,Charges!$AP$41:$AQ$79,2,FALSE),VLOOKUP(ppt*fq-D51,Charges!$AR$41:$AS$279,2,FALSE)))*pr/fq,0),0)</f>
        <v>0</v>
      </c>
      <c r="U51" s="14">
        <f ca="1">IFERROR(((T51*(VLOOKUP(Input!$D$18+H51-1,Tab_Mort_Charge,IF(Gender_2="M",2,3),FALSE)*(1+_emr2)+_rpm2)/IF(Model_Type="LA_PQIS",1000/0.0833,(12*1000))))*Flag_Mort_Rider_Charge*(T51&gt;0),0)</f>
        <v>0</v>
      </c>
      <c r="V51" s="34">
        <f>ROUND(MIN(IF(H51&gt;=7,Charges!$C$12*(1+Charges!$C$14)^((H51-7+1)),VLOOKUP(H51,Charges!$B$7:$C$12,2,0))*pr,Charges!$C$13)*B51,Round)</f>
        <v>450</v>
      </c>
      <c r="W51" s="14">
        <f t="shared" ca="1" si="10"/>
        <v>1041034.7033908978</v>
      </c>
      <c r="X51" s="14">
        <f t="shared" ca="1" si="11"/>
        <v>1044442.7801140383</v>
      </c>
      <c r="Y51" s="213">
        <f t="shared" ca="1" si="34"/>
        <v>1175.6375735464437</v>
      </c>
      <c r="Z51" s="14">
        <f t="shared" ca="1" si="12"/>
        <v>1043055.5277772534</v>
      </c>
      <c r="AA51" s="14">
        <f>IF(AND($H51=pt,$F51=11),SUM($K$7:K51)*VLOOKUP(pt,ROC,2,FALSE),0)</f>
        <v>0</v>
      </c>
      <c r="AB51" s="14">
        <f>IF(AND($H51=pt,$F51=11),SUM($V$7:V51)*VLOOKUP(pt,ROC,2,FALSE),0)</f>
        <v>0</v>
      </c>
      <c r="AC51" s="14">
        <f>IF(AND($H51=pt,$F51=11),SUM($Q$7:Q51)*VLOOKUP(pt,ROC,2,FALSE),0)</f>
        <v>0</v>
      </c>
      <c r="AD51" s="14">
        <f t="shared" ca="1" si="35"/>
        <v>1043055.5277772534</v>
      </c>
      <c r="AE51" s="14">
        <f ca="1">(MAX(sa-CF50*Flag_UL_Type,105%*SUM($I$7:I51),Z51)+AU51)*B51</f>
        <v>3000000</v>
      </c>
      <c r="AF51" s="136"/>
      <c r="AG51" s="18">
        <v>45</v>
      </c>
      <c r="AH51" s="30">
        <f t="shared" ca="1" si="13"/>
        <v>0</v>
      </c>
      <c r="AI51" s="138"/>
      <c r="AJ51" s="50">
        <f>IF(AND(Option_Sys_TopUp&gt;="Y",H51&gt;=sytp,H51&lt;=(dtp+sytp-1),F51=0,H51&lt;=ppt+1),atp,0)+IFERROR(VLOOKUP(H51,Input!$B$55:$C$61,2,0),0)*(F51=0)*(Option_TopUP="Y")*(Option_Sys_TopUp="N")*B51*(pt&gt;=H51+5)</f>
        <v>0</v>
      </c>
      <c r="AK51" s="50">
        <f t="shared" si="14"/>
        <v>0</v>
      </c>
      <c r="AL51" s="50">
        <f t="shared" si="36"/>
        <v>0</v>
      </c>
      <c r="AM51" s="50">
        <f t="shared" ca="1" si="15"/>
        <v>0</v>
      </c>
      <c r="AN51" s="50">
        <f ca="1">IF(B51=0,0,AT51*(_rpm1+(1+_emr1)*VLOOKUP(E51,Tab_Mort_Charge,IF(Input!$C$12="M",2,3),0))*(0.001*0.0833)*Flag_Mort_Rider_Charge*(AT51&gt;0))</f>
        <v>0</v>
      </c>
      <c r="AO51" s="50">
        <f t="shared" ca="1" si="37"/>
        <v>0</v>
      </c>
      <c r="AP51" s="50">
        <f t="shared" ca="1" si="38"/>
        <v>0</v>
      </c>
      <c r="AQ51" s="50">
        <f t="shared" ca="1" si="16"/>
        <v>0</v>
      </c>
      <c r="AR51" s="50">
        <f t="shared" ca="1" si="17"/>
        <v>0</v>
      </c>
      <c r="AS51" s="50">
        <f t="shared" si="18"/>
        <v>0</v>
      </c>
      <c r="AT51" s="50">
        <f ca="1">(MAX((MAX(AS51,105%*SUM($AJ$7:AJ51))-AM51*Flag_UL_Type),0)*B51)</f>
        <v>0</v>
      </c>
      <c r="AU51" s="50">
        <f ca="1">(MAX(AS51,AR51,105%*SUM($AJ$7:AJ51))*B51)</f>
        <v>0</v>
      </c>
      <c r="AV51" s="125"/>
      <c r="AW51" s="13"/>
      <c r="AX51" s="13"/>
      <c r="AY51" s="13"/>
      <c r="AZ51" s="13"/>
      <c r="BA51" s="13"/>
      <c r="BG51" s="51">
        <f t="shared" si="21"/>
        <v>0</v>
      </c>
      <c r="BH51" s="51">
        <f t="shared" ca="1" si="22"/>
        <v>393.73963597617001</v>
      </c>
      <c r="BI51" s="51">
        <f t="shared" ca="1" si="46"/>
        <v>0</v>
      </c>
      <c r="BJ51" s="51">
        <f t="shared" ca="1" si="23"/>
        <v>0</v>
      </c>
      <c r="BK51" s="51">
        <f t="shared" si="24"/>
        <v>81</v>
      </c>
      <c r="BL51" s="51">
        <f t="shared" ca="1" si="25"/>
        <v>211.61476323835987</v>
      </c>
      <c r="BM51" s="51">
        <f t="shared" si="26"/>
        <v>0</v>
      </c>
      <c r="BN51" s="51">
        <f t="shared" ca="1" si="27"/>
        <v>0</v>
      </c>
      <c r="BO51" s="51">
        <f t="shared" ca="1" si="28"/>
        <v>0</v>
      </c>
      <c r="BP51" s="51">
        <f t="shared" ca="1" si="29"/>
        <v>686.35439921452985</v>
      </c>
      <c r="BR51" s="32"/>
      <c r="BS51" s="126"/>
      <c r="BT51" s="16"/>
      <c r="BU51" s="58"/>
      <c r="BW51" s="51">
        <f>VLOOKUP(H51,Charges!$AT$4:$AU$33,2,FALSE)*I51</f>
        <v>0</v>
      </c>
      <c r="BX51" s="51">
        <f t="shared" si="30"/>
        <v>0</v>
      </c>
      <c r="BY51" s="51">
        <f t="shared" si="47"/>
        <v>0</v>
      </c>
      <c r="BZ51" s="151"/>
      <c r="CA51" s="151"/>
      <c r="CB51" s="32"/>
      <c r="CC51" s="16">
        <f ca="1">SUM($N$7:$N51)</f>
        <v>0</v>
      </c>
      <c r="CD51" s="16">
        <f t="shared" ca="1" si="31"/>
        <v>0</v>
      </c>
      <c r="CE51" s="16">
        <f t="shared" ca="1" si="32"/>
        <v>0</v>
      </c>
      <c r="CF51" s="7">
        <f t="shared" ca="1" si="48"/>
        <v>0</v>
      </c>
    </row>
    <row r="52" spans="1:84" s="7" customFormat="1" x14ac:dyDescent="0.2">
      <c r="A52" s="149"/>
      <c r="B52" s="14">
        <f t="shared" si="0"/>
        <v>1</v>
      </c>
      <c r="C52" s="12">
        <f t="shared" si="1"/>
        <v>1</v>
      </c>
      <c r="D52" s="17">
        <f t="shared" si="49"/>
        <v>46</v>
      </c>
      <c r="E52" s="17">
        <f t="shared" ca="1" si="2"/>
        <v>63</v>
      </c>
      <c r="F52" s="12">
        <f t="shared" si="53"/>
        <v>9</v>
      </c>
      <c r="G52" s="12">
        <f t="shared" si="52"/>
        <v>8</v>
      </c>
      <c r="H52" s="17">
        <f t="shared" si="54"/>
        <v>4</v>
      </c>
      <c r="I52" s="29">
        <f t="shared" si="3"/>
        <v>0</v>
      </c>
      <c r="J52" s="211">
        <f>IFERROR(VLOOKUP(H52,Charges!$T$6:$U$35,2,0)*C52,0)</f>
        <v>0.96499999999999997</v>
      </c>
      <c r="K52" s="29">
        <f t="shared" si="4"/>
        <v>0</v>
      </c>
      <c r="L52" s="29">
        <f t="shared" si="5"/>
        <v>0</v>
      </c>
      <c r="M52" s="147">
        <f t="shared" ca="1" si="6"/>
        <v>0</v>
      </c>
      <c r="N52" s="148">
        <f ca="1">IF(AND(Option_SPW="Y",H52&gt;=Lock_In_Period,Z51&gt;SPW_Amount_pa+IF(option="Single",1/5*pr,2*pr),H52&gt;=SPW_Start_Year,H52&lt;=SPW_Start_Year+SPW_Duration-1,age+H52&gt;=Legal_Age),IF(AND(F52=0,SPW_Payout_Freq=1),SPW_Amount_pa,IF(AND(SPW_Payout_Freq=2,MOD(F52,6)=0),SPW_Amount_pa/SPW_Payout_Freq,IF(AND(SPW_Payout_Freq=4,MOD(F52,3)=0),SPW_Amount_pa/SPW_Payout_Freq,IF(SPW_Payout_Freq=12,SPW_Amount_pa/SPW_Payout_Freq,0)))),0)+IFERROR(VLOOKUP(H52,Input!$B$68:$C$74,2,0),0)*(F52=0)*(Option_PW="Y")*(Option_SPW="N")*(age+H52&gt;=Legal_Age)</f>
        <v>0</v>
      </c>
      <c r="O52" s="148">
        <f t="shared" ca="1" si="33"/>
        <v>0</v>
      </c>
      <c r="P52" s="14">
        <f ca="1">(MAX(MAX(sa-CF51*Flag_UL_Type,105%*SUM($I$7:I52))-(AD51+L52-N52)*Flag_UL_Type,0)*B52)</f>
        <v>1956944.4722227466</v>
      </c>
      <c r="Q52" s="213">
        <f t="shared" ca="1" si="7"/>
        <v>2188.6630056045251</v>
      </c>
      <c r="R52" s="14">
        <f t="shared" ca="1" si="8"/>
        <v>0</v>
      </c>
      <c r="S52" s="14">
        <f t="shared" ca="1" si="9"/>
        <v>0</v>
      </c>
      <c r="T52" s="14">
        <f>IFERROR(IF(WoP_Flag="Y",IF(fq=1,VLOOKUP(ppt*fq-H52,Charges!$AN$41:$AO$59,2,FALSE),IF(fq=2,VLOOKUP(ppt*fq-G52,Charges!$AP$41:$AQ$79,2,FALSE),VLOOKUP(ppt*fq-D52,Charges!$AR$41:$AS$279,2,FALSE)))*pr/fq,0),0)</f>
        <v>0</v>
      </c>
      <c r="U52" s="14">
        <f ca="1">IFERROR(((T52*(VLOOKUP(Input!$D$18+H52-1,Tab_Mort_Charge,IF(Gender_2="M",2,3),FALSE)*(1+_emr2)+_rpm2)/IF(Model_Type="LA_PQIS",1000/0.0833,(12*1000))))*Flag_Mort_Rider_Charge*(T52&gt;0),0)</f>
        <v>0</v>
      </c>
      <c r="V52" s="34">
        <f>ROUND(MIN(IF(H52&gt;=7,Charges!$C$12*(1+Charges!$C$14)^((H52-7+1)),VLOOKUP(H52,Charges!$B$7:$C$12,2,0))*pr,Charges!$C$13)*B52,Round)</f>
        <v>450</v>
      </c>
      <c r="W52" s="14">
        <f t="shared" ca="1" si="10"/>
        <v>1039941.9054306401</v>
      </c>
      <c r="X52" s="14">
        <f t="shared" ca="1" si="11"/>
        <v>1043346.4046176241</v>
      </c>
      <c r="Y52" s="213">
        <f t="shared" ca="1" si="34"/>
        <v>1174.403479871959</v>
      </c>
      <c r="Z52" s="14">
        <f t="shared" ca="1" si="12"/>
        <v>1041960.6085113753</v>
      </c>
      <c r="AA52" s="14">
        <f>IF(AND($H52=pt,$F52=11),SUM($K$7:K52)*VLOOKUP(pt,ROC,2,FALSE),0)</f>
        <v>0</v>
      </c>
      <c r="AB52" s="14">
        <f>IF(AND($H52=pt,$F52=11),SUM($V$7:V52)*VLOOKUP(pt,ROC,2,FALSE),0)</f>
        <v>0</v>
      </c>
      <c r="AC52" s="14">
        <f>IF(AND($H52=pt,$F52=11),SUM($Q$7:Q52)*VLOOKUP(pt,ROC,2,FALSE),0)</f>
        <v>0</v>
      </c>
      <c r="AD52" s="14">
        <f t="shared" ca="1" si="35"/>
        <v>1041960.6085113753</v>
      </c>
      <c r="AE52" s="14">
        <f ca="1">(MAX(sa-CF51*Flag_UL_Type,105%*SUM($I$7:I52),Z52)+AU52)*B52</f>
        <v>3000000</v>
      </c>
      <c r="AF52" s="136"/>
      <c r="AG52" s="18">
        <v>46</v>
      </c>
      <c r="AH52" s="30">
        <f t="shared" ca="1" si="13"/>
        <v>0</v>
      </c>
      <c r="AI52" s="138"/>
      <c r="AJ52" s="50">
        <f>IF(AND(Option_Sys_TopUp&gt;="Y",H52&gt;=sytp,H52&lt;=(dtp+sytp-1),F52=0,H52&lt;=ppt+1),atp,0)+IFERROR(VLOOKUP(H52,Input!$B$55:$C$61,2,0),0)*(F52=0)*(Option_TopUP="Y")*(Option_Sys_TopUp="N")*B52*(pt&gt;=H52+5)</f>
        <v>0</v>
      </c>
      <c r="AK52" s="50">
        <f t="shared" si="14"/>
        <v>0</v>
      </c>
      <c r="AL52" s="50">
        <f t="shared" si="36"/>
        <v>0</v>
      </c>
      <c r="AM52" s="50">
        <f t="shared" ca="1" si="15"/>
        <v>0</v>
      </c>
      <c r="AN52" s="50">
        <f ca="1">IF(B52=0,0,AT52*(_rpm1+(1+_emr1)*VLOOKUP(E52,Tab_Mort_Charge,IF(Input!$C$12="M",2,3),0))*(0.001*0.0833)*Flag_Mort_Rider_Charge*(AT52&gt;0))</f>
        <v>0</v>
      </c>
      <c r="AO52" s="50">
        <f t="shared" ca="1" si="37"/>
        <v>0</v>
      </c>
      <c r="AP52" s="50">
        <f t="shared" ca="1" si="38"/>
        <v>0</v>
      </c>
      <c r="AQ52" s="50">
        <f t="shared" ca="1" si="16"/>
        <v>0</v>
      </c>
      <c r="AR52" s="50">
        <f t="shared" ca="1" si="17"/>
        <v>0</v>
      </c>
      <c r="AS52" s="50">
        <f t="shared" si="18"/>
        <v>0</v>
      </c>
      <c r="AT52" s="50">
        <f ca="1">(MAX((MAX(AS52,105%*SUM($AJ$7:AJ52))-AM52*Flag_UL_Type),0)*B52)</f>
        <v>0</v>
      </c>
      <c r="AU52" s="50">
        <f ca="1">(MAX(AS52,AR52,105%*SUM($AJ$7:AJ52))*B52)</f>
        <v>0</v>
      </c>
      <c r="AV52" s="125"/>
      <c r="AW52" s="13"/>
      <c r="AX52" s="13"/>
      <c r="AY52" s="13"/>
      <c r="AZ52" s="13"/>
      <c r="BA52" s="13"/>
      <c r="BG52" s="51">
        <f t="shared" si="21"/>
        <v>0</v>
      </c>
      <c r="BH52" s="51">
        <f t="shared" ca="1" si="22"/>
        <v>393.95934100881402</v>
      </c>
      <c r="BI52" s="51">
        <f t="shared" ca="1" si="46"/>
        <v>0</v>
      </c>
      <c r="BJ52" s="51">
        <f t="shared" ca="1" si="23"/>
        <v>0</v>
      </c>
      <c r="BK52" s="51">
        <f t="shared" si="24"/>
        <v>81</v>
      </c>
      <c r="BL52" s="51">
        <f t="shared" ca="1" si="25"/>
        <v>211.39262637695262</v>
      </c>
      <c r="BM52" s="51">
        <f t="shared" si="26"/>
        <v>0</v>
      </c>
      <c r="BN52" s="51">
        <f t="shared" ca="1" si="27"/>
        <v>0</v>
      </c>
      <c r="BO52" s="51">
        <f t="shared" ca="1" si="28"/>
        <v>0</v>
      </c>
      <c r="BP52" s="51">
        <f t="shared" ca="1" si="29"/>
        <v>686.35196738576667</v>
      </c>
      <c r="BR52" s="32"/>
      <c r="BS52" s="126"/>
      <c r="BT52" s="16"/>
      <c r="BU52" s="58"/>
      <c r="BW52" s="51">
        <f>VLOOKUP(H52,Charges!$AT$4:$AU$33,2,FALSE)*I52</f>
        <v>0</v>
      </c>
      <c r="BX52" s="51">
        <f t="shared" si="30"/>
        <v>0</v>
      </c>
      <c r="BY52" s="51">
        <f t="shared" si="47"/>
        <v>0</v>
      </c>
      <c r="BZ52" s="151"/>
      <c r="CA52" s="151"/>
      <c r="CB52" s="32"/>
      <c r="CC52" s="16">
        <f ca="1">SUM($N$7:$N52)</f>
        <v>0</v>
      </c>
      <c r="CD52" s="16">
        <f t="shared" ca="1" si="31"/>
        <v>0</v>
      </c>
      <c r="CE52" s="16">
        <f t="shared" ca="1" si="32"/>
        <v>0</v>
      </c>
      <c r="CF52" s="7">
        <f t="shared" ca="1" si="48"/>
        <v>0</v>
      </c>
    </row>
    <row r="53" spans="1:84" s="7" customFormat="1" x14ac:dyDescent="0.2">
      <c r="A53" s="149"/>
      <c r="B53" s="14">
        <f t="shared" si="0"/>
        <v>1</v>
      </c>
      <c r="C53" s="12">
        <f t="shared" si="1"/>
        <v>1</v>
      </c>
      <c r="D53" s="17">
        <f t="shared" si="49"/>
        <v>47</v>
      </c>
      <c r="E53" s="17">
        <f t="shared" ca="1" si="2"/>
        <v>63</v>
      </c>
      <c r="F53" s="12">
        <f t="shared" si="53"/>
        <v>10</v>
      </c>
      <c r="G53" s="12">
        <f t="shared" si="52"/>
        <v>8</v>
      </c>
      <c r="H53" s="17">
        <f t="shared" si="54"/>
        <v>4</v>
      </c>
      <c r="I53" s="29">
        <f t="shared" si="3"/>
        <v>0</v>
      </c>
      <c r="J53" s="211">
        <f>IFERROR(VLOOKUP(H53,Charges!$T$6:$U$35,2,0)*C53,0)</f>
        <v>0.96499999999999997</v>
      </c>
      <c r="K53" s="29">
        <f t="shared" si="4"/>
        <v>0</v>
      </c>
      <c r="L53" s="29">
        <f t="shared" si="5"/>
        <v>0</v>
      </c>
      <c r="M53" s="147">
        <f t="shared" ca="1" si="6"/>
        <v>0</v>
      </c>
      <c r="N53" s="148">
        <f ca="1">IF(AND(Option_SPW="Y",H53&gt;=Lock_In_Period,Z52&gt;SPW_Amount_pa+IF(option="Single",1/5*pr,2*pr),H53&gt;=SPW_Start_Year,H53&lt;=SPW_Start_Year+SPW_Duration-1,age+H53&gt;=Legal_Age),IF(AND(F53=0,SPW_Payout_Freq=1),SPW_Amount_pa,IF(AND(SPW_Payout_Freq=2,MOD(F53,6)=0),SPW_Amount_pa/SPW_Payout_Freq,IF(AND(SPW_Payout_Freq=4,MOD(F53,3)=0),SPW_Amount_pa/SPW_Payout_Freq,IF(SPW_Payout_Freq=12,SPW_Amount_pa/SPW_Payout_Freq,0)))),0)+IFERROR(VLOOKUP(H53,Input!$B$68:$C$74,2,0),0)*(F53=0)*(Option_PW="Y")*(Option_SPW="N")*(age+H53&gt;=Legal_Age)</f>
        <v>0</v>
      </c>
      <c r="O53" s="148">
        <f t="shared" ca="1" si="33"/>
        <v>0</v>
      </c>
      <c r="P53" s="14">
        <f ca="1">(MAX(MAX(sa-CF52*Flag_UL_Type,105%*SUM($I$7:I53))-(AD52+L53-N53)*Flag_UL_Type,0)*B53)</f>
        <v>1958039.3914886247</v>
      </c>
      <c r="Q53" s="213">
        <f t="shared" ca="1" si="7"/>
        <v>2189.8875724358081</v>
      </c>
      <c r="R53" s="14">
        <f t="shared" ca="1" si="8"/>
        <v>0</v>
      </c>
      <c r="S53" s="14">
        <f t="shared" ca="1" si="9"/>
        <v>0</v>
      </c>
      <c r="T53" s="14">
        <f>IFERROR(IF(WoP_Flag="Y",IF(fq=1,VLOOKUP(ppt*fq-H53,Charges!$AN$41:$AO$59,2,FALSE),IF(fq=2,VLOOKUP(ppt*fq-G53,Charges!$AP$41:$AQ$79,2,FALSE),VLOOKUP(ppt*fq-D53,Charges!$AR$41:$AS$279,2,FALSE)))*pr/fq,0),0)</f>
        <v>0</v>
      </c>
      <c r="U53" s="14">
        <f ca="1">IFERROR(((T53*(VLOOKUP(Input!$D$18+H53-1,Tab_Mort_Charge,IF(Gender_2="M",2,3),FALSE)*(1+_emr2)+_rpm2)/IF(Model_Type="LA_PQIS",1000/0.0833,(12*1000))))*Flag_Mort_Rider_Charge*(T53&gt;0),0)</f>
        <v>0</v>
      </c>
      <c r="V53" s="34">
        <f>ROUND(MIN(IF(H53&gt;=7,Charges!$C$12*(1+Charges!$C$14)^((H53-7+1)),VLOOKUP(H53,Charges!$B$7:$C$12,2,0))*pr,Charges!$C$13)*B53,Round)</f>
        <v>450</v>
      </c>
      <c r="W53" s="14">
        <f t="shared" ca="1" si="10"/>
        <v>1038845.541175901</v>
      </c>
      <c r="X53" s="14">
        <f t="shared" ca="1" si="11"/>
        <v>1042246.4511516085</v>
      </c>
      <c r="Y53" s="213">
        <f t="shared" ca="1" si="34"/>
        <v>1173.1653587911092</v>
      </c>
      <c r="Z53" s="14">
        <f t="shared" ca="1" si="12"/>
        <v>1040862.1160282349</v>
      </c>
      <c r="AA53" s="14">
        <f>IF(AND($H53=pt,$F53=11),SUM($K$7:K53)*VLOOKUP(pt,ROC,2,FALSE),0)</f>
        <v>0</v>
      </c>
      <c r="AB53" s="14">
        <f>IF(AND($H53=pt,$F53=11),SUM($V$7:V53)*VLOOKUP(pt,ROC,2,FALSE),0)</f>
        <v>0</v>
      </c>
      <c r="AC53" s="14">
        <f>IF(AND($H53=pt,$F53=11),SUM($Q$7:Q53)*VLOOKUP(pt,ROC,2,FALSE),0)</f>
        <v>0</v>
      </c>
      <c r="AD53" s="14">
        <f t="shared" ca="1" si="35"/>
        <v>1040862.1160282349</v>
      </c>
      <c r="AE53" s="14">
        <f ca="1">(MAX(sa-CF52*Flag_UL_Type,105%*SUM($I$7:I53),Z53)+AU53)*B53</f>
        <v>3000000</v>
      </c>
      <c r="AF53" s="136"/>
      <c r="AG53" s="18">
        <v>47</v>
      </c>
      <c r="AH53" s="30">
        <f t="shared" ca="1" si="13"/>
        <v>0</v>
      </c>
      <c r="AI53" s="138"/>
      <c r="AJ53" s="50">
        <f>IF(AND(Option_Sys_TopUp&gt;="Y",H53&gt;=sytp,H53&lt;=(dtp+sytp-1),F53=0,H53&lt;=ppt+1),atp,0)+IFERROR(VLOOKUP(H53,Input!$B$55:$C$61,2,0),0)*(F53=0)*(Option_TopUP="Y")*(Option_Sys_TopUp="N")*B53*(pt&gt;=H53+5)</f>
        <v>0</v>
      </c>
      <c r="AK53" s="50">
        <f t="shared" si="14"/>
        <v>0</v>
      </c>
      <c r="AL53" s="50">
        <f t="shared" si="36"/>
        <v>0</v>
      </c>
      <c r="AM53" s="50">
        <f t="shared" ca="1" si="15"/>
        <v>0</v>
      </c>
      <c r="AN53" s="50">
        <f ca="1">IF(B53=0,0,AT53*(_rpm1+(1+_emr1)*VLOOKUP(E53,Tab_Mort_Charge,IF(Input!$C$12="M",2,3),0))*(0.001*0.0833)*Flag_Mort_Rider_Charge*(AT53&gt;0))</f>
        <v>0</v>
      </c>
      <c r="AO53" s="50">
        <f t="shared" ca="1" si="37"/>
        <v>0</v>
      </c>
      <c r="AP53" s="50">
        <f t="shared" ca="1" si="38"/>
        <v>0</v>
      </c>
      <c r="AQ53" s="50">
        <f t="shared" ca="1" si="16"/>
        <v>0</v>
      </c>
      <c r="AR53" s="50">
        <f t="shared" ca="1" si="17"/>
        <v>0</v>
      </c>
      <c r="AS53" s="50">
        <f t="shared" si="18"/>
        <v>0</v>
      </c>
      <c r="AT53" s="50">
        <f ca="1">(MAX((MAX(AS53,105%*SUM($AJ$7:AJ53))-AM53*Flag_UL_Type),0)*B53)</f>
        <v>0</v>
      </c>
      <c r="AU53" s="50">
        <f ca="1">(MAX(AS53,AR53,105%*SUM($AJ$7:AJ53))*B53)</f>
        <v>0</v>
      </c>
      <c r="AV53" s="125"/>
      <c r="AW53" s="13"/>
      <c r="AX53" s="13"/>
      <c r="AY53" s="13"/>
      <c r="AZ53" s="13"/>
      <c r="BA53" s="13"/>
      <c r="BG53" s="51">
        <f t="shared" si="21"/>
        <v>0</v>
      </c>
      <c r="BH53" s="51">
        <f t="shared" ca="1" si="22"/>
        <v>394.179763038445</v>
      </c>
      <c r="BI53" s="51">
        <f t="shared" ca="1" si="46"/>
        <v>0</v>
      </c>
      <c r="BJ53" s="51">
        <f t="shared" ca="1" si="23"/>
        <v>0</v>
      </c>
      <c r="BK53" s="51">
        <f t="shared" si="24"/>
        <v>81</v>
      </c>
      <c r="BL53" s="51">
        <f t="shared" ca="1" si="25"/>
        <v>211.16976458239964</v>
      </c>
      <c r="BM53" s="51">
        <f t="shared" si="26"/>
        <v>0</v>
      </c>
      <c r="BN53" s="51">
        <f t="shared" ca="1" si="27"/>
        <v>0</v>
      </c>
      <c r="BO53" s="51">
        <f t="shared" ca="1" si="28"/>
        <v>0</v>
      </c>
      <c r="BP53" s="51">
        <f t="shared" ca="1" si="29"/>
        <v>686.34952762084458</v>
      </c>
      <c r="BR53" s="32"/>
      <c r="BS53" s="126"/>
      <c r="BT53" s="16"/>
      <c r="BU53" s="58"/>
      <c r="BW53" s="51">
        <f>VLOOKUP(H53,Charges!$AT$4:$AU$33,2,FALSE)*I53</f>
        <v>0</v>
      </c>
      <c r="BX53" s="51">
        <f t="shared" si="30"/>
        <v>0</v>
      </c>
      <c r="BY53" s="51">
        <f t="shared" si="47"/>
        <v>0</v>
      </c>
      <c r="BZ53" s="151"/>
      <c r="CA53" s="151"/>
      <c r="CB53" s="32"/>
      <c r="CC53" s="16">
        <f ca="1">SUM($N$7:$N53)</f>
        <v>0</v>
      </c>
      <c r="CD53" s="16">
        <f t="shared" ca="1" si="31"/>
        <v>0</v>
      </c>
      <c r="CE53" s="16">
        <f t="shared" ca="1" si="32"/>
        <v>0</v>
      </c>
      <c r="CF53" s="7">
        <f t="shared" ca="1" si="48"/>
        <v>0</v>
      </c>
    </row>
    <row r="54" spans="1:84" s="7" customFormat="1" x14ac:dyDescent="0.2">
      <c r="A54" s="149"/>
      <c r="B54" s="14">
        <f t="shared" si="0"/>
        <v>1</v>
      </c>
      <c r="C54" s="12">
        <f t="shared" si="1"/>
        <v>1</v>
      </c>
      <c r="D54" s="17">
        <f t="shared" si="49"/>
        <v>48</v>
      </c>
      <c r="E54" s="17">
        <f t="shared" ca="1" si="2"/>
        <v>63</v>
      </c>
      <c r="F54" s="12">
        <f t="shared" si="53"/>
        <v>11</v>
      </c>
      <c r="G54" s="12">
        <f t="shared" si="52"/>
        <v>8</v>
      </c>
      <c r="H54" s="17">
        <f t="shared" si="54"/>
        <v>4</v>
      </c>
      <c r="I54" s="29">
        <f t="shared" si="3"/>
        <v>0</v>
      </c>
      <c r="J54" s="211">
        <f>IFERROR(VLOOKUP(H54,Charges!$T$6:$U$35,2,0)*C54,0)</f>
        <v>0.96499999999999997</v>
      </c>
      <c r="K54" s="29">
        <f t="shared" si="4"/>
        <v>0</v>
      </c>
      <c r="L54" s="29">
        <f t="shared" si="5"/>
        <v>0</v>
      </c>
      <c r="M54" s="147">
        <f t="shared" ca="1" si="6"/>
        <v>0</v>
      </c>
      <c r="N54" s="148">
        <f ca="1">IF(AND(Option_SPW="Y",H54&gt;=Lock_In_Period,Z53&gt;SPW_Amount_pa+IF(option="Single",1/5*pr,2*pr),H54&gt;=SPW_Start_Year,H54&lt;=SPW_Start_Year+SPW_Duration-1,age+H54&gt;=Legal_Age),IF(AND(F54=0,SPW_Payout_Freq=1),SPW_Amount_pa,IF(AND(SPW_Payout_Freq=2,MOD(F54,6)=0),SPW_Amount_pa/SPW_Payout_Freq,IF(AND(SPW_Payout_Freq=4,MOD(F54,3)=0),SPW_Amount_pa/SPW_Payout_Freq,IF(SPW_Payout_Freq=12,SPW_Amount_pa/SPW_Payout_Freq,0)))),0)+IFERROR(VLOOKUP(H54,Input!$B$68:$C$74,2,0),0)*(F54=0)*(Option_PW="Y")*(Option_SPW="N")*(age+H54&gt;=Legal_Age)</f>
        <v>0</v>
      </c>
      <c r="O54" s="148">
        <f t="shared" ca="1" si="33"/>
        <v>0</v>
      </c>
      <c r="P54" s="14">
        <f ca="1">(MAX(MAX(sa-CF53*Flag_UL_Type,105%*SUM($I$7:I54))-(AD53+L54-N54)*Flag_UL_Type,0)*B54)</f>
        <v>1959137.8839717652</v>
      </c>
      <c r="Q54" s="213">
        <f t="shared" ca="1" si="7"/>
        <v>2191.1161355830582</v>
      </c>
      <c r="R54" s="14">
        <f t="shared" ca="1" si="8"/>
        <v>0</v>
      </c>
      <c r="S54" s="14">
        <f t="shared" ca="1" si="9"/>
        <v>0</v>
      </c>
      <c r="T54" s="14">
        <f>IFERROR(IF(WoP_Flag="Y",IF(fq=1,VLOOKUP(ppt*fq-H54,Charges!$AN$41:$AO$59,2,FALSE),IF(fq=2,VLOOKUP(ppt*fq-G54,Charges!$AP$41:$AQ$79,2,FALSE),VLOOKUP(ppt*fq-D54,Charges!$AR$41:$AS$279,2,FALSE)))*pr/fq,0),0)</f>
        <v>0</v>
      </c>
      <c r="U54" s="14">
        <f ca="1">IFERROR(((T54*(VLOOKUP(Input!$D$18+H54-1,Tab_Mort_Charge,IF(Gender_2="M",2,3),FALSE)*(1+_emr2)+_rpm2)/IF(Model_Type="LA_PQIS",1000/0.0833,(12*1000))))*Flag_Mort_Rider_Charge*(T54&gt;0),0)</f>
        <v>0</v>
      </c>
      <c r="V54" s="34">
        <f>ROUND(MIN(IF(H54&gt;=7,Charges!$C$12*(1+Charges!$C$14)^((H54-7+1)),VLOOKUP(H54,Charges!$B$7:$C$12,2,0))*pr,Charges!$C$13)*B54,Round)</f>
        <v>450</v>
      </c>
      <c r="W54" s="14">
        <f t="shared" ca="1" si="10"/>
        <v>1037745.598988247</v>
      </c>
      <c r="X54" s="14">
        <f t="shared" ca="1" si="11"/>
        <v>1041142.9080394567</v>
      </c>
      <c r="Y54" s="213">
        <f t="shared" ca="1" si="34"/>
        <v>1171.9231971606439</v>
      </c>
      <c r="Z54" s="14">
        <f t="shared" ca="1" si="12"/>
        <v>1039760.0386668071</v>
      </c>
      <c r="AA54" s="14">
        <f>IF(AND($H54=pt,$F54=11),SUM($K$7:K54)*VLOOKUP(pt,ROC,2,FALSE),0)</f>
        <v>0</v>
      </c>
      <c r="AB54" s="14">
        <f>IF(AND($H54=pt,$F54=11),SUM($V$7:V54)*VLOOKUP(pt,ROC,2,FALSE),0)</f>
        <v>0</v>
      </c>
      <c r="AC54" s="14">
        <f>IF(AND($H54=pt,$F54=11),SUM($Q$7:Q54)*VLOOKUP(pt,ROC,2,FALSE),0)</f>
        <v>0</v>
      </c>
      <c r="AD54" s="14">
        <f t="shared" ca="1" si="35"/>
        <v>1039760.0386668071</v>
      </c>
      <c r="AE54" s="14">
        <f ca="1">(MAX(sa-CF53*Flag_UL_Type,105%*SUM($I$7:I54),Z54)+AU54)*B54</f>
        <v>3000000</v>
      </c>
      <c r="AF54" s="136"/>
      <c r="AG54" s="18">
        <v>48</v>
      </c>
      <c r="AH54" s="30">
        <f t="shared" ca="1" si="13"/>
        <v>0</v>
      </c>
      <c r="AI54" s="138"/>
      <c r="AJ54" s="50">
        <f>IF(AND(Option_Sys_TopUp&gt;="Y",H54&gt;=sytp,H54&lt;=(dtp+sytp-1),F54=0,H54&lt;=ppt+1),atp,0)+IFERROR(VLOOKUP(H54,Input!$B$55:$C$61,2,0),0)*(F54=0)*(Option_TopUP="Y")*(Option_Sys_TopUp="N")*B54*(pt&gt;=H54+5)</f>
        <v>0</v>
      </c>
      <c r="AK54" s="50">
        <f t="shared" si="14"/>
        <v>0</v>
      </c>
      <c r="AL54" s="50">
        <f t="shared" si="36"/>
        <v>0</v>
      </c>
      <c r="AM54" s="50">
        <f t="shared" ca="1" si="15"/>
        <v>0</v>
      </c>
      <c r="AN54" s="50">
        <f ca="1">IF(B54=0,0,AT54*(_rpm1+(1+_emr1)*VLOOKUP(E54,Tab_Mort_Charge,IF(Input!$C$12="M",2,3),0))*(0.001*0.0833)*Flag_Mort_Rider_Charge*(AT54&gt;0))</f>
        <v>0</v>
      </c>
      <c r="AO54" s="50">
        <f t="shared" ca="1" si="37"/>
        <v>0</v>
      </c>
      <c r="AP54" s="50">
        <f t="shared" ca="1" si="38"/>
        <v>0</v>
      </c>
      <c r="AQ54" s="50">
        <f t="shared" ca="1" si="16"/>
        <v>0</v>
      </c>
      <c r="AR54" s="50">
        <f t="shared" ca="1" si="17"/>
        <v>0</v>
      </c>
      <c r="AS54" s="50">
        <f t="shared" si="18"/>
        <v>0</v>
      </c>
      <c r="AT54" s="50">
        <f ca="1">(MAX((MAX(AS54,105%*SUM($AJ$7:AJ54))-AM54*Flag_UL_Type),0)*B54)</f>
        <v>0</v>
      </c>
      <c r="AU54" s="50">
        <f ca="1">(MAX(AS54,AR54,105%*SUM($AJ$7:AJ54))*B54)</f>
        <v>0</v>
      </c>
      <c r="AV54" s="125"/>
      <c r="AW54" s="13"/>
      <c r="AX54" s="13"/>
      <c r="AY54" s="13"/>
      <c r="AZ54" s="13"/>
      <c r="BA54" s="13"/>
      <c r="BG54" s="51">
        <f t="shared" si="21"/>
        <v>0</v>
      </c>
      <c r="BH54" s="51">
        <f t="shared" ca="1" si="22"/>
        <v>394.40090440494998</v>
      </c>
      <c r="BI54" s="51">
        <f t="shared" ca="1" si="46"/>
        <v>0</v>
      </c>
      <c r="BJ54" s="51">
        <f t="shared" ca="1" si="23"/>
        <v>0</v>
      </c>
      <c r="BK54" s="51">
        <f t="shared" si="24"/>
        <v>81</v>
      </c>
      <c r="BL54" s="51">
        <f t="shared" ca="1" si="25"/>
        <v>210.94617548891588</v>
      </c>
      <c r="BM54" s="51">
        <f t="shared" si="26"/>
        <v>0</v>
      </c>
      <c r="BN54" s="51">
        <f t="shared" ca="1" si="27"/>
        <v>0</v>
      </c>
      <c r="BO54" s="51">
        <f t="shared" ca="1" si="28"/>
        <v>0</v>
      </c>
      <c r="BP54" s="51">
        <f t="shared" ca="1" si="29"/>
        <v>686.34707989386584</v>
      </c>
      <c r="BR54" s="32"/>
      <c r="BS54" s="126"/>
      <c r="BT54" s="16"/>
      <c r="BU54" s="58"/>
      <c r="BW54" s="51">
        <f>VLOOKUP(H54,Charges!$AT$4:$AU$33,2,FALSE)*I54</f>
        <v>0</v>
      </c>
      <c r="BX54" s="51">
        <f t="shared" si="30"/>
        <v>0</v>
      </c>
      <c r="BY54" s="51">
        <f t="shared" si="47"/>
        <v>0</v>
      </c>
      <c r="BZ54" s="151"/>
      <c r="CA54" s="151"/>
      <c r="CB54" s="32"/>
      <c r="CC54" s="16">
        <f ca="1">SUM($N$7:$N54)</f>
        <v>0</v>
      </c>
      <c r="CD54" s="16">
        <f t="shared" ca="1" si="31"/>
        <v>0</v>
      </c>
      <c r="CE54" s="16">
        <f t="shared" ca="1" si="32"/>
        <v>0</v>
      </c>
      <c r="CF54" s="7">
        <f t="shared" ca="1" si="48"/>
        <v>0</v>
      </c>
    </row>
    <row r="55" spans="1:84" s="7" customFormat="1" x14ac:dyDescent="0.2">
      <c r="A55" s="149"/>
      <c r="B55" s="14">
        <f t="shared" si="0"/>
        <v>1</v>
      </c>
      <c r="C55" s="12">
        <f t="shared" si="1"/>
        <v>1</v>
      </c>
      <c r="D55" s="17">
        <f t="shared" si="49"/>
        <v>49</v>
      </c>
      <c r="E55" s="17">
        <f t="shared" ca="1" si="2"/>
        <v>64</v>
      </c>
      <c r="F55" s="12">
        <f t="shared" si="53"/>
        <v>0</v>
      </c>
      <c r="G55" s="12">
        <f t="shared" si="52"/>
        <v>9</v>
      </c>
      <c r="H55" s="17">
        <f t="shared" si="54"/>
        <v>5</v>
      </c>
      <c r="I55" s="29">
        <f t="shared" si="3"/>
        <v>300000</v>
      </c>
      <c r="J55" s="211">
        <f>IFERROR(VLOOKUP(H55,Charges!$T$6:$U$35,2,0)*C55,0)</f>
        <v>0.97</v>
      </c>
      <c r="K55" s="29">
        <f t="shared" si="4"/>
        <v>9000.0000000000091</v>
      </c>
      <c r="L55" s="29">
        <f t="shared" si="5"/>
        <v>289380</v>
      </c>
      <c r="M55" s="147">
        <f t="shared" ca="1" si="6"/>
        <v>0</v>
      </c>
      <c r="N55" s="148">
        <f ca="1">IF(AND(Option_SPW="Y",H55&gt;=Lock_In_Period,Z54&gt;SPW_Amount_pa+IF(option="Single",1/5*pr,2*pr),H55&gt;=SPW_Start_Year,H55&lt;=SPW_Start_Year+SPW_Duration-1,age+H55&gt;=Legal_Age),IF(AND(F55=0,SPW_Payout_Freq=1),SPW_Amount_pa,IF(AND(SPW_Payout_Freq=2,MOD(F55,6)=0),SPW_Amount_pa/SPW_Payout_Freq,IF(AND(SPW_Payout_Freq=4,MOD(F55,3)=0),SPW_Amount_pa/SPW_Payout_Freq,IF(SPW_Payout_Freq=12,SPW_Amount_pa/SPW_Payout_Freq,0)))),0)+IFERROR(VLOOKUP(H55,Input!$B$68:$C$74,2,0),0)*(F55=0)*(Option_PW="Y")*(Option_SPW="N")*(age+H55&gt;=Legal_Age)</f>
        <v>0</v>
      </c>
      <c r="O55" s="148">
        <f t="shared" ca="1" si="33"/>
        <v>0</v>
      </c>
      <c r="P55" s="14">
        <f ca="1">(MAX(MAX(sa-CF54*Flag_UL_Type,105%*SUM($I$7:I55))-(AD54+L55-N55)*Flag_UL_Type,0)*B55)</f>
        <v>1670859.9613331929</v>
      </c>
      <c r="Q55" s="213">
        <f t="shared" ca="1" si="7"/>
        <v>2008.1230445282999</v>
      </c>
      <c r="R55" s="14">
        <f t="shared" ca="1" si="8"/>
        <v>0</v>
      </c>
      <c r="S55" s="14">
        <f t="shared" ca="1" si="9"/>
        <v>0</v>
      </c>
      <c r="T55" s="14">
        <f>IFERROR(IF(WoP_Flag="Y",IF(fq=1,VLOOKUP(ppt*fq-H55,Charges!$AN$41:$AO$59,2,FALSE),IF(fq=2,VLOOKUP(ppt*fq-G55,Charges!$AP$41:$AQ$79,2,FALSE),VLOOKUP(ppt*fq-D55,Charges!$AR$41:$AS$279,2,FALSE)))*pr/fq,0),0)</f>
        <v>0</v>
      </c>
      <c r="U55" s="14">
        <f ca="1">IFERROR(((T55*(VLOOKUP(Input!$D$18+H55-1,Tab_Mort_Charge,IF(Gender_2="M",2,3),FALSE)*(1+_emr2)+_rpm2)/IF(Model_Type="LA_PQIS",1000/0.0833,(12*1000))))*Flag_Mort_Rider_Charge*(T55&gt;0),0)</f>
        <v>0</v>
      </c>
      <c r="V55" s="34">
        <f>ROUND(MIN(IF(H55&gt;=7,Charges!$C$12*(1+Charges!$C$14)^((H55-7+1)),VLOOKUP(H55,Charges!$B$7:$C$12,2,0))*pr,Charges!$C$13)*B55,Round)</f>
        <v>450</v>
      </c>
      <c r="W55" s="14">
        <f t="shared" ca="1" si="10"/>
        <v>1326239.4534742637</v>
      </c>
      <c r="X55" s="14">
        <f t="shared" ca="1" si="11"/>
        <v>1330581.2163338242</v>
      </c>
      <c r="Y55" s="213">
        <f t="shared" ca="1" si="34"/>
        <v>1497.7184986681373</v>
      </c>
      <c r="Z55" s="14">
        <f t="shared" ca="1" si="12"/>
        <v>1328813.9085053958</v>
      </c>
      <c r="AA55" s="14">
        <f>IF(AND($H55=pt,$F55=11),SUM($K$7:K55)*VLOOKUP(pt,ROC,2,FALSE),0)</f>
        <v>0</v>
      </c>
      <c r="AB55" s="14">
        <f>IF(AND($H55=pt,$F55=11),SUM($V$7:V55)*VLOOKUP(pt,ROC,2,FALSE),0)</f>
        <v>0</v>
      </c>
      <c r="AC55" s="14">
        <f>IF(AND($H55=pt,$F55=11),SUM($Q$7:Q55)*VLOOKUP(pt,ROC,2,FALSE),0)</f>
        <v>0</v>
      </c>
      <c r="AD55" s="14">
        <f t="shared" ca="1" si="35"/>
        <v>1328813.9085053958</v>
      </c>
      <c r="AE55" s="14">
        <f ca="1">(MAX(sa-CF54*Flag_UL_Type,105%*SUM($I$7:I55),Z55)+AU55)*B55</f>
        <v>3000000</v>
      </c>
      <c r="AF55" s="136"/>
      <c r="AG55" s="18">
        <v>49</v>
      </c>
      <c r="AH55" s="30">
        <f t="shared" ca="1" si="13"/>
        <v>300000</v>
      </c>
      <c r="AI55" s="138"/>
      <c r="AJ55" s="50">
        <f>IF(AND(Option_Sys_TopUp&gt;="Y",H55&gt;=sytp,H55&lt;=(dtp+sytp-1),F55=0,H55&lt;=ppt+1),atp,0)+IFERROR(VLOOKUP(H55,Input!$B$55:$C$61,2,0),0)*(F55=0)*(Option_TopUP="Y")*(Option_Sys_TopUp="N")*B55*(pt&gt;=H55+5)</f>
        <v>0</v>
      </c>
      <c r="AK55" s="50">
        <f t="shared" si="14"/>
        <v>0</v>
      </c>
      <c r="AL55" s="50">
        <f t="shared" si="36"/>
        <v>0</v>
      </c>
      <c r="AM55" s="50">
        <f t="shared" ca="1" si="15"/>
        <v>0</v>
      </c>
      <c r="AN55" s="50">
        <f ca="1">IF(B55=0,0,AT55*(_rpm1+(1+_emr1)*VLOOKUP(E55,Tab_Mort_Charge,IF(Input!$C$12="M",2,3),0))*(0.001*0.0833)*Flag_Mort_Rider_Charge*(AT55&gt;0))</f>
        <v>0</v>
      </c>
      <c r="AO55" s="50">
        <f t="shared" ca="1" si="37"/>
        <v>0</v>
      </c>
      <c r="AP55" s="50">
        <f t="shared" ca="1" si="38"/>
        <v>0</v>
      </c>
      <c r="AQ55" s="50">
        <f t="shared" ca="1" si="16"/>
        <v>0</v>
      </c>
      <c r="AR55" s="50">
        <f t="shared" ca="1" si="17"/>
        <v>0</v>
      </c>
      <c r="AS55" s="50">
        <f t="shared" si="18"/>
        <v>0</v>
      </c>
      <c r="AT55" s="50">
        <f ca="1">(MAX((MAX(AS55,105%*SUM($AJ$7:AJ55))-AM55*Flag_UL_Type),0)*B55)</f>
        <v>0</v>
      </c>
      <c r="AU55" s="50">
        <f ca="1">(MAX(AS55,AR55,105%*SUM($AJ$7:AJ55))*B55)</f>
        <v>0</v>
      </c>
      <c r="AV55" s="125"/>
      <c r="AW55" s="13"/>
      <c r="AX55" s="13"/>
      <c r="AY55" s="13"/>
      <c r="AZ55" s="13"/>
      <c r="BA55" s="13"/>
      <c r="BG55" s="51">
        <f t="shared" si="21"/>
        <v>1620</v>
      </c>
      <c r="BH55" s="51">
        <f t="shared" ca="1" si="22"/>
        <v>361.46214801509399</v>
      </c>
      <c r="BI55" s="51">
        <f t="shared" ca="1" si="46"/>
        <v>0</v>
      </c>
      <c r="BJ55" s="51">
        <f t="shared" ca="1" si="23"/>
        <v>0</v>
      </c>
      <c r="BK55" s="51">
        <f t="shared" si="24"/>
        <v>81</v>
      </c>
      <c r="BL55" s="51">
        <f t="shared" ca="1" si="25"/>
        <v>269.58932976026472</v>
      </c>
      <c r="BM55" s="51">
        <f t="shared" si="26"/>
        <v>0</v>
      </c>
      <c r="BN55" s="51">
        <f t="shared" ca="1" si="27"/>
        <v>0</v>
      </c>
      <c r="BO55" s="51">
        <f t="shared" ca="1" si="28"/>
        <v>0</v>
      </c>
      <c r="BP55" s="51">
        <f t="shared" ca="1" si="29"/>
        <v>2332.0514777753588</v>
      </c>
      <c r="BR55" s="32"/>
      <c r="BS55" s="126"/>
      <c r="BT55" s="16"/>
      <c r="BU55" s="58"/>
      <c r="BW55" s="51">
        <f>VLOOKUP(H55,Charges!$AT$4:$AU$33,2,FALSE)*I55</f>
        <v>3000</v>
      </c>
      <c r="BX55" s="51">
        <f t="shared" si="30"/>
        <v>0</v>
      </c>
      <c r="BY55" s="51">
        <f t="shared" si="47"/>
        <v>3000</v>
      </c>
      <c r="BZ55" s="151"/>
      <c r="CA55" s="151"/>
      <c r="CB55" s="32"/>
      <c r="CC55" s="16">
        <f ca="1">SUM($N$7:$N55)</f>
        <v>0</v>
      </c>
      <c r="CD55" s="16">
        <f t="shared" ca="1" si="31"/>
        <v>0</v>
      </c>
      <c r="CE55" s="16">
        <f t="shared" ca="1" si="32"/>
        <v>0</v>
      </c>
      <c r="CF55" s="7">
        <f t="shared" ca="1" si="48"/>
        <v>0</v>
      </c>
    </row>
    <row r="56" spans="1:84" s="7" customFormat="1" x14ac:dyDescent="0.2">
      <c r="A56" s="149"/>
      <c r="B56" s="14">
        <f t="shared" si="0"/>
        <v>1</v>
      </c>
      <c r="C56" s="12">
        <f t="shared" si="1"/>
        <v>1</v>
      </c>
      <c r="D56" s="17">
        <f t="shared" si="49"/>
        <v>50</v>
      </c>
      <c r="E56" s="17">
        <f t="shared" ca="1" si="2"/>
        <v>64</v>
      </c>
      <c r="F56" s="12">
        <f t="shared" si="53"/>
        <v>1</v>
      </c>
      <c r="G56" s="12">
        <f t="shared" si="52"/>
        <v>9</v>
      </c>
      <c r="H56" s="17">
        <f t="shared" si="54"/>
        <v>5</v>
      </c>
      <c r="I56" s="29">
        <f t="shared" si="3"/>
        <v>0</v>
      </c>
      <c r="J56" s="211">
        <f>IFERROR(VLOOKUP(H56,Charges!$T$6:$U$35,2,0)*C56,0)</f>
        <v>0.97</v>
      </c>
      <c r="K56" s="29">
        <f t="shared" si="4"/>
        <v>0</v>
      </c>
      <c r="L56" s="29">
        <f t="shared" si="5"/>
        <v>0</v>
      </c>
      <c r="M56" s="147">
        <f t="shared" ca="1" si="6"/>
        <v>0</v>
      </c>
      <c r="N56" s="148">
        <f ca="1">IF(AND(Option_SPW="Y",H56&gt;=Lock_In_Period,Z55&gt;SPW_Amount_pa+IF(option="Single",1/5*pr,2*pr),H56&gt;=SPW_Start_Year,H56&lt;=SPW_Start_Year+SPW_Duration-1,age+H56&gt;=Legal_Age),IF(AND(F56=0,SPW_Payout_Freq=1),SPW_Amount_pa,IF(AND(SPW_Payout_Freq=2,MOD(F56,6)=0),SPW_Amount_pa/SPW_Payout_Freq,IF(AND(SPW_Payout_Freq=4,MOD(F56,3)=0),SPW_Amount_pa/SPW_Payout_Freq,IF(SPW_Payout_Freq=12,SPW_Amount_pa/SPW_Payout_Freq,0)))),0)+IFERROR(VLOOKUP(H56,Input!$B$68:$C$74,2,0),0)*(F56=0)*(Option_PW="Y")*(Option_SPW="N")*(age+H56&gt;=Legal_Age)</f>
        <v>0</v>
      </c>
      <c r="O56" s="148">
        <f t="shared" ca="1" si="33"/>
        <v>0</v>
      </c>
      <c r="P56" s="14">
        <f ca="1">(MAX(MAX(sa-CF55*Flag_UL_Type,105%*SUM($I$7:I56))-(AD55+L56-N56)*Flag_UL_Type,0)*B56)</f>
        <v>1671186.0914946042</v>
      </c>
      <c r="Q56" s="213">
        <f t="shared" ca="1" si="7"/>
        <v>2008.5150040627916</v>
      </c>
      <c r="R56" s="14">
        <f t="shared" ca="1" si="8"/>
        <v>0</v>
      </c>
      <c r="S56" s="14">
        <f t="shared" ca="1" si="9"/>
        <v>0</v>
      </c>
      <c r="T56" s="14">
        <f>IFERROR(IF(WoP_Flag="Y",IF(fq=1,VLOOKUP(ppt*fq-H56,Charges!$AN$41:$AO$59,2,FALSE),IF(fq=2,VLOOKUP(ppt*fq-G56,Charges!$AP$41:$AQ$79,2,FALSE),VLOOKUP(ppt*fq-D56,Charges!$AR$41:$AS$279,2,FALSE)))*pr/fq,0),0)</f>
        <v>0</v>
      </c>
      <c r="U56" s="14">
        <f ca="1">IFERROR(((T56*(VLOOKUP(Input!$D$18+H56-1,Tab_Mort_Charge,IF(Gender_2="M",2,3),FALSE)*(1+_emr2)+_rpm2)/IF(Model_Type="LA_PQIS",1000/0.0833,(12*1000))))*Flag_Mort_Rider_Charge*(T56&gt;0),0)</f>
        <v>0</v>
      </c>
      <c r="V56" s="34">
        <f>ROUND(MIN(IF(H56&gt;=7,Charges!$C$12*(1+Charges!$C$14)^((H56-7+1)),VLOOKUP(H56,Charges!$B$7:$C$12,2,0))*pr,Charges!$C$13)*B56,Round)</f>
        <v>450</v>
      </c>
      <c r="W56" s="14">
        <f t="shared" ca="1" si="10"/>
        <v>1325912.8608006018</v>
      </c>
      <c r="X56" s="14">
        <f t="shared" ca="1" si="11"/>
        <v>1330253.5544807338</v>
      </c>
      <c r="Y56" s="213">
        <f t="shared" ca="1" si="34"/>
        <v>1497.3496784768877</v>
      </c>
      <c r="Z56" s="14">
        <f t="shared" ca="1" si="12"/>
        <v>1328486.681860131</v>
      </c>
      <c r="AA56" s="14">
        <f>IF(AND($H56=pt,$F56=11),SUM($K$7:K56)*VLOOKUP(pt,ROC,2,FALSE),0)</f>
        <v>0</v>
      </c>
      <c r="AB56" s="14">
        <f>IF(AND($H56=pt,$F56=11),SUM($V$7:V56)*VLOOKUP(pt,ROC,2,FALSE),0)</f>
        <v>0</v>
      </c>
      <c r="AC56" s="14">
        <f>IF(AND($H56=pt,$F56=11),SUM($Q$7:Q56)*VLOOKUP(pt,ROC,2,FALSE),0)</f>
        <v>0</v>
      </c>
      <c r="AD56" s="14">
        <f t="shared" ca="1" si="35"/>
        <v>1328486.681860131</v>
      </c>
      <c r="AE56" s="14">
        <f ca="1">(MAX(sa-CF55*Flag_UL_Type,105%*SUM($I$7:I56),Z56)+AU56)*B56</f>
        <v>3000000</v>
      </c>
      <c r="AF56" s="136"/>
      <c r="AG56" s="18">
        <v>50</v>
      </c>
      <c r="AH56" s="30">
        <f t="shared" ca="1" si="13"/>
        <v>0</v>
      </c>
      <c r="AI56" s="138"/>
      <c r="AJ56" s="50">
        <f>IF(AND(Option_Sys_TopUp&gt;="Y",H56&gt;=sytp,H56&lt;=(dtp+sytp-1),F56=0,H56&lt;=ppt+1),atp,0)+IFERROR(VLOOKUP(H56,Input!$B$55:$C$61,2,0),0)*(F56=0)*(Option_TopUP="Y")*(Option_Sys_TopUp="N")*B56*(pt&gt;=H56+5)</f>
        <v>0</v>
      </c>
      <c r="AK56" s="50">
        <f t="shared" si="14"/>
        <v>0</v>
      </c>
      <c r="AL56" s="50">
        <f t="shared" si="36"/>
        <v>0</v>
      </c>
      <c r="AM56" s="50">
        <f t="shared" ca="1" si="15"/>
        <v>0</v>
      </c>
      <c r="AN56" s="50">
        <f ca="1">IF(B56=0,0,AT56*(_rpm1+(1+_emr1)*VLOOKUP(E56,Tab_Mort_Charge,IF(Input!$C$12="M",2,3),0))*(0.001*0.0833)*Flag_Mort_Rider_Charge*(AT56&gt;0))</f>
        <v>0</v>
      </c>
      <c r="AO56" s="50">
        <f t="shared" ca="1" si="37"/>
        <v>0</v>
      </c>
      <c r="AP56" s="50">
        <f t="shared" ca="1" si="38"/>
        <v>0</v>
      </c>
      <c r="AQ56" s="50">
        <f t="shared" ca="1" si="16"/>
        <v>0</v>
      </c>
      <c r="AR56" s="50">
        <f t="shared" ca="1" si="17"/>
        <v>0</v>
      </c>
      <c r="AS56" s="50">
        <f t="shared" si="18"/>
        <v>0</v>
      </c>
      <c r="AT56" s="50">
        <f ca="1">(MAX((MAX(AS56,105%*SUM($AJ$7:AJ56))-AM56*Flag_UL_Type),0)*B56)</f>
        <v>0</v>
      </c>
      <c r="AU56" s="50">
        <f ca="1">(MAX(AS56,AR56,105%*SUM($AJ$7:AJ56))*B56)</f>
        <v>0</v>
      </c>
      <c r="AV56" s="125"/>
      <c r="AW56" s="13"/>
      <c r="AX56" s="13"/>
      <c r="AY56" s="13"/>
      <c r="AZ56" s="13"/>
      <c r="BA56" s="13"/>
      <c r="BG56" s="51">
        <f t="shared" si="21"/>
        <v>0</v>
      </c>
      <c r="BH56" s="51">
        <f t="shared" ca="1" si="22"/>
        <v>361.53270073130199</v>
      </c>
      <c r="BI56" s="51">
        <f t="shared" ca="1" si="46"/>
        <v>0</v>
      </c>
      <c r="BJ56" s="51">
        <f t="shared" ca="1" si="23"/>
        <v>0</v>
      </c>
      <c r="BK56" s="51">
        <f t="shared" si="24"/>
        <v>81</v>
      </c>
      <c r="BL56" s="51">
        <f t="shared" ca="1" si="25"/>
        <v>269.52294212583979</v>
      </c>
      <c r="BM56" s="51">
        <f t="shared" si="26"/>
        <v>0</v>
      </c>
      <c r="BN56" s="51">
        <f t="shared" ca="1" si="27"/>
        <v>0</v>
      </c>
      <c r="BO56" s="51">
        <f t="shared" ca="1" si="28"/>
        <v>0</v>
      </c>
      <c r="BP56" s="51">
        <f t="shared" ca="1" si="29"/>
        <v>712.05564285714172</v>
      </c>
      <c r="BR56" s="32"/>
      <c r="BS56" s="126"/>
      <c r="BT56" s="16"/>
      <c r="BU56" s="58"/>
      <c r="BW56" s="51">
        <f>VLOOKUP(H56,Charges!$AT$4:$AU$33,2,FALSE)*I56</f>
        <v>0</v>
      </c>
      <c r="BX56" s="51">
        <f t="shared" si="30"/>
        <v>0</v>
      </c>
      <c r="BY56" s="51">
        <f t="shared" si="47"/>
        <v>0</v>
      </c>
      <c r="BZ56" s="151"/>
      <c r="CA56" s="151"/>
      <c r="CB56" s="32"/>
      <c r="CC56" s="16">
        <f ca="1">SUM($N$7:$N56)</f>
        <v>0</v>
      </c>
      <c r="CD56" s="16">
        <f t="shared" ca="1" si="31"/>
        <v>0</v>
      </c>
      <c r="CE56" s="16">
        <f t="shared" ca="1" si="32"/>
        <v>0</v>
      </c>
      <c r="CF56" s="7">
        <f t="shared" ca="1" si="48"/>
        <v>0</v>
      </c>
    </row>
    <row r="57" spans="1:84" s="7" customFormat="1" x14ac:dyDescent="0.2">
      <c r="A57" s="149"/>
      <c r="B57" s="14">
        <f t="shared" si="0"/>
        <v>1</v>
      </c>
      <c r="C57" s="12">
        <f t="shared" si="1"/>
        <v>1</v>
      </c>
      <c r="D57" s="17">
        <f t="shared" si="49"/>
        <v>51</v>
      </c>
      <c r="E57" s="17">
        <f t="shared" ca="1" si="2"/>
        <v>64</v>
      </c>
      <c r="F57" s="12">
        <f t="shared" si="53"/>
        <v>2</v>
      </c>
      <c r="G57" s="12">
        <f t="shared" si="52"/>
        <v>9</v>
      </c>
      <c r="H57" s="17">
        <f t="shared" si="54"/>
        <v>5</v>
      </c>
      <c r="I57" s="29">
        <f t="shared" si="3"/>
        <v>0</v>
      </c>
      <c r="J57" s="211">
        <f>IFERROR(VLOOKUP(H57,Charges!$T$6:$U$35,2,0)*C57,0)</f>
        <v>0.97</v>
      </c>
      <c r="K57" s="29">
        <f t="shared" si="4"/>
        <v>0</v>
      </c>
      <c r="L57" s="29">
        <f t="shared" si="5"/>
        <v>0</v>
      </c>
      <c r="M57" s="147">
        <f t="shared" ca="1" si="6"/>
        <v>0</v>
      </c>
      <c r="N57" s="148">
        <f ca="1">IF(AND(Option_SPW="Y",H57&gt;=Lock_In_Period,Z56&gt;SPW_Amount_pa+IF(option="Single",1/5*pr,2*pr),H57&gt;=SPW_Start_Year,H57&lt;=SPW_Start_Year+SPW_Duration-1,age+H57&gt;=Legal_Age),IF(AND(F57=0,SPW_Payout_Freq=1),SPW_Amount_pa,IF(AND(SPW_Payout_Freq=2,MOD(F57,6)=0),SPW_Amount_pa/SPW_Payout_Freq,IF(AND(SPW_Payout_Freq=4,MOD(F57,3)=0),SPW_Amount_pa/SPW_Payout_Freq,IF(SPW_Payout_Freq=12,SPW_Amount_pa/SPW_Payout_Freq,0)))),0)+IFERROR(VLOOKUP(H57,Input!$B$68:$C$74,2,0),0)*(F57=0)*(Option_PW="Y")*(Option_SPW="N")*(age+H57&gt;=Legal_Age)</f>
        <v>0</v>
      </c>
      <c r="O57" s="148">
        <f t="shared" ca="1" si="33"/>
        <v>0</v>
      </c>
      <c r="P57" s="14">
        <f ca="1">(MAX(MAX(sa-CF56*Flag_UL_Type,105%*SUM($I$7:I57))-(AD56+L57-N57)*Flag_UL_Type,0)*B57)</f>
        <v>1671513.318139869</v>
      </c>
      <c r="Q57" s="213">
        <f t="shared" ca="1" si="7"/>
        <v>2008.9082814064</v>
      </c>
      <c r="R57" s="14">
        <f t="shared" ca="1" si="8"/>
        <v>0</v>
      </c>
      <c r="S57" s="14">
        <f t="shared" ca="1" si="9"/>
        <v>0</v>
      </c>
      <c r="T57" s="14">
        <f>IFERROR(IF(WoP_Flag="Y",IF(fq=1,VLOOKUP(ppt*fq-H57,Charges!$AN$41:$AO$59,2,FALSE),IF(fq=2,VLOOKUP(ppt*fq-G57,Charges!$AP$41:$AQ$79,2,FALSE),VLOOKUP(ppt*fq-D57,Charges!$AR$41:$AS$279,2,FALSE)))*pr/fq,0),0)</f>
        <v>0</v>
      </c>
      <c r="U57" s="14">
        <f ca="1">IFERROR(((T57*(VLOOKUP(Input!$D$18+H57-1,Tab_Mort_Charge,IF(Gender_2="M",2,3),FALSE)*(1+_emr2)+_rpm2)/IF(Model_Type="LA_PQIS",1000/0.0833,(12*1000))))*Flag_Mort_Rider_Charge*(T57&gt;0),0)</f>
        <v>0</v>
      </c>
      <c r="V57" s="34">
        <f>ROUND(MIN(IF(H57&gt;=7,Charges!$C$12*(1+Charges!$C$14)^((H57-7+1)),VLOOKUP(H57,Charges!$B$7:$C$12,2,0))*pr,Charges!$C$13)*B57,Round)</f>
        <v>450</v>
      </c>
      <c r="W57" s="14">
        <f t="shared" ca="1" si="10"/>
        <v>1325585.1700880714</v>
      </c>
      <c r="X57" s="14">
        <f t="shared" ca="1" si="11"/>
        <v>1329924.7909940816</v>
      </c>
      <c r="Y57" s="213">
        <f t="shared" ca="1" si="34"/>
        <v>1496.979618273421</v>
      </c>
      <c r="Z57" s="14">
        <f t="shared" ca="1" si="12"/>
        <v>1328158.3550445191</v>
      </c>
      <c r="AA57" s="14">
        <f>IF(AND($H57=pt,$F57=11),SUM($K$7:K57)*VLOOKUP(pt,ROC,2,FALSE),0)</f>
        <v>0</v>
      </c>
      <c r="AB57" s="14">
        <f>IF(AND($H57=pt,$F57=11),SUM($V$7:V57)*VLOOKUP(pt,ROC,2,FALSE),0)</f>
        <v>0</v>
      </c>
      <c r="AC57" s="14">
        <f>IF(AND($H57=pt,$F57=11),SUM($Q$7:Q57)*VLOOKUP(pt,ROC,2,FALSE),0)</f>
        <v>0</v>
      </c>
      <c r="AD57" s="14">
        <f t="shared" ca="1" si="35"/>
        <v>1328158.3550445191</v>
      </c>
      <c r="AE57" s="14">
        <f ca="1">(MAX(sa-CF56*Flag_UL_Type,105%*SUM($I$7:I57),Z57)+AU57)*B57</f>
        <v>3000000</v>
      </c>
      <c r="AF57" s="136"/>
      <c r="AG57" s="18">
        <v>51</v>
      </c>
      <c r="AH57" s="30">
        <f t="shared" ca="1" si="13"/>
        <v>0</v>
      </c>
      <c r="AI57" s="138"/>
      <c r="AJ57" s="50">
        <f>IF(AND(Option_Sys_TopUp&gt;="Y",H57&gt;=sytp,H57&lt;=(dtp+sytp-1),F57=0,H57&lt;=ppt+1),atp,0)+IFERROR(VLOOKUP(H57,Input!$B$55:$C$61,2,0),0)*(F57=0)*(Option_TopUP="Y")*(Option_Sys_TopUp="N")*B57*(pt&gt;=H57+5)</f>
        <v>0</v>
      </c>
      <c r="AK57" s="50">
        <f t="shared" si="14"/>
        <v>0</v>
      </c>
      <c r="AL57" s="50">
        <f t="shared" si="36"/>
        <v>0</v>
      </c>
      <c r="AM57" s="50">
        <f t="shared" ca="1" si="15"/>
        <v>0</v>
      </c>
      <c r="AN57" s="50">
        <f ca="1">IF(B57=0,0,AT57*(_rpm1+(1+_emr1)*VLOOKUP(E57,Tab_Mort_Charge,IF(Input!$C$12="M",2,3),0))*(0.001*0.0833)*Flag_Mort_Rider_Charge*(AT57&gt;0))</f>
        <v>0</v>
      </c>
      <c r="AO57" s="50">
        <f t="shared" ca="1" si="37"/>
        <v>0</v>
      </c>
      <c r="AP57" s="50">
        <f t="shared" ca="1" si="38"/>
        <v>0</v>
      </c>
      <c r="AQ57" s="50">
        <f t="shared" ca="1" si="16"/>
        <v>0</v>
      </c>
      <c r="AR57" s="50">
        <f t="shared" ca="1" si="17"/>
        <v>0</v>
      </c>
      <c r="AS57" s="50">
        <f t="shared" si="18"/>
        <v>0</v>
      </c>
      <c r="AT57" s="50">
        <f ca="1">(MAX((MAX(AS57,105%*SUM($AJ$7:AJ57))-AM57*Flag_UL_Type),0)*B57)</f>
        <v>0</v>
      </c>
      <c r="AU57" s="50">
        <f ca="1">(MAX(AS57,AR57,105%*SUM($AJ$7:AJ57))*B57)</f>
        <v>0</v>
      </c>
      <c r="AV57" s="125"/>
      <c r="AW57" s="13"/>
      <c r="AX57" s="13"/>
      <c r="AY57" s="13"/>
      <c r="AZ57" s="13"/>
      <c r="BA57" s="13"/>
      <c r="BG57" s="51">
        <f t="shared" si="21"/>
        <v>0</v>
      </c>
      <c r="BH57" s="51">
        <f t="shared" ca="1" si="22"/>
        <v>361.60349065315199</v>
      </c>
      <c r="BI57" s="51">
        <f t="shared" ca="1" si="46"/>
        <v>0</v>
      </c>
      <c r="BJ57" s="51">
        <f t="shared" ca="1" si="23"/>
        <v>0</v>
      </c>
      <c r="BK57" s="51">
        <f t="shared" si="24"/>
        <v>81</v>
      </c>
      <c r="BL57" s="51">
        <f t="shared" ca="1" si="25"/>
        <v>269.45633128921577</v>
      </c>
      <c r="BM57" s="51">
        <f t="shared" si="26"/>
        <v>0</v>
      </c>
      <c r="BN57" s="51">
        <f t="shared" ca="1" si="27"/>
        <v>0</v>
      </c>
      <c r="BO57" s="51">
        <f t="shared" ca="1" si="28"/>
        <v>0</v>
      </c>
      <c r="BP57" s="51">
        <f t="shared" ca="1" si="29"/>
        <v>712.05982194236776</v>
      </c>
      <c r="BR57" s="32"/>
      <c r="BS57" s="126"/>
      <c r="BT57" s="16"/>
      <c r="BU57" s="58"/>
      <c r="BW57" s="51">
        <f>VLOOKUP(H57,Charges!$AT$4:$AU$33,2,FALSE)*I57</f>
        <v>0</v>
      </c>
      <c r="BX57" s="51">
        <f t="shared" si="30"/>
        <v>0</v>
      </c>
      <c r="BY57" s="51">
        <f t="shared" si="47"/>
        <v>0</v>
      </c>
      <c r="BZ57" s="151"/>
      <c r="CA57" s="151"/>
      <c r="CB57" s="32"/>
      <c r="CC57" s="16">
        <f ca="1">SUM($N$7:$N57)</f>
        <v>0</v>
      </c>
      <c r="CD57" s="16">
        <f t="shared" ca="1" si="31"/>
        <v>0</v>
      </c>
      <c r="CE57" s="16">
        <f t="shared" ca="1" si="32"/>
        <v>0</v>
      </c>
      <c r="CF57" s="7">
        <f t="shared" ca="1" si="48"/>
        <v>0</v>
      </c>
    </row>
    <row r="58" spans="1:84" s="7" customFormat="1" x14ac:dyDescent="0.2">
      <c r="A58" s="149"/>
      <c r="B58" s="14">
        <f t="shared" si="0"/>
        <v>1</v>
      </c>
      <c r="C58" s="12">
        <f t="shared" si="1"/>
        <v>1</v>
      </c>
      <c r="D58" s="17">
        <f t="shared" si="49"/>
        <v>52</v>
      </c>
      <c r="E58" s="17">
        <f t="shared" ca="1" si="2"/>
        <v>64</v>
      </c>
      <c r="F58" s="12">
        <f t="shared" si="53"/>
        <v>3</v>
      </c>
      <c r="G58" s="12">
        <f t="shared" si="52"/>
        <v>9</v>
      </c>
      <c r="H58" s="17">
        <f t="shared" si="54"/>
        <v>5</v>
      </c>
      <c r="I58" s="29">
        <f t="shared" si="3"/>
        <v>0</v>
      </c>
      <c r="J58" s="211">
        <f>IFERROR(VLOOKUP(H58,Charges!$T$6:$U$35,2,0)*C58,0)</f>
        <v>0.97</v>
      </c>
      <c r="K58" s="29">
        <f t="shared" si="4"/>
        <v>0</v>
      </c>
      <c r="L58" s="29">
        <f t="shared" si="5"/>
        <v>0</v>
      </c>
      <c r="M58" s="147">
        <f t="shared" ca="1" si="6"/>
        <v>0</v>
      </c>
      <c r="N58" s="148">
        <f ca="1">IF(AND(Option_SPW="Y",H58&gt;=Lock_In_Period,Z57&gt;SPW_Amount_pa+IF(option="Single",1/5*pr,2*pr),H58&gt;=SPW_Start_Year,H58&lt;=SPW_Start_Year+SPW_Duration-1,age+H58&gt;=Legal_Age),IF(AND(F58=0,SPW_Payout_Freq=1),SPW_Amount_pa,IF(AND(SPW_Payout_Freq=2,MOD(F58,6)=0),SPW_Amount_pa/SPW_Payout_Freq,IF(AND(SPW_Payout_Freq=4,MOD(F58,3)=0),SPW_Amount_pa/SPW_Payout_Freq,IF(SPW_Payout_Freq=12,SPW_Amount_pa/SPW_Payout_Freq,0)))),0)+IFERROR(VLOOKUP(H58,Input!$B$68:$C$74,2,0),0)*(F58=0)*(Option_PW="Y")*(Option_SPW="N")*(age+H58&gt;=Legal_Age)</f>
        <v>0</v>
      </c>
      <c r="O58" s="148">
        <f t="shared" ca="1" si="33"/>
        <v>0</v>
      </c>
      <c r="P58" s="14">
        <f ca="1">(MAX(MAX(sa-CF57*Flag_UL_Type,105%*SUM($I$7:I58))-(AD57+L58-N58)*Flag_UL_Type,0)*B58)</f>
        <v>1671841.6449554809</v>
      </c>
      <c r="Q58" s="213">
        <f t="shared" ca="1" si="7"/>
        <v>2009.3028809897414</v>
      </c>
      <c r="R58" s="14">
        <f t="shared" ca="1" si="8"/>
        <v>0</v>
      </c>
      <c r="S58" s="14">
        <f t="shared" ca="1" si="9"/>
        <v>0</v>
      </c>
      <c r="T58" s="14">
        <f>IFERROR(IF(WoP_Flag="Y",IF(fq=1,VLOOKUP(ppt*fq-H58,Charges!$AN$41:$AO$59,2,FALSE),IF(fq=2,VLOOKUP(ppt*fq-G58,Charges!$AP$41:$AQ$79,2,FALSE),VLOOKUP(ppt*fq-D58,Charges!$AR$41:$AS$279,2,FALSE)))*pr/fq,0),0)</f>
        <v>0</v>
      </c>
      <c r="U58" s="14">
        <f ca="1">IFERROR(((T58*(VLOOKUP(Input!$D$18+H58-1,Tab_Mort_Charge,IF(Gender_2="M",2,3),FALSE)*(1+_emr2)+_rpm2)/IF(Model_Type="LA_PQIS",1000/0.0833,(12*1000))))*Flag_Mort_Rider_Charge*(T58&gt;0),0)</f>
        <v>0</v>
      </c>
      <c r="V58" s="34">
        <f>ROUND(MIN(IF(H58&gt;=7,Charges!$C$12*(1+Charges!$C$14)^((H58-7+1)),VLOOKUP(H58,Charges!$B$7:$C$12,2,0))*pr,Charges!$C$13)*B58,Round)</f>
        <v>450</v>
      </c>
      <c r="W58" s="14">
        <f t="shared" ca="1" si="10"/>
        <v>1325256.3776449512</v>
      </c>
      <c r="X58" s="14">
        <f t="shared" ca="1" si="11"/>
        <v>1329594.9221700602</v>
      </c>
      <c r="Y58" s="213">
        <f t="shared" ca="1" si="34"/>
        <v>1496.6083138886859</v>
      </c>
      <c r="Z58" s="14">
        <f t="shared" ca="1" si="12"/>
        <v>1327828.9243596715</v>
      </c>
      <c r="AA58" s="14">
        <f>IF(AND($H58=pt,$F58=11),SUM($K$7:K58)*VLOOKUP(pt,ROC,2,FALSE),0)</f>
        <v>0</v>
      </c>
      <c r="AB58" s="14">
        <f>IF(AND($H58=pt,$F58=11),SUM($V$7:V58)*VLOOKUP(pt,ROC,2,FALSE),0)</f>
        <v>0</v>
      </c>
      <c r="AC58" s="14">
        <f>IF(AND($H58=pt,$F58=11),SUM($Q$7:Q58)*VLOOKUP(pt,ROC,2,FALSE),0)</f>
        <v>0</v>
      </c>
      <c r="AD58" s="14">
        <f t="shared" ca="1" si="35"/>
        <v>1327828.9243596715</v>
      </c>
      <c r="AE58" s="14">
        <f ca="1">(MAX(sa-CF57*Flag_UL_Type,105%*SUM($I$7:I58),Z58)+AU58)*B58</f>
        <v>3000000</v>
      </c>
      <c r="AF58" s="136"/>
      <c r="AG58" s="18">
        <v>52</v>
      </c>
      <c r="AH58" s="30">
        <f t="shared" ca="1" si="13"/>
        <v>0</v>
      </c>
      <c r="AI58" s="138"/>
      <c r="AJ58" s="50">
        <f>IF(AND(Option_Sys_TopUp&gt;="Y",H58&gt;=sytp,H58&lt;=(dtp+sytp-1),F58=0,H58&lt;=ppt+1),atp,0)+IFERROR(VLOOKUP(H58,Input!$B$55:$C$61,2,0),0)*(F58=0)*(Option_TopUP="Y")*(Option_Sys_TopUp="N")*B58*(pt&gt;=H58+5)</f>
        <v>0</v>
      </c>
      <c r="AK58" s="50">
        <f t="shared" si="14"/>
        <v>0</v>
      </c>
      <c r="AL58" s="50">
        <f t="shared" si="36"/>
        <v>0</v>
      </c>
      <c r="AM58" s="50">
        <f t="shared" ca="1" si="15"/>
        <v>0</v>
      </c>
      <c r="AN58" s="50">
        <f ca="1">IF(B58=0,0,AT58*(_rpm1+(1+_emr1)*VLOOKUP(E58,Tab_Mort_Charge,IF(Input!$C$12="M",2,3),0))*(0.001*0.0833)*Flag_Mort_Rider_Charge*(AT58&gt;0))</f>
        <v>0</v>
      </c>
      <c r="AO58" s="50">
        <f t="shared" ca="1" si="37"/>
        <v>0</v>
      </c>
      <c r="AP58" s="50">
        <f t="shared" ca="1" si="38"/>
        <v>0</v>
      </c>
      <c r="AQ58" s="50">
        <f t="shared" ca="1" si="16"/>
        <v>0</v>
      </c>
      <c r="AR58" s="50">
        <f t="shared" ca="1" si="17"/>
        <v>0</v>
      </c>
      <c r="AS58" s="50">
        <f t="shared" si="18"/>
        <v>0</v>
      </c>
      <c r="AT58" s="50">
        <f ca="1">(MAX((MAX(AS58,105%*SUM($AJ$7:AJ58))-AM58*Flag_UL_Type),0)*B58)</f>
        <v>0</v>
      </c>
      <c r="AU58" s="50">
        <f ca="1">(MAX(AS58,AR58,105%*SUM($AJ$7:AJ58))*B58)</f>
        <v>0</v>
      </c>
      <c r="AV58" s="125"/>
      <c r="AW58" s="13"/>
      <c r="AX58" s="13"/>
      <c r="AY58" s="13"/>
      <c r="AZ58" s="13"/>
      <c r="BA58" s="13"/>
      <c r="BG58" s="51">
        <f t="shared" si="21"/>
        <v>0</v>
      </c>
      <c r="BH58" s="51">
        <f t="shared" ca="1" si="22"/>
        <v>361.67451857815303</v>
      </c>
      <c r="BI58" s="51">
        <f t="shared" ca="1" si="46"/>
        <v>0</v>
      </c>
      <c r="BJ58" s="51">
        <f t="shared" ca="1" si="23"/>
        <v>0</v>
      </c>
      <c r="BK58" s="51">
        <f t="shared" si="24"/>
        <v>81</v>
      </c>
      <c r="BL58" s="51">
        <f t="shared" ca="1" si="25"/>
        <v>269.38949649996346</v>
      </c>
      <c r="BM58" s="51">
        <f t="shared" si="26"/>
        <v>0</v>
      </c>
      <c r="BN58" s="51">
        <f t="shared" ca="1" si="27"/>
        <v>0</v>
      </c>
      <c r="BO58" s="51">
        <f t="shared" ca="1" si="28"/>
        <v>0</v>
      </c>
      <c r="BP58" s="51">
        <f t="shared" ca="1" si="29"/>
        <v>712.06401507811643</v>
      </c>
      <c r="BR58" s="32"/>
      <c r="BS58" s="126"/>
      <c r="BT58" s="16"/>
      <c r="BU58" s="58"/>
      <c r="BW58" s="51">
        <f>VLOOKUP(H58,Charges!$AT$4:$AU$33,2,FALSE)*I58</f>
        <v>0</v>
      </c>
      <c r="BX58" s="51">
        <f t="shared" si="30"/>
        <v>0</v>
      </c>
      <c r="BY58" s="51">
        <f t="shared" si="47"/>
        <v>0</v>
      </c>
      <c r="BZ58" s="151"/>
      <c r="CA58" s="151"/>
      <c r="CB58" s="32"/>
      <c r="CC58" s="16">
        <f ca="1">SUM($N$7:$N58)</f>
        <v>0</v>
      </c>
      <c r="CD58" s="16">
        <f t="shared" ca="1" si="31"/>
        <v>0</v>
      </c>
      <c r="CE58" s="16">
        <f t="shared" ca="1" si="32"/>
        <v>0</v>
      </c>
      <c r="CF58" s="7">
        <f t="shared" ca="1" si="48"/>
        <v>0</v>
      </c>
    </row>
    <row r="59" spans="1:84" s="7" customFormat="1" x14ac:dyDescent="0.2">
      <c r="A59" s="149"/>
      <c r="B59" s="14">
        <f t="shared" si="0"/>
        <v>1</v>
      </c>
      <c r="C59" s="12">
        <f t="shared" si="1"/>
        <v>1</v>
      </c>
      <c r="D59" s="17">
        <f t="shared" si="49"/>
        <v>53</v>
      </c>
      <c r="E59" s="17">
        <f t="shared" ca="1" si="2"/>
        <v>64</v>
      </c>
      <c r="F59" s="12">
        <f t="shared" si="53"/>
        <v>4</v>
      </c>
      <c r="G59" s="12">
        <f t="shared" si="52"/>
        <v>9</v>
      </c>
      <c r="H59" s="17">
        <f t="shared" si="54"/>
        <v>5</v>
      </c>
      <c r="I59" s="29">
        <f t="shared" si="3"/>
        <v>0</v>
      </c>
      <c r="J59" s="211">
        <f>IFERROR(VLOOKUP(H59,Charges!$T$6:$U$35,2,0)*C59,0)</f>
        <v>0.97</v>
      </c>
      <c r="K59" s="29">
        <f t="shared" si="4"/>
        <v>0</v>
      </c>
      <c r="L59" s="29">
        <f t="shared" si="5"/>
        <v>0</v>
      </c>
      <c r="M59" s="147">
        <f t="shared" ca="1" si="6"/>
        <v>0</v>
      </c>
      <c r="N59" s="148">
        <f ca="1">IF(AND(Option_SPW="Y",H59&gt;=Lock_In_Period,Z58&gt;SPW_Amount_pa+IF(option="Single",1/5*pr,2*pr),H59&gt;=SPW_Start_Year,H59&lt;=SPW_Start_Year+SPW_Duration-1,age+H59&gt;=Legal_Age),IF(AND(F59=0,SPW_Payout_Freq=1),SPW_Amount_pa,IF(AND(SPW_Payout_Freq=2,MOD(F59,6)=0),SPW_Amount_pa/SPW_Payout_Freq,IF(AND(SPW_Payout_Freq=4,MOD(F59,3)=0),SPW_Amount_pa/SPW_Payout_Freq,IF(SPW_Payout_Freq=12,SPW_Amount_pa/SPW_Payout_Freq,0)))),0)+IFERROR(VLOOKUP(H59,Input!$B$68:$C$74,2,0),0)*(F59=0)*(Option_PW="Y")*(Option_SPW="N")*(age+H59&gt;=Legal_Age)</f>
        <v>0</v>
      </c>
      <c r="O59" s="148">
        <f t="shared" ca="1" si="33"/>
        <v>0</v>
      </c>
      <c r="P59" s="14">
        <f ca="1">(MAX(MAX(sa-CF58*Flag_UL_Type,105%*SUM($I$7:I59))-(AD58+L59-N59)*Flag_UL_Type,0)*B59)</f>
        <v>1672171.0756403285</v>
      </c>
      <c r="Q59" s="213">
        <f t="shared" ca="1" si="7"/>
        <v>2009.6988072583249</v>
      </c>
      <c r="R59" s="14">
        <f t="shared" ca="1" si="8"/>
        <v>0</v>
      </c>
      <c r="S59" s="14">
        <f t="shared" ca="1" si="9"/>
        <v>0</v>
      </c>
      <c r="T59" s="14">
        <f>IFERROR(IF(WoP_Flag="Y",IF(fq=1,VLOOKUP(ppt*fq-H59,Charges!$AN$41:$AO$59,2,FALSE),IF(fq=2,VLOOKUP(ppt*fq-G59,Charges!$AP$41:$AQ$79,2,FALSE),VLOOKUP(ppt*fq-D59,Charges!$AR$41:$AS$279,2,FALSE)))*pr/fq,0),0)</f>
        <v>0</v>
      </c>
      <c r="U59" s="14">
        <f ca="1">IFERROR(((T59*(VLOOKUP(Input!$D$18+H59-1,Tab_Mort_Charge,IF(Gender_2="M",2,3),FALSE)*(1+_emr2)+_rpm2)/IF(Model_Type="LA_PQIS",1000/0.0833,(12*1000))))*Flag_Mort_Rider_Charge*(T59&gt;0),0)</f>
        <v>0</v>
      </c>
      <c r="V59" s="34">
        <f>ROUND(MIN(IF(H59&gt;=7,Charges!$C$12*(1+Charges!$C$14)^((H59-7+1)),VLOOKUP(H59,Charges!$B$7:$C$12,2,0))*pr,Charges!$C$13)*B59,Round)</f>
        <v>450</v>
      </c>
      <c r="W59" s="14">
        <f t="shared" ca="1" si="10"/>
        <v>1324926.4797671067</v>
      </c>
      <c r="X59" s="14">
        <f t="shared" ca="1" si="11"/>
        <v>1329263.9442924091</v>
      </c>
      <c r="Y59" s="213">
        <f t="shared" ca="1" si="34"/>
        <v>1496.2357611396144</v>
      </c>
      <c r="Z59" s="14">
        <f t="shared" ca="1" si="12"/>
        <v>1327498.3860942645</v>
      </c>
      <c r="AA59" s="14">
        <f>IF(AND($H59=pt,$F59=11),SUM($K$7:K59)*VLOOKUP(pt,ROC,2,FALSE),0)</f>
        <v>0</v>
      </c>
      <c r="AB59" s="14">
        <f>IF(AND($H59=pt,$F59=11),SUM($V$7:V59)*VLOOKUP(pt,ROC,2,FALSE),0)</f>
        <v>0</v>
      </c>
      <c r="AC59" s="14">
        <f>IF(AND($H59=pt,$F59=11),SUM($Q$7:Q59)*VLOOKUP(pt,ROC,2,FALSE),0)</f>
        <v>0</v>
      </c>
      <c r="AD59" s="14">
        <f t="shared" ca="1" si="35"/>
        <v>1327498.3860942645</v>
      </c>
      <c r="AE59" s="14">
        <f ca="1">(MAX(sa-CF58*Flag_UL_Type,105%*SUM($I$7:I59),Z59)+AU59)*B59</f>
        <v>3000000</v>
      </c>
      <c r="AF59" s="136"/>
      <c r="AG59" s="18">
        <v>53</v>
      </c>
      <c r="AH59" s="30">
        <f t="shared" ca="1" si="13"/>
        <v>0</v>
      </c>
      <c r="AI59" s="138"/>
      <c r="AJ59" s="50">
        <f>IF(AND(Option_Sys_TopUp&gt;="Y",H59&gt;=sytp,H59&lt;=(dtp+sytp-1),F59=0,H59&lt;=ppt+1),atp,0)+IFERROR(VLOOKUP(H59,Input!$B$55:$C$61,2,0),0)*(F59=0)*(Option_TopUP="Y")*(Option_Sys_TopUp="N")*B59*(pt&gt;=H59+5)</f>
        <v>0</v>
      </c>
      <c r="AK59" s="50">
        <f t="shared" si="14"/>
        <v>0</v>
      </c>
      <c r="AL59" s="50">
        <f t="shared" si="36"/>
        <v>0</v>
      </c>
      <c r="AM59" s="50">
        <f t="shared" ca="1" si="15"/>
        <v>0</v>
      </c>
      <c r="AN59" s="50">
        <f ca="1">IF(B59=0,0,AT59*(_rpm1+(1+_emr1)*VLOOKUP(E59,Tab_Mort_Charge,IF(Input!$C$12="M",2,3),0))*(0.001*0.0833)*Flag_Mort_Rider_Charge*(AT59&gt;0))</f>
        <v>0</v>
      </c>
      <c r="AO59" s="50">
        <f t="shared" ca="1" si="37"/>
        <v>0</v>
      </c>
      <c r="AP59" s="50">
        <f t="shared" ca="1" si="38"/>
        <v>0</v>
      </c>
      <c r="AQ59" s="50">
        <f t="shared" ca="1" si="16"/>
        <v>0</v>
      </c>
      <c r="AR59" s="50">
        <f t="shared" ca="1" si="17"/>
        <v>0</v>
      </c>
      <c r="AS59" s="50">
        <f t="shared" si="18"/>
        <v>0</v>
      </c>
      <c r="AT59" s="50">
        <f ca="1">(MAX((MAX(AS59,105%*SUM($AJ$7:AJ59))-AM59*Flag_UL_Type),0)*B59)</f>
        <v>0</v>
      </c>
      <c r="AU59" s="50">
        <f ca="1">(MAX(AS59,AR59,105%*SUM($AJ$7:AJ59))*B59)</f>
        <v>0</v>
      </c>
      <c r="AV59" s="125"/>
      <c r="AW59" s="13"/>
      <c r="AX59" s="13"/>
      <c r="AY59" s="13"/>
      <c r="AZ59" s="13"/>
      <c r="BA59" s="13"/>
      <c r="BG59" s="51">
        <f t="shared" si="21"/>
        <v>0</v>
      </c>
      <c r="BH59" s="51">
        <f t="shared" ca="1" si="22"/>
        <v>361.74578530649802</v>
      </c>
      <c r="BI59" s="51">
        <f t="shared" ca="1" si="46"/>
        <v>0</v>
      </c>
      <c r="BJ59" s="51">
        <f t="shared" ca="1" si="23"/>
        <v>0</v>
      </c>
      <c r="BK59" s="51">
        <f t="shared" si="24"/>
        <v>81</v>
      </c>
      <c r="BL59" s="51">
        <f t="shared" ca="1" si="25"/>
        <v>269.32243700513061</v>
      </c>
      <c r="BM59" s="51">
        <f t="shared" si="26"/>
        <v>0</v>
      </c>
      <c r="BN59" s="51">
        <f t="shared" ca="1" si="27"/>
        <v>0</v>
      </c>
      <c r="BO59" s="51">
        <f t="shared" ca="1" si="28"/>
        <v>0</v>
      </c>
      <c r="BP59" s="51">
        <f t="shared" ca="1" si="29"/>
        <v>712.06822231162869</v>
      </c>
      <c r="BR59" s="32"/>
      <c r="BS59" s="126"/>
      <c r="BT59" s="16"/>
      <c r="BU59" s="58"/>
      <c r="BW59" s="51">
        <f>VLOOKUP(H59,Charges!$AT$4:$AU$33,2,FALSE)*I59</f>
        <v>0</v>
      </c>
      <c r="BX59" s="51">
        <f t="shared" si="30"/>
        <v>0</v>
      </c>
      <c r="BY59" s="51">
        <f t="shared" si="47"/>
        <v>0</v>
      </c>
      <c r="BZ59" s="151"/>
      <c r="CA59" s="151"/>
      <c r="CB59" s="32"/>
      <c r="CC59" s="16">
        <f ca="1">SUM($N$7:$N59)</f>
        <v>0</v>
      </c>
      <c r="CD59" s="16">
        <f t="shared" ca="1" si="31"/>
        <v>0</v>
      </c>
      <c r="CE59" s="16">
        <f t="shared" ca="1" si="32"/>
        <v>0</v>
      </c>
      <c r="CF59" s="7">
        <f t="shared" ca="1" si="48"/>
        <v>0</v>
      </c>
    </row>
    <row r="60" spans="1:84" s="7" customFormat="1" x14ac:dyDescent="0.2">
      <c r="A60" s="149"/>
      <c r="B60" s="14">
        <f t="shared" si="0"/>
        <v>1</v>
      </c>
      <c r="C60" s="12">
        <f t="shared" si="1"/>
        <v>1</v>
      </c>
      <c r="D60" s="17">
        <f t="shared" si="49"/>
        <v>54</v>
      </c>
      <c r="E60" s="17">
        <f t="shared" ca="1" si="2"/>
        <v>64</v>
      </c>
      <c r="F60" s="12">
        <f t="shared" si="53"/>
        <v>5</v>
      </c>
      <c r="G60" s="12">
        <f t="shared" si="52"/>
        <v>9</v>
      </c>
      <c r="H60" s="17">
        <f t="shared" si="54"/>
        <v>5</v>
      </c>
      <c r="I60" s="29">
        <f t="shared" si="3"/>
        <v>0</v>
      </c>
      <c r="J60" s="211">
        <f>IFERROR(VLOOKUP(H60,Charges!$T$6:$U$35,2,0)*C60,0)</f>
        <v>0.97</v>
      </c>
      <c r="K60" s="29">
        <f t="shared" si="4"/>
        <v>0</v>
      </c>
      <c r="L60" s="29">
        <f t="shared" si="5"/>
        <v>0</v>
      </c>
      <c r="M60" s="147">
        <f t="shared" ca="1" si="6"/>
        <v>0</v>
      </c>
      <c r="N60" s="148">
        <f ca="1">IF(AND(Option_SPW="Y",H60&gt;=Lock_In_Period,Z59&gt;SPW_Amount_pa+IF(option="Single",1/5*pr,2*pr),H60&gt;=SPW_Start_Year,H60&lt;=SPW_Start_Year+SPW_Duration-1,age+H60&gt;=Legal_Age),IF(AND(F60=0,SPW_Payout_Freq=1),SPW_Amount_pa,IF(AND(SPW_Payout_Freq=2,MOD(F60,6)=0),SPW_Amount_pa/SPW_Payout_Freq,IF(AND(SPW_Payout_Freq=4,MOD(F60,3)=0),SPW_Amount_pa/SPW_Payout_Freq,IF(SPW_Payout_Freq=12,SPW_Amount_pa/SPW_Payout_Freq,0)))),0)+IFERROR(VLOOKUP(H60,Input!$B$68:$C$74,2,0),0)*(F60=0)*(Option_PW="Y")*(Option_SPW="N")*(age+H60&gt;=Legal_Age)</f>
        <v>0</v>
      </c>
      <c r="O60" s="148">
        <f t="shared" ca="1" si="33"/>
        <v>0</v>
      </c>
      <c r="P60" s="14">
        <f ca="1">(MAX(MAX(sa-CF59*Flag_UL_Type,105%*SUM($I$7:I60))-(AD59+L60-N60)*Flag_UL_Type,0)*B60)</f>
        <v>1672501.6139057355</v>
      </c>
      <c r="Q60" s="213">
        <f t="shared" ca="1" si="7"/>
        <v>2010.0960646726082</v>
      </c>
      <c r="R60" s="14">
        <f t="shared" ca="1" si="8"/>
        <v>0</v>
      </c>
      <c r="S60" s="14">
        <f t="shared" ca="1" si="9"/>
        <v>0</v>
      </c>
      <c r="T60" s="14">
        <f>IFERROR(IF(WoP_Flag="Y",IF(fq=1,VLOOKUP(ppt*fq-H60,Charges!$AN$41:$AO$59,2,FALSE),IF(fq=2,VLOOKUP(ppt*fq-G60,Charges!$AP$41:$AQ$79,2,FALSE),VLOOKUP(ppt*fq-D60,Charges!$AR$41:$AS$279,2,FALSE)))*pr/fq,0),0)</f>
        <v>0</v>
      </c>
      <c r="U60" s="14">
        <f ca="1">IFERROR(((T60*(VLOOKUP(Input!$D$18+H60-1,Tab_Mort_Charge,IF(Gender_2="M",2,3),FALSE)*(1+_emr2)+_rpm2)/IF(Model_Type="LA_PQIS",1000/0.0833,(12*1000))))*Flag_Mort_Rider_Charge*(T60&gt;0),0)</f>
        <v>0</v>
      </c>
      <c r="V60" s="34">
        <f>ROUND(MIN(IF(H60&gt;=7,Charges!$C$12*(1+Charges!$C$14)^((H60-7+1)),VLOOKUP(H60,Charges!$B$7:$C$12,2,0))*pr,Charges!$C$13)*B60,Round)</f>
        <v>450</v>
      </c>
      <c r="W60" s="14">
        <f t="shared" ca="1" si="10"/>
        <v>1324595.4727379507</v>
      </c>
      <c r="X60" s="14">
        <f t="shared" ca="1" si="11"/>
        <v>1328931.8536323735</v>
      </c>
      <c r="Y60" s="213">
        <f t="shared" ca="1" si="34"/>
        <v>1495.8619558290745</v>
      </c>
      <c r="Z60" s="14">
        <f t="shared" ca="1" si="12"/>
        <v>1327166.7365244953</v>
      </c>
      <c r="AA60" s="14">
        <f>IF(AND($H60=pt,$F60=11),SUM($K$7:K60)*VLOOKUP(pt,ROC,2,FALSE),0)</f>
        <v>0</v>
      </c>
      <c r="AB60" s="14">
        <f>IF(AND($H60=pt,$F60=11),SUM($V$7:V60)*VLOOKUP(pt,ROC,2,FALSE),0)</f>
        <v>0</v>
      </c>
      <c r="AC60" s="14">
        <f>IF(AND($H60=pt,$F60=11),SUM($Q$7:Q60)*VLOOKUP(pt,ROC,2,FALSE),0)</f>
        <v>0</v>
      </c>
      <c r="AD60" s="14">
        <f t="shared" ca="1" si="35"/>
        <v>1327166.7365244953</v>
      </c>
      <c r="AE60" s="14">
        <f ca="1">(MAX(sa-CF59*Flag_UL_Type,105%*SUM($I$7:I60),Z60)+AU60)*B60</f>
        <v>3000000</v>
      </c>
      <c r="AF60" s="136"/>
      <c r="AG60" s="18">
        <v>54</v>
      </c>
      <c r="AH60" s="30">
        <f t="shared" ca="1" si="13"/>
        <v>0</v>
      </c>
      <c r="AI60" s="138"/>
      <c r="AJ60" s="50">
        <f>IF(AND(Option_Sys_TopUp&gt;="Y",H60&gt;=sytp,H60&lt;=(dtp+sytp-1),F60=0,H60&lt;=ppt+1),atp,0)+IFERROR(VLOOKUP(H60,Input!$B$55:$C$61,2,0),0)*(F60=0)*(Option_TopUP="Y")*(Option_Sys_TopUp="N")*B60*(pt&gt;=H60+5)</f>
        <v>0</v>
      </c>
      <c r="AK60" s="50">
        <f t="shared" si="14"/>
        <v>0</v>
      </c>
      <c r="AL60" s="50">
        <f t="shared" si="36"/>
        <v>0</v>
      </c>
      <c r="AM60" s="50">
        <f t="shared" ca="1" si="15"/>
        <v>0</v>
      </c>
      <c r="AN60" s="50">
        <f ca="1">IF(B60=0,0,AT60*(_rpm1+(1+_emr1)*VLOOKUP(E60,Tab_Mort_Charge,IF(Input!$C$12="M",2,3),0))*(0.001*0.0833)*Flag_Mort_Rider_Charge*(AT60&gt;0))</f>
        <v>0</v>
      </c>
      <c r="AO60" s="50">
        <f t="shared" ca="1" si="37"/>
        <v>0</v>
      </c>
      <c r="AP60" s="50">
        <f t="shared" ca="1" si="38"/>
        <v>0</v>
      </c>
      <c r="AQ60" s="50">
        <f t="shared" ca="1" si="16"/>
        <v>0</v>
      </c>
      <c r="AR60" s="50">
        <f t="shared" ca="1" si="17"/>
        <v>0</v>
      </c>
      <c r="AS60" s="50">
        <f t="shared" si="18"/>
        <v>0</v>
      </c>
      <c r="AT60" s="50">
        <f ca="1">(MAX((MAX(AS60,105%*SUM($AJ$7:AJ60))-AM60*Flag_UL_Type),0)*B60)</f>
        <v>0</v>
      </c>
      <c r="AU60" s="50">
        <f ca="1">(MAX(AS60,AR60,105%*SUM($AJ$7:AJ60))*B60)</f>
        <v>0</v>
      </c>
      <c r="AV60" s="125"/>
      <c r="AW60" s="13"/>
      <c r="AX60" s="13"/>
      <c r="AY60" s="13"/>
      <c r="AZ60" s="13"/>
      <c r="BA60" s="13"/>
      <c r="BG60" s="51">
        <f t="shared" si="21"/>
        <v>0</v>
      </c>
      <c r="BH60" s="51">
        <f t="shared" ca="1" si="22"/>
        <v>361.817291641069</v>
      </c>
      <c r="BI60" s="51">
        <f t="shared" ca="1" si="46"/>
        <v>0</v>
      </c>
      <c r="BJ60" s="51">
        <f t="shared" ca="1" si="23"/>
        <v>0</v>
      </c>
      <c r="BK60" s="51">
        <f t="shared" si="24"/>
        <v>81</v>
      </c>
      <c r="BL60" s="51">
        <f t="shared" ca="1" si="25"/>
        <v>269.2551520492334</v>
      </c>
      <c r="BM60" s="51">
        <f t="shared" si="26"/>
        <v>0</v>
      </c>
      <c r="BN60" s="51">
        <f t="shared" ca="1" si="27"/>
        <v>0</v>
      </c>
      <c r="BO60" s="51">
        <f t="shared" ca="1" si="28"/>
        <v>0</v>
      </c>
      <c r="BP60" s="51">
        <f t="shared" ca="1" si="29"/>
        <v>712.07244369030241</v>
      </c>
      <c r="BR60" s="32"/>
      <c r="BS60" s="126"/>
      <c r="BT60" s="16"/>
      <c r="BU60" s="58"/>
      <c r="BW60" s="51">
        <f>VLOOKUP(H60,Charges!$AT$4:$AU$33,2,FALSE)*I60</f>
        <v>0</v>
      </c>
      <c r="BX60" s="51">
        <f t="shared" si="30"/>
        <v>0</v>
      </c>
      <c r="BY60" s="51">
        <f t="shared" si="47"/>
        <v>0</v>
      </c>
      <c r="BZ60" s="151"/>
      <c r="CA60" s="151"/>
      <c r="CB60" s="32"/>
      <c r="CC60" s="16">
        <f ca="1">SUM($N$7:$N60)</f>
        <v>0</v>
      </c>
      <c r="CD60" s="16">
        <f t="shared" ca="1" si="31"/>
        <v>0</v>
      </c>
      <c r="CE60" s="16">
        <f t="shared" ca="1" si="32"/>
        <v>0</v>
      </c>
      <c r="CF60" s="7">
        <f t="shared" ca="1" si="48"/>
        <v>0</v>
      </c>
    </row>
    <row r="61" spans="1:84" s="7" customFormat="1" x14ac:dyDescent="0.2">
      <c r="A61" s="149"/>
      <c r="B61" s="14">
        <f t="shared" si="0"/>
        <v>1</v>
      </c>
      <c r="C61" s="12">
        <f t="shared" si="1"/>
        <v>1</v>
      </c>
      <c r="D61" s="17">
        <f t="shared" si="49"/>
        <v>55</v>
      </c>
      <c r="E61" s="17">
        <f t="shared" ca="1" si="2"/>
        <v>64</v>
      </c>
      <c r="F61" s="12">
        <f t="shared" si="53"/>
        <v>6</v>
      </c>
      <c r="G61" s="12">
        <f t="shared" si="52"/>
        <v>10</v>
      </c>
      <c r="H61" s="17">
        <f t="shared" si="54"/>
        <v>5</v>
      </c>
      <c r="I61" s="29">
        <f t="shared" si="3"/>
        <v>0</v>
      </c>
      <c r="J61" s="211">
        <f>IFERROR(VLOOKUP(H61,Charges!$T$6:$U$35,2,0)*C61,0)</f>
        <v>0.97</v>
      </c>
      <c r="K61" s="29">
        <f t="shared" si="4"/>
        <v>0</v>
      </c>
      <c r="L61" s="29">
        <f t="shared" si="5"/>
        <v>0</v>
      </c>
      <c r="M61" s="147">
        <f t="shared" ca="1" si="6"/>
        <v>0</v>
      </c>
      <c r="N61" s="148">
        <f ca="1">IF(AND(Option_SPW="Y",H61&gt;=Lock_In_Period,Z60&gt;SPW_Amount_pa+IF(option="Single",1/5*pr,2*pr),H61&gt;=SPW_Start_Year,H61&lt;=SPW_Start_Year+SPW_Duration-1,age+H61&gt;=Legal_Age),IF(AND(F61=0,SPW_Payout_Freq=1),SPW_Amount_pa,IF(AND(SPW_Payout_Freq=2,MOD(F61,6)=0),SPW_Amount_pa/SPW_Payout_Freq,IF(AND(SPW_Payout_Freq=4,MOD(F61,3)=0),SPW_Amount_pa/SPW_Payout_Freq,IF(SPW_Payout_Freq=12,SPW_Amount_pa/SPW_Payout_Freq,0)))),0)+IFERROR(VLOOKUP(H61,Input!$B$68:$C$74,2,0),0)*(F61=0)*(Option_PW="Y")*(Option_SPW="N")*(age+H61&gt;=Legal_Age)</f>
        <v>0</v>
      </c>
      <c r="O61" s="148">
        <f t="shared" ca="1" si="33"/>
        <v>0</v>
      </c>
      <c r="P61" s="14">
        <f ca="1">(MAX(MAX(sa-CF60*Flag_UL_Type,105%*SUM($I$7:I61))-(AD60+L61-N61)*Flag_UL_Type,0)*B61)</f>
        <v>1672833.2634755047</v>
      </c>
      <c r="Q61" s="213">
        <f t="shared" ca="1" si="7"/>
        <v>2010.4946577080332</v>
      </c>
      <c r="R61" s="14">
        <f t="shared" ca="1" si="8"/>
        <v>0</v>
      </c>
      <c r="S61" s="14">
        <f t="shared" ca="1" si="9"/>
        <v>0</v>
      </c>
      <c r="T61" s="14">
        <f>IFERROR(IF(WoP_Flag="Y",IF(fq=1,VLOOKUP(ppt*fq-H61,Charges!$AN$41:$AO$59,2,FALSE),IF(fq=2,VLOOKUP(ppt*fq-G61,Charges!$AP$41:$AQ$79,2,FALSE),VLOOKUP(ppt*fq-D61,Charges!$AR$41:$AS$279,2,FALSE)))*pr/fq,0),0)</f>
        <v>0</v>
      </c>
      <c r="U61" s="14">
        <f ca="1">IFERROR(((T61*(VLOOKUP(Input!$D$18+H61-1,Tab_Mort_Charge,IF(Gender_2="M",2,3),FALSE)*(1+_emr2)+_rpm2)/IF(Model_Type="LA_PQIS",1000/0.0833,(12*1000))))*Flag_Mort_Rider_Charge*(T61&gt;0),0)</f>
        <v>0</v>
      </c>
      <c r="V61" s="34">
        <f>ROUND(MIN(IF(H61&gt;=7,Charges!$C$12*(1+Charges!$C$14)^((H61-7+1)),VLOOKUP(H61,Charges!$B$7:$C$12,2,0))*pr,Charges!$C$13)*B61,Round)</f>
        <v>450</v>
      </c>
      <c r="W61" s="14">
        <f t="shared" ca="1" si="10"/>
        <v>1324263.3528283997</v>
      </c>
      <c r="X61" s="14">
        <f t="shared" ca="1" si="11"/>
        <v>1328598.6464486623</v>
      </c>
      <c r="Y61" s="213">
        <f t="shared" ca="1" si="34"/>
        <v>1495.4868937458232</v>
      </c>
      <c r="Z61" s="14">
        <f t="shared" ca="1" si="12"/>
        <v>1326833.9719140423</v>
      </c>
      <c r="AA61" s="14">
        <f>IF(AND($H61=pt,$F61=11),SUM($K$7:K61)*VLOOKUP(pt,ROC,2,FALSE),0)</f>
        <v>0</v>
      </c>
      <c r="AB61" s="14">
        <f>IF(AND($H61=pt,$F61=11),SUM($V$7:V61)*VLOOKUP(pt,ROC,2,FALSE),0)</f>
        <v>0</v>
      </c>
      <c r="AC61" s="14">
        <f>IF(AND($H61=pt,$F61=11),SUM($Q$7:Q61)*VLOOKUP(pt,ROC,2,FALSE),0)</f>
        <v>0</v>
      </c>
      <c r="AD61" s="14">
        <f t="shared" ca="1" si="35"/>
        <v>1326833.9719140423</v>
      </c>
      <c r="AE61" s="14">
        <f ca="1">(MAX(sa-CF60*Flag_UL_Type,105%*SUM($I$7:I61),Z61)+AU61)*B61</f>
        <v>3000000</v>
      </c>
      <c r="AF61" s="136"/>
      <c r="AG61" s="18">
        <v>55</v>
      </c>
      <c r="AH61" s="30">
        <f t="shared" ca="1" si="13"/>
        <v>0</v>
      </c>
      <c r="AI61" s="138"/>
      <c r="AJ61" s="50">
        <f>IF(AND(Option_Sys_TopUp&gt;="Y",H61&gt;=sytp,H61&lt;=(dtp+sytp-1),F61=0,H61&lt;=ppt+1),atp,0)+IFERROR(VLOOKUP(H61,Input!$B$55:$C$61,2,0),0)*(F61=0)*(Option_TopUP="Y")*(Option_Sys_TopUp="N")*B61*(pt&gt;=H61+5)</f>
        <v>0</v>
      </c>
      <c r="AK61" s="50">
        <f t="shared" si="14"/>
        <v>0</v>
      </c>
      <c r="AL61" s="50">
        <f t="shared" si="36"/>
        <v>0</v>
      </c>
      <c r="AM61" s="50">
        <f t="shared" ca="1" si="15"/>
        <v>0</v>
      </c>
      <c r="AN61" s="50">
        <f ca="1">IF(B61=0,0,AT61*(_rpm1+(1+_emr1)*VLOOKUP(E61,Tab_Mort_Charge,IF(Input!$C$12="M",2,3),0))*(0.001*0.0833)*Flag_Mort_Rider_Charge*(AT61&gt;0))</f>
        <v>0</v>
      </c>
      <c r="AO61" s="50">
        <f t="shared" ca="1" si="37"/>
        <v>0</v>
      </c>
      <c r="AP61" s="50">
        <f t="shared" ca="1" si="38"/>
        <v>0</v>
      </c>
      <c r="AQ61" s="50">
        <f t="shared" ca="1" si="16"/>
        <v>0</v>
      </c>
      <c r="AR61" s="50">
        <f t="shared" ca="1" si="17"/>
        <v>0</v>
      </c>
      <c r="AS61" s="50">
        <f t="shared" si="18"/>
        <v>0</v>
      </c>
      <c r="AT61" s="50">
        <f ca="1">(MAX((MAX(AS61,105%*SUM($AJ$7:AJ61))-AM61*Flag_UL_Type),0)*B61)</f>
        <v>0</v>
      </c>
      <c r="AU61" s="50">
        <f ca="1">(MAX(AS61,AR61,105%*SUM($AJ$7:AJ61))*B61)</f>
        <v>0</v>
      </c>
      <c r="AV61" s="125"/>
      <c r="AW61" s="13"/>
      <c r="AX61" s="13"/>
      <c r="AY61" s="13"/>
      <c r="AZ61" s="13"/>
      <c r="BA61" s="13"/>
      <c r="BG61" s="51">
        <f t="shared" si="21"/>
        <v>0</v>
      </c>
      <c r="BH61" s="51">
        <f t="shared" ca="1" si="22"/>
        <v>361.88903838744602</v>
      </c>
      <c r="BI61" s="51">
        <f t="shared" ca="1" si="46"/>
        <v>0</v>
      </c>
      <c r="BJ61" s="51">
        <f t="shared" ca="1" si="23"/>
        <v>0</v>
      </c>
      <c r="BK61" s="51">
        <f t="shared" si="24"/>
        <v>81</v>
      </c>
      <c r="BL61" s="51">
        <f t="shared" ca="1" si="25"/>
        <v>269.18764087424819</v>
      </c>
      <c r="BM61" s="51">
        <f t="shared" si="26"/>
        <v>0</v>
      </c>
      <c r="BN61" s="51">
        <f t="shared" ca="1" si="27"/>
        <v>0</v>
      </c>
      <c r="BO61" s="51">
        <f t="shared" ca="1" si="28"/>
        <v>0</v>
      </c>
      <c r="BP61" s="51">
        <f t="shared" ca="1" si="29"/>
        <v>712.07667926169415</v>
      </c>
      <c r="BR61" s="32"/>
      <c r="BS61" s="126"/>
      <c r="BT61" s="16"/>
      <c r="BU61" s="58"/>
      <c r="BW61" s="51">
        <f>VLOOKUP(H61,Charges!$AT$4:$AU$33,2,FALSE)*I61</f>
        <v>0</v>
      </c>
      <c r="BX61" s="51">
        <f t="shared" si="30"/>
        <v>0</v>
      </c>
      <c r="BY61" s="51">
        <f t="shared" si="47"/>
        <v>0</v>
      </c>
      <c r="BZ61" s="151"/>
      <c r="CA61" s="151"/>
      <c r="CB61" s="32"/>
      <c r="CC61" s="16">
        <f ca="1">SUM($N$7:$N61)</f>
        <v>0</v>
      </c>
      <c r="CD61" s="16">
        <f t="shared" ca="1" si="31"/>
        <v>0</v>
      </c>
      <c r="CE61" s="16">
        <f t="shared" ca="1" si="32"/>
        <v>0</v>
      </c>
      <c r="CF61" s="7">
        <f t="shared" ca="1" si="48"/>
        <v>0</v>
      </c>
    </row>
    <row r="62" spans="1:84" s="7" customFormat="1" x14ac:dyDescent="0.2">
      <c r="A62" s="149"/>
      <c r="B62" s="14">
        <f t="shared" si="0"/>
        <v>1</v>
      </c>
      <c r="C62" s="12">
        <f t="shared" si="1"/>
        <v>1</v>
      </c>
      <c r="D62" s="17">
        <f t="shared" si="49"/>
        <v>56</v>
      </c>
      <c r="E62" s="17">
        <f t="shared" ca="1" si="2"/>
        <v>64</v>
      </c>
      <c r="F62" s="12">
        <f t="shared" si="53"/>
        <v>7</v>
      </c>
      <c r="G62" s="12">
        <f t="shared" si="52"/>
        <v>10</v>
      </c>
      <c r="H62" s="17">
        <f t="shared" si="54"/>
        <v>5</v>
      </c>
      <c r="I62" s="29">
        <f t="shared" si="3"/>
        <v>0</v>
      </c>
      <c r="J62" s="211">
        <f>IFERROR(VLOOKUP(H62,Charges!$T$6:$U$35,2,0)*C62,0)</f>
        <v>0.97</v>
      </c>
      <c r="K62" s="29">
        <f t="shared" si="4"/>
        <v>0</v>
      </c>
      <c r="L62" s="29">
        <f t="shared" si="5"/>
        <v>0</v>
      </c>
      <c r="M62" s="147">
        <f t="shared" ca="1" si="6"/>
        <v>0</v>
      </c>
      <c r="N62" s="148">
        <f ca="1">IF(AND(Option_SPW="Y",H62&gt;=Lock_In_Period,Z61&gt;SPW_Amount_pa+IF(option="Single",1/5*pr,2*pr),H62&gt;=SPW_Start_Year,H62&lt;=SPW_Start_Year+SPW_Duration-1,age+H62&gt;=Legal_Age),IF(AND(F62=0,SPW_Payout_Freq=1),SPW_Amount_pa,IF(AND(SPW_Payout_Freq=2,MOD(F62,6)=0),SPW_Amount_pa/SPW_Payout_Freq,IF(AND(SPW_Payout_Freq=4,MOD(F62,3)=0),SPW_Amount_pa/SPW_Payout_Freq,IF(SPW_Payout_Freq=12,SPW_Amount_pa/SPW_Payout_Freq,0)))),0)+IFERROR(VLOOKUP(H62,Input!$B$68:$C$74,2,0),0)*(F62=0)*(Option_PW="Y")*(Option_SPW="N")*(age+H62&gt;=Legal_Age)</f>
        <v>0</v>
      </c>
      <c r="O62" s="148">
        <f t="shared" ca="1" si="33"/>
        <v>0</v>
      </c>
      <c r="P62" s="14">
        <f ca="1">(MAX(MAX(sa-CF61*Flag_UL_Type,105%*SUM($I$7:I62))-(AD61+L62-N62)*Flag_UL_Type,0)*B62)</f>
        <v>1673166.0280859577</v>
      </c>
      <c r="Q62" s="213">
        <f t="shared" ca="1" si="7"/>
        <v>2010.8945908551082</v>
      </c>
      <c r="R62" s="14">
        <f t="shared" ca="1" si="8"/>
        <v>0</v>
      </c>
      <c r="S62" s="14">
        <f t="shared" ca="1" si="9"/>
        <v>0</v>
      </c>
      <c r="T62" s="14">
        <f>IFERROR(IF(WoP_Flag="Y",IF(fq=1,VLOOKUP(ppt*fq-H62,Charges!$AN$41:$AO$59,2,FALSE),IF(fq=2,VLOOKUP(ppt*fq-G62,Charges!$AP$41:$AQ$79,2,FALSE),VLOOKUP(ppt*fq-D62,Charges!$AR$41:$AS$279,2,FALSE)))*pr/fq,0),0)</f>
        <v>0</v>
      </c>
      <c r="U62" s="14">
        <f ca="1">IFERROR(((T62*(VLOOKUP(Input!$D$18+H62-1,Tab_Mort_Charge,IF(Gender_2="M",2,3),FALSE)*(1+_emr2)+_rpm2)/IF(Model_Type="LA_PQIS",1000/0.0833,(12*1000))))*Flag_Mort_Rider_Charge*(T62&gt;0),0)</f>
        <v>0</v>
      </c>
      <c r="V62" s="34">
        <f>ROUND(MIN(IF(H62&gt;=7,Charges!$C$12*(1+Charges!$C$14)^((H62-7+1)),VLOOKUP(H62,Charges!$B$7:$C$12,2,0))*pr,Charges!$C$13)*B62,Round)</f>
        <v>450</v>
      </c>
      <c r="W62" s="14">
        <f t="shared" ca="1" si="10"/>
        <v>1323930.1162968331</v>
      </c>
      <c r="X62" s="14">
        <f t="shared" ca="1" si="11"/>
        <v>1328264.3189874054</v>
      </c>
      <c r="Y62" s="213">
        <f t="shared" ca="1" si="34"/>
        <v>1495.110570664458</v>
      </c>
      <c r="Z62" s="14">
        <f t="shared" ca="1" si="12"/>
        <v>1326500.0885140214</v>
      </c>
      <c r="AA62" s="14">
        <f>IF(AND($H62=pt,$F62=11),SUM($K$7:K62)*VLOOKUP(pt,ROC,2,FALSE),0)</f>
        <v>0</v>
      </c>
      <c r="AB62" s="14">
        <f>IF(AND($H62=pt,$F62=11),SUM($V$7:V62)*VLOOKUP(pt,ROC,2,FALSE),0)</f>
        <v>0</v>
      </c>
      <c r="AC62" s="14">
        <f>IF(AND($H62=pt,$F62=11),SUM($Q$7:Q62)*VLOOKUP(pt,ROC,2,FALSE),0)</f>
        <v>0</v>
      </c>
      <c r="AD62" s="14">
        <f t="shared" ca="1" si="35"/>
        <v>1326500.0885140214</v>
      </c>
      <c r="AE62" s="14">
        <f ca="1">(MAX(sa-CF61*Flag_UL_Type,105%*SUM($I$7:I62),Z62)+AU62)*B62</f>
        <v>3000000</v>
      </c>
      <c r="AF62" s="136"/>
      <c r="AG62" s="18">
        <v>56</v>
      </c>
      <c r="AH62" s="30">
        <f t="shared" ca="1" si="13"/>
        <v>0</v>
      </c>
      <c r="AI62" s="138"/>
      <c r="AJ62" s="50">
        <f>IF(AND(Option_Sys_TopUp&gt;="Y",H62&gt;=sytp,H62&lt;=(dtp+sytp-1),F62=0,H62&lt;=ppt+1),atp,0)+IFERROR(VLOOKUP(H62,Input!$B$55:$C$61,2,0),0)*(F62=0)*(Option_TopUP="Y")*(Option_Sys_TopUp="N")*B62*(pt&gt;=H62+5)</f>
        <v>0</v>
      </c>
      <c r="AK62" s="50">
        <f t="shared" si="14"/>
        <v>0</v>
      </c>
      <c r="AL62" s="50">
        <f t="shared" si="36"/>
        <v>0</v>
      </c>
      <c r="AM62" s="50">
        <f t="shared" ca="1" si="15"/>
        <v>0</v>
      </c>
      <c r="AN62" s="50">
        <f ca="1">IF(B62=0,0,AT62*(_rpm1+(1+_emr1)*VLOOKUP(E62,Tab_Mort_Charge,IF(Input!$C$12="M",2,3),0))*(0.001*0.0833)*Flag_Mort_Rider_Charge*(AT62&gt;0))</f>
        <v>0</v>
      </c>
      <c r="AO62" s="50">
        <f t="shared" ca="1" si="37"/>
        <v>0</v>
      </c>
      <c r="AP62" s="50">
        <f t="shared" ca="1" si="38"/>
        <v>0</v>
      </c>
      <c r="AQ62" s="50">
        <f t="shared" ca="1" si="16"/>
        <v>0</v>
      </c>
      <c r="AR62" s="50">
        <f t="shared" ca="1" si="17"/>
        <v>0</v>
      </c>
      <c r="AS62" s="50">
        <f t="shared" si="18"/>
        <v>0</v>
      </c>
      <c r="AT62" s="50">
        <f ca="1">(MAX((MAX(AS62,105%*SUM($AJ$7:AJ62))-AM62*Flag_UL_Type),0)*B62)</f>
        <v>0</v>
      </c>
      <c r="AU62" s="50">
        <f ca="1">(MAX(AS62,AR62,105%*SUM($AJ$7:AJ62))*B62)</f>
        <v>0</v>
      </c>
      <c r="AV62" s="125"/>
      <c r="AW62" s="13"/>
      <c r="AX62" s="13"/>
      <c r="AY62" s="13"/>
      <c r="AZ62" s="13"/>
      <c r="BA62" s="13"/>
      <c r="BG62" s="51">
        <f t="shared" si="21"/>
        <v>0</v>
      </c>
      <c r="BH62" s="51">
        <f t="shared" ca="1" si="22"/>
        <v>361.96102635391901</v>
      </c>
      <c r="BI62" s="51">
        <f t="shared" ca="1" si="46"/>
        <v>0</v>
      </c>
      <c r="BJ62" s="51">
        <f t="shared" ca="1" si="23"/>
        <v>0</v>
      </c>
      <c r="BK62" s="51">
        <f t="shared" si="24"/>
        <v>81</v>
      </c>
      <c r="BL62" s="51">
        <f t="shared" ca="1" si="25"/>
        <v>269.11990271960241</v>
      </c>
      <c r="BM62" s="51">
        <f t="shared" si="26"/>
        <v>0</v>
      </c>
      <c r="BN62" s="51">
        <f t="shared" ca="1" si="27"/>
        <v>0</v>
      </c>
      <c r="BO62" s="51">
        <f t="shared" ca="1" si="28"/>
        <v>0</v>
      </c>
      <c r="BP62" s="51">
        <f t="shared" ca="1" si="29"/>
        <v>712.08092907352147</v>
      </c>
      <c r="BR62" s="32"/>
      <c r="BS62" s="126"/>
      <c r="BT62" s="16"/>
      <c r="BU62" s="58"/>
      <c r="BW62" s="51">
        <f>VLOOKUP(H62,Charges!$AT$4:$AU$33,2,FALSE)*I62</f>
        <v>0</v>
      </c>
      <c r="BX62" s="51">
        <f t="shared" si="30"/>
        <v>0</v>
      </c>
      <c r="BY62" s="51">
        <f t="shared" si="47"/>
        <v>0</v>
      </c>
      <c r="BZ62" s="151"/>
      <c r="CA62" s="151"/>
      <c r="CB62" s="32"/>
      <c r="CC62" s="16">
        <f ca="1">SUM($N$7:$N62)</f>
        <v>0</v>
      </c>
      <c r="CD62" s="16">
        <f t="shared" ca="1" si="31"/>
        <v>0</v>
      </c>
      <c r="CE62" s="16">
        <f t="shared" ca="1" si="32"/>
        <v>0</v>
      </c>
      <c r="CF62" s="7">
        <f t="shared" ca="1" si="48"/>
        <v>0</v>
      </c>
    </row>
    <row r="63" spans="1:84" s="7" customFormat="1" x14ac:dyDescent="0.2">
      <c r="A63" s="149"/>
      <c r="B63" s="14">
        <f t="shared" si="0"/>
        <v>1</v>
      </c>
      <c r="C63" s="12">
        <f t="shared" si="1"/>
        <v>1</v>
      </c>
      <c r="D63" s="17">
        <f t="shared" si="49"/>
        <v>57</v>
      </c>
      <c r="E63" s="17">
        <f t="shared" ca="1" si="2"/>
        <v>64</v>
      </c>
      <c r="F63" s="12">
        <f t="shared" si="53"/>
        <v>8</v>
      </c>
      <c r="G63" s="12">
        <f t="shared" si="52"/>
        <v>10</v>
      </c>
      <c r="H63" s="17">
        <f t="shared" si="54"/>
        <v>5</v>
      </c>
      <c r="I63" s="29">
        <f t="shared" si="3"/>
        <v>0</v>
      </c>
      <c r="J63" s="211">
        <f>IFERROR(VLOOKUP(H63,Charges!$T$6:$U$35,2,0)*C63,0)</f>
        <v>0.97</v>
      </c>
      <c r="K63" s="29">
        <f t="shared" si="4"/>
        <v>0</v>
      </c>
      <c r="L63" s="29">
        <f t="shared" si="5"/>
        <v>0</v>
      </c>
      <c r="M63" s="147">
        <f t="shared" ca="1" si="6"/>
        <v>0</v>
      </c>
      <c r="N63" s="148">
        <f ca="1">IF(AND(Option_SPW="Y",H63&gt;=Lock_In_Period,Z62&gt;SPW_Amount_pa+IF(option="Single",1/5*pr,2*pr),H63&gt;=SPW_Start_Year,H63&lt;=SPW_Start_Year+SPW_Duration-1,age+H63&gt;=Legal_Age),IF(AND(F63=0,SPW_Payout_Freq=1),SPW_Amount_pa,IF(AND(SPW_Payout_Freq=2,MOD(F63,6)=0),SPW_Amount_pa/SPW_Payout_Freq,IF(AND(SPW_Payout_Freq=4,MOD(F63,3)=0),SPW_Amount_pa/SPW_Payout_Freq,IF(SPW_Payout_Freq=12,SPW_Amount_pa/SPW_Payout_Freq,0)))),0)+IFERROR(VLOOKUP(H63,Input!$B$68:$C$74,2,0),0)*(F63=0)*(Option_PW="Y")*(Option_SPW="N")*(age+H63&gt;=Legal_Age)</f>
        <v>0</v>
      </c>
      <c r="O63" s="148">
        <f t="shared" ca="1" si="33"/>
        <v>0</v>
      </c>
      <c r="P63" s="14">
        <f ca="1">(MAX(MAX(sa-CF62*Flag_UL_Type,105%*SUM($I$7:I63))-(AD62+L63-N63)*Flag_UL_Type,0)*B63)</f>
        <v>1673499.9114859786</v>
      </c>
      <c r="Q63" s="213">
        <f t="shared" ca="1" si="7"/>
        <v>2011.2958686194249</v>
      </c>
      <c r="R63" s="14">
        <f t="shared" ca="1" si="8"/>
        <v>0</v>
      </c>
      <c r="S63" s="14">
        <f t="shared" ca="1" si="9"/>
        <v>0</v>
      </c>
      <c r="T63" s="14">
        <f>IFERROR(IF(WoP_Flag="Y",IF(fq=1,VLOOKUP(ppt*fq-H63,Charges!$AN$41:$AO$59,2,FALSE),IF(fq=2,VLOOKUP(ppt*fq-G63,Charges!$AP$41:$AQ$79,2,FALSE),VLOOKUP(ppt*fq-D63,Charges!$AR$41:$AS$279,2,FALSE)))*pr/fq,0),0)</f>
        <v>0</v>
      </c>
      <c r="U63" s="14">
        <f ca="1">IFERROR(((T63*(VLOOKUP(Input!$D$18+H63-1,Tab_Mort_Charge,IF(Gender_2="M",2,3),FALSE)*(1+_emr2)+_rpm2)/IF(Model_Type="LA_PQIS",1000/0.0833,(12*1000))))*Flag_Mort_Rider_Charge*(T63&gt;0),0)</f>
        <v>0</v>
      </c>
      <c r="V63" s="34">
        <f>ROUND(MIN(IF(H63&gt;=7,Charges!$C$12*(1+Charges!$C$14)^((H63-7+1)),VLOOKUP(H63,Charges!$B$7:$C$12,2,0))*pr,Charges!$C$13)*B63,Round)</f>
        <v>450</v>
      </c>
      <c r="W63" s="14">
        <f t="shared" ca="1" si="10"/>
        <v>1323595.7593890505</v>
      </c>
      <c r="X63" s="14">
        <f t="shared" ca="1" si="11"/>
        <v>1327928.8674821123</v>
      </c>
      <c r="Y63" s="213">
        <f t="shared" ca="1" si="34"/>
        <v>1494.7329823453715</v>
      </c>
      <c r="Z63" s="14">
        <f t="shared" ca="1" si="12"/>
        <v>1326165.0825629446</v>
      </c>
      <c r="AA63" s="14">
        <f>IF(AND($H63=pt,$F63=11),SUM($K$7:K63)*VLOOKUP(pt,ROC,2,FALSE),0)</f>
        <v>0</v>
      </c>
      <c r="AB63" s="14">
        <f>IF(AND($H63=pt,$F63=11),SUM($V$7:V63)*VLOOKUP(pt,ROC,2,FALSE),0)</f>
        <v>0</v>
      </c>
      <c r="AC63" s="14">
        <f>IF(AND($H63=pt,$F63=11),SUM($Q$7:Q63)*VLOOKUP(pt,ROC,2,FALSE),0)</f>
        <v>0</v>
      </c>
      <c r="AD63" s="14">
        <f t="shared" ca="1" si="35"/>
        <v>1326165.0825629446</v>
      </c>
      <c r="AE63" s="14">
        <f ca="1">(MAX(sa-CF62*Flag_UL_Type,105%*SUM($I$7:I63),Z63)+AU63)*B63</f>
        <v>3000000</v>
      </c>
      <c r="AF63" s="136"/>
      <c r="AG63" s="18">
        <v>57</v>
      </c>
      <c r="AH63" s="30">
        <f t="shared" ca="1" si="13"/>
        <v>0</v>
      </c>
      <c r="AI63" s="138"/>
      <c r="AJ63" s="50">
        <f>IF(AND(Option_Sys_TopUp&gt;="Y",H63&gt;=sytp,H63&lt;=(dtp+sytp-1),F63=0,H63&lt;=ppt+1),atp,0)+IFERROR(VLOOKUP(H63,Input!$B$55:$C$61,2,0),0)*(F63=0)*(Option_TopUP="Y")*(Option_Sys_TopUp="N")*B63*(pt&gt;=H63+5)</f>
        <v>0</v>
      </c>
      <c r="AK63" s="50">
        <f t="shared" si="14"/>
        <v>0</v>
      </c>
      <c r="AL63" s="50">
        <f t="shared" si="36"/>
        <v>0</v>
      </c>
      <c r="AM63" s="50">
        <f t="shared" ca="1" si="15"/>
        <v>0</v>
      </c>
      <c r="AN63" s="50">
        <f ca="1">IF(B63=0,0,AT63*(_rpm1+(1+_emr1)*VLOOKUP(E63,Tab_Mort_Charge,IF(Input!$C$12="M",2,3),0))*(0.001*0.0833)*Flag_Mort_Rider_Charge*(AT63&gt;0))</f>
        <v>0</v>
      </c>
      <c r="AO63" s="50">
        <f t="shared" ca="1" si="37"/>
        <v>0</v>
      </c>
      <c r="AP63" s="50">
        <f t="shared" ca="1" si="38"/>
        <v>0</v>
      </c>
      <c r="AQ63" s="50">
        <f t="shared" ca="1" si="16"/>
        <v>0</v>
      </c>
      <c r="AR63" s="50">
        <f t="shared" ca="1" si="17"/>
        <v>0</v>
      </c>
      <c r="AS63" s="50">
        <f t="shared" si="18"/>
        <v>0</v>
      </c>
      <c r="AT63" s="50">
        <f ca="1">(MAX((MAX(AS63,105%*SUM($AJ$7:AJ63))-AM63*Flag_UL_Type),0)*B63)</f>
        <v>0</v>
      </c>
      <c r="AU63" s="50">
        <f ca="1">(MAX(AS63,AR63,105%*SUM($AJ$7:AJ63))*B63)</f>
        <v>0</v>
      </c>
      <c r="AV63" s="125"/>
      <c r="AW63" s="13"/>
      <c r="AX63" s="13"/>
      <c r="AY63" s="13"/>
      <c r="AZ63" s="13"/>
      <c r="BA63" s="13"/>
      <c r="BG63" s="51">
        <f t="shared" si="21"/>
        <v>0</v>
      </c>
      <c r="BH63" s="51">
        <f t="shared" ca="1" si="22"/>
        <v>362.03325635149599</v>
      </c>
      <c r="BI63" s="51">
        <f t="shared" ca="1" si="46"/>
        <v>0</v>
      </c>
      <c r="BJ63" s="51">
        <f t="shared" ca="1" si="23"/>
        <v>0</v>
      </c>
      <c r="BK63" s="51">
        <f t="shared" si="24"/>
        <v>81</v>
      </c>
      <c r="BL63" s="51">
        <f t="shared" ca="1" si="25"/>
        <v>269.05193682216685</v>
      </c>
      <c r="BM63" s="51">
        <f t="shared" si="26"/>
        <v>0</v>
      </c>
      <c r="BN63" s="51">
        <f t="shared" ca="1" si="27"/>
        <v>0</v>
      </c>
      <c r="BO63" s="51">
        <f t="shared" ca="1" si="28"/>
        <v>0</v>
      </c>
      <c r="BP63" s="51">
        <f t="shared" ca="1" si="29"/>
        <v>712.0851931736629</v>
      </c>
      <c r="BR63" s="32"/>
      <c r="BS63" s="126"/>
      <c r="BT63" s="16"/>
      <c r="BU63" s="58"/>
      <c r="BW63" s="51">
        <f>VLOOKUP(H63,Charges!$AT$4:$AU$33,2,FALSE)*I63</f>
        <v>0</v>
      </c>
      <c r="BX63" s="51">
        <f t="shared" si="30"/>
        <v>0</v>
      </c>
      <c r="BY63" s="51">
        <f t="shared" si="47"/>
        <v>0</v>
      </c>
      <c r="BZ63" s="151"/>
      <c r="CA63" s="151"/>
      <c r="CB63" s="32"/>
      <c r="CC63" s="16">
        <f ca="1">SUM($N$7:$N63)</f>
        <v>0</v>
      </c>
      <c r="CD63" s="16">
        <f t="shared" ca="1" si="31"/>
        <v>0</v>
      </c>
      <c r="CE63" s="16">
        <f t="shared" ca="1" si="32"/>
        <v>0</v>
      </c>
      <c r="CF63" s="7">
        <f t="shared" ca="1" si="48"/>
        <v>0</v>
      </c>
    </row>
    <row r="64" spans="1:84" s="7" customFormat="1" x14ac:dyDescent="0.2">
      <c r="A64" s="149"/>
      <c r="B64" s="14">
        <f t="shared" si="0"/>
        <v>1</v>
      </c>
      <c r="C64" s="12">
        <f t="shared" si="1"/>
        <v>1</v>
      </c>
      <c r="D64" s="17">
        <f t="shared" si="49"/>
        <v>58</v>
      </c>
      <c r="E64" s="17">
        <f t="shared" ca="1" si="2"/>
        <v>64</v>
      </c>
      <c r="F64" s="12">
        <f t="shared" si="53"/>
        <v>9</v>
      </c>
      <c r="G64" s="12">
        <f t="shared" si="52"/>
        <v>10</v>
      </c>
      <c r="H64" s="17">
        <f t="shared" si="54"/>
        <v>5</v>
      </c>
      <c r="I64" s="29">
        <f t="shared" si="3"/>
        <v>0</v>
      </c>
      <c r="J64" s="211">
        <f>IFERROR(VLOOKUP(H64,Charges!$T$6:$U$35,2,0)*C64,0)</f>
        <v>0.97</v>
      </c>
      <c r="K64" s="29">
        <f t="shared" si="4"/>
        <v>0</v>
      </c>
      <c r="L64" s="29">
        <f t="shared" si="5"/>
        <v>0</v>
      </c>
      <c r="M64" s="147">
        <f t="shared" ca="1" si="6"/>
        <v>0</v>
      </c>
      <c r="N64" s="148">
        <f ca="1">IF(AND(Option_SPW="Y",H64&gt;=Lock_In_Period,Z63&gt;SPW_Amount_pa+IF(option="Single",1/5*pr,2*pr),H64&gt;=SPW_Start_Year,H64&lt;=SPW_Start_Year+SPW_Duration-1,age+H64&gt;=Legal_Age),IF(AND(F64=0,SPW_Payout_Freq=1),SPW_Amount_pa,IF(AND(SPW_Payout_Freq=2,MOD(F64,6)=0),SPW_Amount_pa/SPW_Payout_Freq,IF(AND(SPW_Payout_Freq=4,MOD(F64,3)=0),SPW_Amount_pa/SPW_Payout_Freq,IF(SPW_Payout_Freq=12,SPW_Amount_pa/SPW_Payout_Freq,0)))),0)+IFERROR(VLOOKUP(H64,Input!$B$68:$C$74,2,0),0)*(F64=0)*(Option_PW="Y")*(Option_SPW="N")*(age+H64&gt;=Legal_Age)</f>
        <v>0</v>
      </c>
      <c r="O64" s="148">
        <f t="shared" ca="1" si="33"/>
        <v>0</v>
      </c>
      <c r="P64" s="14">
        <f ca="1">(MAX(MAX(sa-CF63*Flag_UL_Type,105%*SUM($I$7:I64))-(AD63+L64-N64)*Flag_UL_Type,0)*B64)</f>
        <v>1673834.9174370554</v>
      </c>
      <c r="Q64" s="213">
        <f t="shared" ca="1" si="7"/>
        <v>2011.6984955217247</v>
      </c>
      <c r="R64" s="14">
        <f t="shared" ca="1" si="8"/>
        <v>0</v>
      </c>
      <c r="S64" s="14">
        <f t="shared" ca="1" si="9"/>
        <v>0</v>
      </c>
      <c r="T64" s="14">
        <f>IFERROR(IF(WoP_Flag="Y",IF(fq=1,VLOOKUP(ppt*fq-H64,Charges!$AN$41:$AO$59,2,FALSE),IF(fq=2,VLOOKUP(ppt*fq-G64,Charges!$AP$41:$AQ$79,2,FALSE),VLOOKUP(ppt*fq-D64,Charges!$AR$41:$AS$279,2,FALSE)))*pr/fq,0),0)</f>
        <v>0</v>
      </c>
      <c r="U64" s="14">
        <f ca="1">IFERROR(((T64*(VLOOKUP(Input!$D$18+H64-1,Tab_Mort_Charge,IF(Gender_2="M",2,3),FALSE)*(1+_emr2)+_rpm2)/IF(Model_Type="LA_PQIS",1000/0.0833,(12*1000))))*Flag_Mort_Rider_Charge*(T64&gt;0),0)</f>
        <v>0</v>
      </c>
      <c r="V64" s="34">
        <f>ROUND(MIN(IF(H64&gt;=7,Charges!$C$12*(1+Charges!$C$14)^((H64-7+1)),VLOOKUP(H64,Charges!$B$7:$C$12,2,0))*pr,Charges!$C$13)*B64,Round)</f>
        <v>450</v>
      </c>
      <c r="W64" s="14">
        <f t="shared" ca="1" si="10"/>
        <v>1323260.2783382291</v>
      </c>
      <c r="X64" s="14">
        <f t="shared" ca="1" si="11"/>
        <v>1327592.2881536286</v>
      </c>
      <c r="Y64" s="213">
        <f t="shared" ca="1" si="34"/>
        <v>1494.3541245347012</v>
      </c>
      <c r="Z64" s="14">
        <f t="shared" ca="1" si="12"/>
        <v>1325828.9502866776</v>
      </c>
      <c r="AA64" s="14">
        <f>IF(AND($H64=pt,$F64=11),SUM($K$7:K64)*VLOOKUP(pt,ROC,2,FALSE),0)</f>
        <v>0</v>
      </c>
      <c r="AB64" s="14">
        <f>IF(AND($H64=pt,$F64=11),SUM($V$7:V64)*VLOOKUP(pt,ROC,2,FALSE),0)</f>
        <v>0</v>
      </c>
      <c r="AC64" s="14">
        <f>IF(AND($H64=pt,$F64=11),SUM($Q$7:Q64)*VLOOKUP(pt,ROC,2,FALSE),0)</f>
        <v>0</v>
      </c>
      <c r="AD64" s="14">
        <f t="shared" ca="1" si="35"/>
        <v>1325828.9502866776</v>
      </c>
      <c r="AE64" s="14">
        <f ca="1">(MAX(sa-CF63*Flag_UL_Type,105%*SUM($I$7:I64),Z64)+AU64)*B64</f>
        <v>3000000</v>
      </c>
      <c r="AF64" s="136"/>
      <c r="AG64" s="18">
        <v>58</v>
      </c>
      <c r="AH64" s="30">
        <f t="shared" ca="1" si="13"/>
        <v>0</v>
      </c>
      <c r="AI64" s="138"/>
      <c r="AJ64" s="50">
        <f>IF(AND(Option_Sys_TopUp&gt;="Y",H64&gt;=sytp,H64&lt;=(dtp+sytp-1),F64=0,H64&lt;=ppt+1),atp,0)+IFERROR(VLOOKUP(H64,Input!$B$55:$C$61,2,0),0)*(F64=0)*(Option_TopUP="Y")*(Option_Sys_TopUp="N")*B64*(pt&gt;=H64+5)</f>
        <v>0</v>
      </c>
      <c r="AK64" s="50">
        <f t="shared" si="14"/>
        <v>0</v>
      </c>
      <c r="AL64" s="50">
        <f t="shared" si="36"/>
        <v>0</v>
      </c>
      <c r="AM64" s="50">
        <f t="shared" ca="1" si="15"/>
        <v>0</v>
      </c>
      <c r="AN64" s="50">
        <f ca="1">IF(B64=0,0,AT64*(_rpm1+(1+_emr1)*VLOOKUP(E64,Tab_Mort_Charge,IF(Input!$C$12="M",2,3),0))*(0.001*0.0833)*Flag_Mort_Rider_Charge*(AT64&gt;0))</f>
        <v>0</v>
      </c>
      <c r="AO64" s="50">
        <f t="shared" ca="1" si="37"/>
        <v>0</v>
      </c>
      <c r="AP64" s="50">
        <f t="shared" ca="1" si="38"/>
        <v>0</v>
      </c>
      <c r="AQ64" s="50">
        <f t="shared" ca="1" si="16"/>
        <v>0</v>
      </c>
      <c r="AR64" s="50">
        <f t="shared" ca="1" si="17"/>
        <v>0</v>
      </c>
      <c r="AS64" s="50">
        <f t="shared" si="18"/>
        <v>0</v>
      </c>
      <c r="AT64" s="50">
        <f ca="1">(MAX((MAX(AS64,105%*SUM($AJ$7:AJ64))-AM64*Flag_UL_Type),0)*B64)</f>
        <v>0</v>
      </c>
      <c r="AU64" s="50">
        <f ca="1">(MAX(AS64,AR64,105%*SUM($AJ$7:AJ64))*B64)</f>
        <v>0</v>
      </c>
      <c r="AV64" s="125"/>
      <c r="AW64" s="13"/>
      <c r="AX64" s="13"/>
      <c r="AY64" s="13"/>
      <c r="AZ64" s="13"/>
      <c r="BA64" s="13"/>
      <c r="BG64" s="51">
        <f t="shared" si="21"/>
        <v>0</v>
      </c>
      <c r="BH64" s="51">
        <f t="shared" ca="1" si="22"/>
        <v>362.10572919391001</v>
      </c>
      <c r="BI64" s="51">
        <f t="shared" ca="1" si="46"/>
        <v>0</v>
      </c>
      <c r="BJ64" s="51">
        <f t="shared" ca="1" si="23"/>
        <v>0</v>
      </c>
      <c r="BK64" s="51">
        <f t="shared" si="24"/>
        <v>81</v>
      </c>
      <c r="BL64" s="51">
        <f t="shared" ca="1" si="25"/>
        <v>268.98374241624623</v>
      </c>
      <c r="BM64" s="51">
        <f t="shared" si="26"/>
        <v>0</v>
      </c>
      <c r="BN64" s="51">
        <f t="shared" ca="1" si="27"/>
        <v>0</v>
      </c>
      <c r="BO64" s="51">
        <f t="shared" ca="1" si="28"/>
        <v>0</v>
      </c>
      <c r="BP64" s="51">
        <f t="shared" ca="1" si="29"/>
        <v>712.08947161015624</v>
      </c>
      <c r="BR64" s="32"/>
      <c r="BS64" s="126"/>
      <c r="BT64" s="16"/>
      <c r="BU64" s="58"/>
      <c r="BW64" s="51">
        <f>VLOOKUP(H64,Charges!$AT$4:$AU$33,2,FALSE)*I64</f>
        <v>0</v>
      </c>
      <c r="BX64" s="51">
        <f t="shared" si="30"/>
        <v>0</v>
      </c>
      <c r="BY64" s="51">
        <f t="shared" si="47"/>
        <v>0</v>
      </c>
      <c r="BZ64" s="151"/>
      <c r="CA64" s="151"/>
      <c r="CB64" s="32"/>
      <c r="CC64" s="16">
        <f ca="1">SUM($N$7:$N64)</f>
        <v>0</v>
      </c>
      <c r="CD64" s="16">
        <f t="shared" ca="1" si="31"/>
        <v>0</v>
      </c>
      <c r="CE64" s="16">
        <f t="shared" ca="1" si="32"/>
        <v>0</v>
      </c>
      <c r="CF64" s="7">
        <f t="shared" ca="1" si="48"/>
        <v>0</v>
      </c>
    </row>
    <row r="65" spans="1:84" s="7" customFormat="1" x14ac:dyDescent="0.2">
      <c r="A65" s="149"/>
      <c r="B65" s="14">
        <f t="shared" si="0"/>
        <v>1</v>
      </c>
      <c r="C65" s="12">
        <f t="shared" si="1"/>
        <v>1</v>
      </c>
      <c r="D65" s="17">
        <f t="shared" si="49"/>
        <v>59</v>
      </c>
      <c r="E65" s="17">
        <f t="shared" ca="1" si="2"/>
        <v>64</v>
      </c>
      <c r="F65" s="12">
        <f t="shared" si="53"/>
        <v>10</v>
      </c>
      <c r="G65" s="12">
        <f t="shared" si="52"/>
        <v>10</v>
      </c>
      <c r="H65" s="17">
        <f t="shared" si="54"/>
        <v>5</v>
      </c>
      <c r="I65" s="29">
        <f t="shared" si="3"/>
        <v>0</v>
      </c>
      <c r="J65" s="211">
        <f>IFERROR(VLOOKUP(H65,Charges!$T$6:$U$35,2,0)*C65,0)</f>
        <v>0.97</v>
      </c>
      <c r="K65" s="29">
        <f t="shared" si="4"/>
        <v>0</v>
      </c>
      <c r="L65" s="29">
        <f t="shared" si="5"/>
        <v>0</v>
      </c>
      <c r="M65" s="147">
        <f t="shared" ca="1" si="6"/>
        <v>0</v>
      </c>
      <c r="N65" s="148">
        <f ca="1">IF(AND(Option_SPW="Y",H65&gt;=Lock_In_Period,Z64&gt;SPW_Amount_pa+IF(option="Single",1/5*pr,2*pr),H65&gt;=SPW_Start_Year,H65&lt;=SPW_Start_Year+SPW_Duration-1,age+H65&gt;=Legal_Age),IF(AND(F65=0,SPW_Payout_Freq=1),SPW_Amount_pa,IF(AND(SPW_Payout_Freq=2,MOD(F65,6)=0),SPW_Amount_pa/SPW_Payout_Freq,IF(AND(SPW_Payout_Freq=4,MOD(F65,3)=0),SPW_Amount_pa/SPW_Payout_Freq,IF(SPW_Payout_Freq=12,SPW_Amount_pa/SPW_Payout_Freq,0)))),0)+IFERROR(VLOOKUP(H65,Input!$B$68:$C$74,2,0),0)*(F65=0)*(Option_PW="Y")*(Option_SPW="N")*(age+H65&gt;=Legal_Age)</f>
        <v>0</v>
      </c>
      <c r="O65" s="148">
        <f t="shared" ca="1" si="33"/>
        <v>0</v>
      </c>
      <c r="P65" s="14">
        <f ca="1">(MAX(MAX(sa-CF64*Flag_UL_Type,105%*SUM($I$7:I65))-(AD64+L65-N65)*Flag_UL_Type,0)*B65)</f>
        <v>1674171.0497133224</v>
      </c>
      <c r="Q65" s="213">
        <f t="shared" ca="1" si="7"/>
        <v>2012.1024760979585</v>
      </c>
      <c r="R65" s="14">
        <f t="shared" ca="1" si="8"/>
        <v>0</v>
      </c>
      <c r="S65" s="14">
        <f t="shared" ca="1" si="9"/>
        <v>0</v>
      </c>
      <c r="T65" s="14">
        <f>IFERROR(IF(WoP_Flag="Y",IF(fq=1,VLOOKUP(ppt*fq-H65,Charges!$AN$41:$AO$59,2,FALSE),IF(fq=2,VLOOKUP(ppt*fq-G65,Charges!$AP$41:$AQ$79,2,FALSE),VLOOKUP(ppt*fq-D65,Charges!$AR$41:$AS$279,2,FALSE)))*pr/fq,0),0)</f>
        <v>0</v>
      </c>
      <c r="U65" s="14">
        <f ca="1">IFERROR(((T65*(VLOOKUP(Input!$D$18+H65-1,Tab_Mort_Charge,IF(Gender_2="M",2,3),FALSE)*(1+_emr2)+_rpm2)/IF(Model_Type="LA_PQIS",1000/0.0833,(12*1000))))*Flag_Mort_Rider_Charge*(T65&gt;0),0)</f>
        <v>0</v>
      </c>
      <c r="V65" s="34">
        <f>ROUND(MIN(IF(H65&gt;=7,Charges!$C$12*(1+Charges!$C$14)^((H65-7+1)),VLOOKUP(H65,Charges!$B$7:$C$12,2,0))*pr,Charges!$C$13)*B65,Round)</f>
        <v>450</v>
      </c>
      <c r="W65" s="14">
        <f t="shared" ca="1" si="10"/>
        <v>1322923.6693648819</v>
      </c>
      <c r="X65" s="14">
        <f t="shared" ca="1" si="11"/>
        <v>1327254.5772100943</v>
      </c>
      <c r="Y65" s="213">
        <f t="shared" ca="1" si="34"/>
        <v>1493.9739929642831</v>
      </c>
      <c r="Z65" s="14">
        <f t="shared" ca="1" si="12"/>
        <v>1325491.6878983965</v>
      </c>
      <c r="AA65" s="14">
        <f>IF(AND($H65=pt,$F65=11),SUM($K$7:K65)*VLOOKUP(pt,ROC,2,FALSE),0)</f>
        <v>0</v>
      </c>
      <c r="AB65" s="14">
        <f>IF(AND($H65=pt,$F65=11),SUM($V$7:V65)*VLOOKUP(pt,ROC,2,FALSE),0)</f>
        <v>0</v>
      </c>
      <c r="AC65" s="14">
        <f>IF(AND($H65=pt,$F65=11),SUM($Q$7:Q65)*VLOOKUP(pt,ROC,2,FALSE),0)</f>
        <v>0</v>
      </c>
      <c r="AD65" s="14">
        <f t="shared" ca="1" si="35"/>
        <v>1325491.6878983965</v>
      </c>
      <c r="AE65" s="14">
        <f ca="1">(MAX(sa-CF64*Flag_UL_Type,105%*SUM($I$7:I65),Z65)+AU65)*B65</f>
        <v>3000000</v>
      </c>
      <c r="AF65" s="136"/>
      <c r="AG65" s="18">
        <v>59</v>
      </c>
      <c r="AH65" s="30">
        <f t="shared" ca="1" si="13"/>
        <v>0</v>
      </c>
      <c r="AI65" s="138"/>
      <c r="AJ65" s="50">
        <f>IF(AND(Option_Sys_TopUp&gt;="Y",H65&gt;=sytp,H65&lt;=(dtp+sytp-1),F65=0,H65&lt;=ppt+1),atp,0)+IFERROR(VLOOKUP(H65,Input!$B$55:$C$61,2,0),0)*(F65=0)*(Option_TopUP="Y")*(Option_Sys_TopUp="N")*B65*(pt&gt;=H65+5)</f>
        <v>0</v>
      </c>
      <c r="AK65" s="50">
        <f t="shared" si="14"/>
        <v>0</v>
      </c>
      <c r="AL65" s="50">
        <f t="shared" si="36"/>
        <v>0</v>
      </c>
      <c r="AM65" s="50">
        <f t="shared" ca="1" si="15"/>
        <v>0</v>
      </c>
      <c r="AN65" s="50">
        <f ca="1">IF(B65=0,0,AT65*(_rpm1+(1+_emr1)*VLOOKUP(E65,Tab_Mort_Charge,IF(Input!$C$12="M",2,3),0))*(0.001*0.0833)*Flag_Mort_Rider_Charge*(AT65&gt;0))</f>
        <v>0</v>
      </c>
      <c r="AO65" s="50">
        <f t="shared" ca="1" si="37"/>
        <v>0</v>
      </c>
      <c r="AP65" s="50">
        <f t="shared" ca="1" si="38"/>
        <v>0</v>
      </c>
      <c r="AQ65" s="50">
        <f t="shared" ca="1" si="16"/>
        <v>0</v>
      </c>
      <c r="AR65" s="50">
        <f t="shared" ca="1" si="17"/>
        <v>0</v>
      </c>
      <c r="AS65" s="50">
        <f t="shared" si="18"/>
        <v>0</v>
      </c>
      <c r="AT65" s="50">
        <f ca="1">(MAX((MAX(AS65,105%*SUM($AJ$7:AJ65))-AM65*Flag_UL_Type),0)*B65)</f>
        <v>0</v>
      </c>
      <c r="AU65" s="50">
        <f ca="1">(MAX(AS65,AR65,105%*SUM($AJ$7:AJ65))*B65)</f>
        <v>0</v>
      </c>
      <c r="AV65" s="125"/>
      <c r="AW65" s="13"/>
      <c r="AX65" s="13"/>
      <c r="AY65" s="13"/>
      <c r="AZ65" s="13"/>
      <c r="BA65" s="13"/>
      <c r="BG65" s="51">
        <f t="shared" si="21"/>
        <v>0</v>
      </c>
      <c r="BH65" s="51">
        <f t="shared" ca="1" si="22"/>
        <v>362.17844569763298</v>
      </c>
      <c r="BI65" s="51">
        <f t="shared" ca="1" si="46"/>
        <v>0</v>
      </c>
      <c r="BJ65" s="51">
        <f t="shared" ca="1" si="23"/>
        <v>0</v>
      </c>
      <c r="BK65" s="51">
        <f t="shared" si="24"/>
        <v>81</v>
      </c>
      <c r="BL65" s="51">
        <f t="shared" ca="1" si="25"/>
        <v>268.91531873357093</v>
      </c>
      <c r="BM65" s="51">
        <f t="shared" si="26"/>
        <v>0</v>
      </c>
      <c r="BN65" s="51">
        <f t="shared" ca="1" si="27"/>
        <v>0</v>
      </c>
      <c r="BO65" s="51">
        <f t="shared" ca="1" si="28"/>
        <v>0</v>
      </c>
      <c r="BP65" s="51">
        <f t="shared" ca="1" si="29"/>
        <v>712.09376443120391</v>
      </c>
      <c r="BR65" s="32"/>
      <c r="BS65" s="126"/>
      <c r="BT65" s="16"/>
      <c r="BU65" s="58"/>
      <c r="BW65" s="51">
        <f>VLOOKUP(H65,Charges!$AT$4:$AU$33,2,FALSE)*I65</f>
        <v>0</v>
      </c>
      <c r="BX65" s="51">
        <f t="shared" si="30"/>
        <v>0</v>
      </c>
      <c r="BY65" s="51">
        <f t="shared" si="47"/>
        <v>0</v>
      </c>
      <c r="BZ65" s="151"/>
      <c r="CA65" s="151"/>
      <c r="CB65" s="32"/>
      <c r="CC65" s="16">
        <f ca="1">SUM($N$7:$N65)</f>
        <v>0</v>
      </c>
      <c r="CD65" s="16">
        <f t="shared" ca="1" si="31"/>
        <v>0</v>
      </c>
      <c r="CE65" s="16">
        <f t="shared" ca="1" si="32"/>
        <v>0</v>
      </c>
      <c r="CF65" s="7">
        <f t="shared" ca="1" si="48"/>
        <v>0</v>
      </c>
    </row>
    <row r="66" spans="1:84" s="7" customFormat="1" x14ac:dyDescent="0.2">
      <c r="A66" s="149"/>
      <c r="B66" s="14">
        <f t="shared" si="0"/>
        <v>1</v>
      </c>
      <c r="C66" s="12">
        <f t="shared" si="1"/>
        <v>1</v>
      </c>
      <c r="D66" s="17">
        <f t="shared" si="49"/>
        <v>60</v>
      </c>
      <c r="E66" s="17">
        <f t="shared" ca="1" si="2"/>
        <v>64</v>
      </c>
      <c r="F66" s="12">
        <f t="shared" si="53"/>
        <v>11</v>
      </c>
      <c r="G66" s="12">
        <f t="shared" si="52"/>
        <v>10</v>
      </c>
      <c r="H66" s="17">
        <f t="shared" si="54"/>
        <v>5</v>
      </c>
      <c r="I66" s="29">
        <f t="shared" si="3"/>
        <v>0</v>
      </c>
      <c r="J66" s="211">
        <f>IFERROR(VLOOKUP(H66,Charges!$T$6:$U$35,2,0)*C66,0)</f>
        <v>0.97</v>
      </c>
      <c r="K66" s="29">
        <f t="shared" si="4"/>
        <v>0</v>
      </c>
      <c r="L66" s="29">
        <f t="shared" si="5"/>
        <v>0</v>
      </c>
      <c r="M66" s="147">
        <f t="shared" ca="1" si="6"/>
        <v>0</v>
      </c>
      <c r="N66" s="148">
        <f ca="1">IF(AND(Option_SPW="Y",H66&gt;=Lock_In_Period,Z65&gt;SPW_Amount_pa+IF(option="Single",1/5*pr,2*pr),H66&gt;=SPW_Start_Year,H66&lt;=SPW_Start_Year+SPW_Duration-1,age+H66&gt;=Legal_Age),IF(AND(F66=0,SPW_Payout_Freq=1),SPW_Amount_pa,IF(AND(SPW_Payout_Freq=2,MOD(F66,6)=0),SPW_Amount_pa/SPW_Payout_Freq,IF(AND(SPW_Payout_Freq=4,MOD(F66,3)=0),SPW_Amount_pa/SPW_Payout_Freq,IF(SPW_Payout_Freq=12,SPW_Amount_pa/SPW_Payout_Freq,0)))),0)+IFERROR(VLOOKUP(H66,Input!$B$68:$C$74,2,0),0)*(F66=0)*(Option_PW="Y")*(Option_SPW="N")*(age+H66&gt;=Legal_Age)</f>
        <v>0</v>
      </c>
      <c r="O66" s="148">
        <f t="shared" ca="1" si="33"/>
        <v>0</v>
      </c>
      <c r="P66" s="14">
        <f ca="1">(MAX(MAX(sa-CF65*Flag_UL_Type,105%*SUM($I$7:I66))-(AD65+L66-N66)*Flag_UL_Type,0)*B66)</f>
        <v>1674508.3121016035</v>
      </c>
      <c r="Q66" s="213">
        <f t="shared" ca="1" si="7"/>
        <v>2012.5078148993082</v>
      </c>
      <c r="R66" s="14">
        <f t="shared" ca="1" si="8"/>
        <v>0</v>
      </c>
      <c r="S66" s="14">
        <f t="shared" ca="1" si="9"/>
        <v>0</v>
      </c>
      <c r="T66" s="14">
        <f>IFERROR(IF(WoP_Flag="Y",IF(fq=1,VLOOKUP(ppt*fq-H66,Charges!$AN$41:$AO$59,2,FALSE),IF(fq=2,VLOOKUP(ppt*fq-G66,Charges!$AP$41:$AQ$79,2,FALSE),VLOOKUP(ppt*fq-D66,Charges!$AR$41:$AS$279,2,FALSE)))*pr/fq,0),0)</f>
        <v>0</v>
      </c>
      <c r="U66" s="14">
        <f ca="1">IFERROR(((T66*(VLOOKUP(Input!$D$18+H66-1,Tab_Mort_Charge,IF(Gender_2="M",2,3),FALSE)*(1+_emr2)+_rpm2)/IF(Model_Type="LA_PQIS",1000/0.0833,(12*1000))))*Flag_Mort_Rider_Charge*(T66&gt;0),0)</f>
        <v>0</v>
      </c>
      <c r="V66" s="34">
        <f>ROUND(MIN(IF(H66&gt;=7,Charges!$C$12*(1+Charges!$C$14)^((H66-7+1)),VLOOKUP(H66,Charges!$B$7:$C$12,2,0))*pr,Charges!$C$13)*B66,Round)</f>
        <v>450</v>
      </c>
      <c r="W66" s="14">
        <f t="shared" ca="1" si="10"/>
        <v>1322585.9286768152</v>
      </c>
      <c r="X66" s="14">
        <f t="shared" ca="1" si="11"/>
        <v>1326915.730846901</v>
      </c>
      <c r="Y66" s="213">
        <f t="shared" ca="1" si="34"/>
        <v>1493.592583351603</v>
      </c>
      <c r="Z66" s="14">
        <f t="shared" ca="1" si="12"/>
        <v>1325153.2915985461</v>
      </c>
      <c r="AA66" s="14">
        <f>IF(AND($H66=pt,$F66=11),SUM($K$7:K66)*VLOOKUP(pt,ROC,2,FALSE),0)</f>
        <v>0</v>
      </c>
      <c r="AB66" s="14">
        <f>IF(AND($H66=pt,$F66=11),SUM($V$7:V66)*VLOOKUP(pt,ROC,2,FALSE),0)</f>
        <v>0</v>
      </c>
      <c r="AC66" s="14">
        <f>IF(AND($H66=pt,$F66=11),SUM($Q$7:Q66)*VLOOKUP(pt,ROC,2,FALSE),0)</f>
        <v>0</v>
      </c>
      <c r="AD66" s="14">
        <f t="shared" ca="1" si="35"/>
        <v>1325153.2915985461</v>
      </c>
      <c r="AE66" s="14">
        <f ca="1">(MAX(sa-CF65*Flag_UL_Type,105%*SUM($I$7:I66),Z66)+AU66)*B66</f>
        <v>3000000</v>
      </c>
      <c r="AF66" s="136"/>
      <c r="AG66" s="18">
        <v>60</v>
      </c>
      <c r="AH66" s="30">
        <f t="shared" ca="1" si="13"/>
        <v>0</v>
      </c>
      <c r="AI66" s="138"/>
      <c r="AJ66" s="50">
        <f>IF(AND(Option_Sys_TopUp&gt;="Y",H66&gt;=sytp,H66&lt;=(dtp+sytp-1),F66=0,H66&lt;=ppt+1),atp,0)+IFERROR(VLOOKUP(H66,Input!$B$55:$C$61,2,0),0)*(F66=0)*(Option_TopUP="Y")*(Option_Sys_TopUp="N")*B66*(pt&gt;=H66+5)</f>
        <v>0</v>
      </c>
      <c r="AK66" s="50">
        <f t="shared" si="14"/>
        <v>0</v>
      </c>
      <c r="AL66" s="50">
        <f t="shared" si="36"/>
        <v>0</v>
      </c>
      <c r="AM66" s="50">
        <f t="shared" ca="1" si="15"/>
        <v>0</v>
      </c>
      <c r="AN66" s="50">
        <f ca="1">IF(B66=0,0,AT66*(_rpm1+(1+_emr1)*VLOOKUP(E66,Tab_Mort_Charge,IF(Input!$C$12="M",2,3),0))*(0.001*0.0833)*Flag_Mort_Rider_Charge*(AT66&gt;0))</f>
        <v>0</v>
      </c>
      <c r="AO66" s="50">
        <f t="shared" ca="1" si="37"/>
        <v>0</v>
      </c>
      <c r="AP66" s="50">
        <f t="shared" ca="1" si="38"/>
        <v>0</v>
      </c>
      <c r="AQ66" s="50">
        <f t="shared" ca="1" si="16"/>
        <v>0</v>
      </c>
      <c r="AR66" s="50">
        <f t="shared" ca="1" si="17"/>
        <v>0</v>
      </c>
      <c r="AS66" s="50">
        <f t="shared" si="18"/>
        <v>0</v>
      </c>
      <c r="AT66" s="50">
        <f ca="1">(MAX((MAX(AS66,105%*SUM($AJ$7:AJ66))-AM66*Flag_UL_Type),0)*B66)</f>
        <v>0</v>
      </c>
      <c r="AU66" s="50">
        <f ca="1">(MAX(AS66,AR66,105%*SUM($AJ$7:AJ66))*B66)</f>
        <v>0</v>
      </c>
      <c r="AV66" s="125"/>
      <c r="AW66" s="13"/>
      <c r="AX66" s="13"/>
      <c r="AY66" s="13"/>
      <c r="AZ66" s="13"/>
      <c r="BA66" s="13"/>
      <c r="BG66" s="51">
        <f t="shared" si="21"/>
        <v>0</v>
      </c>
      <c r="BH66" s="51">
        <f t="shared" ca="1" si="22"/>
        <v>362.25140668187498</v>
      </c>
      <c r="BI66" s="51">
        <f t="shared" ca="1" si="46"/>
        <v>0</v>
      </c>
      <c r="BJ66" s="51">
        <f t="shared" ca="1" si="23"/>
        <v>0</v>
      </c>
      <c r="BK66" s="51">
        <f t="shared" si="24"/>
        <v>81</v>
      </c>
      <c r="BL66" s="51">
        <f t="shared" ca="1" si="25"/>
        <v>268.84666500328854</v>
      </c>
      <c r="BM66" s="51">
        <f t="shared" si="26"/>
        <v>0</v>
      </c>
      <c r="BN66" s="51">
        <f t="shared" ca="1" si="27"/>
        <v>0</v>
      </c>
      <c r="BO66" s="51">
        <f t="shared" ca="1" si="28"/>
        <v>0</v>
      </c>
      <c r="BP66" s="51">
        <f t="shared" ca="1" si="29"/>
        <v>712.09807168516352</v>
      </c>
      <c r="BR66" s="32"/>
      <c r="BS66" s="126"/>
      <c r="BT66" s="16"/>
      <c r="BU66" s="58"/>
      <c r="BW66" s="51">
        <f>VLOOKUP(H66,Charges!$AT$4:$AU$33,2,FALSE)*I66</f>
        <v>0</v>
      </c>
      <c r="BX66" s="51">
        <f t="shared" si="30"/>
        <v>0</v>
      </c>
      <c r="BY66" s="51">
        <f t="shared" si="47"/>
        <v>0</v>
      </c>
      <c r="BZ66" s="151"/>
      <c r="CA66" s="151"/>
      <c r="CB66" s="32"/>
      <c r="CC66" s="16">
        <f ca="1">SUM($N$7:$N66)</f>
        <v>0</v>
      </c>
      <c r="CD66" s="16">
        <f t="shared" ca="1" si="31"/>
        <v>0</v>
      </c>
      <c r="CE66" s="16">
        <f t="shared" ca="1" si="32"/>
        <v>0</v>
      </c>
      <c r="CF66" s="7">
        <f t="shared" ca="1" si="48"/>
        <v>0</v>
      </c>
    </row>
    <row r="67" spans="1:84" s="7" customFormat="1" x14ac:dyDescent="0.2">
      <c r="A67" s="149"/>
      <c r="B67" s="14">
        <f t="shared" si="0"/>
        <v>1</v>
      </c>
      <c r="C67" s="12">
        <f t="shared" si="1"/>
        <v>1</v>
      </c>
      <c r="D67" s="17">
        <f t="shared" si="49"/>
        <v>61</v>
      </c>
      <c r="E67" s="17">
        <f t="shared" ca="1" si="2"/>
        <v>65</v>
      </c>
      <c r="F67" s="12">
        <f t="shared" si="53"/>
        <v>0</v>
      </c>
      <c r="G67" s="12">
        <f t="shared" si="52"/>
        <v>11</v>
      </c>
      <c r="H67" s="17">
        <f t="shared" si="54"/>
        <v>6</v>
      </c>
      <c r="I67" s="29">
        <f t="shared" si="3"/>
        <v>300000</v>
      </c>
      <c r="J67" s="211">
        <f>IFERROR(VLOOKUP(H67,Charges!$T$6:$U$35,2,0)*C67,0)</f>
        <v>0.98</v>
      </c>
      <c r="K67" s="29">
        <f t="shared" si="4"/>
        <v>6000.00000000001</v>
      </c>
      <c r="L67" s="29">
        <f t="shared" si="5"/>
        <v>292920</v>
      </c>
      <c r="M67" s="147">
        <f t="shared" ca="1" si="6"/>
        <v>0</v>
      </c>
      <c r="N67" s="148">
        <f ca="1">IF(AND(Option_SPW="Y",H67&gt;=Lock_In_Period,Z66&gt;SPW_Amount_pa+IF(option="Single",1/5*pr,2*pr),H67&gt;=SPW_Start_Year,H67&lt;=SPW_Start_Year+SPW_Duration-1,age+H67&gt;=Legal_Age),IF(AND(F67=0,SPW_Payout_Freq=1),SPW_Amount_pa,IF(AND(SPW_Payout_Freq=2,MOD(F67,6)=0),SPW_Amount_pa/SPW_Payout_Freq,IF(AND(SPW_Payout_Freq=4,MOD(F67,3)=0),SPW_Amount_pa/SPW_Payout_Freq,IF(SPW_Payout_Freq=12,SPW_Amount_pa/SPW_Payout_Freq,0)))),0)+IFERROR(VLOOKUP(H67,Input!$B$68:$C$74,2,0),0)*(F67=0)*(Option_PW="Y")*(Option_SPW="N")*(age+H67&gt;=Legal_Age)</f>
        <v>0</v>
      </c>
      <c r="O67" s="148">
        <f t="shared" ca="1" si="33"/>
        <v>0</v>
      </c>
      <c r="P67" s="14">
        <f ca="1">(MAX(MAX(sa-CF66*Flag_UL_Type,105%*SUM($I$7:I67))-(AD66+L67-N67)*Flag_UL_Type,0)*B67)</f>
        <v>1381926.7084014539</v>
      </c>
      <c r="Q67" s="213">
        <f t="shared" ca="1" si="7"/>
        <v>1788.869575857975</v>
      </c>
      <c r="R67" s="14">
        <f t="shared" ca="1" si="8"/>
        <v>0</v>
      </c>
      <c r="S67" s="14">
        <f t="shared" ca="1" si="9"/>
        <v>0</v>
      </c>
      <c r="T67" s="14">
        <f>IFERROR(IF(WoP_Flag="Y",IF(fq=1,VLOOKUP(ppt*fq-H67,Charges!$AN$41:$AO$59,2,FALSE),IF(fq=2,VLOOKUP(ppt*fq-G67,Charges!$AP$41:$AQ$79,2,FALSE),VLOOKUP(ppt*fq-D67,Charges!$AR$41:$AS$279,2,FALSE)))*pr/fq,0),0)</f>
        <v>0</v>
      </c>
      <c r="U67" s="14">
        <f ca="1">IFERROR(((T67*(VLOOKUP(Input!$D$18+H67-1,Tab_Mort_Charge,IF(Gender_2="M",2,3),FALSE)*(1+_emr2)+_rpm2)/IF(Model_Type="LA_PQIS",1000/0.0833,(12*1000))))*Flag_Mort_Rider_Charge*(T67&gt;0),0)</f>
        <v>0</v>
      </c>
      <c r="V67" s="34">
        <f>ROUND(MIN(IF(H67&gt;=7,Charges!$C$12*(1+Charges!$C$14)^((H67-7+1)),VLOOKUP(H67,Charges!$B$7:$C$12,2,0))*pr,Charges!$C$13)*B67,Round)</f>
        <v>500</v>
      </c>
      <c r="W67" s="14">
        <f t="shared" ca="1" si="10"/>
        <v>1615372.4254990336</v>
      </c>
      <c r="X67" s="14">
        <f t="shared" ca="1" si="11"/>
        <v>1620660.7344714571</v>
      </c>
      <c r="Y67" s="213">
        <f t="shared" ca="1" si="34"/>
        <v>1824.2355538213289</v>
      </c>
      <c r="Z67" s="14">
        <f t="shared" ca="1" si="12"/>
        <v>1618508.136517948</v>
      </c>
      <c r="AA67" s="14">
        <f>IF(AND($H67=pt,$F67=11),SUM($K$7:K67)*VLOOKUP(pt,ROC,2,FALSE),0)</f>
        <v>0</v>
      </c>
      <c r="AB67" s="14">
        <f>IF(AND($H67=pt,$F67=11),SUM($V$7:V67)*VLOOKUP(pt,ROC,2,FALSE),0)</f>
        <v>0</v>
      </c>
      <c r="AC67" s="14">
        <f>IF(AND($H67=pt,$F67=11),SUM($Q$7:Q67)*VLOOKUP(pt,ROC,2,FALSE),0)</f>
        <v>0</v>
      </c>
      <c r="AD67" s="14">
        <f t="shared" ca="1" si="35"/>
        <v>1618508.136517948</v>
      </c>
      <c r="AE67" s="14">
        <f ca="1">(MAX(sa-CF66*Flag_UL_Type,105%*SUM($I$7:I67),Z67)+AU67)*B67</f>
        <v>3000000</v>
      </c>
      <c r="AF67" s="136"/>
      <c r="AG67" s="18">
        <v>61</v>
      </c>
      <c r="AH67" s="30">
        <f t="shared" ca="1" si="13"/>
        <v>300000</v>
      </c>
      <c r="AI67" s="138"/>
      <c r="AJ67" s="50">
        <f>IF(AND(Option_Sys_TopUp&gt;="Y",H67&gt;=sytp,H67&lt;=(dtp+sytp-1),F67=0,H67&lt;=ppt+1),atp,0)+IFERROR(VLOOKUP(H67,Input!$B$55:$C$61,2,0),0)*(F67=0)*(Option_TopUP="Y")*(Option_Sys_TopUp="N")*B67*(pt&gt;=H67+5)</f>
        <v>0</v>
      </c>
      <c r="AK67" s="50">
        <f t="shared" si="14"/>
        <v>0</v>
      </c>
      <c r="AL67" s="50">
        <f t="shared" si="36"/>
        <v>0</v>
      </c>
      <c r="AM67" s="50">
        <f t="shared" ca="1" si="15"/>
        <v>0</v>
      </c>
      <c r="AN67" s="50">
        <f ca="1">IF(B67=0,0,AT67*(_rpm1+(1+_emr1)*VLOOKUP(E67,Tab_Mort_Charge,IF(Input!$C$12="M",2,3),0))*(0.001*0.0833)*Flag_Mort_Rider_Charge*(AT67&gt;0))</f>
        <v>0</v>
      </c>
      <c r="AO67" s="50">
        <f t="shared" ca="1" si="37"/>
        <v>0</v>
      </c>
      <c r="AP67" s="50">
        <f t="shared" ca="1" si="38"/>
        <v>0</v>
      </c>
      <c r="AQ67" s="50">
        <f t="shared" ca="1" si="16"/>
        <v>0</v>
      </c>
      <c r="AR67" s="50">
        <f t="shared" ca="1" si="17"/>
        <v>0</v>
      </c>
      <c r="AS67" s="50">
        <f t="shared" si="18"/>
        <v>0</v>
      </c>
      <c r="AT67" s="50">
        <f ca="1">(MAX((MAX(AS67,105%*SUM($AJ$7:AJ67))-AM67*Flag_UL_Type),0)*B67)</f>
        <v>0</v>
      </c>
      <c r="AU67" s="50">
        <f ca="1">(MAX(AS67,AR67,105%*SUM($AJ$7:AJ67))*B67)</f>
        <v>0</v>
      </c>
      <c r="AV67" s="125"/>
      <c r="AW67" s="13"/>
      <c r="AX67" s="13"/>
      <c r="AY67" s="13"/>
      <c r="AZ67" s="13"/>
      <c r="BA67" s="13"/>
      <c r="BG67" s="51">
        <f t="shared" si="21"/>
        <v>1080</v>
      </c>
      <c r="BH67" s="51">
        <f t="shared" ca="1" si="22"/>
        <v>321.99652365443501</v>
      </c>
      <c r="BI67" s="51">
        <f t="shared" ca="1" si="46"/>
        <v>0</v>
      </c>
      <c r="BJ67" s="51">
        <f t="shared" ca="1" si="23"/>
        <v>0</v>
      </c>
      <c r="BK67" s="51">
        <f t="shared" si="24"/>
        <v>90</v>
      </c>
      <c r="BL67" s="51">
        <f t="shared" ca="1" si="25"/>
        <v>328.36239968783917</v>
      </c>
      <c r="BM67" s="51">
        <f t="shared" si="26"/>
        <v>0</v>
      </c>
      <c r="BN67" s="51">
        <f t="shared" ca="1" si="27"/>
        <v>0</v>
      </c>
      <c r="BO67" s="51">
        <f t="shared" ca="1" si="28"/>
        <v>0</v>
      </c>
      <c r="BP67" s="51">
        <f t="shared" ca="1" si="29"/>
        <v>1820.358923342274</v>
      </c>
      <c r="BR67" s="32"/>
      <c r="BS67" s="126"/>
      <c r="BT67" s="16"/>
      <c r="BU67" s="58"/>
      <c r="BW67" s="51">
        <f>VLOOKUP(H67,Charges!$AT$4:$AU$33,2,FALSE)*I67</f>
        <v>3000</v>
      </c>
      <c r="BX67" s="51">
        <f t="shared" si="30"/>
        <v>0</v>
      </c>
      <c r="BY67" s="51">
        <f t="shared" si="47"/>
        <v>3000</v>
      </c>
      <c r="BZ67" s="151"/>
      <c r="CA67" s="151"/>
      <c r="CB67" s="32"/>
      <c r="CC67" s="16">
        <f ca="1">SUM($N$7:$N67)</f>
        <v>0</v>
      </c>
      <c r="CD67" s="16">
        <f t="shared" ca="1" si="31"/>
        <v>0</v>
      </c>
      <c r="CE67" s="16">
        <f t="shared" ca="1" si="32"/>
        <v>0</v>
      </c>
      <c r="CF67" s="7">
        <f t="shared" ca="1" si="48"/>
        <v>0</v>
      </c>
    </row>
    <row r="68" spans="1:84" s="7" customFormat="1" x14ac:dyDescent="0.2">
      <c r="A68" s="149"/>
      <c r="B68" s="14">
        <f t="shared" si="0"/>
        <v>1</v>
      </c>
      <c r="C68" s="12">
        <f t="shared" si="1"/>
        <v>1</v>
      </c>
      <c r="D68" s="17">
        <f t="shared" si="49"/>
        <v>62</v>
      </c>
      <c r="E68" s="17">
        <f t="shared" ca="1" si="2"/>
        <v>65</v>
      </c>
      <c r="F68" s="12">
        <f t="shared" si="53"/>
        <v>1</v>
      </c>
      <c r="G68" s="12">
        <f t="shared" si="52"/>
        <v>11</v>
      </c>
      <c r="H68" s="17">
        <f t="shared" si="54"/>
        <v>6</v>
      </c>
      <c r="I68" s="29">
        <f t="shared" si="3"/>
        <v>0</v>
      </c>
      <c r="J68" s="211">
        <f>IFERROR(VLOOKUP(H68,Charges!$T$6:$U$35,2,0)*C68,0)</f>
        <v>0.98</v>
      </c>
      <c r="K68" s="29">
        <f t="shared" si="4"/>
        <v>0</v>
      </c>
      <c r="L68" s="29">
        <f t="shared" si="5"/>
        <v>0</v>
      </c>
      <c r="M68" s="147">
        <f t="shared" ca="1" si="6"/>
        <v>0</v>
      </c>
      <c r="N68" s="148">
        <f ca="1">IF(AND(Option_SPW="Y",H68&gt;=Lock_In_Period,Z67&gt;SPW_Amount_pa+IF(option="Single",1/5*pr,2*pr),H68&gt;=SPW_Start_Year,H68&lt;=SPW_Start_Year+SPW_Duration-1,age+H68&gt;=Legal_Age),IF(AND(F68=0,SPW_Payout_Freq=1),SPW_Amount_pa,IF(AND(SPW_Payout_Freq=2,MOD(F68,6)=0),SPW_Amount_pa/SPW_Payout_Freq,IF(AND(SPW_Payout_Freq=4,MOD(F68,3)=0),SPW_Amount_pa/SPW_Payout_Freq,IF(SPW_Payout_Freq=12,SPW_Amount_pa/SPW_Payout_Freq,0)))),0)+IFERROR(VLOOKUP(H68,Input!$B$68:$C$74,2,0),0)*(F68=0)*(Option_PW="Y")*(Option_SPW="N")*(age+H68&gt;=Legal_Age)</f>
        <v>0</v>
      </c>
      <c r="O68" s="148">
        <f t="shared" ca="1" si="33"/>
        <v>0</v>
      </c>
      <c r="P68" s="14">
        <f ca="1">(MAX(MAX(sa-CF67*Flag_UL_Type,105%*SUM($I$7:I68))-(AD67+L68-N68)*Flag_UL_Type,0)*B68)</f>
        <v>1381491.863482052</v>
      </c>
      <c r="Q68" s="213">
        <f t="shared" ca="1" si="7"/>
        <v>1788.3066799809333</v>
      </c>
      <c r="R68" s="14">
        <f t="shared" ca="1" si="8"/>
        <v>0</v>
      </c>
      <c r="S68" s="14">
        <f t="shared" ca="1" si="9"/>
        <v>0</v>
      </c>
      <c r="T68" s="14">
        <f>IFERROR(IF(WoP_Flag="Y",IF(fq=1,VLOOKUP(ppt*fq-H68,Charges!$AN$41:$AO$59,2,FALSE),IF(fq=2,VLOOKUP(ppt*fq-G68,Charges!$AP$41:$AQ$79,2,FALSE),VLOOKUP(ppt*fq-D68,Charges!$AR$41:$AS$279,2,FALSE)))*pr/fq,0),0)</f>
        <v>0</v>
      </c>
      <c r="U68" s="14">
        <f ca="1">IFERROR(((T68*(VLOOKUP(Input!$D$18+H68-1,Tab_Mort_Charge,IF(Gender_2="M",2,3),FALSE)*(1+_emr2)+_rpm2)/IF(Model_Type="LA_PQIS",1000/0.0833,(12*1000))))*Flag_Mort_Rider_Charge*(T68&gt;0),0)</f>
        <v>0</v>
      </c>
      <c r="V68" s="34">
        <f>ROUND(MIN(IF(H68&gt;=7,Charges!$C$12*(1+Charges!$C$14)^((H68-7+1)),VLOOKUP(H68,Charges!$B$7:$C$12,2,0))*pr,Charges!$C$13)*B68,Round)</f>
        <v>500</v>
      </c>
      <c r="W68" s="14">
        <f t="shared" ca="1" si="10"/>
        <v>1615807.9346355705</v>
      </c>
      <c r="X68" s="14">
        <f t="shared" ca="1" si="11"/>
        <v>1621097.6693515796</v>
      </c>
      <c r="Y68" s="213">
        <f t="shared" ca="1" si="34"/>
        <v>1824.7273730689176</v>
      </c>
      <c r="Z68" s="14">
        <f t="shared" ca="1" si="12"/>
        <v>1618944.4910513584</v>
      </c>
      <c r="AA68" s="14">
        <f>IF(AND($H68=pt,$F68=11),SUM($K$7:K68)*VLOOKUP(pt,ROC,2,FALSE),0)</f>
        <v>0</v>
      </c>
      <c r="AB68" s="14">
        <f>IF(AND($H68=pt,$F68=11),SUM($V$7:V68)*VLOOKUP(pt,ROC,2,FALSE),0)</f>
        <v>0</v>
      </c>
      <c r="AC68" s="14">
        <f>IF(AND($H68=pt,$F68=11),SUM($Q$7:Q68)*VLOOKUP(pt,ROC,2,FALSE),0)</f>
        <v>0</v>
      </c>
      <c r="AD68" s="14">
        <f t="shared" ca="1" si="35"/>
        <v>1618944.4910513584</v>
      </c>
      <c r="AE68" s="14">
        <f ca="1">(MAX(sa-CF67*Flag_UL_Type,105%*SUM($I$7:I68),Z68)+AU68)*B68</f>
        <v>3000000</v>
      </c>
      <c r="AF68" s="136"/>
      <c r="AG68" s="18">
        <v>62</v>
      </c>
      <c r="AH68" s="30">
        <f t="shared" ca="1" si="13"/>
        <v>0</v>
      </c>
      <c r="AI68" s="138"/>
      <c r="AJ68" s="50">
        <f>IF(AND(Option_Sys_TopUp&gt;="Y",H68&gt;=sytp,H68&lt;=(dtp+sytp-1),F68=0,H68&lt;=ppt+1),atp,0)+IFERROR(VLOOKUP(H68,Input!$B$55:$C$61,2,0),0)*(F68=0)*(Option_TopUP="Y")*(Option_Sys_TopUp="N")*B68*(pt&gt;=H68+5)</f>
        <v>0</v>
      </c>
      <c r="AK68" s="50">
        <f t="shared" si="14"/>
        <v>0</v>
      </c>
      <c r="AL68" s="50">
        <f t="shared" si="36"/>
        <v>0</v>
      </c>
      <c r="AM68" s="50">
        <f t="shared" ca="1" si="15"/>
        <v>0</v>
      </c>
      <c r="AN68" s="50">
        <f ca="1">IF(B68=0,0,AT68*(_rpm1+(1+_emr1)*VLOOKUP(E68,Tab_Mort_Charge,IF(Input!$C$12="M",2,3),0))*(0.001*0.0833)*Flag_Mort_Rider_Charge*(AT68&gt;0))</f>
        <v>0</v>
      </c>
      <c r="AO68" s="50">
        <f t="shared" ca="1" si="37"/>
        <v>0</v>
      </c>
      <c r="AP68" s="50">
        <f t="shared" ca="1" si="38"/>
        <v>0</v>
      </c>
      <c r="AQ68" s="50">
        <f t="shared" ca="1" si="16"/>
        <v>0</v>
      </c>
      <c r="AR68" s="50">
        <f t="shared" ca="1" si="17"/>
        <v>0</v>
      </c>
      <c r="AS68" s="50">
        <f t="shared" si="18"/>
        <v>0</v>
      </c>
      <c r="AT68" s="50">
        <f ca="1">(MAX((MAX(AS68,105%*SUM($AJ$7:AJ68))-AM68*Flag_UL_Type),0)*B68)</f>
        <v>0</v>
      </c>
      <c r="AU68" s="50">
        <f ca="1">(MAX(AS68,AR68,105%*SUM($AJ$7:AJ68))*B68)</f>
        <v>0</v>
      </c>
      <c r="AV68" s="125"/>
      <c r="AW68" s="13"/>
      <c r="AX68" s="13"/>
      <c r="AY68" s="13"/>
      <c r="AZ68" s="13"/>
      <c r="BA68" s="13"/>
      <c r="BG68" s="51">
        <f t="shared" si="21"/>
        <v>0</v>
      </c>
      <c r="BH68" s="51">
        <f t="shared" ca="1" si="22"/>
        <v>321.89520239656798</v>
      </c>
      <c r="BI68" s="51">
        <f t="shared" ca="1" si="46"/>
        <v>0</v>
      </c>
      <c r="BJ68" s="51">
        <f t="shared" ca="1" si="23"/>
        <v>0</v>
      </c>
      <c r="BK68" s="51">
        <f t="shared" si="24"/>
        <v>90</v>
      </c>
      <c r="BL68" s="51">
        <f t="shared" ca="1" si="25"/>
        <v>328.45092715240514</v>
      </c>
      <c r="BM68" s="51">
        <f t="shared" si="26"/>
        <v>0</v>
      </c>
      <c r="BN68" s="51">
        <f t="shared" ca="1" si="27"/>
        <v>0</v>
      </c>
      <c r="BO68" s="51">
        <f t="shared" ca="1" si="28"/>
        <v>0</v>
      </c>
      <c r="BP68" s="51">
        <f t="shared" ca="1" si="29"/>
        <v>740.34612954897307</v>
      </c>
      <c r="BR68" s="32"/>
      <c r="BS68" s="126"/>
      <c r="BT68" s="16"/>
      <c r="BU68" s="58"/>
      <c r="BW68" s="51">
        <f>VLOOKUP(H68,Charges!$AT$4:$AU$33,2,FALSE)*I68</f>
        <v>0</v>
      </c>
      <c r="BX68" s="51">
        <f t="shared" si="30"/>
        <v>0</v>
      </c>
      <c r="BY68" s="51">
        <f t="shared" si="47"/>
        <v>0</v>
      </c>
      <c r="BZ68" s="151"/>
      <c r="CA68" s="151"/>
      <c r="CB68" s="32"/>
      <c r="CC68" s="16">
        <f ca="1">SUM($N$7:$N68)</f>
        <v>0</v>
      </c>
      <c r="CD68" s="16">
        <f t="shared" ca="1" si="31"/>
        <v>0</v>
      </c>
      <c r="CE68" s="16">
        <f t="shared" ca="1" si="32"/>
        <v>0</v>
      </c>
      <c r="CF68" s="7">
        <f t="shared" ca="1" si="48"/>
        <v>0</v>
      </c>
    </row>
    <row r="69" spans="1:84" s="7" customFormat="1" x14ac:dyDescent="0.2">
      <c r="A69" s="149"/>
      <c r="B69" s="14">
        <f t="shared" si="0"/>
        <v>1</v>
      </c>
      <c r="C69" s="12">
        <f t="shared" si="1"/>
        <v>1</v>
      </c>
      <c r="D69" s="17">
        <f t="shared" si="49"/>
        <v>63</v>
      </c>
      <c r="E69" s="17">
        <f t="shared" ca="1" si="2"/>
        <v>65</v>
      </c>
      <c r="F69" s="12">
        <f t="shared" si="53"/>
        <v>2</v>
      </c>
      <c r="G69" s="12">
        <f t="shared" si="52"/>
        <v>11</v>
      </c>
      <c r="H69" s="17">
        <f t="shared" si="54"/>
        <v>6</v>
      </c>
      <c r="I69" s="29">
        <f t="shared" si="3"/>
        <v>0</v>
      </c>
      <c r="J69" s="211">
        <f>IFERROR(VLOOKUP(H69,Charges!$T$6:$U$35,2,0)*C69,0)</f>
        <v>0.98</v>
      </c>
      <c r="K69" s="29">
        <f t="shared" si="4"/>
        <v>0</v>
      </c>
      <c r="L69" s="29">
        <f t="shared" si="5"/>
        <v>0</v>
      </c>
      <c r="M69" s="147">
        <f t="shared" ca="1" si="6"/>
        <v>0</v>
      </c>
      <c r="N69" s="148">
        <f ca="1">IF(AND(Option_SPW="Y",H69&gt;=Lock_In_Period,Z68&gt;SPW_Amount_pa+IF(option="Single",1/5*pr,2*pr),H69&gt;=SPW_Start_Year,H69&lt;=SPW_Start_Year+SPW_Duration-1,age+H69&gt;=Legal_Age),IF(AND(F69=0,SPW_Payout_Freq=1),SPW_Amount_pa,IF(AND(SPW_Payout_Freq=2,MOD(F69,6)=0),SPW_Amount_pa/SPW_Payout_Freq,IF(AND(SPW_Payout_Freq=4,MOD(F69,3)=0),SPW_Amount_pa/SPW_Payout_Freq,IF(SPW_Payout_Freq=12,SPW_Amount_pa/SPW_Payout_Freq,0)))),0)+IFERROR(VLOOKUP(H69,Input!$B$68:$C$74,2,0),0)*(F69=0)*(Option_PW="Y")*(Option_SPW="N")*(age+H69&gt;=Legal_Age)</f>
        <v>0</v>
      </c>
      <c r="O69" s="148">
        <f t="shared" ca="1" si="33"/>
        <v>0</v>
      </c>
      <c r="P69" s="14">
        <f ca="1">(MAX(MAX(sa-CF68*Flag_UL_Type,105%*SUM($I$7:I69))-(AD68+L69-N69)*Flag_UL_Type,0)*B69)</f>
        <v>1381055.5089486416</v>
      </c>
      <c r="Q69" s="213">
        <f t="shared" ca="1" si="7"/>
        <v>1787.7418299462915</v>
      </c>
      <c r="R69" s="14">
        <f t="shared" ca="1" si="8"/>
        <v>0</v>
      </c>
      <c r="S69" s="14">
        <f t="shared" ca="1" si="9"/>
        <v>0</v>
      </c>
      <c r="T69" s="14">
        <f>IFERROR(IF(WoP_Flag="Y",IF(fq=1,VLOOKUP(ppt*fq-H69,Charges!$AN$41:$AO$59,2,FALSE),IF(fq=2,VLOOKUP(ppt*fq-G69,Charges!$AP$41:$AQ$79,2,FALSE),VLOOKUP(ppt*fq-D69,Charges!$AR$41:$AS$279,2,FALSE)))*pr/fq,0),0)</f>
        <v>0</v>
      </c>
      <c r="U69" s="14">
        <f ca="1">IFERROR(((T69*(VLOOKUP(Input!$D$18+H69-1,Tab_Mort_Charge,IF(Gender_2="M",2,3),FALSE)*(1+_emr2)+_rpm2)/IF(Model_Type="LA_PQIS",1000/0.0833,(12*1000))))*Flag_Mort_Rider_Charge*(T69&gt;0),0)</f>
        <v>0</v>
      </c>
      <c r="V69" s="34">
        <f>ROUND(MIN(IF(H69&gt;=7,Charges!$C$12*(1+Charges!$C$14)^((H69-7+1)),VLOOKUP(H69,Charges!$B$7:$C$12,2,0))*pr,Charges!$C$13)*B69,Round)</f>
        <v>500</v>
      </c>
      <c r="W69" s="14">
        <f t="shared" ca="1" si="10"/>
        <v>1616244.9556920219</v>
      </c>
      <c r="X69" s="14">
        <f t="shared" ca="1" si="11"/>
        <v>1621536.1211012492</v>
      </c>
      <c r="Y69" s="213">
        <f t="shared" ca="1" si="34"/>
        <v>1825.2208997234295</v>
      </c>
      <c r="Z69" s="14">
        <f t="shared" ca="1" si="12"/>
        <v>1619382.3604395755</v>
      </c>
      <c r="AA69" s="14">
        <f>IF(AND($H69=pt,$F69=11),SUM($K$7:K69)*VLOOKUP(pt,ROC,2,FALSE),0)</f>
        <v>0</v>
      </c>
      <c r="AB69" s="14">
        <f>IF(AND($H69=pt,$F69=11),SUM($V$7:V69)*VLOOKUP(pt,ROC,2,FALSE),0)</f>
        <v>0</v>
      </c>
      <c r="AC69" s="14">
        <f>IF(AND($H69=pt,$F69=11),SUM($Q$7:Q69)*VLOOKUP(pt,ROC,2,FALSE),0)</f>
        <v>0</v>
      </c>
      <c r="AD69" s="14">
        <f t="shared" ca="1" si="35"/>
        <v>1619382.3604395755</v>
      </c>
      <c r="AE69" s="14">
        <f ca="1">(MAX(sa-CF68*Flag_UL_Type,105%*SUM($I$7:I69),Z69)+AU69)*B69</f>
        <v>3000000</v>
      </c>
      <c r="AF69" s="136"/>
      <c r="AG69" s="18">
        <v>63</v>
      </c>
      <c r="AH69" s="30">
        <f t="shared" ca="1" si="13"/>
        <v>0</v>
      </c>
      <c r="AI69" s="138"/>
      <c r="AJ69" s="50">
        <f>IF(AND(Option_Sys_TopUp&gt;="Y",H69&gt;=sytp,H69&lt;=(dtp+sytp-1),F69=0,H69&lt;=ppt+1),atp,0)+IFERROR(VLOOKUP(H69,Input!$B$55:$C$61,2,0),0)*(F69=0)*(Option_TopUP="Y")*(Option_Sys_TopUp="N")*B69*(pt&gt;=H69+5)</f>
        <v>0</v>
      </c>
      <c r="AK69" s="50">
        <f t="shared" si="14"/>
        <v>0</v>
      </c>
      <c r="AL69" s="50">
        <f t="shared" si="36"/>
        <v>0</v>
      </c>
      <c r="AM69" s="50">
        <f t="shared" ca="1" si="15"/>
        <v>0</v>
      </c>
      <c r="AN69" s="50">
        <f ca="1">IF(B69=0,0,AT69*(_rpm1+(1+_emr1)*VLOOKUP(E69,Tab_Mort_Charge,IF(Input!$C$12="M",2,3),0))*(0.001*0.0833)*Flag_Mort_Rider_Charge*(AT69&gt;0))</f>
        <v>0</v>
      </c>
      <c r="AO69" s="50">
        <f t="shared" ca="1" si="37"/>
        <v>0</v>
      </c>
      <c r="AP69" s="50">
        <f t="shared" ca="1" si="38"/>
        <v>0</v>
      </c>
      <c r="AQ69" s="50">
        <f t="shared" ca="1" si="16"/>
        <v>0</v>
      </c>
      <c r="AR69" s="50">
        <f t="shared" ca="1" si="17"/>
        <v>0</v>
      </c>
      <c r="AS69" s="50">
        <f t="shared" si="18"/>
        <v>0</v>
      </c>
      <c r="AT69" s="50">
        <f ca="1">(MAX((MAX(AS69,105%*SUM($AJ$7:AJ69))-AM69*Flag_UL_Type),0)*B69)</f>
        <v>0</v>
      </c>
      <c r="AU69" s="50">
        <f ca="1">(MAX(AS69,AR69,105%*SUM($AJ$7:AJ69))*B69)</f>
        <v>0</v>
      </c>
      <c r="AV69" s="125"/>
      <c r="AW69" s="13"/>
      <c r="AX69" s="13"/>
      <c r="AY69" s="13"/>
      <c r="AZ69" s="13"/>
      <c r="BA69" s="13"/>
      <c r="BG69" s="51">
        <f t="shared" si="21"/>
        <v>0</v>
      </c>
      <c r="BH69" s="51">
        <f t="shared" ca="1" si="22"/>
        <v>321.79352939033203</v>
      </c>
      <c r="BI69" s="51">
        <f t="shared" ca="1" si="46"/>
        <v>0</v>
      </c>
      <c r="BJ69" s="51">
        <f t="shared" ca="1" si="23"/>
        <v>0</v>
      </c>
      <c r="BK69" s="51">
        <f t="shared" si="24"/>
        <v>90</v>
      </c>
      <c r="BL69" s="51">
        <f t="shared" ca="1" si="25"/>
        <v>328.53976195021733</v>
      </c>
      <c r="BM69" s="51">
        <f t="shared" si="26"/>
        <v>0</v>
      </c>
      <c r="BN69" s="51">
        <f t="shared" ca="1" si="27"/>
        <v>0</v>
      </c>
      <c r="BO69" s="51">
        <f t="shared" ca="1" si="28"/>
        <v>0</v>
      </c>
      <c r="BP69" s="51">
        <f t="shared" ca="1" si="29"/>
        <v>740.33329134054929</v>
      </c>
      <c r="BR69" s="32"/>
      <c r="BS69" s="126"/>
      <c r="BT69" s="16"/>
      <c r="BU69" s="58"/>
      <c r="BW69" s="51">
        <f>VLOOKUP(H69,Charges!$AT$4:$AU$33,2,FALSE)*I69</f>
        <v>0</v>
      </c>
      <c r="BX69" s="51">
        <f t="shared" si="30"/>
        <v>0</v>
      </c>
      <c r="BY69" s="51">
        <f t="shared" si="47"/>
        <v>0</v>
      </c>
      <c r="BZ69" s="151"/>
      <c r="CA69" s="151"/>
      <c r="CB69" s="32"/>
      <c r="CC69" s="16">
        <f ca="1">SUM($N$7:$N69)</f>
        <v>0</v>
      </c>
      <c r="CD69" s="16">
        <f t="shared" ca="1" si="31"/>
        <v>0</v>
      </c>
      <c r="CE69" s="16">
        <f t="shared" ca="1" si="32"/>
        <v>0</v>
      </c>
      <c r="CF69" s="7">
        <f t="shared" ca="1" si="48"/>
        <v>0</v>
      </c>
    </row>
    <row r="70" spans="1:84" s="7" customFormat="1" x14ac:dyDescent="0.2">
      <c r="A70" s="149"/>
      <c r="B70" s="14">
        <f t="shared" si="0"/>
        <v>1</v>
      </c>
      <c r="C70" s="12">
        <f t="shared" si="1"/>
        <v>1</v>
      </c>
      <c r="D70" s="17">
        <f t="shared" si="49"/>
        <v>64</v>
      </c>
      <c r="E70" s="17">
        <f t="shared" ca="1" si="2"/>
        <v>65</v>
      </c>
      <c r="F70" s="12">
        <f t="shared" si="53"/>
        <v>3</v>
      </c>
      <c r="G70" s="12">
        <f t="shared" si="52"/>
        <v>11</v>
      </c>
      <c r="H70" s="17">
        <f t="shared" si="54"/>
        <v>6</v>
      </c>
      <c r="I70" s="29">
        <f t="shared" si="3"/>
        <v>0</v>
      </c>
      <c r="J70" s="211">
        <f>IFERROR(VLOOKUP(H70,Charges!$T$6:$U$35,2,0)*C70,0)</f>
        <v>0.98</v>
      </c>
      <c r="K70" s="29">
        <f t="shared" si="4"/>
        <v>0</v>
      </c>
      <c r="L70" s="29">
        <f t="shared" si="5"/>
        <v>0</v>
      </c>
      <c r="M70" s="147">
        <f t="shared" ca="1" si="6"/>
        <v>0</v>
      </c>
      <c r="N70" s="148">
        <f ca="1">IF(AND(Option_SPW="Y",H70&gt;=Lock_In_Period,Z69&gt;SPW_Amount_pa+IF(option="Single",1/5*pr,2*pr),H70&gt;=SPW_Start_Year,H70&lt;=SPW_Start_Year+SPW_Duration-1,age+H70&gt;=Legal_Age),IF(AND(F70=0,SPW_Payout_Freq=1),SPW_Amount_pa,IF(AND(SPW_Payout_Freq=2,MOD(F70,6)=0),SPW_Amount_pa/SPW_Payout_Freq,IF(AND(SPW_Payout_Freq=4,MOD(F70,3)=0),SPW_Amount_pa/SPW_Payout_Freq,IF(SPW_Payout_Freq=12,SPW_Amount_pa/SPW_Payout_Freq,0)))),0)+IFERROR(VLOOKUP(H70,Input!$B$68:$C$74,2,0),0)*(F70=0)*(Option_PW="Y")*(Option_SPW="N")*(age+H70&gt;=Legal_Age)</f>
        <v>0</v>
      </c>
      <c r="O70" s="148">
        <f t="shared" ca="1" si="33"/>
        <v>0</v>
      </c>
      <c r="P70" s="14">
        <f ca="1">(MAX(MAX(sa-CF69*Flag_UL_Type,105%*SUM($I$7:I70))-(AD69+L70-N70)*Flag_UL_Type,0)*B70)</f>
        <v>1380617.6395604245</v>
      </c>
      <c r="Q70" s="213">
        <f t="shared" ca="1" si="7"/>
        <v>1787.1750189699835</v>
      </c>
      <c r="R70" s="14">
        <f t="shared" ca="1" si="8"/>
        <v>0</v>
      </c>
      <c r="S70" s="14">
        <f t="shared" ca="1" si="9"/>
        <v>0</v>
      </c>
      <c r="T70" s="14">
        <f>IFERROR(IF(WoP_Flag="Y",IF(fq=1,VLOOKUP(ppt*fq-H70,Charges!$AN$41:$AO$59,2,FALSE),IF(fq=2,VLOOKUP(ppt*fq-G70,Charges!$AP$41:$AQ$79,2,FALSE),VLOOKUP(ppt*fq-D70,Charges!$AR$41:$AS$279,2,FALSE)))*pr/fq,0),0)</f>
        <v>0</v>
      </c>
      <c r="U70" s="14">
        <f ca="1">IFERROR(((T70*(VLOOKUP(Input!$D$18+H70-1,Tab_Mort_Charge,IF(Gender_2="M",2,3),FALSE)*(1+_emr2)+_rpm2)/IF(Model_Type="LA_PQIS",1000/0.0833,(12*1000))))*Flag_Mort_Rider_Charge*(T70&gt;0),0)</f>
        <v>0</v>
      </c>
      <c r="V70" s="34">
        <f>ROUND(MIN(IF(H70&gt;=7,Charges!$C$12*(1+Charges!$C$14)^((H70-7+1)),VLOOKUP(H70,Charges!$B$7:$C$12,2,0))*pr,Charges!$C$13)*B70,Round)</f>
        <v>500</v>
      </c>
      <c r="W70" s="14">
        <f t="shared" ca="1" si="10"/>
        <v>1616683.4939171909</v>
      </c>
      <c r="X70" s="14">
        <f t="shared" ca="1" si="11"/>
        <v>1621976.094986452</v>
      </c>
      <c r="Y70" s="213">
        <f t="shared" ca="1" si="34"/>
        <v>1825.7161397123232</v>
      </c>
      <c r="Z70" s="14">
        <f t="shared" ca="1" si="12"/>
        <v>1619821.7499415914</v>
      </c>
      <c r="AA70" s="14">
        <f>IF(AND($H70=pt,$F70=11),SUM($K$7:K70)*VLOOKUP(pt,ROC,2,FALSE),0)</f>
        <v>0</v>
      </c>
      <c r="AB70" s="14">
        <f>IF(AND($H70=pt,$F70=11),SUM($V$7:V70)*VLOOKUP(pt,ROC,2,FALSE),0)</f>
        <v>0</v>
      </c>
      <c r="AC70" s="14">
        <f>IF(AND($H70=pt,$F70=11),SUM($Q$7:Q70)*VLOOKUP(pt,ROC,2,FALSE),0)</f>
        <v>0</v>
      </c>
      <c r="AD70" s="14">
        <f t="shared" ca="1" si="35"/>
        <v>1619821.7499415914</v>
      </c>
      <c r="AE70" s="14">
        <f ca="1">(MAX(sa-CF69*Flag_UL_Type,105%*SUM($I$7:I70),Z70)+AU70)*B70</f>
        <v>3000000</v>
      </c>
      <c r="AF70" s="136"/>
      <c r="AG70" s="18">
        <v>64</v>
      </c>
      <c r="AH70" s="30">
        <f t="shared" ca="1" si="13"/>
        <v>0</v>
      </c>
      <c r="AI70" s="138"/>
      <c r="AJ70" s="50">
        <f>IF(AND(Option_Sys_TopUp&gt;="Y",H70&gt;=sytp,H70&lt;=(dtp+sytp-1),F70=0,H70&lt;=ppt+1),atp,0)+IFERROR(VLOOKUP(H70,Input!$B$55:$C$61,2,0),0)*(F70=0)*(Option_TopUP="Y")*(Option_Sys_TopUp="N")*B70*(pt&gt;=H70+5)</f>
        <v>0</v>
      </c>
      <c r="AK70" s="50">
        <f t="shared" si="14"/>
        <v>0</v>
      </c>
      <c r="AL70" s="50">
        <f t="shared" si="36"/>
        <v>0</v>
      </c>
      <c r="AM70" s="50">
        <f t="shared" ca="1" si="15"/>
        <v>0</v>
      </c>
      <c r="AN70" s="50">
        <f ca="1">IF(B70=0,0,AT70*(_rpm1+(1+_emr1)*VLOOKUP(E70,Tab_Mort_Charge,IF(Input!$C$12="M",2,3),0))*(0.001*0.0833)*Flag_Mort_Rider_Charge*(AT70&gt;0))</f>
        <v>0</v>
      </c>
      <c r="AO70" s="50">
        <f t="shared" ca="1" si="37"/>
        <v>0</v>
      </c>
      <c r="AP70" s="50">
        <f t="shared" ca="1" si="38"/>
        <v>0</v>
      </c>
      <c r="AQ70" s="50">
        <f t="shared" ca="1" si="16"/>
        <v>0</v>
      </c>
      <c r="AR70" s="50">
        <f t="shared" ca="1" si="17"/>
        <v>0</v>
      </c>
      <c r="AS70" s="50">
        <f t="shared" si="18"/>
        <v>0</v>
      </c>
      <c r="AT70" s="50">
        <f ca="1">(MAX((MAX(AS70,105%*SUM($AJ$7:AJ70))-AM70*Flag_UL_Type),0)*B70)</f>
        <v>0</v>
      </c>
      <c r="AU70" s="50">
        <f ca="1">(MAX(AS70,AR70,105%*SUM($AJ$7:AJ70))*B70)</f>
        <v>0</v>
      </c>
      <c r="AV70" s="125"/>
      <c r="AW70" s="13"/>
      <c r="AX70" s="13"/>
      <c r="AY70" s="13"/>
      <c r="AZ70" s="13"/>
      <c r="BA70" s="13"/>
      <c r="BG70" s="51">
        <f t="shared" si="21"/>
        <v>0</v>
      </c>
      <c r="BH70" s="51">
        <f t="shared" ca="1" si="22"/>
        <v>321.69150341459698</v>
      </c>
      <c r="BI70" s="51">
        <f t="shared" ca="1" si="46"/>
        <v>0</v>
      </c>
      <c r="BJ70" s="51">
        <f t="shared" ca="1" si="23"/>
        <v>0</v>
      </c>
      <c r="BK70" s="51">
        <f t="shared" si="24"/>
        <v>90</v>
      </c>
      <c r="BL70" s="51">
        <f t="shared" ca="1" si="25"/>
        <v>328.62890514821817</v>
      </c>
      <c r="BM70" s="51">
        <f t="shared" si="26"/>
        <v>0</v>
      </c>
      <c r="BN70" s="51">
        <f t="shared" ca="1" si="27"/>
        <v>0</v>
      </c>
      <c r="BO70" s="51">
        <f t="shared" ca="1" si="28"/>
        <v>0</v>
      </c>
      <c r="BP70" s="51">
        <f t="shared" ca="1" si="29"/>
        <v>740.32040856281515</v>
      </c>
      <c r="BR70" s="32"/>
      <c r="BS70" s="126"/>
      <c r="BT70" s="16"/>
      <c r="BU70" s="58"/>
      <c r="BW70" s="51">
        <f>VLOOKUP(H70,Charges!$AT$4:$AU$33,2,FALSE)*I70</f>
        <v>0</v>
      </c>
      <c r="BX70" s="51">
        <f t="shared" si="30"/>
        <v>0</v>
      </c>
      <c r="BY70" s="51">
        <f t="shared" si="47"/>
        <v>0</v>
      </c>
      <c r="BZ70" s="151"/>
      <c r="CA70" s="151"/>
      <c r="CB70" s="32"/>
      <c r="CC70" s="16">
        <f ca="1">SUM($N$7:$N70)</f>
        <v>0</v>
      </c>
      <c r="CD70" s="16">
        <f t="shared" ca="1" si="31"/>
        <v>0</v>
      </c>
      <c r="CE70" s="16">
        <f t="shared" ca="1" si="32"/>
        <v>0</v>
      </c>
      <c r="CF70" s="7">
        <f t="shared" ca="1" si="48"/>
        <v>0</v>
      </c>
    </row>
    <row r="71" spans="1:84" s="7" customFormat="1" x14ac:dyDescent="0.2">
      <c r="A71" s="149"/>
      <c r="B71" s="14">
        <f t="shared" ref="B71:B134" si="55">IF(H71&lt;=pt,1,0)</f>
        <v>1</v>
      </c>
      <c r="C71" s="12">
        <f t="shared" ref="C71:C134" si="56">IF(H71&lt;=ppt,1,0)</f>
        <v>1</v>
      </c>
      <c r="D71" s="17">
        <f t="shared" si="49"/>
        <v>65</v>
      </c>
      <c r="E71" s="17">
        <f t="shared" ref="E71:E134" ca="1" si="57">(age+(H71-1))</f>
        <v>65</v>
      </c>
      <c r="F71" s="12">
        <f t="shared" si="53"/>
        <v>4</v>
      </c>
      <c r="G71" s="12">
        <f t="shared" si="52"/>
        <v>11</v>
      </c>
      <c r="H71" s="17">
        <f t="shared" si="54"/>
        <v>6</v>
      </c>
      <c r="I71" s="29">
        <f t="shared" ref="I71:I134" si="58">IF(AND(H71&lt;=pt,H71&lt;=ppt,F71=0,fq=1),pr,IF(AND(H71&lt;=pt,H71&lt;=ppt,fq=2,MOD(F71,6)=0),pr/fq,IF(AND(H71&lt;=pt,H71&lt;=ppt,fq=12),pr/fq,0)))</f>
        <v>0</v>
      </c>
      <c r="J71" s="211">
        <f>IFERROR(VLOOKUP(H71,Charges!$T$6:$U$35,2,0)*C71,0)</f>
        <v>0.98</v>
      </c>
      <c r="K71" s="29">
        <f t="shared" ref="K71:K134" si="59">ROUND((100%-J71)*I71,Round)</f>
        <v>0</v>
      </c>
      <c r="L71" s="29">
        <f t="shared" ref="L71:L134" si="60">(I71-(K71+BG71*IF(Model_Type="Pricing_Unit",1,0)))*C71</f>
        <v>0</v>
      </c>
      <c r="M71" s="147">
        <f t="shared" ref="M71:M134" ca="1" si="61">IF(AND(OR(Option_PW="Y",Option_SPW="Y"),H71&gt;Lock_In_Period,H71&lt;=pt,(W71-IF(option="Single",1/5*pr,2*pr))&gt;0,(age+H71)&gt;=Legal_Age),(W70+L71-IF(option="Single",1/5*pr,2*pr)),0)</f>
        <v>0</v>
      </c>
      <c r="N71" s="148">
        <f ca="1">IF(AND(Option_SPW="Y",H71&gt;=Lock_In_Period,Z70&gt;SPW_Amount_pa+IF(option="Single",1/5*pr,2*pr),H71&gt;=SPW_Start_Year,H71&lt;=SPW_Start_Year+SPW_Duration-1,age+H71&gt;=Legal_Age),IF(AND(F71=0,SPW_Payout_Freq=1),SPW_Amount_pa,IF(AND(SPW_Payout_Freq=2,MOD(F71,6)=0),SPW_Amount_pa/SPW_Payout_Freq,IF(AND(SPW_Payout_Freq=4,MOD(F71,3)=0),SPW_Amount_pa/SPW_Payout_Freq,IF(SPW_Payout_Freq=12,SPW_Amount_pa/SPW_Payout_Freq,0)))),0)+IFERROR(VLOOKUP(H71,Input!$B$68:$C$74,2,0),0)*(F71=0)*(Option_PW="Y")*(Option_SPW="N")*(age+H71&gt;=Legal_Age)</f>
        <v>0</v>
      </c>
      <c r="O71" s="148">
        <f t="shared" ca="1" si="33"/>
        <v>0</v>
      </c>
      <c r="P71" s="14">
        <f ca="1">(MAX(MAX(sa-CF70*Flag_UL_Type,105%*SUM($I$7:I71))-(AD70+L71-N71)*Flag_UL_Type,0)*B71)</f>
        <v>1380178.2500584086</v>
      </c>
      <c r="Q71" s="213">
        <f t="shared" ref="Q71:Q134" ca="1" si="62">IF(B71=0,0,ROUND(P71*(_rpm1+(1+_emr1)*VLOOKUP(E71,Tab_Mort_Charge,IF(Gender="M",2,3),0))*Flag_Mort_Rider_Charge*(P71&gt;0),Round))*(0.001*IF(Model_Type="LA_PQIS",0.0833,(1/12)))</f>
        <v>1786.6062402443583</v>
      </c>
      <c r="R71" s="14">
        <f t="shared" ref="R71:R134" ca="1" si="63">IF(AND(B71,ADB_Flag="Y",age&lt;=ADB_MAX_AGE,age&gt;=ADB_MIN_AGE,E71&lt;=age+pt),sa_adb,0)</f>
        <v>0</v>
      </c>
      <c r="S71" s="14">
        <f t="shared" ref="S71:S134" ca="1" si="64">ROUND((adb_rate*(1+adb_emr)+adb_rpm)*R71*(0.001*IF(Model_Type="LA_PQIS",0.0833,(1/12)))*Flag_Mort_Rider_Charge*IF(age+H71-1&lt;Max_Maturity_Age,1,0),Round)</f>
        <v>0</v>
      </c>
      <c r="T71" s="14">
        <f>IFERROR(IF(WoP_Flag="Y",IF(fq=1,VLOOKUP(ppt*fq-H71,Charges!$AN$41:$AO$59,2,FALSE),IF(fq=2,VLOOKUP(ppt*fq-G71,Charges!$AP$41:$AQ$79,2,FALSE),VLOOKUP(ppt*fq-D71,Charges!$AR$41:$AS$279,2,FALSE)))*pr/fq,0),0)</f>
        <v>0</v>
      </c>
      <c r="U71" s="14">
        <f ca="1">IFERROR(((T71*(VLOOKUP(Input!$D$18+H71-1,Tab_Mort_Charge,IF(Gender_2="M",2,3),FALSE)*(1+_emr2)+_rpm2)/IF(Model_Type="LA_PQIS",1000/0.0833,(12*1000))))*Flag_Mort_Rider_Charge*(T71&gt;0),0)</f>
        <v>0</v>
      </c>
      <c r="V71" s="34">
        <f>ROUND(MIN(IF(H71&gt;=7,Charges!$C$12*(1+Charges!$C$14)^((H71-7+1)),VLOOKUP(H71,Charges!$B$7:$C$12,2,0))*pr,Charges!$C$13)*B71,Round)</f>
        <v>500</v>
      </c>
      <c r="W71" s="14">
        <f t="shared" ref="W71:W134" ca="1" si="65">+(AD70+L71-(N71+Q71+S71+U71+V71+BG71*IF(Model_Type="La_PQIS",1,0)+BH71+BK71+BI71+BJ71+BM71*IF(Model_Type="La_PQIS",1,0)))*B71</f>
        <v>1617123.5545781031</v>
      </c>
      <c r="X71" s="14">
        <f t="shared" ref="X71:X134" ca="1" si="66">W71*(1+$F$3)</f>
        <v>1622417.5962914564</v>
      </c>
      <c r="Y71" s="213">
        <f t="shared" ca="1" si="34"/>
        <v>1826.2130989836355</v>
      </c>
      <c r="Z71" s="14">
        <f t="shared" ref="Z71:Z134" ca="1" si="67">X71-(Y71+BL71)</f>
        <v>1620262.6648346556</v>
      </c>
      <c r="AA71" s="14">
        <f>IF(AND($H71=pt,$F71=11),SUM($K$7:K71)*VLOOKUP(pt,ROC,2,FALSE),0)</f>
        <v>0</v>
      </c>
      <c r="AB71" s="14">
        <f>IF(AND($H71=pt,$F71=11),SUM($V$7:V71)*VLOOKUP(pt,ROC,2,FALSE),0)</f>
        <v>0</v>
      </c>
      <c r="AC71" s="14">
        <f>IF(AND($H71=pt,$F71=11),SUM($Q$7:Q71)*VLOOKUP(pt,ROC,2,FALSE),0)</f>
        <v>0</v>
      </c>
      <c r="AD71" s="14">
        <f t="shared" ca="1" si="35"/>
        <v>1620262.6648346556</v>
      </c>
      <c r="AE71" s="14">
        <f ca="1">(MAX(sa-CF70*Flag_UL_Type,105%*SUM($I$7:I71),Z71)+AU71)*B71</f>
        <v>3000000</v>
      </c>
      <c r="AF71" s="136"/>
      <c r="AG71" s="18">
        <v>65</v>
      </c>
      <c r="AH71" s="30">
        <f t="shared" ref="AH71:AH134" ca="1" si="68">(I71+AJ71)-IF(AG71=pt*12+1,AD70,0)-IF(AG71=pt*12+1,AR70,0)-N71</f>
        <v>0</v>
      </c>
      <c r="AI71" s="138"/>
      <c r="AJ71" s="50">
        <f>IF(AND(Option_Sys_TopUp&gt;="Y",H71&gt;=sytp,H71&lt;=(dtp+sytp-1),F71=0,H71&lt;=ppt+1),atp,0)+IFERROR(VLOOKUP(H71,Input!$B$55:$C$61,2,0),0)*(F71=0)*(Option_TopUP="Y")*(Option_Sys_TopUp="N")*B71*(pt&gt;=H71+5)</f>
        <v>0</v>
      </c>
      <c r="AK71" s="50">
        <f t="shared" ref="AK71:AK134" si="69">ROUND(allctp*AJ71,0)</f>
        <v>0</v>
      </c>
      <c r="AL71" s="50">
        <f t="shared" si="36"/>
        <v>0</v>
      </c>
      <c r="AM71" s="50">
        <f t="shared" ref="AM71:AM134" ca="1" si="70">AR70+AL71</f>
        <v>0</v>
      </c>
      <c r="AN71" s="50">
        <f ca="1">IF(B71=0,0,AT71*(_rpm1+(1+_emr1)*VLOOKUP(E71,Tab_Mort_Charge,IF(Input!$C$12="M",2,3),0))*(0.001*0.0833)*Flag_Mort_Rider_Charge*(AT71&gt;0))</f>
        <v>0</v>
      </c>
      <c r="AO71" s="50">
        <f t="shared" ca="1" si="37"/>
        <v>0</v>
      </c>
      <c r="AP71" s="50">
        <f t="shared" ca="1" si="38"/>
        <v>0</v>
      </c>
      <c r="AQ71" s="50">
        <f t="shared" ref="AQ71:AQ134" ca="1" si="71">AP71*$Y$2</f>
        <v>0</v>
      </c>
      <c r="AR71" s="50">
        <f t="shared" ref="AR71:AR134" ca="1" si="72">AP71-(AQ71+BO71)</f>
        <v>0</v>
      </c>
      <c r="AS71" s="50">
        <f t="shared" ref="AS71:AS134" si="73">(AJ71*TOPUP_Cover_Level+AS70)*B71</f>
        <v>0</v>
      </c>
      <c r="AT71" s="50">
        <f ca="1">(MAX((MAX(AS71,105%*SUM($AJ$7:AJ71))-AM71*Flag_UL_Type),0)*B71)</f>
        <v>0</v>
      </c>
      <c r="AU71" s="50">
        <f ca="1">(MAX(AS71,AR71,105%*SUM($AJ$7:AJ71))*B71)</f>
        <v>0</v>
      </c>
      <c r="AV71" s="125"/>
      <c r="AW71" s="13"/>
      <c r="AX71" s="13"/>
      <c r="AY71" s="13"/>
      <c r="AZ71" s="13"/>
      <c r="BA71" s="13"/>
      <c r="BG71" s="51">
        <f t="shared" ref="BG71:BG134" si="74">ROUND(K71*Service_Tax_Rate*Flag_Service_Tax,Round)+ROUND(K71*Cess1_Rate*Flag_Service_Tax,Round)+ROUND(K71*Cess2_Rate*Flag_Service_Tax,Round)</f>
        <v>0</v>
      </c>
      <c r="BH71" s="51">
        <f t="shared" ref="BH71:BH134" ca="1" si="75">ROUND(Q71*Service_Tax_Rate*Flag_Service_Tax,Round)+ROUND(Q71*Cess1_Rate*Flag_Service_Tax,Round)+ROUND(Q71*Cess2_Rate*Flag_Service_Tax,Round)</f>
        <v>321.58912324398398</v>
      </c>
      <c r="BI71" s="51">
        <f t="shared" ref="BI71:BI134" ca="1" si="76">ROUND(S71*Service_Tax_Rate*Flag_Service_Tax,Round)+ROUND(S71*Cess1_Rate*Flag_Service_Tax,Round)+ROUND(S71*Cess2_Rate*Flag_Service_Tax,Round)</f>
        <v>0</v>
      </c>
      <c r="BJ71" s="51">
        <f t="shared" ref="BJ71:BJ134" ca="1" si="77">ROUND(U71*Service_Tax_Rate*Flag_Service_Tax,Round)+ROUND(U71*Cess1_Rate*Flag_Service_Tax,Round)+ROUND(U71*Cess2_Rate*Flag_Service_Tax,Round)</f>
        <v>0</v>
      </c>
      <c r="BK71" s="51">
        <f t="shared" ref="BK71:BK134" si="78">ROUND(V71*Service_Tax_Rate*Flag_Service_Tax,Round)+ROUND(V71*Cess1_Rate*Flag_Service_Tax,Round)+ROUND(V71*Cess2_Rate*Flag_Service_Tax,Round)</f>
        <v>90</v>
      </c>
      <c r="BL71" s="51">
        <f t="shared" ref="BL71:BL134" ca="1" si="79">Y71*Service_Tax_Rate*Flag_Service_Tax+Y71*Cess1_Rate*Flag_Service_Tax+Y71*Cess2_Rate*Flag_Service_Tax</f>
        <v>328.71835781705437</v>
      </c>
      <c r="BM71" s="51">
        <f t="shared" ref="BM71:BM134" si="80">ROUND(AK71*Service_Tax_Rate*Flag_Service_Tax,Round)+ROUND(AK71*Cess1_Rate*Flag_Service_Tax,Round)+ROUND(AK71*Cess2_Rate*Flag_Service_Tax,Round)</f>
        <v>0</v>
      </c>
      <c r="BN71" s="51">
        <f t="shared" ref="BN71:BN134" ca="1" si="81">ROUND(AN71*Service_Tax_Rate*Flag_Service_Tax,Round)+ROUND(AN71*Cess1_Rate*Flag_Service_Tax,Round)+ROUND(AN71*Cess2_Rate*Flag_Service_Tax,Round)</f>
        <v>0</v>
      </c>
      <c r="BO71" s="51">
        <f t="shared" ref="BO71:BO134" ca="1" si="82">AQ71*Service_Tax_Rate*Flag_Service_Tax+AQ71*Cess1_Rate*Flag_Service_Tax+AQ71*Cess2_Rate*Flag_Service_Tax</f>
        <v>0</v>
      </c>
      <c r="BP71" s="51">
        <f t="shared" ref="BP71:BP134" ca="1" si="83">SUM(BG71:BO71)</f>
        <v>740.30748106103829</v>
      </c>
      <c r="BR71" s="32"/>
      <c r="BS71" s="126"/>
      <c r="BT71" s="16"/>
      <c r="BU71" s="58"/>
      <c r="BW71" s="51">
        <f>VLOOKUP(H71,Charges!$AT$4:$AU$33,2,FALSE)*I71</f>
        <v>0</v>
      </c>
      <c r="BX71" s="51">
        <f t="shared" ref="BX71:BX134" si="84">AJ71*Commission_TOPUP</f>
        <v>0</v>
      </c>
      <c r="BY71" s="51">
        <f t="shared" si="47"/>
        <v>0</v>
      </c>
      <c r="BZ71" s="151"/>
      <c r="CA71" s="151"/>
      <c r="CB71" s="32"/>
      <c r="CC71" s="16">
        <f ca="1">SUM($N$7:$N71)</f>
        <v>0</v>
      </c>
      <c r="CD71" s="16">
        <f t="shared" ref="CD71:CD134" ca="1" si="85">IF(AND((B71=1)*(H71&gt;Lock_In_Period)),CC71-INDEX($CC$7:$CC$367,D71-24,1),0)*(E71&lt;60)</f>
        <v>0</v>
      </c>
      <c r="CE71" s="16">
        <f t="shared" ref="CE71:CE134" ca="1" si="86">(B71=1)*(H71&gt;Lock_In_Period)*(E71&gt;=60)*IFERROR((CC71-INDEX($CC$7:$CC$367,D71-24,1)),0)</f>
        <v>0</v>
      </c>
      <c r="CF71" s="7">
        <f t="shared" ca="1" si="48"/>
        <v>0</v>
      </c>
    </row>
    <row r="72" spans="1:84" s="7" customFormat="1" x14ac:dyDescent="0.2">
      <c r="A72" s="149"/>
      <c r="B72" s="14">
        <f t="shared" si="55"/>
        <v>1</v>
      </c>
      <c r="C72" s="12">
        <f t="shared" si="56"/>
        <v>1</v>
      </c>
      <c r="D72" s="17">
        <f t="shared" si="49"/>
        <v>66</v>
      </c>
      <c r="E72" s="17">
        <f t="shared" ca="1" si="57"/>
        <v>65</v>
      </c>
      <c r="F72" s="12">
        <f t="shared" si="53"/>
        <v>5</v>
      </c>
      <c r="G72" s="12">
        <f t="shared" si="52"/>
        <v>11</v>
      </c>
      <c r="H72" s="17">
        <f t="shared" si="54"/>
        <v>6</v>
      </c>
      <c r="I72" s="29">
        <f t="shared" si="58"/>
        <v>0</v>
      </c>
      <c r="J72" s="211">
        <f>IFERROR(VLOOKUP(H72,Charges!$T$6:$U$35,2,0)*C72,0)</f>
        <v>0.98</v>
      </c>
      <c r="K72" s="29">
        <f t="shared" si="59"/>
        <v>0</v>
      </c>
      <c r="L72" s="29">
        <f t="shared" si="60"/>
        <v>0</v>
      </c>
      <c r="M72" s="147">
        <f t="shared" ca="1" si="61"/>
        <v>0</v>
      </c>
      <c r="N72" s="148">
        <f ca="1">IF(AND(Option_SPW="Y",H72&gt;=Lock_In_Period,Z71&gt;SPW_Amount_pa+IF(option="Single",1/5*pr,2*pr),H72&gt;=SPW_Start_Year,H72&lt;=SPW_Start_Year+SPW_Duration-1,age+H72&gt;=Legal_Age),IF(AND(F72=0,SPW_Payout_Freq=1),SPW_Amount_pa,IF(AND(SPW_Payout_Freq=2,MOD(F72,6)=0),SPW_Amount_pa/SPW_Payout_Freq,IF(AND(SPW_Payout_Freq=4,MOD(F72,3)=0),SPW_Amount_pa/SPW_Payout_Freq,IF(SPW_Payout_Freq=12,SPW_Amount_pa/SPW_Payout_Freq,0)))),0)+IFERROR(VLOOKUP(H72,Input!$B$68:$C$74,2,0),0)*(F72=0)*(Option_PW="Y")*(Option_SPW="N")*(age+H72&gt;=Legal_Age)</f>
        <v>0</v>
      </c>
      <c r="O72" s="148">
        <f t="shared" ref="O72:O135" ca="1" si="87">IF(N72&lt;=M72,0,1)</f>
        <v>0</v>
      </c>
      <c r="P72" s="14">
        <f ca="1">(MAX(MAX(sa-CF71*Flag_UL_Type,105%*SUM($I$7:I72))-(AD71+L72-N72)*Flag_UL_Type,0)*B72)</f>
        <v>1379737.3351653444</v>
      </c>
      <c r="Q72" s="213">
        <f t="shared" ca="1" si="62"/>
        <v>1786.0354869381583</v>
      </c>
      <c r="R72" s="14">
        <f t="shared" ca="1" si="63"/>
        <v>0</v>
      </c>
      <c r="S72" s="14">
        <f t="shared" ca="1" si="64"/>
        <v>0</v>
      </c>
      <c r="T72" s="14">
        <f>IFERROR(IF(WoP_Flag="Y",IF(fq=1,VLOOKUP(ppt*fq-H72,Charges!$AN$41:$AO$59,2,FALSE),IF(fq=2,VLOOKUP(ppt*fq-G72,Charges!$AP$41:$AQ$79,2,FALSE),VLOOKUP(ppt*fq-D72,Charges!$AR$41:$AS$279,2,FALSE)))*pr/fq,0),0)</f>
        <v>0</v>
      </c>
      <c r="U72" s="14">
        <f ca="1">IFERROR(((T72*(VLOOKUP(Input!$D$18+H72-1,Tab_Mort_Charge,IF(Gender_2="M",2,3),FALSE)*(1+_emr2)+_rpm2)/IF(Model_Type="LA_PQIS",1000/0.0833,(12*1000))))*Flag_Mort_Rider_Charge*(T72&gt;0),0)</f>
        <v>0</v>
      </c>
      <c r="V72" s="34">
        <f>ROUND(MIN(IF(H72&gt;=7,Charges!$C$12*(1+Charges!$C$14)^((H72-7+1)),VLOOKUP(H72,Charges!$B$7:$C$12,2,0))*pr,Charges!$C$13)*B72,Round)</f>
        <v>500</v>
      </c>
      <c r="W72" s="14">
        <f t="shared" ca="1" si="65"/>
        <v>1617565.1429600685</v>
      </c>
      <c r="X72" s="14">
        <f t="shared" ca="1" si="66"/>
        <v>1622860.6303188752</v>
      </c>
      <c r="Y72" s="213">
        <f t="shared" ref="Y72:Y135" ca="1" si="88">X72*$Y$2</f>
        <v>1826.7117835060526</v>
      </c>
      <c r="Z72" s="14">
        <f t="shared" ca="1" si="67"/>
        <v>1620705.1104143381</v>
      </c>
      <c r="AA72" s="14">
        <f>IF(AND($H72=pt,$F72=11),SUM($K$7:K72)*VLOOKUP(pt,ROC,2,FALSE),0)</f>
        <v>0</v>
      </c>
      <c r="AB72" s="14">
        <f>IF(AND($H72=pt,$F72=11),SUM($V$7:V72)*VLOOKUP(pt,ROC,2,FALSE),0)</f>
        <v>0</v>
      </c>
      <c r="AC72" s="14">
        <f>IF(AND($H72=pt,$F72=11),SUM($Q$7:Q72)*VLOOKUP(pt,ROC,2,FALSE),0)</f>
        <v>0</v>
      </c>
      <c r="AD72" s="14">
        <f t="shared" ref="AD72:AD135" ca="1" si="89">Z72+AA72+AB72+AC72</f>
        <v>1620705.1104143381</v>
      </c>
      <c r="AE72" s="14">
        <f ca="1">(MAX(sa-CF71*Flag_UL_Type,105%*SUM($I$7:I72),Z72)+AU72)*B72</f>
        <v>3000000</v>
      </c>
      <c r="AF72" s="136"/>
      <c r="AG72" s="18">
        <v>66</v>
      </c>
      <c r="AH72" s="30">
        <f t="shared" ca="1" si="68"/>
        <v>0</v>
      </c>
      <c r="AI72" s="138"/>
      <c r="AJ72" s="50">
        <f>IF(AND(Option_Sys_TopUp&gt;="Y",H72&gt;=sytp,H72&lt;=(dtp+sytp-1),F72=0,H72&lt;=ppt+1),atp,0)+IFERROR(VLOOKUP(H72,Input!$B$55:$C$61,2,0),0)*(F72=0)*(Option_TopUP="Y")*(Option_Sys_TopUp="N")*B72*(pt&gt;=H72+5)</f>
        <v>0</v>
      </c>
      <c r="AK72" s="50">
        <f t="shared" si="69"/>
        <v>0</v>
      </c>
      <c r="AL72" s="50">
        <f t="shared" ref="AL72:AL135" si="90">AJ72-(AK72+BM72*0)</f>
        <v>0</v>
      </c>
      <c r="AM72" s="50">
        <f t="shared" ca="1" si="70"/>
        <v>0</v>
      </c>
      <c r="AN72" s="50">
        <f ca="1">IF(B72=0,0,AT72*(_rpm1+(1+_emr1)*VLOOKUP(E72,Tab_Mort_Charge,IF(Input!$C$12="M",2,3),0))*(0.001*0.0833)*Flag_Mort_Rider_Charge*(AT72&gt;0))</f>
        <v>0</v>
      </c>
      <c r="AO72" s="50">
        <f t="shared" ref="AO72:AO135" ca="1" si="91">AM72-AN72-BM72*1-BN72*1</f>
        <v>0</v>
      </c>
      <c r="AP72" s="50">
        <f t="shared" ref="AP72:AP90" ca="1" si="92">(AL72+AR71)*(1+$F$3)*B72</f>
        <v>0</v>
      </c>
      <c r="AQ72" s="50">
        <f t="shared" ca="1" si="71"/>
        <v>0</v>
      </c>
      <c r="AR72" s="50">
        <f t="shared" ca="1" si="72"/>
        <v>0</v>
      </c>
      <c r="AS72" s="50">
        <f t="shared" si="73"/>
        <v>0</v>
      </c>
      <c r="AT72" s="50">
        <f ca="1">(MAX((MAX(AS72,105%*SUM($AJ$7:AJ72))-AM72*Flag_UL_Type),0)*B72)</f>
        <v>0</v>
      </c>
      <c r="AU72" s="50">
        <f ca="1">(MAX(AS72,AR72,105%*SUM($AJ$7:AJ72))*B72)</f>
        <v>0</v>
      </c>
      <c r="AV72" s="125"/>
      <c r="AW72" s="13"/>
      <c r="AX72" s="13"/>
      <c r="AY72" s="13"/>
      <c r="AZ72" s="13"/>
      <c r="BA72" s="13"/>
      <c r="BG72" s="51">
        <f t="shared" si="74"/>
        <v>0</v>
      </c>
      <c r="BH72" s="51">
        <f t="shared" ca="1" si="75"/>
        <v>321.48638764886903</v>
      </c>
      <c r="BI72" s="51">
        <f t="shared" ca="1" si="76"/>
        <v>0</v>
      </c>
      <c r="BJ72" s="51">
        <f t="shared" ca="1" si="77"/>
        <v>0</v>
      </c>
      <c r="BK72" s="51">
        <f t="shared" si="78"/>
        <v>90</v>
      </c>
      <c r="BL72" s="51">
        <f t="shared" ca="1" si="79"/>
        <v>328.80812103108946</v>
      </c>
      <c r="BM72" s="51">
        <f t="shared" si="80"/>
        <v>0</v>
      </c>
      <c r="BN72" s="51">
        <f t="shared" ca="1" si="81"/>
        <v>0</v>
      </c>
      <c r="BO72" s="51">
        <f t="shared" ca="1" si="82"/>
        <v>0</v>
      </c>
      <c r="BP72" s="51">
        <f t="shared" ca="1" si="83"/>
        <v>740.29450867995843</v>
      </c>
      <c r="BR72" s="32"/>
      <c r="BS72" s="126"/>
      <c r="BT72" s="16"/>
      <c r="BU72" s="58"/>
      <c r="BW72" s="51">
        <f>VLOOKUP(H72,Charges!$AT$4:$AU$33,2,FALSE)*I72</f>
        <v>0</v>
      </c>
      <c r="BX72" s="51">
        <f t="shared" si="84"/>
        <v>0</v>
      </c>
      <c r="BY72" s="51">
        <f t="shared" ref="BY72:BY135" si="93">SUM(BW72:BX72)</f>
        <v>0</v>
      </c>
      <c r="BZ72" s="151"/>
      <c r="CA72" s="151"/>
      <c r="CB72" s="32"/>
      <c r="CC72" s="16">
        <f ca="1">SUM($N$7:$N72)</f>
        <v>0</v>
      </c>
      <c r="CD72" s="16">
        <f t="shared" ca="1" si="85"/>
        <v>0</v>
      </c>
      <c r="CE72" s="16">
        <f t="shared" ca="1" si="86"/>
        <v>0</v>
      </c>
      <c r="CF72" s="7">
        <f t="shared" ref="CF72:CF135" ca="1" si="94">IF(E72&lt;60,CD72,CE72)</f>
        <v>0</v>
      </c>
    </row>
    <row r="73" spans="1:84" s="7" customFormat="1" x14ac:dyDescent="0.2">
      <c r="A73" s="149"/>
      <c r="B73" s="14">
        <f t="shared" si="55"/>
        <v>1</v>
      </c>
      <c r="C73" s="12">
        <f t="shared" si="56"/>
        <v>1</v>
      </c>
      <c r="D73" s="17">
        <f t="shared" ref="D73:D136" si="95">D72+1</f>
        <v>67</v>
      </c>
      <c r="E73" s="17">
        <f t="shared" ca="1" si="57"/>
        <v>65</v>
      </c>
      <c r="F73" s="12">
        <f t="shared" si="53"/>
        <v>6</v>
      </c>
      <c r="G73" s="12">
        <f t="shared" si="52"/>
        <v>12</v>
      </c>
      <c r="H73" s="17">
        <f t="shared" si="54"/>
        <v>6</v>
      </c>
      <c r="I73" s="29">
        <f t="shared" si="58"/>
        <v>0</v>
      </c>
      <c r="J73" s="211">
        <f>IFERROR(VLOOKUP(H73,Charges!$T$6:$U$35,2,0)*C73,0)</f>
        <v>0.98</v>
      </c>
      <c r="K73" s="29">
        <f t="shared" si="59"/>
        <v>0</v>
      </c>
      <c r="L73" s="29">
        <f t="shared" si="60"/>
        <v>0</v>
      </c>
      <c r="M73" s="147">
        <f t="shared" ca="1" si="61"/>
        <v>0</v>
      </c>
      <c r="N73" s="148">
        <f ca="1">IF(AND(Option_SPW="Y",H73&gt;=Lock_In_Period,Z72&gt;SPW_Amount_pa+IF(option="Single",1/5*pr,2*pr),H73&gt;=SPW_Start_Year,H73&lt;=SPW_Start_Year+SPW_Duration-1,age+H73&gt;=Legal_Age),IF(AND(F73=0,SPW_Payout_Freq=1),SPW_Amount_pa,IF(AND(SPW_Payout_Freq=2,MOD(F73,6)=0),SPW_Amount_pa/SPW_Payout_Freq,IF(AND(SPW_Payout_Freq=4,MOD(F73,3)=0),SPW_Amount_pa/SPW_Payout_Freq,IF(SPW_Payout_Freq=12,SPW_Amount_pa/SPW_Payout_Freq,0)))),0)+IFERROR(VLOOKUP(H73,Input!$B$68:$C$74,2,0),0)*(F73=0)*(Option_PW="Y")*(Option_SPW="N")*(age+H73&gt;=Legal_Age)</f>
        <v>0</v>
      </c>
      <c r="O73" s="148">
        <f t="shared" ca="1" si="87"/>
        <v>0</v>
      </c>
      <c r="P73" s="14">
        <f ca="1">(MAX(MAX(sa-CF72*Flag_UL_Type,105%*SUM($I$7:I73))-(AD72+L73-N73)*Flag_UL_Type,0)*B73)</f>
        <v>1379294.8895856619</v>
      </c>
      <c r="Q73" s="213">
        <f t="shared" ca="1" si="62"/>
        <v>1785.4627521964001</v>
      </c>
      <c r="R73" s="14">
        <f t="shared" ca="1" si="63"/>
        <v>0</v>
      </c>
      <c r="S73" s="14">
        <f t="shared" ca="1" si="64"/>
        <v>0</v>
      </c>
      <c r="T73" s="14">
        <f>IFERROR(IF(WoP_Flag="Y",IF(fq=1,VLOOKUP(ppt*fq-H73,Charges!$AN$41:$AO$59,2,FALSE),IF(fq=2,VLOOKUP(ppt*fq-G73,Charges!$AP$41:$AQ$79,2,FALSE),VLOOKUP(ppt*fq-D73,Charges!$AR$41:$AS$279,2,FALSE)))*pr/fq,0),0)</f>
        <v>0</v>
      </c>
      <c r="U73" s="14">
        <f ca="1">IFERROR(((T73*(VLOOKUP(Input!$D$18+H73-1,Tab_Mort_Charge,IF(Gender_2="M",2,3),FALSE)*(1+_emr2)+_rpm2)/IF(Model_Type="LA_PQIS",1000/0.0833,(12*1000))))*Flag_Mort_Rider_Charge*(T73&gt;0),0)</f>
        <v>0</v>
      </c>
      <c r="V73" s="34">
        <f>ROUND(MIN(IF(H73&gt;=7,Charges!$C$12*(1+Charges!$C$14)^((H73-7+1)),VLOOKUP(H73,Charges!$B$7:$C$12,2,0))*pr,Charges!$C$13)*B73,Round)</f>
        <v>500</v>
      </c>
      <c r="W73" s="14">
        <f t="shared" ca="1" si="65"/>
        <v>1618008.2643667464</v>
      </c>
      <c r="X73" s="14">
        <f t="shared" ca="1" si="66"/>
        <v>1623305.2023897304</v>
      </c>
      <c r="Y73" s="213">
        <f t="shared" ca="1" si="88"/>
        <v>1827.2121992689817</v>
      </c>
      <c r="Z73" s="14">
        <f t="shared" ca="1" si="67"/>
        <v>1621149.0919945929</v>
      </c>
      <c r="AA73" s="14">
        <f>IF(AND($H73=pt,$F73=11),SUM($K$7:K73)*VLOOKUP(pt,ROC,2,FALSE),0)</f>
        <v>0</v>
      </c>
      <c r="AB73" s="14">
        <f>IF(AND($H73=pt,$F73=11),SUM($V$7:V73)*VLOOKUP(pt,ROC,2,FALSE),0)</f>
        <v>0</v>
      </c>
      <c r="AC73" s="14">
        <f>IF(AND($H73=pt,$F73=11),SUM($Q$7:Q73)*VLOOKUP(pt,ROC,2,FALSE),0)</f>
        <v>0</v>
      </c>
      <c r="AD73" s="14">
        <f t="shared" ca="1" si="89"/>
        <v>1621149.0919945929</v>
      </c>
      <c r="AE73" s="14">
        <f ca="1">(MAX(sa-CF72*Flag_UL_Type,105%*SUM($I$7:I73),Z73)+AU73)*B73</f>
        <v>3000000</v>
      </c>
      <c r="AF73" s="136"/>
      <c r="AG73" s="18">
        <v>67</v>
      </c>
      <c r="AH73" s="30">
        <f t="shared" ca="1" si="68"/>
        <v>0</v>
      </c>
      <c r="AI73" s="138"/>
      <c r="AJ73" s="50">
        <f>IF(AND(Option_Sys_TopUp&gt;="Y",H73&gt;=sytp,H73&lt;=(dtp+sytp-1),F73=0,H73&lt;=ppt+1),atp,0)+IFERROR(VLOOKUP(H73,Input!$B$55:$C$61,2,0),0)*(F73=0)*(Option_TopUP="Y")*(Option_Sys_TopUp="N")*B73*(pt&gt;=H73+5)</f>
        <v>0</v>
      </c>
      <c r="AK73" s="50">
        <f t="shared" si="69"/>
        <v>0</v>
      </c>
      <c r="AL73" s="50">
        <f t="shared" si="90"/>
        <v>0</v>
      </c>
      <c r="AM73" s="50">
        <f t="shared" ca="1" si="70"/>
        <v>0</v>
      </c>
      <c r="AN73" s="50">
        <f ca="1">IF(B73=0,0,AT73*(_rpm1+(1+_emr1)*VLOOKUP(E73,Tab_Mort_Charge,IF(Input!$C$12="M",2,3),0))*(0.001*0.0833)*Flag_Mort_Rider_Charge*(AT73&gt;0))</f>
        <v>0</v>
      </c>
      <c r="AO73" s="50">
        <f t="shared" ca="1" si="91"/>
        <v>0</v>
      </c>
      <c r="AP73" s="50">
        <f t="shared" ca="1" si="92"/>
        <v>0</v>
      </c>
      <c r="AQ73" s="50">
        <f t="shared" ca="1" si="71"/>
        <v>0</v>
      </c>
      <c r="AR73" s="50">
        <f t="shared" ca="1" si="72"/>
        <v>0</v>
      </c>
      <c r="AS73" s="50">
        <f t="shared" si="73"/>
        <v>0</v>
      </c>
      <c r="AT73" s="50">
        <f ca="1">(MAX((MAX(AS73,105%*SUM($AJ$7:AJ73))-AM73*Flag_UL_Type),0)*B73)</f>
        <v>0</v>
      </c>
      <c r="AU73" s="50">
        <f ca="1">(MAX(AS73,AR73,105%*SUM($AJ$7:AJ73))*B73)</f>
        <v>0</v>
      </c>
      <c r="AV73" s="125"/>
      <c r="AW73" s="13"/>
      <c r="AX73" s="13"/>
      <c r="AY73" s="13"/>
      <c r="AZ73" s="13"/>
      <c r="BA73" s="13"/>
      <c r="BG73" s="51">
        <f t="shared" si="74"/>
        <v>0</v>
      </c>
      <c r="BH73" s="51">
        <f t="shared" ca="1" si="75"/>
        <v>321.38329539535198</v>
      </c>
      <c r="BI73" s="51">
        <f t="shared" ca="1" si="76"/>
        <v>0</v>
      </c>
      <c r="BJ73" s="51">
        <f t="shared" ca="1" si="77"/>
        <v>0</v>
      </c>
      <c r="BK73" s="51">
        <f t="shared" si="78"/>
        <v>90</v>
      </c>
      <c r="BL73" s="51">
        <f t="shared" ca="1" si="79"/>
        <v>328.89819586841668</v>
      </c>
      <c r="BM73" s="51">
        <f t="shared" si="80"/>
        <v>0</v>
      </c>
      <c r="BN73" s="51">
        <f t="shared" ca="1" si="81"/>
        <v>0</v>
      </c>
      <c r="BO73" s="51">
        <f t="shared" ca="1" si="82"/>
        <v>0</v>
      </c>
      <c r="BP73" s="51">
        <f t="shared" ca="1" si="83"/>
        <v>740.28149126376866</v>
      </c>
      <c r="BR73" s="32"/>
      <c r="BS73" s="126"/>
      <c r="BT73" s="16"/>
      <c r="BU73" s="58"/>
      <c r="BW73" s="51">
        <f>VLOOKUP(H73,Charges!$AT$4:$AU$33,2,FALSE)*I73</f>
        <v>0</v>
      </c>
      <c r="BX73" s="51">
        <f t="shared" si="84"/>
        <v>0</v>
      </c>
      <c r="BY73" s="51">
        <f t="shared" si="93"/>
        <v>0</v>
      </c>
      <c r="BZ73" s="151"/>
      <c r="CA73" s="151"/>
      <c r="CB73" s="32"/>
      <c r="CC73" s="16">
        <f ca="1">SUM($N$7:$N73)</f>
        <v>0</v>
      </c>
      <c r="CD73" s="16">
        <f t="shared" ca="1" si="85"/>
        <v>0</v>
      </c>
      <c r="CE73" s="16">
        <f t="shared" ca="1" si="86"/>
        <v>0</v>
      </c>
      <c r="CF73" s="7">
        <f t="shared" ca="1" si="94"/>
        <v>0</v>
      </c>
    </row>
    <row r="74" spans="1:84" s="7" customFormat="1" x14ac:dyDescent="0.2">
      <c r="A74" s="149"/>
      <c r="B74" s="14">
        <f t="shared" si="55"/>
        <v>1</v>
      </c>
      <c r="C74" s="12">
        <f t="shared" si="56"/>
        <v>1</v>
      </c>
      <c r="D74" s="17">
        <f t="shared" si="95"/>
        <v>68</v>
      </c>
      <c r="E74" s="17">
        <f t="shared" ca="1" si="57"/>
        <v>65</v>
      </c>
      <c r="F74" s="12">
        <f t="shared" si="53"/>
        <v>7</v>
      </c>
      <c r="G74" s="12">
        <f t="shared" si="52"/>
        <v>12</v>
      </c>
      <c r="H74" s="17">
        <f t="shared" si="54"/>
        <v>6</v>
      </c>
      <c r="I74" s="29">
        <f t="shared" si="58"/>
        <v>0</v>
      </c>
      <c r="J74" s="211">
        <f>IFERROR(VLOOKUP(H74,Charges!$T$6:$U$35,2,0)*C74,0)</f>
        <v>0.98</v>
      </c>
      <c r="K74" s="29">
        <f t="shared" si="59"/>
        <v>0</v>
      </c>
      <c r="L74" s="29">
        <f t="shared" si="60"/>
        <v>0</v>
      </c>
      <c r="M74" s="147">
        <f t="shared" ca="1" si="61"/>
        <v>0</v>
      </c>
      <c r="N74" s="148">
        <f ca="1">IF(AND(Option_SPW="Y",H74&gt;=Lock_In_Period,Z73&gt;SPW_Amount_pa+IF(option="Single",1/5*pr,2*pr),H74&gt;=SPW_Start_Year,H74&lt;=SPW_Start_Year+SPW_Duration-1,age+H74&gt;=Legal_Age),IF(AND(F74=0,SPW_Payout_Freq=1),SPW_Amount_pa,IF(AND(SPW_Payout_Freq=2,MOD(F74,6)=0),SPW_Amount_pa/SPW_Payout_Freq,IF(AND(SPW_Payout_Freq=4,MOD(F74,3)=0),SPW_Amount_pa/SPW_Payout_Freq,IF(SPW_Payout_Freq=12,SPW_Amount_pa/SPW_Payout_Freq,0)))),0)+IFERROR(VLOOKUP(H74,Input!$B$68:$C$74,2,0),0)*(F74=0)*(Option_PW="Y")*(Option_SPW="N")*(age+H74&gt;=Legal_Age)</f>
        <v>0</v>
      </c>
      <c r="O74" s="148">
        <f t="shared" ca="1" si="87"/>
        <v>0</v>
      </c>
      <c r="P74" s="14">
        <f ca="1">(MAX(MAX(sa-CF73*Flag_UL_Type,105%*SUM($I$7:I74))-(AD73+L74-N74)*Flag_UL_Type,0)*B74)</f>
        <v>1378850.9080054071</v>
      </c>
      <c r="Q74" s="213">
        <f t="shared" ca="1" si="62"/>
        <v>1784.8880291403</v>
      </c>
      <c r="R74" s="14">
        <f t="shared" ca="1" si="63"/>
        <v>0</v>
      </c>
      <c r="S74" s="14">
        <f t="shared" ca="1" si="64"/>
        <v>0</v>
      </c>
      <c r="T74" s="14">
        <f>IFERROR(IF(WoP_Flag="Y",IF(fq=1,VLOOKUP(ppt*fq-H74,Charges!$AN$41:$AO$59,2,FALSE),IF(fq=2,VLOOKUP(ppt*fq-G74,Charges!$AP$41:$AQ$79,2,FALSE),VLOOKUP(ppt*fq-D74,Charges!$AR$41:$AS$279,2,FALSE)))*pr/fq,0),0)</f>
        <v>0</v>
      </c>
      <c r="U74" s="14">
        <f ca="1">IFERROR(((T74*(VLOOKUP(Input!$D$18+H74-1,Tab_Mort_Charge,IF(Gender_2="M",2,3),FALSE)*(1+_emr2)+_rpm2)/IF(Model_Type="LA_PQIS",1000/0.0833,(12*1000))))*Flag_Mort_Rider_Charge*(T74&gt;0),0)</f>
        <v>0</v>
      </c>
      <c r="V74" s="34">
        <f>ROUND(MIN(IF(H74&gt;=7,Charges!$C$12*(1+Charges!$C$14)^((H74-7+1)),VLOOKUP(H74,Charges!$B$7:$C$12,2,0))*pr,Charges!$C$13)*B74,Round)</f>
        <v>500</v>
      </c>
      <c r="W74" s="14">
        <f t="shared" ca="1" si="65"/>
        <v>1618452.9241202073</v>
      </c>
      <c r="X74" s="14">
        <f t="shared" ca="1" si="66"/>
        <v>1623751.3178435159</v>
      </c>
      <c r="Y74" s="213">
        <f t="shared" ca="1" si="88"/>
        <v>1827.7143522826229</v>
      </c>
      <c r="Z74" s="14">
        <f t="shared" ca="1" si="67"/>
        <v>1621594.6149078223</v>
      </c>
      <c r="AA74" s="14">
        <f>IF(AND($H74=pt,$F74=11),SUM($K$7:K74)*VLOOKUP(pt,ROC,2,FALSE),0)</f>
        <v>0</v>
      </c>
      <c r="AB74" s="14">
        <f>IF(AND($H74=pt,$F74=11),SUM($V$7:V74)*VLOOKUP(pt,ROC,2,FALSE),0)</f>
        <v>0</v>
      </c>
      <c r="AC74" s="14">
        <f>IF(AND($H74=pt,$F74=11),SUM($Q$7:Q74)*VLOOKUP(pt,ROC,2,FALSE),0)</f>
        <v>0</v>
      </c>
      <c r="AD74" s="14">
        <f t="shared" ca="1" si="89"/>
        <v>1621594.6149078223</v>
      </c>
      <c r="AE74" s="14">
        <f ca="1">(MAX(sa-CF73*Flag_UL_Type,105%*SUM($I$7:I74),Z74)+AU74)*B74</f>
        <v>3000000</v>
      </c>
      <c r="AF74" s="136"/>
      <c r="AG74" s="18">
        <v>68</v>
      </c>
      <c r="AH74" s="30">
        <f t="shared" ca="1" si="68"/>
        <v>0</v>
      </c>
      <c r="AI74" s="138"/>
      <c r="AJ74" s="50">
        <f>IF(AND(Option_Sys_TopUp&gt;="Y",H74&gt;=sytp,H74&lt;=(dtp+sytp-1),F74=0,H74&lt;=ppt+1),atp,0)+IFERROR(VLOOKUP(H74,Input!$B$55:$C$61,2,0),0)*(F74=0)*(Option_TopUP="Y")*(Option_Sys_TopUp="N")*B74*(pt&gt;=H74+5)</f>
        <v>0</v>
      </c>
      <c r="AK74" s="50">
        <f t="shared" si="69"/>
        <v>0</v>
      </c>
      <c r="AL74" s="50">
        <f t="shared" si="90"/>
        <v>0</v>
      </c>
      <c r="AM74" s="50">
        <f t="shared" ca="1" si="70"/>
        <v>0</v>
      </c>
      <c r="AN74" s="50">
        <f ca="1">IF(B74=0,0,AT74*(_rpm1+(1+_emr1)*VLOOKUP(E74,Tab_Mort_Charge,IF(Input!$C$12="M",2,3),0))*(0.001*0.0833)*Flag_Mort_Rider_Charge*(AT74&gt;0))</f>
        <v>0</v>
      </c>
      <c r="AO74" s="50">
        <f t="shared" ca="1" si="91"/>
        <v>0</v>
      </c>
      <c r="AP74" s="50">
        <f t="shared" ca="1" si="92"/>
        <v>0</v>
      </c>
      <c r="AQ74" s="50">
        <f t="shared" ca="1" si="71"/>
        <v>0</v>
      </c>
      <c r="AR74" s="50">
        <f t="shared" ca="1" si="72"/>
        <v>0</v>
      </c>
      <c r="AS74" s="50">
        <f t="shared" si="73"/>
        <v>0</v>
      </c>
      <c r="AT74" s="50">
        <f ca="1">(MAX((MAX(AS74,105%*SUM($AJ$7:AJ74))-AM74*Flag_UL_Type),0)*B74)</f>
        <v>0</v>
      </c>
      <c r="AU74" s="50">
        <f ca="1">(MAX(AS74,AR74,105%*SUM($AJ$7:AJ74))*B74)</f>
        <v>0</v>
      </c>
      <c r="AV74" s="125"/>
      <c r="AW74" s="13"/>
      <c r="AX74" s="13"/>
      <c r="AY74" s="13"/>
      <c r="AZ74" s="13"/>
      <c r="BA74" s="13"/>
      <c r="BG74" s="51">
        <f t="shared" si="74"/>
        <v>0</v>
      </c>
      <c r="BH74" s="51">
        <f t="shared" ca="1" si="75"/>
        <v>321.27984524525402</v>
      </c>
      <c r="BI74" s="51">
        <f t="shared" ca="1" si="76"/>
        <v>0</v>
      </c>
      <c r="BJ74" s="51">
        <f t="shared" ca="1" si="77"/>
        <v>0</v>
      </c>
      <c r="BK74" s="51">
        <f t="shared" si="78"/>
        <v>90</v>
      </c>
      <c r="BL74" s="51">
        <f t="shared" ca="1" si="79"/>
        <v>328.98858341087214</v>
      </c>
      <c r="BM74" s="51">
        <f t="shared" si="80"/>
        <v>0</v>
      </c>
      <c r="BN74" s="51">
        <f t="shared" ca="1" si="81"/>
        <v>0</v>
      </c>
      <c r="BO74" s="51">
        <f t="shared" ca="1" si="82"/>
        <v>0</v>
      </c>
      <c r="BP74" s="51">
        <f t="shared" ca="1" si="83"/>
        <v>740.26842865612616</v>
      </c>
      <c r="BR74" s="32"/>
      <c r="BS74" s="126"/>
      <c r="BT74" s="16"/>
      <c r="BU74" s="58"/>
      <c r="BW74" s="51">
        <f>VLOOKUP(H74,Charges!$AT$4:$AU$33,2,FALSE)*I74</f>
        <v>0</v>
      </c>
      <c r="BX74" s="51">
        <f t="shared" si="84"/>
        <v>0</v>
      </c>
      <c r="BY74" s="51">
        <f t="shared" si="93"/>
        <v>0</v>
      </c>
      <c r="BZ74" s="151"/>
      <c r="CA74" s="151"/>
      <c r="CB74" s="32"/>
      <c r="CC74" s="16">
        <f ca="1">SUM($N$7:$N74)</f>
        <v>0</v>
      </c>
      <c r="CD74" s="16">
        <f t="shared" ca="1" si="85"/>
        <v>0</v>
      </c>
      <c r="CE74" s="16">
        <f t="shared" ca="1" si="86"/>
        <v>0</v>
      </c>
      <c r="CF74" s="7">
        <f t="shared" ca="1" si="94"/>
        <v>0</v>
      </c>
    </row>
    <row r="75" spans="1:84" s="7" customFormat="1" x14ac:dyDescent="0.2">
      <c r="A75" s="149"/>
      <c r="B75" s="14">
        <f t="shared" si="55"/>
        <v>1</v>
      </c>
      <c r="C75" s="12">
        <f t="shared" si="56"/>
        <v>1</v>
      </c>
      <c r="D75" s="17">
        <f t="shared" si="95"/>
        <v>69</v>
      </c>
      <c r="E75" s="17">
        <f t="shared" ca="1" si="57"/>
        <v>65</v>
      </c>
      <c r="F75" s="12">
        <f t="shared" si="53"/>
        <v>8</v>
      </c>
      <c r="G75" s="12">
        <f t="shared" si="52"/>
        <v>12</v>
      </c>
      <c r="H75" s="17">
        <f t="shared" si="54"/>
        <v>6</v>
      </c>
      <c r="I75" s="29">
        <f t="shared" si="58"/>
        <v>0</v>
      </c>
      <c r="J75" s="211">
        <f>IFERROR(VLOOKUP(H75,Charges!$T$6:$U$35,2,0)*C75,0)</f>
        <v>0.98</v>
      </c>
      <c r="K75" s="29">
        <f t="shared" si="59"/>
        <v>0</v>
      </c>
      <c r="L75" s="29">
        <f t="shared" si="60"/>
        <v>0</v>
      </c>
      <c r="M75" s="147">
        <f t="shared" ca="1" si="61"/>
        <v>0</v>
      </c>
      <c r="N75" s="148">
        <f ca="1">IF(AND(Option_SPW="Y",H75&gt;=Lock_In_Period,Z74&gt;SPW_Amount_pa+IF(option="Single",1/5*pr,2*pr),H75&gt;=SPW_Start_Year,H75&lt;=SPW_Start_Year+SPW_Duration-1,age+H75&gt;=Legal_Age),IF(AND(F75=0,SPW_Payout_Freq=1),SPW_Amount_pa,IF(AND(SPW_Payout_Freq=2,MOD(F75,6)=0),SPW_Amount_pa/SPW_Payout_Freq,IF(AND(SPW_Payout_Freq=4,MOD(F75,3)=0),SPW_Amount_pa/SPW_Payout_Freq,IF(SPW_Payout_Freq=12,SPW_Amount_pa/SPW_Payout_Freq,0)))),0)+IFERROR(VLOOKUP(H75,Input!$B$68:$C$74,2,0),0)*(F75=0)*(Option_PW="Y")*(Option_SPW="N")*(age+H75&gt;=Legal_Age)</f>
        <v>0</v>
      </c>
      <c r="O75" s="148">
        <f t="shared" ca="1" si="87"/>
        <v>0</v>
      </c>
      <c r="P75" s="14">
        <f ca="1">(MAX(MAX(sa-CF74*Flag_UL_Type,105%*SUM($I$7:I75))-(AD74+L75-N75)*Flag_UL_Type,0)*B75)</f>
        <v>1378405.3850921777</v>
      </c>
      <c r="Q75" s="213">
        <f t="shared" ca="1" si="62"/>
        <v>1784.3113108671998</v>
      </c>
      <c r="R75" s="14">
        <f t="shared" ca="1" si="63"/>
        <v>0</v>
      </c>
      <c r="S75" s="14">
        <f t="shared" ca="1" si="64"/>
        <v>0</v>
      </c>
      <c r="T75" s="14">
        <f>IFERROR(IF(WoP_Flag="Y",IF(fq=1,VLOOKUP(ppt*fq-H75,Charges!$AN$41:$AO$59,2,FALSE),IF(fq=2,VLOOKUP(ppt*fq-G75,Charges!$AP$41:$AQ$79,2,FALSE),VLOOKUP(ppt*fq-D75,Charges!$AR$41:$AS$279,2,FALSE)))*pr/fq,0),0)</f>
        <v>0</v>
      </c>
      <c r="U75" s="14">
        <f ca="1">IFERROR(((T75*(VLOOKUP(Input!$D$18+H75-1,Tab_Mort_Charge,IF(Gender_2="M",2,3),FALSE)*(1+_emr2)+_rpm2)/IF(Model_Type="LA_PQIS",1000/0.0833,(12*1000))))*Flag_Mort_Rider_Charge*(T75&gt;0),0)</f>
        <v>0</v>
      </c>
      <c r="V75" s="34">
        <f>ROUND(MIN(IF(H75&gt;=7,Charges!$C$12*(1+Charges!$C$14)^((H75-7+1)),VLOOKUP(H75,Charges!$B$7:$C$12,2,0))*pr,Charges!$C$13)*B75,Round)</f>
        <v>500</v>
      </c>
      <c r="W75" s="14">
        <f t="shared" ca="1" si="65"/>
        <v>1618899.127560999</v>
      </c>
      <c r="X75" s="14">
        <f t="shared" ca="1" si="66"/>
        <v>1624198.9820382625</v>
      </c>
      <c r="Y75" s="213">
        <f t="shared" ca="1" si="88"/>
        <v>1828.2182485780409</v>
      </c>
      <c r="Z75" s="14">
        <f t="shared" ca="1" si="67"/>
        <v>1622041.6845049404</v>
      </c>
      <c r="AA75" s="14">
        <f>IF(AND($H75=pt,$F75=11),SUM($K$7:K75)*VLOOKUP(pt,ROC,2,FALSE),0)</f>
        <v>0</v>
      </c>
      <c r="AB75" s="14">
        <f>IF(AND($H75=pt,$F75=11),SUM($V$7:V75)*VLOOKUP(pt,ROC,2,FALSE),0)</f>
        <v>0</v>
      </c>
      <c r="AC75" s="14">
        <f>IF(AND($H75=pt,$F75=11),SUM($Q$7:Q75)*VLOOKUP(pt,ROC,2,FALSE),0)</f>
        <v>0</v>
      </c>
      <c r="AD75" s="14">
        <f t="shared" ca="1" si="89"/>
        <v>1622041.6845049404</v>
      </c>
      <c r="AE75" s="14">
        <f ca="1">(MAX(sa-CF74*Flag_UL_Type,105%*SUM($I$7:I75),Z75)+AU75)*B75</f>
        <v>3000000</v>
      </c>
      <c r="AF75" s="136"/>
      <c r="AG75" s="18">
        <v>69</v>
      </c>
      <c r="AH75" s="30">
        <f t="shared" ca="1" si="68"/>
        <v>0</v>
      </c>
      <c r="AI75" s="138"/>
      <c r="AJ75" s="50">
        <f>IF(AND(Option_Sys_TopUp&gt;="Y",H75&gt;=sytp,H75&lt;=(dtp+sytp-1),F75=0,H75&lt;=ppt+1),atp,0)+IFERROR(VLOOKUP(H75,Input!$B$55:$C$61,2,0),0)*(F75=0)*(Option_TopUP="Y")*(Option_Sys_TopUp="N")*B75*(pt&gt;=H75+5)</f>
        <v>0</v>
      </c>
      <c r="AK75" s="50">
        <f t="shared" si="69"/>
        <v>0</v>
      </c>
      <c r="AL75" s="50">
        <f t="shared" si="90"/>
        <v>0</v>
      </c>
      <c r="AM75" s="50">
        <f t="shared" ca="1" si="70"/>
        <v>0</v>
      </c>
      <c r="AN75" s="50">
        <f ca="1">IF(B75=0,0,AT75*(_rpm1+(1+_emr1)*VLOOKUP(E75,Tab_Mort_Charge,IF(Input!$C$12="M",2,3),0))*(0.001*0.0833)*Flag_Mort_Rider_Charge*(AT75&gt;0))</f>
        <v>0</v>
      </c>
      <c r="AO75" s="50">
        <f t="shared" ca="1" si="91"/>
        <v>0</v>
      </c>
      <c r="AP75" s="50">
        <f t="shared" ca="1" si="92"/>
        <v>0</v>
      </c>
      <c r="AQ75" s="50">
        <f t="shared" ca="1" si="71"/>
        <v>0</v>
      </c>
      <c r="AR75" s="50">
        <f t="shared" ca="1" si="72"/>
        <v>0</v>
      </c>
      <c r="AS75" s="50">
        <f t="shared" si="73"/>
        <v>0</v>
      </c>
      <c r="AT75" s="50">
        <f ca="1">(MAX((MAX(AS75,105%*SUM($AJ$7:AJ75))-AM75*Flag_UL_Type),0)*B75)</f>
        <v>0</v>
      </c>
      <c r="AU75" s="50">
        <f ca="1">(MAX(AS75,AR75,105%*SUM($AJ$7:AJ75))*B75)</f>
        <v>0</v>
      </c>
      <c r="AV75" s="125"/>
      <c r="AW75" s="13"/>
      <c r="AX75" s="13"/>
      <c r="AY75" s="13"/>
      <c r="AZ75" s="13"/>
      <c r="BA75" s="13"/>
      <c r="BG75" s="51">
        <f t="shared" si="74"/>
        <v>0</v>
      </c>
      <c r="BH75" s="51">
        <f t="shared" ca="1" si="75"/>
        <v>321.17603595609597</v>
      </c>
      <c r="BI75" s="51">
        <f t="shared" ca="1" si="76"/>
        <v>0</v>
      </c>
      <c r="BJ75" s="51">
        <f t="shared" ca="1" si="77"/>
        <v>0</v>
      </c>
      <c r="BK75" s="51">
        <f t="shared" si="78"/>
        <v>90</v>
      </c>
      <c r="BL75" s="51">
        <f t="shared" ca="1" si="79"/>
        <v>329.07928474404736</v>
      </c>
      <c r="BM75" s="51">
        <f t="shared" si="80"/>
        <v>0</v>
      </c>
      <c r="BN75" s="51">
        <f t="shared" ca="1" si="81"/>
        <v>0</v>
      </c>
      <c r="BO75" s="51">
        <f t="shared" ca="1" si="82"/>
        <v>0</v>
      </c>
      <c r="BP75" s="51">
        <f t="shared" ca="1" si="83"/>
        <v>740.25532070014333</v>
      </c>
      <c r="BR75" s="32"/>
      <c r="BS75" s="126"/>
      <c r="BT75" s="16"/>
      <c r="BU75" s="58"/>
      <c r="BW75" s="51">
        <f>VLOOKUP(H75,Charges!$AT$4:$AU$33,2,FALSE)*I75</f>
        <v>0</v>
      </c>
      <c r="BX75" s="51">
        <f t="shared" si="84"/>
        <v>0</v>
      </c>
      <c r="BY75" s="51">
        <f t="shared" si="93"/>
        <v>0</v>
      </c>
      <c r="BZ75" s="151"/>
      <c r="CA75" s="151"/>
      <c r="CB75" s="32"/>
      <c r="CC75" s="16">
        <f ca="1">SUM($N$7:$N75)</f>
        <v>0</v>
      </c>
      <c r="CD75" s="16">
        <f t="shared" ca="1" si="85"/>
        <v>0</v>
      </c>
      <c r="CE75" s="16">
        <f t="shared" ca="1" si="86"/>
        <v>0</v>
      </c>
      <c r="CF75" s="7">
        <f t="shared" ca="1" si="94"/>
        <v>0</v>
      </c>
    </row>
    <row r="76" spans="1:84" s="7" customFormat="1" x14ac:dyDescent="0.2">
      <c r="A76" s="149"/>
      <c r="B76" s="14">
        <f t="shared" si="55"/>
        <v>1</v>
      </c>
      <c r="C76" s="12">
        <f t="shared" si="56"/>
        <v>1</v>
      </c>
      <c r="D76" s="17">
        <f t="shared" si="95"/>
        <v>70</v>
      </c>
      <c r="E76" s="17">
        <f t="shared" ca="1" si="57"/>
        <v>65</v>
      </c>
      <c r="F76" s="12">
        <f t="shared" si="53"/>
        <v>9</v>
      </c>
      <c r="G76" s="12">
        <f t="shared" si="52"/>
        <v>12</v>
      </c>
      <c r="H76" s="17">
        <f t="shared" si="54"/>
        <v>6</v>
      </c>
      <c r="I76" s="29">
        <f t="shared" si="58"/>
        <v>0</v>
      </c>
      <c r="J76" s="211">
        <f>IFERROR(VLOOKUP(H76,Charges!$T$6:$U$35,2,0)*C76,0)</f>
        <v>0.98</v>
      </c>
      <c r="K76" s="29">
        <f t="shared" si="59"/>
        <v>0</v>
      </c>
      <c r="L76" s="29">
        <f t="shared" si="60"/>
        <v>0</v>
      </c>
      <c r="M76" s="147">
        <f t="shared" ca="1" si="61"/>
        <v>0</v>
      </c>
      <c r="N76" s="148">
        <f ca="1">IF(AND(Option_SPW="Y",H76&gt;=Lock_In_Period,Z75&gt;SPW_Amount_pa+IF(option="Single",1/5*pr,2*pr),H76&gt;=SPW_Start_Year,H76&lt;=SPW_Start_Year+SPW_Duration-1,age+H76&gt;=Legal_Age),IF(AND(F76=0,SPW_Payout_Freq=1),SPW_Amount_pa,IF(AND(SPW_Payout_Freq=2,MOD(F76,6)=0),SPW_Amount_pa/SPW_Payout_Freq,IF(AND(SPW_Payout_Freq=4,MOD(F76,3)=0),SPW_Amount_pa/SPW_Payout_Freq,IF(SPW_Payout_Freq=12,SPW_Amount_pa/SPW_Payout_Freq,0)))),0)+IFERROR(VLOOKUP(H76,Input!$B$68:$C$74,2,0),0)*(F76=0)*(Option_PW="Y")*(Option_SPW="N")*(age+H76&gt;=Legal_Age)</f>
        <v>0</v>
      </c>
      <c r="O76" s="148">
        <f t="shared" ca="1" si="87"/>
        <v>0</v>
      </c>
      <c r="P76" s="14">
        <f ca="1">(MAX(MAX(sa-CF75*Flag_UL_Type,105%*SUM($I$7:I76))-(AD75+L76-N76)*Flag_UL_Type,0)*B76)</f>
        <v>1377958.3154950596</v>
      </c>
      <c r="Q76" s="213">
        <f t="shared" ca="1" si="62"/>
        <v>1783.7325904504667</v>
      </c>
      <c r="R76" s="14">
        <f t="shared" ca="1" si="63"/>
        <v>0</v>
      </c>
      <c r="S76" s="14">
        <f t="shared" ca="1" si="64"/>
        <v>0</v>
      </c>
      <c r="T76" s="14">
        <f>IFERROR(IF(WoP_Flag="Y",IF(fq=1,VLOOKUP(ppt*fq-H76,Charges!$AN$41:$AO$59,2,FALSE),IF(fq=2,VLOOKUP(ppt*fq-G76,Charges!$AP$41:$AQ$79,2,FALSE),VLOOKUP(ppt*fq-D76,Charges!$AR$41:$AS$279,2,FALSE)))*pr/fq,0),0)</f>
        <v>0</v>
      </c>
      <c r="U76" s="14">
        <f ca="1">IFERROR(((T76*(VLOOKUP(Input!$D$18+H76-1,Tab_Mort_Charge,IF(Gender_2="M",2,3),FALSE)*(1+_emr2)+_rpm2)/IF(Model_Type="LA_PQIS",1000/0.0833,(12*1000))))*Flag_Mort_Rider_Charge*(T76&gt;0),0)</f>
        <v>0</v>
      </c>
      <c r="V76" s="34">
        <f>ROUND(MIN(IF(H76&gt;=7,Charges!$C$12*(1+Charges!$C$14)^((H76-7+1)),VLOOKUP(H76,Charges!$B$7:$C$12,2,0))*pr,Charges!$C$13)*B76,Round)</f>
        <v>500</v>
      </c>
      <c r="W76" s="14">
        <f t="shared" ca="1" si="65"/>
        <v>1619346.8800482089</v>
      </c>
      <c r="X76" s="14">
        <f t="shared" ca="1" si="66"/>
        <v>1624648.2003506024</v>
      </c>
      <c r="Y76" s="213">
        <f t="shared" ca="1" si="88"/>
        <v>1828.7238942072388</v>
      </c>
      <c r="Z76" s="14">
        <f t="shared" ca="1" si="67"/>
        <v>1622490.3061554378</v>
      </c>
      <c r="AA76" s="14">
        <f>IF(AND($H76=pt,$F76=11),SUM($K$7:K76)*VLOOKUP(pt,ROC,2,FALSE),0)</f>
        <v>0</v>
      </c>
      <c r="AB76" s="14">
        <f>IF(AND($H76=pt,$F76=11),SUM($V$7:V76)*VLOOKUP(pt,ROC,2,FALSE),0)</f>
        <v>0</v>
      </c>
      <c r="AC76" s="14">
        <f>IF(AND($H76=pt,$F76=11),SUM($Q$7:Q76)*VLOOKUP(pt,ROC,2,FALSE),0)</f>
        <v>0</v>
      </c>
      <c r="AD76" s="14">
        <f t="shared" ca="1" si="89"/>
        <v>1622490.3061554378</v>
      </c>
      <c r="AE76" s="14">
        <f ca="1">(MAX(sa-CF75*Flag_UL_Type,105%*SUM($I$7:I76),Z76)+AU76)*B76</f>
        <v>3000000</v>
      </c>
      <c r="AF76" s="136"/>
      <c r="AG76" s="18">
        <v>70</v>
      </c>
      <c r="AH76" s="30">
        <f t="shared" ca="1" si="68"/>
        <v>0</v>
      </c>
      <c r="AI76" s="138"/>
      <c r="AJ76" s="50">
        <f>IF(AND(Option_Sys_TopUp&gt;="Y",H76&gt;=sytp,H76&lt;=(dtp+sytp-1),F76=0,H76&lt;=ppt+1),atp,0)+IFERROR(VLOOKUP(H76,Input!$B$55:$C$61,2,0),0)*(F76=0)*(Option_TopUP="Y")*(Option_Sys_TopUp="N")*B76*(pt&gt;=H76+5)</f>
        <v>0</v>
      </c>
      <c r="AK76" s="50">
        <f t="shared" si="69"/>
        <v>0</v>
      </c>
      <c r="AL76" s="50">
        <f t="shared" si="90"/>
        <v>0</v>
      </c>
      <c r="AM76" s="50">
        <f t="shared" ca="1" si="70"/>
        <v>0</v>
      </c>
      <c r="AN76" s="50">
        <f ca="1">IF(B76=0,0,AT76*(_rpm1+(1+_emr1)*VLOOKUP(E76,Tab_Mort_Charge,IF(Input!$C$12="M",2,3),0))*(0.001*0.0833)*Flag_Mort_Rider_Charge*(AT76&gt;0))</f>
        <v>0</v>
      </c>
      <c r="AO76" s="50">
        <f t="shared" ca="1" si="91"/>
        <v>0</v>
      </c>
      <c r="AP76" s="50">
        <f t="shared" ca="1" si="92"/>
        <v>0</v>
      </c>
      <c r="AQ76" s="50">
        <f t="shared" ca="1" si="71"/>
        <v>0</v>
      </c>
      <c r="AR76" s="50">
        <f t="shared" ca="1" si="72"/>
        <v>0</v>
      </c>
      <c r="AS76" s="50">
        <f t="shared" si="73"/>
        <v>0</v>
      </c>
      <c r="AT76" s="50">
        <f ca="1">(MAX((MAX(AS76,105%*SUM($AJ$7:AJ76))-AM76*Flag_UL_Type),0)*B76)</f>
        <v>0</v>
      </c>
      <c r="AU76" s="50">
        <f ca="1">(MAX(AS76,AR76,105%*SUM($AJ$7:AJ76))*B76)</f>
        <v>0</v>
      </c>
      <c r="AV76" s="125"/>
      <c r="AW76" s="13"/>
      <c r="AX76" s="13"/>
      <c r="AY76" s="13"/>
      <c r="AZ76" s="13"/>
      <c r="BA76" s="13"/>
      <c r="BG76" s="51">
        <f t="shared" si="74"/>
        <v>0</v>
      </c>
      <c r="BH76" s="51">
        <f t="shared" ca="1" si="75"/>
        <v>321.071866281084</v>
      </c>
      <c r="BI76" s="51">
        <f t="shared" ca="1" si="76"/>
        <v>0</v>
      </c>
      <c r="BJ76" s="51">
        <f t="shared" ca="1" si="77"/>
        <v>0</v>
      </c>
      <c r="BK76" s="51">
        <f t="shared" si="78"/>
        <v>90</v>
      </c>
      <c r="BL76" s="51">
        <f t="shared" ca="1" si="79"/>
        <v>329.17030095730297</v>
      </c>
      <c r="BM76" s="51">
        <f t="shared" si="80"/>
        <v>0</v>
      </c>
      <c r="BN76" s="51">
        <f t="shared" ca="1" si="81"/>
        <v>0</v>
      </c>
      <c r="BO76" s="51">
        <f t="shared" ca="1" si="82"/>
        <v>0</v>
      </c>
      <c r="BP76" s="51">
        <f t="shared" ca="1" si="83"/>
        <v>740.24216723838697</v>
      </c>
      <c r="BR76" s="32"/>
      <c r="BS76" s="126"/>
      <c r="BT76" s="16"/>
      <c r="BU76" s="58"/>
      <c r="BW76" s="51">
        <f>VLOOKUP(H76,Charges!$AT$4:$AU$33,2,FALSE)*I76</f>
        <v>0</v>
      </c>
      <c r="BX76" s="51">
        <f t="shared" si="84"/>
        <v>0</v>
      </c>
      <c r="BY76" s="51">
        <f t="shared" si="93"/>
        <v>0</v>
      </c>
      <c r="BZ76" s="151"/>
      <c r="CA76" s="151"/>
      <c r="CB76" s="32"/>
      <c r="CC76" s="16">
        <f ca="1">SUM($N$7:$N76)</f>
        <v>0</v>
      </c>
      <c r="CD76" s="16">
        <f t="shared" ca="1" si="85"/>
        <v>0</v>
      </c>
      <c r="CE76" s="16">
        <f t="shared" ca="1" si="86"/>
        <v>0</v>
      </c>
      <c r="CF76" s="7">
        <f t="shared" ca="1" si="94"/>
        <v>0</v>
      </c>
    </row>
    <row r="77" spans="1:84" s="7" customFormat="1" x14ac:dyDescent="0.2">
      <c r="A77" s="149"/>
      <c r="B77" s="14">
        <f t="shared" si="55"/>
        <v>1</v>
      </c>
      <c r="C77" s="12">
        <f t="shared" si="56"/>
        <v>1</v>
      </c>
      <c r="D77" s="17">
        <f t="shared" si="95"/>
        <v>71</v>
      </c>
      <c r="E77" s="17">
        <f t="shared" ca="1" si="57"/>
        <v>65</v>
      </c>
      <c r="F77" s="12">
        <f t="shared" si="53"/>
        <v>10</v>
      </c>
      <c r="G77" s="12">
        <f t="shared" si="52"/>
        <v>12</v>
      </c>
      <c r="H77" s="17">
        <f t="shared" si="54"/>
        <v>6</v>
      </c>
      <c r="I77" s="29">
        <f t="shared" si="58"/>
        <v>0</v>
      </c>
      <c r="J77" s="211">
        <f>IFERROR(VLOOKUP(H77,Charges!$T$6:$U$35,2,0)*C77,0)</f>
        <v>0.98</v>
      </c>
      <c r="K77" s="29">
        <f t="shared" si="59"/>
        <v>0</v>
      </c>
      <c r="L77" s="29">
        <f t="shared" si="60"/>
        <v>0</v>
      </c>
      <c r="M77" s="147">
        <f t="shared" ca="1" si="61"/>
        <v>0</v>
      </c>
      <c r="N77" s="148">
        <f ca="1">IF(AND(Option_SPW="Y",H77&gt;=Lock_In_Period,Z76&gt;SPW_Amount_pa+IF(option="Single",1/5*pr,2*pr),H77&gt;=SPW_Start_Year,H77&lt;=SPW_Start_Year+SPW_Duration-1,age+H77&gt;=Legal_Age),IF(AND(F77=0,SPW_Payout_Freq=1),SPW_Amount_pa,IF(AND(SPW_Payout_Freq=2,MOD(F77,6)=0),SPW_Amount_pa/SPW_Payout_Freq,IF(AND(SPW_Payout_Freq=4,MOD(F77,3)=0),SPW_Amount_pa/SPW_Payout_Freq,IF(SPW_Payout_Freq=12,SPW_Amount_pa/SPW_Payout_Freq,0)))),0)+IFERROR(VLOOKUP(H77,Input!$B$68:$C$74,2,0),0)*(F77=0)*(Option_PW="Y")*(Option_SPW="N")*(age+H77&gt;=Legal_Age)</f>
        <v>0</v>
      </c>
      <c r="O77" s="148">
        <f t="shared" ca="1" si="87"/>
        <v>0</v>
      </c>
      <c r="P77" s="14">
        <f ca="1">(MAX(MAX(sa-CF76*Flag_UL_Type,105%*SUM($I$7:I77))-(AD76+L77-N77)*Flag_UL_Type,0)*B77)</f>
        <v>1377509.6938445622</v>
      </c>
      <c r="Q77" s="213">
        <f t="shared" ca="1" si="62"/>
        <v>1783.1518609394416</v>
      </c>
      <c r="R77" s="14">
        <f t="shared" ca="1" si="63"/>
        <v>0</v>
      </c>
      <c r="S77" s="14">
        <f t="shared" ca="1" si="64"/>
        <v>0</v>
      </c>
      <c r="T77" s="14">
        <f>IFERROR(IF(WoP_Flag="Y",IF(fq=1,VLOOKUP(ppt*fq-H77,Charges!$AN$41:$AO$59,2,FALSE),IF(fq=2,VLOOKUP(ppt*fq-G77,Charges!$AP$41:$AQ$79,2,FALSE),VLOOKUP(ppt*fq-D77,Charges!$AR$41:$AS$279,2,FALSE)))*pr/fq,0),0)</f>
        <v>0</v>
      </c>
      <c r="U77" s="14">
        <f ca="1">IFERROR(((T77*(VLOOKUP(Input!$D$18+H77-1,Tab_Mort_Charge,IF(Gender_2="M",2,3),FALSE)*(1+_emr2)+_rpm2)/IF(Model_Type="LA_PQIS",1000/0.0833,(12*1000))))*Flag_Mort_Rider_Charge*(T77&gt;0),0)</f>
        <v>0</v>
      </c>
      <c r="V77" s="34">
        <f>ROUND(MIN(IF(H77&gt;=7,Charges!$C$12*(1+Charges!$C$14)^((H77-7+1)),VLOOKUP(H77,Charges!$B$7:$C$12,2,0))*pr,Charges!$C$13)*B77,Round)</f>
        <v>500</v>
      </c>
      <c r="W77" s="14">
        <f t="shared" ca="1" si="65"/>
        <v>1619796.1869595293</v>
      </c>
      <c r="X77" s="14">
        <f t="shared" ca="1" si="66"/>
        <v>1625098.9781758329</v>
      </c>
      <c r="Y77" s="213">
        <f t="shared" ca="1" si="88"/>
        <v>1829.2312952432292</v>
      </c>
      <c r="Z77" s="14">
        <f t="shared" ca="1" si="67"/>
        <v>1622940.485247446</v>
      </c>
      <c r="AA77" s="14">
        <f>IF(AND($H77=pt,$F77=11),SUM($K$7:K77)*VLOOKUP(pt,ROC,2,FALSE),0)</f>
        <v>0</v>
      </c>
      <c r="AB77" s="14">
        <f>IF(AND($H77=pt,$F77=11),SUM($V$7:V77)*VLOOKUP(pt,ROC,2,FALSE),0)</f>
        <v>0</v>
      </c>
      <c r="AC77" s="14">
        <f>IF(AND($H77=pt,$F77=11),SUM($Q$7:Q77)*VLOOKUP(pt,ROC,2,FALSE),0)</f>
        <v>0</v>
      </c>
      <c r="AD77" s="14">
        <f t="shared" ca="1" si="89"/>
        <v>1622940.485247446</v>
      </c>
      <c r="AE77" s="14">
        <f ca="1">(MAX(sa-CF76*Flag_UL_Type,105%*SUM($I$7:I77),Z77)+AU77)*B77</f>
        <v>3000000</v>
      </c>
      <c r="AF77" s="136"/>
      <c r="AG77" s="18">
        <v>71</v>
      </c>
      <c r="AH77" s="30">
        <f t="shared" ca="1" si="68"/>
        <v>0</v>
      </c>
      <c r="AI77" s="138"/>
      <c r="AJ77" s="50">
        <f>IF(AND(Option_Sys_TopUp&gt;="Y",H77&gt;=sytp,H77&lt;=(dtp+sytp-1),F77=0,H77&lt;=ppt+1),atp,0)+IFERROR(VLOOKUP(H77,Input!$B$55:$C$61,2,0),0)*(F77=0)*(Option_TopUP="Y")*(Option_Sys_TopUp="N")*B77*(pt&gt;=H77+5)</f>
        <v>0</v>
      </c>
      <c r="AK77" s="50">
        <f t="shared" si="69"/>
        <v>0</v>
      </c>
      <c r="AL77" s="50">
        <f t="shared" si="90"/>
        <v>0</v>
      </c>
      <c r="AM77" s="50">
        <f t="shared" ca="1" si="70"/>
        <v>0</v>
      </c>
      <c r="AN77" s="50">
        <f ca="1">IF(B77=0,0,AT77*(_rpm1+(1+_emr1)*VLOOKUP(E77,Tab_Mort_Charge,IF(Input!$C$12="M",2,3),0))*(0.001*0.0833)*Flag_Mort_Rider_Charge*(AT77&gt;0))</f>
        <v>0</v>
      </c>
      <c r="AO77" s="50">
        <f t="shared" ca="1" si="91"/>
        <v>0</v>
      </c>
      <c r="AP77" s="50">
        <f t="shared" ca="1" si="92"/>
        <v>0</v>
      </c>
      <c r="AQ77" s="50">
        <f t="shared" ca="1" si="71"/>
        <v>0</v>
      </c>
      <c r="AR77" s="50">
        <f t="shared" ca="1" si="72"/>
        <v>0</v>
      </c>
      <c r="AS77" s="50">
        <f t="shared" si="73"/>
        <v>0</v>
      </c>
      <c r="AT77" s="50">
        <f ca="1">(MAX((MAX(AS77,105%*SUM($AJ$7:AJ77))-AM77*Flag_UL_Type),0)*B77)</f>
        <v>0</v>
      </c>
      <c r="AU77" s="50">
        <f ca="1">(MAX(AS77,AR77,105%*SUM($AJ$7:AJ77))*B77)</f>
        <v>0</v>
      </c>
      <c r="AV77" s="125"/>
      <c r="AW77" s="13"/>
      <c r="AX77" s="13"/>
      <c r="AY77" s="13"/>
      <c r="AZ77" s="13"/>
      <c r="BA77" s="13"/>
      <c r="BG77" s="51">
        <f t="shared" si="74"/>
        <v>0</v>
      </c>
      <c r="BH77" s="51">
        <f t="shared" ca="1" si="75"/>
        <v>320.967334969099</v>
      </c>
      <c r="BI77" s="51">
        <f t="shared" ca="1" si="76"/>
        <v>0</v>
      </c>
      <c r="BJ77" s="51">
        <f t="shared" ca="1" si="77"/>
        <v>0</v>
      </c>
      <c r="BK77" s="51">
        <f t="shared" si="78"/>
        <v>90</v>
      </c>
      <c r="BL77" s="51">
        <f t="shared" ca="1" si="79"/>
        <v>329.26163314378124</v>
      </c>
      <c r="BM77" s="51">
        <f t="shared" si="80"/>
        <v>0</v>
      </c>
      <c r="BN77" s="51">
        <f t="shared" ca="1" si="81"/>
        <v>0</v>
      </c>
      <c r="BO77" s="51">
        <f t="shared" ca="1" si="82"/>
        <v>0</v>
      </c>
      <c r="BP77" s="51">
        <f t="shared" ca="1" si="83"/>
        <v>740.22896811288024</v>
      </c>
      <c r="BR77" s="32"/>
      <c r="BS77" s="126"/>
      <c r="BT77" s="16"/>
      <c r="BU77" s="58"/>
      <c r="BW77" s="51">
        <f>VLOOKUP(H77,Charges!$AT$4:$AU$33,2,FALSE)*I77</f>
        <v>0</v>
      </c>
      <c r="BX77" s="51">
        <f t="shared" si="84"/>
        <v>0</v>
      </c>
      <c r="BY77" s="51">
        <f t="shared" si="93"/>
        <v>0</v>
      </c>
      <c r="BZ77" s="151"/>
      <c r="CA77" s="151"/>
      <c r="CB77" s="32"/>
      <c r="CC77" s="16">
        <f ca="1">SUM($N$7:$N77)</f>
        <v>0</v>
      </c>
      <c r="CD77" s="16">
        <f t="shared" ca="1" si="85"/>
        <v>0</v>
      </c>
      <c r="CE77" s="16">
        <f t="shared" ca="1" si="86"/>
        <v>0</v>
      </c>
      <c r="CF77" s="7">
        <f t="shared" ca="1" si="94"/>
        <v>0</v>
      </c>
    </row>
    <row r="78" spans="1:84" s="7" customFormat="1" x14ac:dyDescent="0.2">
      <c r="A78" s="149"/>
      <c r="B78" s="14">
        <f t="shared" si="55"/>
        <v>1</v>
      </c>
      <c r="C78" s="12">
        <f t="shared" si="56"/>
        <v>1</v>
      </c>
      <c r="D78" s="17">
        <f t="shared" si="95"/>
        <v>72</v>
      </c>
      <c r="E78" s="17">
        <f t="shared" ca="1" si="57"/>
        <v>65</v>
      </c>
      <c r="F78" s="12">
        <f t="shared" si="53"/>
        <v>11</v>
      </c>
      <c r="G78" s="12">
        <f t="shared" ref="G78:G141" si="96">G72+1</f>
        <v>12</v>
      </c>
      <c r="H78" s="17">
        <f t="shared" si="54"/>
        <v>6</v>
      </c>
      <c r="I78" s="29">
        <f t="shared" si="58"/>
        <v>0</v>
      </c>
      <c r="J78" s="211">
        <f>IFERROR(VLOOKUP(H78,Charges!$T$6:$U$35,2,0)*C78,0)</f>
        <v>0.98</v>
      </c>
      <c r="K78" s="29">
        <f t="shared" si="59"/>
        <v>0</v>
      </c>
      <c r="L78" s="29">
        <f t="shared" si="60"/>
        <v>0</v>
      </c>
      <c r="M78" s="147">
        <f t="shared" ca="1" si="61"/>
        <v>0</v>
      </c>
      <c r="N78" s="148">
        <f ca="1">IF(AND(Option_SPW="Y",H78&gt;=Lock_In_Period,Z77&gt;SPW_Amount_pa+IF(option="Single",1/5*pr,2*pr),H78&gt;=SPW_Start_Year,H78&lt;=SPW_Start_Year+SPW_Duration-1,age+H78&gt;=Legal_Age),IF(AND(F78=0,SPW_Payout_Freq=1),SPW_Amount_pa,IF(AND(SPW_Payout_Freq=2,MOD(F78,6)=0),SPW_Amount_pa/SPW_Payout_Freq,IF(AND(SPW_Payout_Freq=4,MOD(F78,3)=0),SPW_Amount_pa/SPW_Payout_Freq,IF(SPW_Payout_Freq=12,SPW_Amount_pa/SPW_Payout_Freq,0)))),0)+IFERROR(VLOOKUP(H78,Input!$B$68:$C$74,2,0),0)*(F78=0)*(Option_PW="Y")*(Option_SPW="N")*(age+H78&gt;=Legal_Age)</f>
        <v>0</v>
      </c>
      <c r="O78" s="148">
        <f t="shared" ca="1" si="87"/>
        <v>0</v>
      </c>
      <c r="P78" s="14">
        <f ca="1">(MAX(MAX(sa-CF77*Flag_UL_Type,105%*SUM($I$7:I78))-(AD77+L78-N78)*Flag_UL_Type,0)*B78)</f>
        <v>1377059.514752554</v>
      </c>
      <c r="Q78" s="213">
        <f t="shared" ca="1" si="62"/>
        <v>1782.5691153593082</v>
      </c>
      <c r="R78" s="14">
        <f t="shared" ca="1" si="63"/>
        <v>0</v>
      </c>
      <c r="S78" s="14">
        <f t="shared" ca="1" si="64"/>
        <v>0</v>
      </c>
      <c r="T78" s="14">
        <f>IFERROR(IF(WoP_Flag="Y",IF(fq=1,VLOOKUP(ppt*fq-H78,Charges!$AN$41:$AO$59,2,FALSE),IF(fq=2,VLOOKUP(ppt*fq-G78,Charges!$AP$41:$AQ$79,2,FALSE),VLOOKUP(ppt*fq-D78,Charges!$AR$41:$AS$279,2,FALSE)))*pr/fq,0),0)</f>
        <v>0</v>
      </c>
      <c r="U78" s="14">
        <f ca="1">IFERROR(((T78*(VLOOKUP(Input!$D$18+H78-1,Tab_Mort_Charge,IF(Gender_2="M",2,3),FALSE)*(1+_emr2)+_rpm2)/IF(Model_Type="LA_PQIS",1000/0.0833,(12*1000))))*Flag_Mort_Rider_Charge*(T78&gt;0),0)</f>
        <v>0</v>
      </c>
      <c r="V78" s="34">
        <f>ROUND(MIN(IF(H78&gt;=7,Charges!$C$12*(1+Charges!$C$14)^((H78-7+1)),VLOOKUP(H78,Charges!$B$7:$C$12,2,0))*pr,Charges!$C$13)*B78,Round)</f>
        <v>500</v>
      </c>
      <c r="W78" s="14">
        <f t="shared" ca="1" si="65"/>
        <v>1620247.053691322</v>
      </c>
      <c r="X78" s="14">
        <f t="shared" ca="1" si="66"/>
        <v>1625551.3209279818</v>
      </c>
      <c r="Y78" s="213">
        <f t="shared" ca="1" si="88"/>
        <v>1829.7404577801078</v>
      </c>
      <c r="Z78" s="14">
        <f t="shared" ca="1" si="67"/>
        <v>1623392.2271878012</v>
      </c>
      <c r="AA78" s="14">
        <f>IF(AND($H78=pt,$F78=11),SUM($K$7:K78)*VLOOKUP(pt,ROC,2,FALSE),0)</f>
        <v>0</v>
      </c>
      <c r="AB78" s="14">
        <f>IF(AND($H78=pt,$F78=11),SUM($V$7:V78)*VLOOKUP(pt,ROC,2,FALSE),0)</f>
        <v>0</v>
      </c>
      <c r="AC78" s="14">
        <f>IF(AND($H78=pt,$F78=11),SUM($Q$7:Q78)*VLOOKUP(pt,ROC,2,FALSE),0)</f>
        <v>0</v>
      </c>
      <c r="AD78" s="14">
        <f t="shared" ca="1" si="89"/>
        <v>1623392.2271878012</v>
      </c>
      <c r="AE78" s="14">
        <f ca="1">(MAX(sa-CF77*Flag_UL_Type,105%*SUM($I$7:I78),Z78)+AU78)*B78</f>
        <v>3000000</v>
      </c>
      <c r="AF78" s="136"/>
      <c r="AG78" s="18">
        <v>72</v>
      </c>
      <c r="AH78" s="30">
        <f t="shared" ca="1" si="68"/>
        <v>0</v>
      </c>
      <c r="AI78" s="138"/>
      <c r="AJ78" s="50">
        <f>IF(AND(Option_Sys_TopUp&gt;="Y",H78&gt;=sytp,H78&lt;=(dtp+sytp-1),F78=0,H78&lt;=ppt+1),atp,0)+IFERROR(VLOOKUP(H78,Input!$B$55:$C$61,2,0),0)*(F78=0)*(Option_TopUP="Y")*(Option_Sys_TopUp="N")*B78*(pt&gt;=H78+5)</f>
        <v>0</v>
      </c>
      <c r="AK78" s="50">
        <f t="shared" si="69"/>
        <v>0</v>
      </c>
      <c r="AL78" s="50">
        <f t="shared" si="90"/>
        <v>0</v>
      </c>
      <c r="AM78" s="50">
        <f t="shared" ca="1" si="70"/>
        <v>0</v>
      </c>
      <c r="AN78" s="50">
        <f ca="1">IF(B78=0,0,AT78*(_rpm1+(1+_emr1)*VLOOKUP(E78,Tab_Mort_Charge,IF(Input!$C$12="M",2,3),0))*(0.001*0.0833)*Flag_Mort_Rider_Charge*(AT78&gt;0))</f>
        <v>0</v>
      </c>
      <c r="AO78" s="50">
        <f t="shared" ca="1" si="91"/>
        <v>0</v>
      </c>
      <c r="AP78" s="50">
        <f t="shared" ca="1" si="92"/>
        <v>0</v>
      </c>
      <c r="AQ78" s="50">
        <f t="shared" ca="1" si="71"/>
        <v>0</v>
      </c>
      <c r="AR78" s="50">
        <f t="shared" ca="1" si="72"/>
        <v>0</v>
      </c>
      <c r="AS78" s="50">
        <f t="shared" si="73"/>
        <v>0</v>
      </c>
      <c r="AT78" s="50">
        <f ca="1">(MAX((MAX(AS78,105%*SUM($AJ$7:AJ78))-AM78*Flag_UL_Type),0)*B78)</f>
        <v>0</v>
      </c>
      <c r="AU78" s="50">
        <f ca="1">(MAX(AS78,AR78,105%*SUM($AJ$7:AJ78))*B78)</f>
        <v>0</v>
      </c>
      <c r="AV78" s="125"/>
      <c r="AW78" s="13"/>
      <c r="AX78" s="13"/>
      <c r="AY78" s="13"/>
      <c r="AZ78" s="13"/>
      <c r="BA78" s="13"/>
      <c r="BG78" s="51">
        <f t="shared" si="74"/>
        <v>0</v>
      </c>
      <c r="BH78" s="51">
        <f t="shared" ca="1" si="75"/>
        <v>320.862440764675</v>
      </c>
      <c r="BI78" s="51">
        <f t="shared" ca="1" si="76"/>
        <v>0</v>
      </c>
      <c r="BJ78" s="51">
        <f t="shared" ca="1" si="77"/>
        <v>0</v>
      </c>
      <c r="BK78" s="51">
        <f t="shared" si="78"/>
        <v>90</v>
      </c>
      <c r="BL78" s="51">
        <f t="shared" ca="1" si="79"/>
        <v>329.3532824004194</v>
      </c>
      <c r="BM78" s="51">
        <f t="shared" si="80"/>
        <v>0</v>
      </c>
      <c r="BN78" s="51">
        <f t="shared" ca="1" si="81"/>
        <v>0</v>
      </c>
      <c r="BO78" s="51">
        <f t="shared" ca="1" si="82"/>
        <v>0</v>
      </c>
      <c r="BP78" s="51">
        <f t="shared" ca="1" si="83"/>
        <v>740.21572316509446</v>
      </c>
      <c r="BR78" s="32"/>
      <c r="BS78" s="126"/>
      <c r="BT78" s="16"/>
      <c r="BU78" s="58"/>
      <c r="BW78" s="51">
        <f>VLOOKUP(H78,Charges!$AT$4:$AU$33,2,FALSE)*I78</f>
        <v>0</v>
      </c>
      <c r="BX78" s="51">
        <f t="shared" si="84"/>
        <v>0</v>
      </c>
      <c r="BY78" s="51">
        <f t="shared" si="93"/>
        <v>0</v>
      </c>
      <c r="BZ78" s="151"/>
      <c r="CA78" s="151"/>
      <c r="CB78" s="32"/>
      <c r="CC78" s="16">
        <f ca="1">SUM($N$7:$N78)</f>
        <v>0</v>
      </c>
      <c r="CD78" s="16">
        <f t="shared" ca="1" si="85"/>
        <v>0</v>
      </c>
      <c r="CE78" s="16">
        <f t="shared" ca="1" si="86"/>
        <v>0</v>
      </c>
      <c r="CF78" s="7">
        <f t="shared" ca="1" si="94"/>
        <v>0</v>
      </c>
    </row>
    <row r="79" spans="1:84" s="7" customFormat="1" x14ac:dyDescent="0.2">
      <c r="A79" s="149"/>
      <c r="B79" s="14">
        <f t="shared" si="55"/>
        <v>1</v>
      </c>
      <c r="C79" s="12">
        <f t="shared" si="56"/>
        <v>1</v>
      </c>
      <c r="D79" s="17">
        <f t="shared" si="95"/>
        <v>73</v>
      </c>
      <c r="E79" s="17">
        <f t="shared" ca="1" si="57"/>
        <v>66</v>
      </c>
      <c r="F79" s="12">
        <f t="shared" si="53"/>
        <v>0</v>
      </c>
      <c r="G79" s="12">
        <f t="shared" si="96"/>
        <v>13</v>
      </c>
      <c r="H79" s="17">
        <f t="shared" si="54"/>
        <v>7</v>
      </c>
      <c r="I79" s="29">
        <f t="shared" si="58"/>
        <v>300000</v>
      </c>
      <c r="J79" s="211">
        <f>IFERROR(VLOOKUP(H79,Charges!$T$6:$U$35,2,0)*C79,0)</f>
        <v>0.98</v>
      </c>
      <c r="K79" s="29">
        <f t="shared" si="59"/>
        <v>6000.00000000001</v>
      </c>
      <c r="L79" s="29">
        <f t="shared" si="60"/>
        <v>292920</v>
      </c>
      <c r="M79" s="147">
        <f t="shared" ca="1" si="61"/>
        <v>0</v>
      </c>
      <c r="N79" s="148">
        <f ca="1">IF(AND(Option_SPW="Y",H79&gt;=Lock_In_Period,Z78&gt;SPW_Amount_pa+IF(option="Single",1/5*pr,2*pr),H79&gt;=SPW_Start_Year,H79&lt;=SPW_Start_Year+SPW_Duration-1,age+H79&gt;=Legal_Age),IF(AND(F79=0,SPW_Payout_Freq=1),SPW_Amount_pa,IF(AND(SPW_Payout_Freq=2,MOD(F79,6)=0),SPW_Amount_pa/SPW_Payout_Freq,IF(AND(SPW_Payout_Freq=4,MOD(F79,3)=0),SPW_Amount_pa/SPW_Payout_Freq,IF(SPW_Payout_Freq=12,SPW_Amount_pa/SPW_Payout_Freq,0)))),0)+IFERROR(VLOOKUP(H79,Input!$B$68:$C$74,2,0),0)*(F79=0)*(Option_PW="Y")*(Option_SPW="N")*(age+H79&gt;=Legal_Age)</f>
        <v>0</v>
      </c>
      <c r="O79" s="148">
        <f t="shared" ca="1" si="87"/>
        <v>0</v>
      </c>
      <c r="P79" s="14">
        <f ca="1">(MAX(MAX(sa-CF78*Flag_UL_Type,105%*SUM($I$7:I79))-(AD78+L79-N79)*Flag_UL_Type,0)*B79)</f>
        <v>1083687.7728121988</v>
      </c>
      <c r="Q79" s="213">
        <f t="shared" ca="1" si="62"/>
        <v>1514.9864756600168</v>
      </c>
      <c r="R79" s="14">
        <f t="shared" ca="1" si="63"/>
        <v>0</v>
      </c>
      <c r="S79" s="14">
        <f t="shared" ca="1" si="64"/>
        <v>0</v>
      </c>
      <c r="T79" s="14">
        <f>IFERROR(IF(WoP_Flag="Y",IF(fq=1,VLOOKUP(ppt*fq-H79,Charges!$AN$41:$AO$59,2,FALSE),IF(fq=2,VLOOKUP(ppt*fq-G79,Charges!$AP$41:$AQ$79,2,FALSE),VLOOKUP(ppt*fq-D79,Charges!$AR$41:$AS$279,2,FALSE)))*pr/fq,0),0)</f>
        <v>0</v>
      </c>
      <c r="U79" s="14">
        <f ca="1">IFERROR(((T79*(VLOOKUP(Input!$D$18+H79-1,Tab_Mort_Charge,IF(Gender_2="M",2,3),FALSE)*(1+_emr2)+_rpm2)/IF(Model_Type="LA_PQIS",1000/0.0833,(12*1000))))*Flag_Mort_Rider_Charge*(T79&gt;0),0)</f>
        <v>0</v>
      </c>
      <c r="V79" s="34">
        <f>ROUND(MIN(IF(H79&gt;=7,Charges!$C$12*(1+Charges!$C$14)^((H79-7+1)),VLOOKUP(H79,Charges!$B$7:$C$12,2,0))*pr,Charges!$C$13)*B79,Round)</f>
        <v>500</v>
      </c>
      <c r="W79" s="14">
        <f t="shared" ca="1" si="65"/>
        <v>1913934.5431465223</v>
      </c>
      <c r="X79" s="14">
        <f t="shared" ca="1" si="66"/>
        <v>1920200.2668009456</v>
      </c>
      <c r="Y79" s="213">
        <f t="shared" ca="1" si="88"/>
        <v>2161.400916705667</v>
      </c>
      <c r="Z79" s="14">
        <f t="shared" ca="1" si="67"/>
        <v>1917649.813719233</v>
      </c>
      <c r="AA79" s="14">
        <f>IF(AND($H79=pt,$F79=11),SUM($K$7:K79)*VLOOKUP(pt,ROC,2,FALSE),0)</f>
        <v>0</v>
      </c>
      <c r="AB79" s="14">
        <f>IF(AND($H79=pt,$F79=11),SUM($V$7:V79)*VLOOKUP(pt,ROC,2,FALSE),0)</f>
        <v>0</v>
      </c>
      <c r="AC79" s="14">
        <f>IF(AND($H79=pt,$F79=11),SUM($Q$7:Q79)*VLOOKUP(pt,ROC,2,FALSE),0)</f>
        <v>0</v>
      </c>
      <c r="AD79" s="14">
        <f t="shared" ca="1" si="89"/>
        <v>1917649.813719233</v>
      </c>
      <c r="AE79" s="14">
        <f ca="1">(MAX(sa-CF78*Flag_UL_Type,105%*SUM($I$7:I79),Z79)+AU79)*B79</f>
        <v>3000000</v>
      </c>
      <c r="AF79" s="136"/>
      <c r="AG79" s="18">
        <v>73</v>
      </c>
      <c r="AH79" s="30">
        <f t="shared" ca="1" si="68"/>
        <v>300000</v>
      </c>
      <c r="AI79" s="138"/>
      <c r="AJ79" s="50">
        <f>IF(AND(Option_Sys_TopUp&gt;="Y",H79&gt;=sytp,H79&lt;=(dtp+sytp-1),F79=0,H79&lt;=ppt+1),atp,0)+IFERROR(VLOOKUP(H79,Input!$B$55:$C$61,2,0),0)*(F79=0)*(Option_TopUP="Y")*(Option_Sys_TopUp="N")*B79*(pt&gt;=H79+5)</f>
        <v>0</v>
      </c>
      <c r="AK79" s="50">
        <f t="shared" si="69"/>
        <v>0</v>
      </c>
      <c r="AL79" s="50">
        <f t="shared" si="90"/>
        <v>0</v>
      </c>
      <c r="AM79" s="50">
        <f t="shared" ca="1" si="70"/>
        <v>0</v>
      </c>
      <c r="AN79" s="50">
        <f ca="1">IF(B79=0,0,AT79*(_rpm1+(1+_emr1)*VLOOKUP(E79,Tab_Mort_Charge,IF(Input!$C$12="M",2,3),0))*(0.001*0.0833)*Flag_Mort_Rider_Charge*(AT79&gt;0))</f>
        <v>0</v>
      </c>
      <c r="AO79" s="50">
        <f t="shared" ca="1" si="91"/>
        <v>0</v>
      </c>
      <c r="AP79" s="50">
        <f t="shared" ca="1" si="92"/>
        <v>0</v>
      </c>
      <c r="AQ79" s="50">
        <f t="shared" ca="1" si="71"/>
        <v>0</v>
      </c>
      <c r="AR79" s="50">
        <f t="shared" ca="1" si="72"/>
        <v>0</v>
      </c>
      <c r="AS79" s="50">
        <f t="shared" si="73"/>
        <v>0</v>
      </c>
      <c r="AT79" s="50">
        <f ca="1">(MAX((MAX(AS79,105%*SUM($AJ$7:AJ79))-AM79*Flag_UL_Type),0)*B79)</f>
        <v>0</v>
      </c>
      <c r="AU79" s="50">
        <f ca="1">(MAX(AS79,AR79,105%*SUM($AJ$7:AJ79))*B79)</f>
        <v>0</v>
      </c>
      <c r="AV79" s="125"/>
      <c r="AW79" s="13"/>
      <c r="AX79" s="13"/>
      <c r="AY79" s="13"/>
      <c r="AZ79" s="13"/>
      <c r="BA79" s="13"/>
      <c r="BG79" s="51">
        <f t="shared" si="74"/>
        <v>1080</v>
      </c>
      <c r="BH79" s="51">
        <f t="shared" ca="1" si="75"/>
        <v>272.69756561880303</v>
      </c>
      <c r="BI79" s="51">
        <f t="shared" ca="1" si="76"/>
        <v>0</v>
      </c>
      <c r="BJ79" s="51">
        <f t="shared" ca="1" si="77"/>
        <v>0</v>
      </c>
      <c r="BK79" s="51">
        <f t="shared" si="78"/>
        <v>90</v>
      </c>
      <c r="BL79" s="51">
        <f t="shared" ca="1" si="79"/>
        <v>389.05216500702005</v>
      </c>
      <c r="BM79" s="51">
        <f t="shared" si="80"/>
        <v>0</v>
      </c>
      <c r="BN79" s="51">
        <f t="shared" ca="1" si="81"/>
        <v>0</v>
      </c>
      <c r="BO79" s="51">
        <f t="shared" ca="1" si="82"/>
        <v>0</v>
      </c>
      <c r="BP79" s="51">
        <f t="shared" ca="1" si="83"/>
        <v>1831.7497306258231</v>
      </c>
      <c r="BQ79" s="149"/>
      <c r="BR79" s="32"/>
      <c r="BS79" s="126"/>
      <c r="BT79" s="16"/>
      <c r="BU79" s="58"/>
      <c r="BW79" s="51">
        <f>VLOOKUP(H79,Charges!$AT$4:$AU$33,2,FALSE)*I79</f>
        <v>1500</v>
      </c>
      <c r="BX79" s="51">
        <f t="shared" si="84"/>
        <v>0</v>
      </c>
      <c r="BY79" s="51">
        <f t="shared" si="93"/>
        <v>1500</v>
      </c>
      <c r="BZ79" s="151"/>
      <c r="CA79" s="151"/>
      <c r="CB79" s="32"/>
      <c r="CC79" s="16">
        <f ca="1">SUM($N$7:$N79)</f>
        <v>0</v>
      </c>
      <c r="CD79" s="16">
        <f t="shared" ca="1" si="85"/>
        <v>0</v>
      </c>
      <c r="CE79" s="16">
        <f t="shared" ca="1" si="86"/>
        <v>0</v>
      </c>
      <c r="CF79" s="7">
        <f t="shared" ca="1" si="94"/>
        <v>0</v>
      </c>
    </row>
    <row r="80" spans="1:84" s="7" customFormat="1" x14ac:dyDescent="0.2">
      <c r="A80" s="149"/>
      <c r="B80" s="14">
        <f t="shared" si="55"/>
        <v>1</v>
      </c>
      <c r="C80" s="12">
        <f t="shared" si="56"/>
        <v>1</v>
      </c>
      <c r="D80" s="17">
        <f t="shared" si="95"/>
        <v>74</v>
      </c>
      <c r="E80" s="17">
        <f t="shared" ca="1" si="57"/>
        <v>66</v>
      </c>
      <c r="F80" s="12">
        <f t="shared" si="53"/>
        <v>1</v>
      </c>
      <c r="G80" s="12">
        <f t="shared" si="96"/>
        <v>13</v>
      </c>
      <c r="H80" s="17">
        <f t="shared" si="54"/>
        <v>7</v>
      </c>
      <c r="I80" s="29">
        <f t="shared" si="58"/>
        <v>0</v>
      </c>
      <c r="J80" s="211">
        <f>IFERROR(VLOOKUP(H80,Charges!$T$6:$U$35,2,0)*C80,0)</f>
        <v>0.98</v>
      </c>
      <c r="K80" s="29">
        <f t="shared" si="59"/>
        <v>0</v>
      </c>
      <c r="L80" s="29">
        <f t="shared" si="60"/>
        <v>0</v>
      </c>
      <c r="M80" s="147">
        <f t="shared" ca="1" si="61"/>
        <v>0</v>
      </c>
      <c r="N80" s="148">
        <f ca="1">IF(AND(Option_SPW="Y",H80&gt;=Lock_In_Period,Z79&gt;SPW_Amount_pa+IF(option="Single",1/5*pr,2*pr),H80&gt;=SPW_Start_Year,H80&lt;=SPW_Start_Year+SPW_Duration-1,age+H80&gt;=Legal_Age),IF(AND(F80=0,SPW_Payout_Freq=1),SPW_Amount_pa,IF(AND(SPW_Payout_Freq=2,MOD(F80,6)=0),SPW_Amount_pa/SPW_Payout_Freq,IF(AND(SPW_Payout_Freq=4,MOD(F80,3)=0),SPW_Amount_pa/SPW_Payout_Freq,IF(SPW_Payout_Freq=12,SPW_Amount_pa/SPW_Payout_Freq,0)))),0)+IFERROR(VLOOKUP(H80,Input!$B$68:$C$74,2,0),0)*(F80=0)*(Option_PW="Y")*(Option_SPW="N")*(age+H80&gt;=Legal_Age)</f>
        <v>0</v>
      </c>
      <c r="O80" s="148">
        <f t="shared" ca="1" si="87"/>
        <v>0</v>
      </c>
      <c r="P80" s="14">
        <f ca="1">(MAX(MAX(sa-CF79*Flag_UL_Type,105%*SUM($I$7:I80))-(AD79+L80-N80)*Flag_UL_Type,0)*B80)</f>
        <v>1082350.186280767</v>
      </c>
      <c r="Q80" s="213">
        <f t="shared" ca="1" si="62"/>
        <v>1513.1165408356248</v>
      </c>
      <c r="R80" s="14">
        <f t="shared" ca="1" si="63"/>
        <v>0</v>
      </c>
      <c r="S80" s="14">
        <f t="shared" ca="1" si="64"/>
        <v>0</v>
      </c>
      <c r="T80" s="14">
        <f>IFERROR(IF(WoP_Flag="Y",IF(fq=1,VLOOKUP(ppt*fq-H80,Charges!$AN$41:$AO$59,2,FALSE),IF(fq=2,VLOOKUP(ppt*fq-G80,Charges!$AP$41:$AQ$79,2,FALSE),VLOOKUP(ppt*fq-D80,Charges!$AR$41:$AS$279,2,FALSE)))*pr/fq,0),0)</f>
        <v>0</v>
      </c>
      <c r="U80" s="14">
        <f ca="1">IFERROR(((T80*(VLOOKUP(Input!$D$18+H80-1,Tab_Mort_Charge,IF(Gender_2="M",2,3),FALSE)*(1+_emr2)+_rpm2)/IF(Model_Type="LA_PQIS",1000/0.0833,(12*1000))))*Flag_Mort_Rider_Charge*(T80&gt;0),0)</f>
        <v>0</v>
      </c>
      <c r="V80" s="34">
        <f>ROUND(MIN(IF(H80&gt;=7,Charges!$C$12*(1+Charges!$C$14)^((H80-7+1)),VLOOKUP(H80,Charges!$B$7:$C$12,2,0))*pr,Charges!$C$13)*B80,Round)</f>
        <v>500</v>
      </c>
      <c r="W80" s="14">
        <f t="shared" ca="1" si="65"/>
        <v>1915274.3362010471</v>
      </c>
      <c r="X80" s="14">
        <f t="shared" ca="1" si="66"/>
        <v>1921544.445989293</v>
      </c>
      <c r="Y80" s="213">
        <f t="shared" ca="1" si="88"/>
        <v>2162.913941248024</v>
      </c>
      <c r="Z80" s="14">
        <f t="shared" ca="1" si="67"/>
        <v>1918992.2075386203</v>
      </c>
      <c r="AA80" s="14">
        <f>IF(AND($H80=pt,$F80=11),SUM($K$7:K80)*VLOOKUP(pt,ROC,2,FALSE),0)</f>
        <v>0</v>
      </c>
      <c r="AB80" s="14">
        <f>IF(AND($H80=pt,$F80=11),SUM($V$7:V80)*VLOOKUP(pt,ROC,2,FALSE),0)</f>
        <v>0</v>
      </c>
      <c r="AC80" s="14">
        <f>IF(AND($H80=pt,$F80=11),SUM($Q$7:Q80)*VLOOKUP(pt,ROC,2,FALSE),0)</f>
        <v>0</v>
      </c>
      <c r="AD80" s="14">
        <f t="shared" ca="1" si="89"/>
        <v>1918992.2075386203</v>
      </c>
      <c r="AE80" s="14">
        <f ca="1">(MAX(sa-CF79*Flag_UL_Type,105%*SUM($I$7:I80),Z80)+AU80)*B80</f>
        <v>3000000</v>
      </c>
      <c r="AF80" s="136"/>
      <c r="AG80" s="18">
        <v>74</v>
      </c>
      <c r="AH80" s="30">
        <f t="shared" ca="1" si="68"/>
        <v>0</v>
      </c>
      <c r="AI80" s="138"/>
      <c r="AJ80" s="50">
        <f>IF(AND(Option_Sys_TopUp&gt;="Y",H80&gt;=sytp,H80&lt;=(dtp+sytp-1),F80=0,H80&lt;=ppt+1),atp,0)+IFERROR(VLOOKUP(H80,Input!$B$55:$C$61,2,0),0)*(F80=0)*(Option_TopUP="Y")*(Option_Sys_TopUp="N")*B80*(pt&gt;=H80+5)</f>
        <v>0</v>
      </c>
      <c r="AK80" s="50">
        <f t="shared" si="69"/>
        <v>0</v>
      </c>
      <c r="AL80" s="50">
        <f t="shared" si="90"/>
        <v>0</v>
      </c>
      <c r="AM80" s="50">
        <f t="shared" ca="1" si="70"/>
        <v>0</v>
      </c>
      <c r="AN80" s="50">
        <f ca="1">IF(B80=0,0,AT80*(_rpm1+(1+_emr1)*VLOOKUP(E80,Tab_Mort_Charge,IF(Input!$C$12="M",2,3),0))*(0.001*0.0833)*Flag_Mort_Rider_Charge*(AT80&gt;0))</f>
        <v>0</v>
      </c>
      <c r="AO80" s="50">
        <f t="shared" ca="1" si="91"/>
        <v>0</v>
      </c>
      <c r="AP80" s="50">
        <f t="shared" ca="1" si="92"/>
        <v>0</v>
      </c>
      <c r="AQ80" s="50">
        <f t="shared" ca="1" si="71"/>
        <v>0</v>
      </c>
      <c r="AR80" s="50">
        <f t="shared" ca="1" si="72"/>
        <v>0</v>
      </c>
      <c r="AS80" s="50">
        <f t="shared" si="73"/>
        <v>0</v>
      </c>
      <c r="AT80" s="50">
        <f ca="1">(MAX((MAX(AS80,105%*SUM($AJ$7:AJ80))-AM80*Flag_UL_Type),0)*B80)</f>
        <v>0</v>
      </c>
      <c r="AU80" s="50">
        <f ca="1">(MAX(AS80,AR80,105%*SUM($AJ$7:AJ80))*B80)</f>
        <v>0</v>
      </c>
      <c r="AV80" s="125"/>
      <c r="AW80" s="13"/>
      <c r="AX80" s="13"/>
      <c r="AY80" s="13"/>
      <c r="AZ80" s="13"/>
      <c r="BA80" s="13"/>
      <c r="BG80" s="51">
        <f t="shared" si="74"/>
        <v>0</v>
      </c>
      <c r="BH80" s="51">
        <f t="shared" ca="1" si="75"/>
        <v>272.36097735041199</v>
      </c>
      <c r="BI80" s="51">
        <f t="shared" ca="1" si="76"/>
        <v>0</v>
      </c>
      <c r="BJ80" s="51">
        <f t="shared" ca="1" si="77"/>
        <v>0</v>
      </c>
      <c r="BK80" s="51">
        <f t="shared" si="78"/>
        <v>90</v>
      </c>
      <c r="BL80" s="51">
        <f t="shared" ca="1" si="79"/>
        <v>389.3245094246443</v>
      </c>
      <c r="BM80" s="51">
        <f t="shared" si="80"/>
        <v>0</v>
      </c>
      <c r="BN80" s="51">
        <f t="shared" ca="1" si="81"/>
        <v>0</v>
      </c>
      <c r="BO80" s="51">
        <f t="shared" ca="1" si="82"/>
        <v>0</v>
      </c>
      <c r="BP80" s="51">
        <f t="shared" ca="1" si="83"/>
        <v>751.68548677505623</v>
      </c>
      <c r="BQ80" s="120"/>
      <c r="BR80" s="32"/>
      <c r="BS80" s="126"/>
      <c r="BT80" s="16"/>
      <c r="BU80" s="58"/>
      <c r="BW80" s="51">
        <f>VLOOKUP(H80,Charges!$AT$4:$AU$33,2,FALSE)*I80</f>
        <v>0</v>
      </c>
      <c r="BX80" s="51">
        <f t="shared" si="84"/>
        <v>0</v>
      </c>
      <c r="BY80" s="51">
        <f t="shared" si="93"/>
        <v>0</v>
      </c>
      <c r="BZ80" s="151"/>
      <c r="CA80" s="151"/>
      <c r="CB80" s="32"/>
      <c r="CC80" s="16">
        <f ca="1">SUM($N$7:$N80)</f>
        <v>0</v>
      </c>
      <c r="CD80" s="16">
        <f t="shared" ca="1" si="85"/>
        <v>0</v>
      </c>
      <c r="CE80" s="16">
        <f t="shared" ca="1" si="86"/>
        <v>0</v>
      </c>
      <c r="CF80" s="7">
        <f t="shared" ca="1" si="94"/>
        <v>0</v>
      </c>
    </row>
    <row r="81" spans="1:84" s="7" customFormat="1" x14ac:dyDescent="0.2">
      <c r="A81" s="149"/>
      <c r="B81" s="14">
        <f t="shared" si="55"/>
        <v>1</v>
      </c>
      <c r="C81" s="12">
        <f t="shared" si="56"/>
        <v>1</v>
      </c>
      <c r="D81" s="17">
        <f t="shared" si="95"/>
        <v>75</v>
      </c>
      <c r="E81" s="17">
        <f t="shared" ca="1" si="57"/>
        <v>66</v>
      </c>
      <c r="F81" s="12">
        <f t="shared" si="53"/>
        <v>2</v>
      </c>
      <c r="G81" s="12">
        <f t="shared" si="96"/>
        <v>13</v>
      </c>
      <c r="H81" s="17">
        <f t="shared" si="54"/>
        <v>7</v>
      </c>
      <c r="I81" s="29">
        <f t="shared" si="58"/>
        <v>0</v>
      </c>
      <c r="J81" s="211">
        <f>IFERROR(VLOOKUP(H81,Charges!$T$6:$U$35,2,0)*C81,0)</f>
        <v>0.98</v>
      </c>
      <c r="K81" s="29">
        <f t="shared" si="59"/>
        <v>0</v>
      </c>
      <c r="L81" s="29">
        <f t="shared" si="60"/>
        <v>0</v>
      </c>
      <c r="M81" s="147">
        <f t="shared" ca="1" si="61"/>
        <v>0</v>
      </c>
      <c r="N81" s="148">
        <f ca="1">IF(AND(Option_SPW="Y",H81&gt;=Lock_In_Period,Z80&gt;SPW_Amount_pa+IF(option="Single",1/5*pr,2*pr),H81&gt;=SPW_Start_Year,H81&lt;=SPW_Start_Year+SPW_Duration-1,age+H81&gt;=Legal_Age),IF(AND(F81=0,SPW_Payout_Freq=1),SPW_Amount_pa,IF(AND(SPW_Payout_Freq=2,MOD(F81,6)=0),SPW_Amount_pa/SPW_Payout_Freq,IF(AND(SPW_Payout_Freq=4,MOD(F81,3)=0),SPW_Amount_pa/SPW_Payout_Freq,IF(SPW_Payout_Freq=12,SPW_Amount_pa/SPW_Payout_Freq,0)))),0)+IFERROR(VLOOKUP(H81,Input!$B$68:$C$74,2,0),0)*(F81=0)*(Option_PW="Y")*(Option_SPW="N")*(age+H81&gt;=Legal_Age)</f>
        <v>0</v>
      </c>
      <c r="O81" s="148">
        <f t="shared" ca="1" si="87"/>
        <v>0</v>
      </c>
      <c r="P81" s="14">
        <f ca="1">(MAX(MAX(sa-CF80*Flag_UL_Type,105%*SUM($I$7:I81))-(AD80+L81-N81)*Flag_UL_Type,0)*B81)</f>
        <v>1081007.7924613797</v>
      </c>
      <c r="Q81" s="213">
        <f t="shared" ca="1" si="62"/>
        <v>1511.2398854627415</v>
      </c>
      <c r="R81" s="14">
        <f t="shared" ca="1" si="63"/>
        <v>0</v>
      </c>
      <c r="S81" s="14">
        <f t="shared" ca="1" si="64"/>
        <v>0</v>
      </c>
      <c r="T81" s="14">
        <f>IFERROR(IF(WoP_Flag="Y",IF(fq=1,VLOOKUP(ppt*fq-H81,Charges!$AN$41:$AO$59,2,FALSE),IF(fq=2,VLOOKUP(ppt*fq-G81,Charges!$AP$41:$AQ$79,2,FALSE),VLOOKUP(ppt*fq-D81,Charges!$AR$41:$AS$279,2,FALSE)))*pr/fq,0),0)</f>
        <v>0</v>
      </c>
      <c r="U81" s="14">
        <f ca="1">IFERROR(((T81*(VLOOKUP(Input!$D$18+H81-1,Tab_Mort_Charge,IF(Gender_2="M",2,3),FALSE)*(1+_emr2)+_rpm2)/IF(Model_Type="LA_PQIS",1000/0.0833,(12*1000))))*Flag_Mort_Rider_Charge*(T81&gt;0),0)</f>
        <v>0</v>
      </c>
      <c r="V81" s="34">
        <f>ROUND(MIN(IF(H81&gt;=7,Charges!$C$12*(1+Charges!$C$14)^((H81-7+1)),VLOOKUP(H81,Charges!$B$7:$C$12,2,0))*pr,Charges!$C$13)*B81,Round)</f>
        <v>500</v>
      </c>
      <c r="W81" s="14">
        <f t="shared" ca="1" si="65"/>
        <v>1916618.9444737744</v>
      </c>
      <c r="X81" s="14">
        <f t="shared" ca="1" si="66"/>
        <v>1922893.4561596143</v>
      </c>
      <c r="Y81" s="213">
        <f t="shared" ca="1" si="88"/>
        <v>2164.4324036028052</v>
      </c>
      <c r="Z81" s="14">
        <f t="shared" ca="1" si="67"/>
        <v>1920339.4259233628</v>
      </c>
      <c r="AA81" s="14">
        <f>IF(AND($H81=pt,$F81=11),SUM($K$7:K81)*VLOOKUP(pt,ROC,2,FALSE),0)</f>
        <v>0</v>
      </c>
      <c r="AB81" s="14">
        <f>IF(AND($H81=pt,$F81=11),SUM($V$7:V81)*VLOOKUP(pt,ROC,2,FALSE),0)</f>
        <v>0</v>
      </c>
      <c r="AC81" s="14">
        <f>IF(AND($H81=pt,$F81=11),SUM($Q$7:Q81)*VLOOKUP(pt,ROC,2,FALSE),0)</f>
        <v>0</v>
      </c>
      <c r="AD81" s="14">
        <f t="shared" ca="1" si="89"/>
        <v>1920339.4259233628</v>
      </c>
      <c r="AE81" s="14">
        <f ca="1">(MAX(sa-CF80*Flag_UL_Type,105%*SUM($I$7:I81),Z81)+AU81)*B81</f>
        <v>3000000</v>
      </c>
      <c r="AF81" s="136"/>
      <c r="AG81" s="18">
        <v>75</v>
      </c>
      <c r="AH81" s="30">
        <f t="shared" ca="1" si="68"/>
        <v>0</v>
      </c>
      <c r="AI81" s="138"/>
      <c r="AJ81" s="50">
        <f>IF(AND(Option_Sys_TopUp&gt;="Y",H81&gt;=sytp,H81&lt;=(dtp+sytp-1),F81=0,H81&lt;=ppt+1),atp,0)+IFERROR(VLOOKUP(H81,Input!$B$55:$C$61,2,0),0)*(F81=0)*(Option_TopUP="Y")*(Option_Sys_TopUp="N")*B81*(pt&gt;=H81+5)</f>
        <v>0</v>
      </c>
      <c r="AK81" s="50">
        <f t="shared" si="69"/>
        <v>0</v>
      </c>
      <c r="AL81" s="50">
        <f t="shared" si="90"/>
        <v>0</v>
      </c>
      <c r="AM81" s="50">
        <f t="shared" ca="1" si="70"/>
        <v>0</v>
      </c>
      <c r="AN81" s="50">
        <f ca="1">IF(B81=0,0,AT81*(_rpm1+(1+_emr1)*VLOOKUP(E81,Tab_Mort_Charge,IF(Input!$C$12="M",2,3),0))*(0.001*0.0833)*Flag_Mort_Rider_Charge*(AT81&gt;0))</f>
        <v>0</v>
      </c>
      <c r="AO81" s="50">
        <f t="shared" ca="1" si="91"/>
        <v>0</v>
      </c>
      <c r="AP81" s="50">
        <f t="shared" ca="1" si="92"/>
        <v>0</v>
      </c>
      <c r="AQ81" s="50">
        <f t="shared" ca="1" si="71"/>
        <v>0</v>
      </c>
      <c r="AR81" s="50">
        <f t="shared" ca="1" si="72"/>
        <v>0</v>
      </c>
      <c r="AS81" s="50">
        <f t="shared" si="73"/>
        <v>0</v>
      </c>
      <c r="AT81" s="50">
        <f ca="1">(MAX((MAX(AS81,105%*SUM($AJ$7:AJ81))-AM81*Flag_UL_Type),0)*B81)</f>
        <v>0</v>
      </c>
      <c r="AU81" s="50">
        <f ca="1">(MAX(AS81,AR81,105%*SUM($AJ$7:AJ81))*B81)</f>
        <v>0</v>
      </c>
      <c r="AV81" s="125"/>
      <c r="AW81" s="13"/>
      <c r="AX81" s="13"/>
      <c r="AY81" s="13"/>
      <c r="AZ81" s="13"/>
      <c r="BA81" s="13"/>
      <c r="BG81" s="51">
        <f t="shared" si="74"/>
        <v>0</v>
      </c>
      <c r="BH81" s="51">
        <f t="shared" ca="1" si="75"/>
        <v>272.02317938329298</v>
      </c>
      <c r="BI81" s="51">
        <f t="shared" ca="1" si="76"/>
        <v>0</v>
      </c>
      <c r="BJ81" s="51">
        <f t="shared" ca="1" si="77"/>
        <v>0</v>
      </c>
      <c r="BK81" s="51">
        <f t="shared" si="78"/>
        <v>90</v>
      </c>
      <c r="BL81" s="51">
        <f t="shared" ca="1" si="79"/>
        <v>389.59783264850489</v>
      </c>
      <c r="BM81" s="51">
        <f t="shared" si="80"/>
        <v>0</v>
      </c>
      <c r="BN81" s="51">
        <f t="shared" ca="1" si="81"/>
        <v>0</v>
      </c>
      <c r="BO81" s="51">
        <f t="shared" ca="1" si="82"/>
        <v>0</v>
      </c>
      <c r="BP81" s="51">
        <f t="shared" ca="1" si="83"/>
        <v>751.62101203179782</v>
      </c>
      <c r="BQ81" s="120"/>
      <c r="BR81" s="32"/>
      <c r="BS81" s="126"/>
      <c r="BT81" s="16"/>
      <c r="BU81" s="58"/>
      <c r="BW81" s="51">
        <f>VLOOKUP(H81,Charges!$AT$4:$AU$33,2,FALSE)*I81</f>
        <v>0</v>
      </c>
      <c r="BX81" s="51">
        <f t="shared" si="84"/>
        <v>0</v>
      </c>
      <c r="BY81" s="51">
        <f t="shared" si="93"/>
        <v>0</v>
      </c>
      <c r="BZ81" s="151"/>
      <c r="CA81" s="151"/>
      <c r="CB81" s="32"/>
      <c r="CC81" s="16">
        <f ca="1">SUM($N$7:$N81)</f>
        <v>0</v>
      </c>
      <c r="CD81" s="16">
        <f t="shared" ca="1" si="85"/>
        <v>0</v>
      </c>
      <c r="CE81" s="16">
        <f t="shared" ca="1" si="86"/>
        <v>0</v>
      </c>
      <c r="CF81" s="7">
        <f t="shared" ca="1" si="94"/>
        <v>0</v>
      </c>
    </row>
    <row r="82" spans="1:84" s="7" customFormat="1" x14ac:dyDescent="0.2">
      <c r="A82" s="149"/>
      <c r="B82" s="14">
        <f t="shared" si="55"/>
        <v>1</v>
      </c>
      <c r="C82" s="12">
        <f t="shared" si="56"/>
        <v>1</v>
      </c>
      <c r="D82" s="17">
        <f t="shared" si="95"/>
        <v>76</v>
      </c>
      <c r="E82" s="17">
        <f t="shared" ca="1" si="57"/>
        <v>66</v>
      </c>
      <c r="F82" s="12">
        <f t="shared" si="53"/>
        <v>3</v>
      </c>
      <c r="G82" s="12">
        <f t="shared" si="96"/>
        <v>13</v>
      </c>
      <c r="H82" s="17">
        <f t="shared" si="54"/>
        <v>7</v>
      </c>
      <c r="I82" s="29">
        <f t="shared" si="58"/>
        <v>0</v>
      </c>
      <c r="J82" s="211">
        <f>IFERROR(VLOOKUP(H82,Charges!$T$6:$U$35,2,0)*C82,0)</f>
        <v>0.98</v>
      </c>
      <c r="K82" s="29">
        <f t="shared" si="59"/>
        <v>0</v>
      </c>
      <c r="L82" s="29">
        <f t="shared" si="60"/>
        <v>0</v>
      </c>
      <c r="M82" s="147">
        <f t="shared" ca="1" si="61"/>
        <v>0</v>
      </c>
      <c r="N82" s="148">
        <f ca="1">IF(AND(Option_SPW="Y",H82&gt;=Lock_In_Period,Z81&gt;SPW_Amount_pa+IF(option="Single",1/5*pr,2*pr),H82&gt;=SPW_Start_Year,H82&lt;=SPW_Start_Year+SPW_Duration-1,age+H82&gt;=Legal_Age),IF(AND(F82=0,SPW_Payout_Freq=1),SPW_Amount_pa,IF(AND(SPW_Payout_Freq=2,MOD(F82,6)=0),SPW_Amount_pa/SPW_Payout_Freq,IF(AND(SPW_Payout_Freq=4,MOD(F82,3)=0),SPW_Amount_pa/SPW_Payout_Freq,IF(SPW_Payout_Freq=12,SPW_Amount_pa/SPW_Payout_Freq,0)))),0)+IFERROR(VLOOKUP(H82,Input!$B$68:$C$74,2,0),0)*(F82=0)*(Option_PW="Y")*(Option_SPW="N")*(age+H82&gt;=Legal_Age)</f>
        <v>0</v>
      </c>
      <c r="O82" s="148">
        <f t="shared" ca="1" si="87"/>
        <v>0</v>
      </c>
      <c r="P82" s="14">
        <f ca="1">(MAX(MAX(sa-CF81*Flag_UL_Type,105%*SUM($I$7:I82))-(AD81+L82-N82)*Flag_UL_Type,0)*B82)</f>
        <v>1079660.5740766372</v>
      </c>
      <c r="Q82" s="213">
        <f t="shared" ca="1" si="62"/>
        <v>1509.3564853876915</v>
      </c>
      <c r="R82" s="14">
        <f t="shared" ca="1" si="63"/>
        <v>0</v>
      </c>
      <c r="S82" s="14">
        <f t="shared" ca="1" si="64"/>
        <v>0</v>
      </c>
      <c r="T82" s="14">
        <f>IFERROR(IF(WoP_Flag="Y",IF(fq=1,VLOOKUP(ppt*fq-H82,Charges!$AN$41:$AO$59,2,FALSE),IF(fq=2,VLOOKUP(ppt*fq-G82,Charges!$AP$41:$AQ$79,2,FALSE),VLOOKUP(ppt*fq-D82,Charges!$AR$41:$AS$279,2,FALSE)))*pr/fq,0),0)</f>
        <v>0</v>
      </c>
      <c r="U82" s="14">
        <f ca="1">IFERROR(((T82*(VLOOKUP(Input!$D$18+H82-1,Tab_Mort_Charge,IF(Gender_2="M",2,3),FALSE)*(1+_emr2)+_rpm2)/IF(Model_Type="LA_PQIS",1000/0.0833,(12*1000))))*Flag_Mort_Rider_Charge*(T82&gt;0),0)</f>
        <v>0</v>
      </c>
      <c r="V82" s="34">
        <f>ROUND(MIN(IF(H82&gt;=7,Charges!$C$12*(1+Charges!$C$14)^((H82-7+1)),VLOOKUP(H82,Charges!$B$7:$C$12,2,0))*pr,Charges!$C$13)*B82,Round)</f>
        <v>500</v>
      </c>
      <c r="W82" s="14">
        <f t="shared" ca="1" si="65"/>
        <v>1917968.3852706053</v>
      </c>
      <c r="X82" s="14">
        <f t="shared" ca="1" si="66"/>
        <v>1924247.3146744655</v>
      </c>
      <c r="Y82" s="213">
        <f t="shared" ca="1" si="88"/>
        <v>2165.9563233135154</v>
      </c>
      <c r="Z82" s="14">
        <f t="shared" ca="1" si="67"/>
        <v>1921691.4862129556</v>
      </c>
      <c r="AA82" s="14">
        <f>IF(AND($H82=pt,$F82=11),SUM($K$7:K82)*VLOOKUP(pt,ROC,2,FALSE),0)</f>
        <v>0</v>
      </c>
      <c r="AB82" s="14">
        <f>IF(AND($H82=pt,$F82=11),SUM($V$7:V82)*VLOOKUP(pt,ROC,2,FALSE),0)</f>
        <v>0</v>
      </c>
      <c r="AC82" s="14">
        <f>IF(AND($H82=pt,$F82=11),SUM($Q$7:Q82)*VLOOKUP(pt,ROC,2,FALSE),0)</f>
        <v>0</v>
      </c>
      <c r="AD82" s="14">
        <f t="shared" ca="1" si="89"/>
        <v>1921691.4862129556</v>
      </c>
      <c r="AE82" s="14">
        <f ca="1">(MAX(sa-CF81*Flag_UL_Type,105%*SUM($I$7:I82),Z82)+AU82)*B82</f>
        <v>3000000</v>
      </c>
      <c r="AF82" s="136"/>
      <c r="AG82" s="18">
        <v>76</v>
      </c>
      <c r="AH82" s="30">
        <f t="shared" ca="1" si="68"/>
        <v>0</v>
      </c>
      <c r="AI82" s="138"/>
      <c r="AJ82" s="50">
        <f>IF(AND(Option_Sys_TopUp&gt;="Y",H82&gt;=sytp,H82&lt;=(dtp+sytp-1),F82=0,H82&lt;=ppt+1),atp,0)+IFERROR(VLOOKUP(H82,Input!$B$55:$C$61,2,0),0)*(F82=0)*(Option_TopUP="Y")*(Option_Sys_TopUp="N")*B82*(pt&gt;=H82+5)</f>
        <v>0</v>
      </c>
      <c r="AK82" s="50">
        <f t="shared" si="69"/>
        <v>0</v>
      </c>
      <c r="AL82" s="50">
        <f t="shared" si="90"/>
        <v>0</v>
      </c>
      <c r="AM82" s="50">
        <f t="shared" ca="1" si="70"/>
        <v>0</v>
      </c>
      <c r="AN82" s="50">
        <f ca="1">IF(B82=0,0,AT82*(_rpm1+(1+_emr1)*VLOOKUP(E82,Tab_Mort_Charge,IF(Input!$C$12="M",2,3),0))*(0.001*0.0833)*Flag_Mort_Rider_Charge*(AT82&gt;0))</f>
        <v>0</v>
      </c>
      <c r="AO82" s="50">
        <f t="shared" ca="1" si="91"/>
        <v>0</v>
      </c>
      <c r="AP82" s="50">
        <f t="shared" ca="1" si="92"/>
        <v>0</v>
      </c>
      <c r="AQ82" s="50">
        <f t="shared" ca="1" si="71"/>
        <v>0</v>
      </c>
      <c r="AR82" s="50">
        <f t="shared" ca="1" si="72"/>
        <v>0</v>
      </c>
      <c r="AS82" s="50">
        <f t="shared" si="73"/>
        <v>0</v>
      </c>
      <c r="AT82" s="50">
        <f ca="1">(MAX((MAX(AS82,105%*SUM($AJ$7:AJ82))-AM82*Flag_UL_Type),0)*B82)</f>
        <v>0</v>
      </c>
      <c r="AU82" s="50">
        <f ca="1">(MAX(AS82,AR82,105%*SUM($AJ$7:AJ82))*B82)</f>
        <v>0</v>
      </c>
      <c r="AV82" s="125"/>
      <c r="AW82" s="13"/>
      <c r="AX82" s="13"/>
      <c r="AY82" s="13"/>
      <c r="AZ82" s="13"/>
      <c r="BA82" s="13"/>
      <c r="BG82" s="51">
        <f t="shared" si="74"/>
        <v>0</v>
      </c>
      <c r="BH82" s="51">
        <f t="shared" ca="1" si="75"/>
        <v>271.68416736978401</v>
      </c>
      <c r="BI82" s="51">
        <f t="shared" ca="1" si="76"/>
        <v>0</v>
      </c>
      <c r="BJ82" s="51">
        <f t="shared" ca="1" si="77"/>
        <v>0</v>
      </c>
      <c r="BK82" s="51">
        <f t="shared" si="78"/>
        <v>90</v>
      </c>
      <c r="BL82" s="51">
        <f t="shared" ca="1" si="79"/>
        <v>389.87213819643279</v>
      </c>
      <c r="BM82" s="51">
        <f t="shared" si="80"/>
        <v>0</v>
      </c>
      <c r="BN82" s="51">
        <f t="shared" ca="1" si="81"/>
        <v>0</v>
      </c>
      <c r="BO82" s="51">
        <f t="shared" ca="1" si="82"/>
        <v>0</v>
      </c>
      <c r="BP82" s="51">
        <f t="shared" ca="1" si="83"/>
        <v>751.55630556621679</v>
      </c>
      <c r="BQ82" s="120"/>
      <c r="BR82" s="32"/>
      <c r="BS82" s="126"/>
      <c r="BT82" s="16"/>
      <c r="BU82" s="58"/>
      <c r="BW82" s="51">
        <f>VLOOKUP(H82,Charges!$AT$4:$AU$33,2,FALSE)*I82</f>
        <v>0</v>
      </c>
      <c r="BX82" s="51">
        <f t="shared" si="84"/>
        <v>0</v>
      </c>
      <c r="BY82" s="51">
        <f t="shared" si="93"/>
        <v>0</v>
      </c>
      <c r="BZ82" s="151"/>
      <c r="CA82" s="151"/>
      <c r="CB82" s="32"/>
      <c r="CC82" s="16">
        <f ca="1">SUM($N$7:$N82)</f>
        <v>0</v>
      </c>
      <c r="CD82" s="16">
        <f t="shared" ca="1" si="85"/>
        <v>0</v>
      </c>
      <c r="CE82" s="16">
        <f t="shared" ca="1" si="86"/>
        <v>0</v>
      </c>
      <c r="CF82" s="7">
        <f t="shared" ca="1" si="94"/>
        <v>0</v>
      </c>
    </row>
    <row r="83" spans="1:84" s="7" customFormat="1" x14ac:dyDescent="0.2">
      <c r="A83" s="149"/>
      <c r="B83" s="14">
        <f t="shared" si="55"/>
        <v>1</v>
      </c>
      <c r="C83" s="12">
        <f t="shared" si="56"/>
        <v>1</v>
      </c>
      <c r="D83" s="17">
        <f t="shared" si="95"/>
        <v>77</v>
      </c>
      <c r="E83" s="17">
        <f t="shared" ca="1" si="57"/>
        <v>66</v>
      </c>
      <c r="F83" s="12">
        <f t="shared" si="53"/>
        <v>4</v>
      </c>
      <c r="G83" s="12">
        <f t="shared" si="96"/>
        <v>13</v>
      </c>
      <c r="H83" s="17">
        <f t="shared" si="54"/>
        <v>7</v>
      </c>
      <c r="I83" s="29">
        <f t="shared" si="58"/>
        <v>0</v>
      </c>
      <c r="J83" s="211">
        <f>IFERROR(VLOOKUP(H83,Charges!$T$6:$U$35,2,0)*C83,0)</f>
        <v>0.98</v>
      </c>
      <c r="K83" s="29">
        <f t="shared" si="59"/>
        <v>0</v>
      </c>
      <c r="L83" s="29">
        <f t="shared" si="60"/>
        <v>0</v>
      </c>
      <c r="M83" s="147">
        <f t="shared" ca="1" si="61"/>
        <v>0</v>
      </c>
      <c r="N83" s="148">
        <f ca="1">IF(AND(Option_SPW="Y",H83&gt;=Lock_In_Period,Z82&gt;SPW_Amount_pa+IF(option="Single",1/5*pr,2*pr),H83&gt;=SPW_Start_Year,H83&lt;=SPW_Start_Year+SPW_Duration-1,age+H83&gt;=Legal_Age),IF(AND(F83=0,SPW_Payout_Freq=1),SPW_Amount_pa,IF(AND(SPW_Payout_Freq=2,MOD(F83,6)=0),SPW_Amount_pa/SPW_Payout_Freq,IF(AND(SPW_Payout_Freq=4,MOD(F83,3)=0),SPW_Amount_pa/SPW_Payout_Freq,IF(SPW_Payout_Freq=12,SPW_Amount_pa/SPW_Payout_Freq,0)))),0)+IFERROR(VLOOKUP(H83,Input!$B$68:$C$74,2,0),0)*(F83=0)*(Option_PW="Y")*(Option_SPW="N")*(age+H83&gt;=Legal_Age)</f>
        <v>0</v>
      </c>
      <c r="O83" s="148">
        <f t="shared" ca="1" si="87"/>
        <v>0</v>
      </c>
      <c r="P83" s="14">
        <f ca="1">(MAX(MAX(sa-CF82*Flag_UL_Type,105%*SUM($I$7:I83))-(AD82+L83-N83)*Flag_UL_Type,0)*B83)</f>
        <v>1078308.5137870444</v>
      </c>
      <c r="Q83" s="213">
        <f t="shared" ca="1" si="62"/>
        <v>1507.4663163700081</v>
      </c>
      <c r="R83" s="14">
        <f t="shared" ca="1" si="63"/>
        <v>0</v>
      </c>
      <c r="S83" s="14">
        <f t="shared" ca="1" si="64"/>
        <v>0</v>
      </c>
      <c r="T83" s="14">
        <f>IFERROR(IF(WoP_Flag="Y",IF(fq=1,VLOOKUP(ppt*fq-H83,Charges!$AN$41:$AO$59,2,FALSE),IF(fq=2,VLOOKUP(ppt*fq-G83,Charges!$AP$41:$AQ$79,2,FALSE),VLOOKUP(ppt*fq-D83,Charges!$AR$41:$AS$279,2,FALSE)))*pr/fq,0),0)</f>
        <v>0</v>
      </c>
      <c r="U83" s="14">
        <f ca="1">IFERROR(((T83*(VLOOKUP(Input!$D$18+H83-1,Tab_Mort_Charge,IF(Gender_2="M",2,3),FALSE)*(1+_emr2)+_rpm2)/IF(Model_Type="LA_PQIS",1000/0.0833,(12*1000))))*Flag_Mort_Rider_Charge*(T83&gt;0),0)</f>
        <v>0</v>
      </c>
      <c r="V83" s="34">
        <f>ROUND(MIN(IF(H83&gt;=7,Charges!$C$12*(1+Charges!$C$14)^((H83-7+1)),VLOOKUP(H83,Charges!$B$7:$C$12,2,0))*pr,Charges!$C$13)*B83,Round)</f>
        <v>500</v>
      </c>
      <c r="W83" s="14">
        <f t="shared" ca="1" si="65"/>
        <v>1919322.675959639</v>
      </c>
      <c r="X83" s="14">
        <f t="shared" ca="1" si="66"/>
        <v>1925606.0389588044</v>
      </c>
      <c r="Y83" s="213">
        <f t="shared" ca="1" si="88"/>
        <v>2167.4857199939011</v>
      </c>
      <c r="Z83" s="14">
        <f t="shared" ca="1" si="67"/>
        <v>1923048.4058092115</v>
      </c>
      <c r="AA83" s="14">
        <f>IF(AND($H83=pt,$F83=11),SUM($K$7:K83)*VLOOKUP(pt,ROC,2,FALSE),0)</f>
        <v>0</v>
      </c>
      <c r="AB83" s="14">
        <f>IF(AND($H83=pt,$F83=11),SUM($V$7:V83)*VLOOKUP(pt,ROC,2,FALSE),0)</f>
        <v>0</v>
      </c>
      <c r="AC83" s="14">
        <f>IF(AND($H83=pt,$F83=11),SUM($Q$7:Q83)*VLOOKUP(pt,ROC,2,FALSE),0)</f>
        <v>0</v>
      </c>
      <c r="AD83" s="14">
        <f t="shared" ca="1" si="89"/>
        <v>1923048.4058092115</v>
      </c>
      <c r="AE83" s="14">
        <f ca="1">(MAX(sa-CF82*Flag_UL_Type,105%*SUM($I$7:I83),Z83)+AU83)*B83</f>
        <v>3000000</v>
      </c>
      <c r="AF83" s="136"/>
      <c r="AG83" s="18">
        <v>77</v>
      </c>
      <c r="AH83" s="30">
        <f t="shared" ca="1" si="68"/>
        <v>0</v>
      </c>
      <c r="AI83" s="138"/>
      <c r="AJ83" s="50">
        <f>IF(AND(Option_Sys_TopUp&gt;="Y",H83&gt;=sytp,H83&lt;=(dtp+sytp-1),F83=0,H83&lt;=ppt+1),atp,0)+IFERROR(VLOOKUP(H83,Input!$B$55:$C$61,2,0),0)*(F83=0)*(Option_TopUP="Y")*(Option_Sys_TopUp="N")*B83*(pt&gt;=H83+5)</f>
        <v>0</v>
      </c>
      <c r="AK83" s="50">
        <f t="shared" si="69"/>
        <v>0</v>
      </c>
      <c r="AL83" s="50">
        <f t="shared" si="90"/>
        <v>0</v>
      </c>
      <c r="AM83" s="50">
        <f t="shared" ca="1" si="70"/>
        <v>0</v>
      </c>
      <c r="AN83" s="50">
        <f ca="1">IF(B83=0,0,AT83*(_rpm1+(1+_emr1)*VLOOKUP(E83,Tab_Mort_Charge,IF(Input!$C$12="M",2,3),0))*(0.001*0.0833)*Flag_Mort_Rider_Charge*(AT83&gt;0))</f>
        <v>0</v>
      </c>
      <c r="AO83" s="50">
        <f t="shared" ca="1" si="91"/>
        <v>0</v>
      </c>
      <c r="AP83" s="50">
        <f t="shared" ca="1" si="92"/>
        <v>0</v>
      </c>
      <c r="AQ83" s="50">
        <f t="shared" ca="1" si="71"/>
        <v>0</v>
      </c>
      <c r="AR83" s="50">
        <f t="shared" ca="1" si="72"/>
        <v>0</v>
      </c>
      <c r="AS83" s="50">
        <f t="shared" si="73"/>
        <v>0</v>
      </c>
      <c r="AT83" s="50">
        <f ca="1">(MAX((MAX(AS83,105%*SUM($AJ$7:AJ83))-AM83*Flag_UL_Type),0)*B83)</f>
        <v>0</v>
      </c>
      <c r="AU83" s="50">
        <f ca="1">(MAX(AS83,AR83,105%*SUM($AJ$7:AJ83))*B83)</f>
        <v>0</v>
      </c>
      <c r="AV83" s="125"/>
      <c r="AW83" s="13"/>
      <c r="AX83" s="13"/>
      <c r="AY83" s="13"/>
      <c r="AZ83" s="13"/>
      <c r="BA83" s="13"/>
      <c r="BG83" s="51">
        <f t="shared" si="74"/>
        <v>0</v>
      </c>
      <c r="BH83" s="51">
        <f t="shared" ca="1" si="75"/>
        <v>271.34393694660099</v>
      </c>
      <c r="BI83" s="51">
        <f t="shared" ca="1" si="76"/>
        <v>0</v>
      </c>
      <c r="BJ83" s="51">
        <f t="shared" ca="1" si="77"/>
        <v>0</v>
      </c>
      <c r="BK83" s="51">
        <f t="shared" si="78"/>
        <v>90</v>
      </c>
      <c r="BL83" s="51">
        <f t="shared" ca="1" si="79"/>
        <v>390.14742959890219</v>
      </c>
      <c r="BM83" s="51">
        <f t="shared" si="80"/>
        <v>0</v>
      </c>
      <c r="BN83" s="51">
        <f t="shared" ca="1" si="81"/>
        <v>0</v>
      </c>
      <c r="BO83" s="51">
        <f t="shared" ca="1" si="82"/>
        <v>0</v>
      </c>
      <c r="BP83" s="51">
        <f t="shared" ca="1" si="83"/>
        <v>751.49136654550318</v>
      </c>
      <c r="BQ83" s="120"/>
      <c r="BR83" s="32"/>
      <c r="BS83" s="126"/>
      <c r="BT83" s="16"/>
      <c r="BU83" s="58"/>
      <c r="BW83" s="51">
        <f>VLOOKUP(H83,Charges!$AT$4:$AU$33,2,FALSE)*I83</f>
        <v>0</v>
      </c>
      <c r="BX83" s="51">
        <f t="shared" si="84"/>
        <v>0</v>
      </c>
      <c r="BY83" s="51">
        <f t="shared" si="93"/>
        <v>0</v>
      </c>
      <c r="BZ83" s="151"/>
      <c r="CA83" s="151"/>
      <c r="CB83" s="32"/>
      <c r="CC83" s="16">
        <f ca="1">SUM($N$7:$N83)</f>
        <v>0</v>
      </c>
      <c r="CD83" s="16">
        <f t="shared" ca="1" si="85"/>
        <v>0</v>
      </c>
      <c r="CE83" s="16">
        <f t="shared" ca="1" si="86"/>
        <v>0</v>
      </c>
      <c r="CF83" s="7">
        <f t="shared" ca="1" si="94"/>
        <v>0</v>
      </c>
    </row>
    <row r="84" spans="1:84" s="7" customFormat="1" x14ac:dyDescent="0.2">
      <c r="A84" s="149"/>
      <c r="B84" s="14">
        <f t="shared" si="55"/>
        <v>1</v>
      </c>
      <c r="C84" s="12">
        <f t="shared" si="56"/>
        <v>1</v>
      </c>
      <c r="D84" s="17">
        <f t="shared" si="95"/>
        <v>78</v>
      </c>
      <c r="E84" s="17">
        <f t="shared" ca="1" si="57"/>
        <v>66</v>
      </c>
      <c r="F84" s="12">
        <f t="shared" ref="F84:F147" si="97">F72</f>
        <v>5</v>
      </c>
      <c r="G84" s="12">
        <f t="shared" si="96"/>
        <v>13</v>
      </c>
      <c r="H84" s="17">
        <f t="shared" ref="H84:H147" si="98">+H72+1</f>
        <v>7</v>
      </c>
      <c r="I84" s="29">
        <f t="shared" si="58"/>
        <v>0</v>
      </c>
      <c r="J84" s="211">
        <f>IFERROR(VLOOKUP(H84,Charges!$T$6:$U$35,2,0)*C84,0)</f>
        <v>0.98</v>
      </c>
      <c r="K84" s="29">
        <f t="shared" si="59"/>
        <v>0</v>
      </c>
      <c r="L84" s="29">
        <f t="shared" si="60"/>
        <v>0</v>
      </c>
      <c r="M84" s="147">
        <f t="shared" ca="1" si="61"/>
        <v>0</v>
      </c>
      <c r="N84" s="148">
        <f ca="1">IF(AND(Option_SPW="Y",H84&gt;=Lock_In_Period,Z83&gt;SPW_Amount_pa+IF(option="Single",1/5*pr,2*pr),H84&gt;=SPW_Start_Year,H84&lt;=SPW_Start_Year+SPW_Duration-1,age+H84&gt;=Legal_Age),IF(AND(F84=0,SPW_Payout_Freq=1),SPW_Amount_pa,IF(AND(SPW_Payout_Freq=2,MOD(F84,6)=0),SPW_Amount_pa/SPW_Payout_Freq,IF(AND(SPW_Payout_Freq=4,MOD(F84,3)=0),SPW_Amount_pa/SPW_Payout_Freq,IF(SPW_Payout_Freq=12,SPW_Amount_pa/SPW_Payout_Freq,0)))),0)+IFERROR(VLOOKUP(H84,Input!$B$68:$C$74,2,0),0)*(F84=0)*(Option_PW="Y")*(Option_SPW="N")*(age+H84&gt;=Legal_Age)</f>
        <v>0</v>
      </c>
      <c r="O84" s="148">
        <f t="shared" ca="1" si="87"/>
        <v>0</v>
      </c>
      <c r="P84" s="14">
        <f ca="1">(MAX(MAX(sa-CF83*Flag_UL_Type,105%*SUM($I$7:I84))-(AD83+L84-N84)*Flag_UL_Type,0)*B84)</f>
        <v>1076951.5941907885</v>
      </c>
      <c r="Q84" s="213">
        <f t="shared" ca="1" si="62"/>
        <v>1505.5693540821001</v>
      </c>
      <c r="R84" s="14">
        <f t="shared" ca="1" si="63"/>
        <v>0</v>
      </c>
      <c r="S84" s="14">
        <f t="shared" ca="1" si="64"/>
        <v>0</v>
      </c>
      <c r="T84" s="14">
        <f>IFERROR(IF(WoP_Flag="Y",IF(fq=1,VLOOKUP(ppt*fq-H84,Charges!$AN$41:$AO$59,2,FALSE),IF(fq=2,VLOOKUP(ppt*fq-G84,Charges!$AP$41:$AQ$79,2,FALSE),VLOOKUP(ppt*fq-D84,Charges!$AR$41:$AS$279,2,FALSE)))*pr/fq,0),0)</f>
        <v>0</v>
      </c>
      <c r="U84" s="14">
        <f ca="1">IFERROR(((T84*(VLOOKUP(Input!$D$18+H84-1,Tab_Mort_Charge,IF(Gender_2="M",2,3),FALSE)*(1+_emr2)+_rpm2)/IF(Model_Type="LA_PQIS",1000/0.0833,(12*1000))))*Flag_Mort_Rider_Charge*(T84&gt;0),0)</f>
        <v>0</v>
      </c>
      <c r="V84" s="34">
        <f>ROUND(MIN(IF(H84&gt;=7,Charges!$C$12*(1+Charges!$C$14)^((H84-7+1)),VLOOKUP(H84,Charges!$B$7:$C$12,2,0))*pr,Charges!$C$13)*B84,Round)</f>
        <v>500</v>
      </c>
      <c r="W84" s="14">
        <f t="shared" ca="1" si="65"/>
        <v>1920681.8339713947</v>
      </c>
      <c r="X84" s="14">
        <f t="shared" ca="1" si="66"/>
        <v>1926969.6465002135</v>
      </c>
      <c r="Y84" s="213">
        <f t="shared" ca="1" si="88"/>
        <v>2169.0206133281981</v>
      </c>
      <c r="Z84" s="14">
        <f t="shared" ca="1" si="67"/>
        <v>1924410.2021764864</v>
      </c>
      <c r="AA84" s="14">
        <f>IF(AND($H84=pt,$F84=11),SUM($K$7:K84)*VLOOKUP(pt,ROC,2,FALSE),0)</f>
        <v>0</v>
      </c>
      <c r="AB84" s="14">
        <f>IF(AND($H84=pt,$F84=11),SUM($V$7:V84)*VLOOKUP(pt,ROC,2,FALSE),0)</f>
        <v>0</v>
      </c>
      <c r="AC84" s="14">
        <f>IF(AND($H84=pt,$F84=11),SUM($Q$7:Q84)*VLOOKUP(pt,ROC,2,FALSE),0)</f>
        <v>0</v>
      </c>
      <c r="AD84" s="14">
        <f t="shared" ca="1" si="89"/>
        <v>1924410.2021764864</v>
      </c>
      <c r="AE84" s="14">
        <f ca="1">(MAX(sa-CF83*Flag_UL_Type,105%*SUM($I$7:I84),Z84)+AU84)*B84</f>
        <v>3000000</v>
      </c>
      <c r="AF84" s="136"/>
      <c r="AG84" s="18">
        <v>78</v>
      </c>
      <c r="AH84" s="30">
        <f t="shared" ca="1" si="68"/>
        <v>0</v>
      </c>
      <c r="AI84" s="138"/>
      <c r="AJ84" s="50">
        <f>IF(AND(Option_Sys_TopUp&gt;="Y",H84&gt;=sytp,H84&lt;=(dtp+sytp-1),F84=0,H84&lt;=ppt+1),atp,0)+IFERROR(VLOOKUP(H84,Input!$B$55:$C$61,2,0),0)*(F84=0)*(Option_TopUP="Y")*(Option_Sys_TopUp="N")*B84*(pt&gt;=H84+5)</f>
        <v>0</v>
      </c>
      <c r="AK84" s="50">
        <f t="shared" si="69"/>
        <v>0</v>
      </c>
      <c r="AL84" s="50">
        <f t="shared" si="90"/>
        <v>0</v>
      </c>
      <c r="AM84" s="50">
        <f t="shared" ca="1" si="70"/>
        <v>0</v>
      </c>
      <c r="AN84" s="50">
        <f ca="1">IF(B84=0,0,AT84*(_rpm1+(1+_emr1)*VLOOKUP(E84,Tab_Mort_Charge,IF(Input!$C$12="M",2,3),0))*(0.001*0.0833)*Flag_Mort_Rider_Charge*(AT84&gt;0))</f>
        <v>0</v>
      </c>
      <c r="AO84" s="50">
        <f t="shared" ca="1" si="91"/>
        <v>0</v>
      </c>
      <c r="AP84" s="50">
        <f t="shared" ca="1" si="92"/>
        <v>0</v>
      </c>
      <c r="AQ84" s="50">
        <f t="shared" ca="1" si="71"/>
        <v>0</v>
      </c>
      <c r="AR84" s="50">
        <f t="shared" ca="1" si="72"/>
        <v>0</v>
      </c>
      <c r="AS84" s="50">
        <f t="shared" si="73"/>
        <v>0</v>
      </c>
      <c r="AT84" s="50">
        <f ca="1">(MAX((MAX(AS84,105%*SUM($AJ$7:AJ84))-AM84*Flag_UL_Type),0)*B84)</f>
        <v>0</v>
      </c>
      <c r="AU84" s="50">
        <f ca="1">(MAX(AS84,AR84,105%*SUM($AJ$7:AJ84))*B84)</f>
        <v>0</v>
      </c>
      <c r="AV84" s="125"/>
      <c r="AW84" s="13"/>
      <c r="AX84" s="13"/>
      <c r="AY84" s="13"/>
      <c r="AZ84" s="13"/>
      <c r="BA84" s="13"/>
      <c r="BG84" s="51">
        <f t="shared" si="74"/>
        <v>0</v>
      </c>
      <c r="BH84" s="51">
        <f t="shared" ca="1" si="75"/>
        <v>271.00248373477802</v>
      </c>
      <c r="BI84" s="51">
        <f t="shared" ca="1" si="76"/>
        <v>0</v>
      </c>
      <c r="BJ84" s="51">
        <f t="shared" ca="1" si="77"/>
        <v>0</v>
      </c>
      <c r="BK84" s="51">
        <f t="shared" si="78"/>
        <v>90</v>
      </c>
      <c r="BL84" s="51">
        <f t="shared" ca="1" si="79"/>
        <v>390.42371039907567</v>
      </c>
      <c r="BM84" s="51">
        <f t="shared" si="80"/>
        <v>0</v>
      </c>
      <c r="BN84" s="51">
        <f t="shared" ca="1" si="81"/>
        <v>0</v>
      </c>
      <c r="BO84" s="51">
        <f t="shared" ca="1" si="82"/>
        <v>0</v>
      </c>
      <c r="BP84" s="51">
        <f t="shared" ca="1" si="83"/>
        <v>751.42619413385364</v>
      </c>
      <c r="BQ84" s="120"/>
      <c r="BR84" s="32"/>
      <c r="BS84" s="126"/>
      <c r="BT84" s="16"/>
      <c r="BU84" s="58"/>
      <c r="BW84" s="51">
        <f>VLOOKUP(H84,Charges!$AT$4:$AU$33,2,FALSE)*I84</f>
        <v>0</v>
      </c>
      <c r="BX84" s="51">
        <f t="shared" si="84"/>
        <v>0</v>
      </c>
      <c r="BY84" s="51">
        <f t="shared" si="93"/>
        <v>0</v>
      </c>
      <c r="BZ84" s="151"/>
      <c r="CA84" s="151"/>
      <c r="CB84" s="32"/>
      <c r="CC84" s="16">
        <f ca="1">SUM($N$7:$N84)</f>
        <v>0</v>
      </c>
      <c r="CD84" s="16">
        <f t="shared" ca="1" si="85"/>
        <v>0</v>
      </c>
      <c r="CE84" s="16">
        <f t="shared" ca="1" si="86"/>
        <v>0</v>
      </c>
      <c r="CF84" s="7">
        <f t="shared" ca="1" si="94"/>
        <v>0</v>
      </c>
    </row>
    <row r="85" spans="1:84" s="7" customFormat="1" x14ac:dyDescent="0.2">
      <c r="A85" s="149"/>
      <c r="B85" s="14">
        <f t="shared" si="55"/>
        <v>1</v>
      </c>
      <c r="C85" s="12">
        <f t="shared" si="56"/>
        <v>1</v>
      </c>
      <c r="D85" s="17">
        <f t="shared" si="95"/>
        <v>79</v>
      </c>
      <c r="E85" s="17">
        <f t="shared" ca="1" si="57"/>
        <v>66</v>
      </c>
      <c r="F85" s="12">
        <f t="shared" si="97"/>
        <v>6</v>
      </c>
      <c r="G85" s="12">
        <f t="shared" si="96"/>
        <v>14</v>
      </c>
      <c r="H85" s="17">
        <f t="shared" si="98"/>
        <v>7</v>
      </c>
      <c r="I85" s="29">
        <f t="shared" si="58"/>
        <v>0</v>
      </c>
      <c r="J85" s="211">
        <f>IFERROR(VLOOKUP(H85,Charges!$T$6:$U$35,2,0)*C85,0)</f>
        <v>0.98</v>
      </c>
      <c r="K85" s="29">
        <f t="shared" si="59"/>
        <v>0</v>
      </c>
      <c r="L85" s="29">
        <f t="shared" si="60"/>
        <v>0</v>
      </c>
      <c r="M85" s="147">
        <f t="shared" ca="1" si="61"/>
        <v>0</v>
      </c>
      <c r="N85" s="148">
        <f ca="1">IF(AND(Option_SPW="Y",H85&gt;=Lock_In_Period,Z84&gt;SPW_Amount_pa+IF(option="Single",1/5*pr,2*pr),H85&gt;=SPW_Start_Year,H85&lt;=SPW_Start_Year+SPW_Duration-1,age+H85&gt;=Legal_Age),IF(AND(F85=0,SPW_Payout_Freq=1),SPW_Amount_pa,IF(AND(SPW_Payout_Freq=2,MOD(F85,6)=0),SPW_Amount_pa/SPW_Payout_Freq,IF(AND(SPW_Payout_Freq=4,MOD(F85,3)=0),SPW_Amount_pa/SPW_Payout_Freq,IF(SPW_Payout_Freq=12,SPW_Amount_pa/SPW_Payout_Freq,0)))),0)+IFERROR(VLOOKUP(H85,Input!$B$68:$C$74,2,0),0)*(F85=0)*(Option_PW="Y")*(Option_SPW="N")*(age+H85&gt;=Legal_Age)</f>
        <v>0</v>
      </c>
      <c r="O85" s="148">
        <f t="shared" ca="1" si="87"/>
        <v>0</v>
      </c>
      <c r="P85" s="14">
        <f ca="1">(MAX(MAX(sa-CF84*Flag_UL_Type,105%*SUM($I$7:I85))-(AD84+L85-N85)*Flag_UL_Type,0)*B85)</f>
        <v>1075589.7978235136</v>
      </c>
      <c r="Q85" s="213">
        <f t="shared" ca="1" si="62"/>
        <v>1503.6655741089583</v>
      </c>
      <c r="R85" s="14">
        <f t="shared" ca="1" si="63"/>
        <v>0</v>
      </c>
      <c r="S85" s="14">
        <f t="shared" ca="1" si="64"/>
        <v>0</v>
      </c>
      <c r="T85" s="14">
        <f>IFERROR(IF(WoP_Flag="Y",IF(fq=1,VLOOKUP(ppt*fq-H85,Charges!$AN$41:$AO$59,2,FALSE),IF(fq=2,VLOOKUP(ppt*fq-G85,Charges!$AP$41:$AQ$79,2,FALSE),VLOOKUP(ppt*fq-D85,Charges!$AR$41:$AS$279,2,FALSE)))*pr/fq,0),0)</f>
        <v>0</v>
      </c>
      <c r="U85" s="14">
        <f ca="1">IFERROR(((T85*(VLOOKUP(Input!$D$18+H85-1,Tab_Mort_Charge,IF(Gender_2="M",2,3),FALSE)*(1+_emr2)+_rpm2)/IF(Model_Type="LA_PQIS",1000/0.0833,(12*1000))))*Flag_Mort_Rider_Charge*(T85&gt;0),0)</f>
        <v>0</v>
      </c>
      <c r="V85" s="34">
        <f>ROUND(MIN(IF(H85&gt;=7,Charges!$C$12*(1+Charges!$C$14)^((H85-7+1)),VLOOKUP(H85,Charges!$B$7:$C$12,2,0))*pr,Charges!$C$13)*B85,Round)</f>
        <v>500</v>
      </c>
      <c r="W85" s="14">
        <f t="shared" ca="1" si="65"/>
        <v>1922045.8767990379</v>
      </c>
      <c r="X85" s="14">
        <f t="shared" ca="1" si="66"/>
        <v>1928338.1548491262</v>
      </c>
      <c r="Y85" s="213">
        <f t="shared" ca="1" si="88"/>
        <v>2170.5610230713896</v>
      </c>
      <c r="Z85" s="14">
        <f t="shared" ca="1" si="67"/>
        <v>1925776.8928419021</v>
      </c>
      <c r="AA85" s="14">
        <f>IF(AND($H85=pt,$F85=11),SUM($K$7:K85)*VLOOKUP(pt,ROC,2,FALSE),0)</f>
        <v>0</v>
      </c>
      <c r="AB85" s="14">
        <f>IF(AND($H85=pt,$F85=11),SUM($V$7:V85)*VLOOKUP(pt,ROC,2,FALSE),0)</f>
        <v>0</v>
      </c>
      <c r="AC85" s="14">
        <f>IF(AND($H85=pt,$F85=11),SUM($Q$7:Q85)*VLOOKUP(pt,ROC,2,FALSE),0)</f>
        <v>0</v>
      </c>
      <c r="AD85" s="14">
        <f t="shared" ca="1" si="89"/>
        <v>1925776.8928419021</v>
      </c>
      <c r="AE85" s="14">
        <f ca="1">(MAX(sa-CF84*Flag_UL_Type,105%*SUM($I$7:I85),Z85)+AU85)*B85</f>
        <v>3000000</v>
      </c>
      <c r="AF85" s="136"/>
      <c r="AG85" s="18">
        <v>79</v>
      </c>
      <c r="AH85" s="30">
        <f t="shared" ca="1" si="68"/>
        <v>0</v>
      </c>
      <c r="AI85" s="138"/>
      <c r="AJ85" s="50">
        <f>IF(AND(Option_Sys_TopUp&gt;="Y",H85&gt;=sytp,H85&lt;=(dtp+sytp-1),F85=0,H85&lt;=ppt+1),atp,0)+IFERROR(VLOOKUP(H85,Input!$B$55:$C$61,2,0),0)*(F85=0)*(Option_TopUP="Y")*(Option_Sys_TopUp="N")*B85*(pt&gt;=H85+5)</f>
        <v>0</v>
      </c>
      <c r="AK85" s="50">
        <f t="shared" si="69"/>
        <v>0</v>
      </c>
      <c r="AL85" s="50">
        <f t="shared" si="90"/>
        <v>0</v>
      </c>
      <c r="AM85" s="50">
        <f t="shared" ca="1" si="70"/>
        <v>0</v>
      </c>
      <c r="AN85" s="50">
        <f ca="1">IF(B85=0,0,AT85*(_rpm1+(1+_emr1)*VLOOKUP(E85,Tab_Mort_Charge,IF(Input!$C$12="M",2,3),0))*(0.001*0.0833)*Flag_Mort_Rider_Charge*(AT85&gt;0))</f>
        <v>0</v>
      </c>
      <c r="AO85" s="50">
        <f t="shared" ca="1" si="91"/>
        <v>0</v>
      </c>
      <c r="AP85" s="50">
        <f t="shared" ca="1" si="92"/>
        <v>0</v>
      </c>
      <c r="AQ85" s="50">
        <f t="shared" ca="1" si="71"/>
        <v>0</v>
      </c>
      <c r="AR85" s="50">
        <f t="shared" ca="1" si="72"/>
        <v>0</v>
      </c>
      <c r="AS85" s="50">
        <f t="shared" si="73"/>
        <v>0</v>
      </c>
      <c r="AT85" s="50">
        <f ca="1">(MAX((MAX(AS85,105%*SUM($AJ$7:AJ85))-AM85*Flag_UL_Type),0)*B85)</f>
        <v>0</v>
      </c>
      <c r="AU85" s="50">
        <f ca="1">(MAX(AS85,AR85,105%*SUM($AJ$7:AJ85))*B85)</f>
        <v>0</v>
      </c>
      <c r="AV85" s="125"/>
      <c r="AW85" s="13"/>
      <c r="AX85" s="13"/>
      <c r="AY85" s="13"/>
      <c r="AZ85" s="13"/>
      <c r="BA85" s="13"/>
      <c r="BG85" s="51">
        <f t="shared" si="74"/>
        <v>0</v>
      </c>
      <c r="BH85" s="51">
        <f t="shared" ca="1" si="75"/>
        <v>270.65980333961198</v>
      </c>
      <c r="BI85" s="51">
        <f t="shared" ca="1" si="76"/>
        <v>0</v>
      </c>
      <c r="BJ85" s="51">
        <f t="shared" ca="1" si="77"/>
        <v>0</v>
      </c>
      <c r="BK85" s="51">
        <f t="shared" si="78"/>
        <v>90</v>
      </c>
      <c r="BL85" s="51">
        <f t="shared" ca="1" si="79"/>
        <v>390.70098415285014</v>
      </c>
      <c r="BM85" s="51">
        <f t="shared" si="80"/>
        <v>0</v>
      </c>
      <c r="BN85" s="51">
        <f t="shared" ca="1" si="81"/>
        <v>0</v>
      </c>
      <c r="BO85" s="51">
        <f t="shared" ca="1" si="82"/>
        <v>0</v>
      </c>
      <c r="BP85" s="51">
        <f t="shared" ca="1" si="83"/>
        <v>751.36078749246212</v>
      </c>
      <c r="BQ85" s="120"/>
      <c r="BR85" s="32"/>
      <c r="BS85" s="126"/>
      <c r="BT85" s="16"/>
      <c r="BU85" s="58"/>
      <c r="BW85" s="51">
        <f>VLOOKUP(H85,Charges!$AT$4:$AU$33,2,FALSE)*I85</f>
        <v>0</v>
      </c>
      <c r="BX85" s="51">
        <f t="shared" si="84"/>
        <v>0</v>
      </c>
      <c r="BY85" s="51">
        <f t="shared" si="93"/>
        <v>0</v>
      </c>
      <c r="BZ85" s="151"/>
      <c r="CA85" s="151"/>
      <c r="CB85" s="32"/>
      <c r="CC85" s="16">
        <f ca="1">SUM($N$7:$N85)</f>
        <v>0</v>
      </c>
      <c r="CD85" s="16">
        <f t="shared" ca="1" si="85"/>
        <v>0</v>
      </c>
      <c r="CE85" s="16">
        <f t="shared" ca="1" si="86"/>
        <v>0</v>
      </c>
      <c r="CF85" s="7">
        <f t="shared" ca="1" si="94"/>
        <v>0</v>
      </c>
    </row>
    <row r="86" spans="1:84" s="7" customFormat="1" x14ac:dyDescent="0.2">
      <c r="A86" s="149"/>
      <c r="B86" s="14">
        <f t="shared" si="55"/>
        <v>1</v>
      </c>
      <c r="C86" s="12">
        <f t="shared" si="56"/>
        <v>1</v>
      </c>
      <c r="D86" s="17">
        <f t="shared" si="95"/>
        <v>80</v>
      </c>
      <c r="E86" s="17">
        <f t="shared" ca="1" si="57"/>
        <v>66</v>
      </c>
      <c r="F86" s="12">
        <f t="shared" si="97"/>
        <v>7</v>
      </c>
      <c r="G86" s="12">
        <f t="shared" si="96"/>
        <v>14</v>
      </c>
      <c r="H86" s="17">
        <f t="shared" si="98"/>
        <v>7</v>
      </c>
      <c r="I86" s="29">
        <f t="shared" si="58"/>
        <v>0</v>
      </c>
      <c r="J86" s="211">
        <f>IFERROR(VLOOKUP(H86,Charges!$T$6:$U$35,2,0)*C86,0)</f>
        <v>0.98</v>
      </c>
      <c r="K86" s="29">
        <f t="shared" si="59"/>
        <v>0</v>
      </c>
      <c r="L86" s="29">
        <f t="shared" si="60"/>
        <v>0</v>
      </c>
      <c r="M86" s="147">
        <f t="shared" ca="1" si="61"/>
        <v>0</v>
      </c>
      <c r="N86" s="148">
        <f ca="1">IF(AND(Option_SPW="Y",H86&gt;=Lock_In_Period,Z85&gt;SPW_Amount_pa+IF(option="Single",1/5*pr,2*pr),H86&gt;=SPW_Start_Year,H86&lt;=SPW_Start_Year+SPW_Duration-1,age+H86&gt;=Legal_Age),IF(AND(F86=0,SPW_Payout_Freq=1),SPW_Amount_pa,IF(AND(SPW_Payout_Freq=2,MOD(F86,6)=0),SPW_Amount_pa/SPW_Payout_Freq,IF(AND(SPW_Payout_Freq=4,MOD(F86,3)=0),SPW_Amount_pa/SPW_Payout_Freq,IF(SPW_Payout_Freq=12,SPW_Amount_pa/SPW_Payout_Freq,0)))),0)+IFERROR(VLOOKUP(H86,Input!$B$68:$C$74,2,0),0)*(F86=0)*(Option_PW="Y")*(Option_SPW="N")*(age+H86&gt;=Legal_Age)</f>
        <v>0</v>
      </c>
      <c r="O86" s="148">
        <f t="shared" ca="1" si="87"/>
        <v>0</v>
      </c>
      <c r="P86" s="14">
        <f ca="1">(MAX(MAX(sa-CF85*Flag_UL_Type,105%*SUM($I$7:I86))-(AD85+L86-N86)*Flag_UL_Type,0)*B86)</f>
        <v>1074223.1071580979</v>
      </c>
      <c r="Q86" s="213">
        <f t="shared" ca="1" si="62"/>
        <v>1501.7549519477918</v>
      </c>
      <c r="R86" s="14">
        <f t="shared" ca="1" si="63"/>
        <v>0</v>
      </c>
      <c r="S86" s="14">
        <f t="shared" ca="1" si="64"/>
        <v>0</v>
      </c>
      <c r="T86" s="14">
        <f>IFERROR(IF(WoP_Flag="Y",IF(fq=1,VLOOKUP(ppt*fq-H86,Charges!$AN$41:$AO$59,2,FALSE),IF(fq=2,VLOOKUP(ppt*fq-G86,Charges!$AP$41:$AQ$79,2,FALSE),VLOOKUP(ppt*fq-D86,Charges!$AR$41:$AS$279,2,FALSE)))*pr/fq,0),0)</f>
        <v>0</v>
      </c>
      <c r="U86" s="14">
        <f ca="1">IFERROR(((T86*(VLOOKUP(Input!$D$18+H86-1,Tab_Mort_Charge,IF(Gender_2="M",2,3),FALSE)*(1+_emr2)+_rpm2)/IF(Model_Type="LA_PQIS",1000/0.0833,(12*1000))))*Flag_Mort_Rider_Charge*(T86&gt;0),0)</f>
        <v>0</v>
      </c>
      <c r="V86" s="34">
        <f>ROUND(MIN(IF(H86&gt;=7,Charges!$C$12*(1+Charges!$C$14)^((H86-7+1)),VLOOKUP(H86,Charges!$B$7:$C$12,2,0))*pr,Charges!$C$13)*B86,Round)</f>
        <v>500</v>
      </c>
      <c r="W86" s="14">
        <f t="shared" ca="1" si="65"/>
        <v>1923414.8219986036</v>
      </c>
      <c r="X86" s="14">
        <f t="shared" ca="1" si="66"/>
        <v>1929711.5816190515</v>
      </c>
      <c r="Y86" s="213">
        <f t="shared" ca="1" si="88"/>
        <v>2172.1069690494569</v>
      </c>
      <c r="Z86" s="14">
        <f t="shared" ca="1" si="67"/>
        <v>1927148.4953955731</v>
      </c>
      <c r="AA86" s="14">
        <f>IF(AND($H86=pt,$F86=11),SUM($K$7:K86)*VLOOKUP(pt,ROC,2,FALSE),0)</f>
        <v>0</v>
      </c>
      <c r="AB86" s="14">
        <f>IF(AND($H86=pt,$F86=11),SUM($V$7:V86)*VLOOKUP(pt,ROC,2,FALSE),0)</f>
        <v>0</v>
      </c>
      <c r="AC86" s="14">
        <f>IF(AND($H86=pt,$F86=11),SUM($Q$7:Q86)*VLOOKUP(pt,ROC,2,FALSE),0)</f>
        <v>0</v>
      </c>
      <c r="AD86" s="14">
        <f t="shared" ca="1" si="89"/>
        <v>1927148.4953955731</v>
      </c>
      <c r="AE86" s="14">
        <f ca="1">(MAX(sa-CF85*Flag_UL_Type,105%*SUM($I$7:I86),Z86)+AU86)*B86</f>
        <v>3000000</v>
      </c>
      <c r="AF86" s="136"/>
      <c r="AG86" s="18">
        <v>80</v>
      </c>
      <c r="AH86" s="30">
        <f t="shared" ca="1" si="68"/>
        <v>0</v>
      </c>
      <c r="AI86" s="138"/>
      <c r="AJ86" s="50">
        <f>IF(AND(Option_Sys_TopUp&gt;="Y",H86&gt;=sytp,H86&lt;=(dtp+sytp-1),F86=0,H86&lt;=ppt+1),atp,0)+IFERROR(VLOOKUP(H86,Input!$B$55:$C$61,2,0),0)*(F86=0)*(Option_TopUP="Y")*(Option_Sys_TopUp="N")*B86*(pt&gt;=H86+5)</f>
        <v>0</v>
      </c>
      <c r="AK86" s="50">
        <f t="shared" si="69"/>
        <v>0</v>
      </c>
      <c r="AL86" s="50">
        <f t="shared" si="90"/>
        <v>0</v>
      </c>
      <c r="AM86" s="50">
        <f t="shared" ca="1" si="70"/>
        <v>0</v>
      </c>
      <c r="AN86" s="50">
        <f ca="1">IF(B86=0,0,AT86*(_rpm1+(1+_emr1)*VLOOKUP(E86,Tab_Mort_Charge,IF(Input!$C$12="M",2,3),0))*(0.001*0.0833)*Flag_Mort_Rider_Charge*(AT86&gt;0))</f>
        <v>0</v>
      </c>
      <c r="AO86" s="50">
        <f t="shared" ca="1" si="91"/>
        <v>0</v>
      </c>
      <c r="AP86" s="50">
        <f t="shared" ca="1" si="92"/>
        <v>0</v>
      </c>
      <c r="AQ86" s="50">
        <f t="shared" ca="1" si="71"/>
        <v>0</v>
      </c>
      <c r="AR86" s="50">
        <f t="shared" ca="1" si="72"/>
        <v>0</v>
      </c>
      <c r="AS86" s="50">
        <f t="shared" si="73"/>
        <v>0</v>
      </c>
      <c r="AT86" s="50">
        <f ca="1">(MAX((MAX(AS86,105%*SUM($AJ$7:AJ86))-AM86*Flag_UL_Type),0)*B86)</f>
        <v>0</v>
      </c>
      <c r="AU86" s="50">
        <f ca="1">(MAX(AS86,AR86,105%*SUM($AJ$7:AJ86))*B86)</f>
        <v>0</v>
      </c>
      <c r="AV86" s="125"/>
      <c r="AW86" s="13"/>
      <c r="AX86" s="13"/>
      <c r="AY86" s="13"/>
      <c r="AZ86" s="13"/>
      <c r="BA86" s="13"/>
      <c r="BG86" s="51">
        <f t="shared" si="74"/>
        <v>0</v>
      </c>
      <c r="BH86" s="51">
        <f t="shared" ca="1" si="75"/>
        <v>270.31589135060199</v>
      </c>
      <c r="BI86" s="51">
        <f t="shared" ca="1" si="76"/>
        <v>0</v>
      </c>
      <c r="BJ86" s="51">
        <f t="shared" ca="1" si="77"/>
        <v>0</v>
      </c>
      <c r="BK86" s="51">
        <f t="shared" si="78"/>
        <v>90</v>
      </c>
      <c r="BL86" s="51">
        <f t="shared" ca="1" si="79"/>
        <v>390.97925442890221</v>
      </c>
      <c r="BM86" s="51">
        <f t="shared" si="80"/>
        <v>0</v>
      </c>
      <c r="BN86" s="51">
        <f t="shared" ca="1" si="81"/>
        <v>0</v>
      </c>
      <c r="BO86" s="51">
        <f t="shared" ca="1" si="82"/>
        <v>0</v>
      </c>
      <c r="BP86" s="51">
        <f t="shared" ca="1" si="83"/>
        <v>751.2951457795042</v>
      </c>
      <c r="BQ86" s="120"/>
      <c r="BR86" s="32"/>
      <c r="BS86" s="126"/>
      <c r="BT86" s="16"/>
      <c r="BU86" s="58"/>
      <c r="BW86" s="51">
        <f>VLOOKUP(H86,Charges!$AT$4:$AU$33,2,FALSE)*I86</f>
        <v>0</v>
      </c>
      <c r="BX86" s="51">
        <f t="shared" si="84"/>
        <v>0</v>
      </c>
      <c r="BY86" s="51">
        <f t="shared" si="93"/>
        <v>0</v>
      </c>
      <c r="BZ86" s="151"/>
      <c r="CA86" s="151"/>
      <c r="CB86" s="32"/>
      <c r="CC86" s="16">
        <f ca="1">SUM($N$7:$N86)</f>
        <v>0</v>
      </c>
      <c r="CD86" s="16">
        <f t="shared" ca="1" si="85"/>
        <v>0</v>
      </c>
      <c r="CE86" s="16">
        <f t="shared" ca="1" si="86"/>
        <v>0</v>
      </c>
      <c r="CF86" s="7">
        <f t="shared" ca="1" si="94"/>
        <v>0</v>
      </c>
    </row>
    <row r="87" spans="1:84" s="7" customFormat="1" x14ac:dyDescent="0.2">
      <c r="A87" s="149"/>
      <c r="B87" s="14">
        <f t="shared" si="55"/>
        <v>1</v>
      </c>
      <c r="C87" s="12">
        <f t="shared" si="56"/>
        <v>1</v>
      </c>
      <c r="D87" s="17">
        <f t="shared" si="95"/>
        <v>81</v>
      </c>
      <c r="E87" s="17">
        <f t="shared" ca="1" si="57"/>
        <v>66</v>
      </c>
      <c r="F87" s="12">
        <f t="shared" si="97"/>
        <v>8</v>
      </c>
      <c r="G87" s="12">
        <f t="shared" si="96"/>
        <v>14</v>
      </c>
      <c r="H87" s="17">
        <f t="shared" si="98"/>
        <v>7</v>
      </c>
      <c r="I87" s="29">
        <f t="shared" si="58"/>
        <v>0</v>
      </c>
      <c r="J87" s="211">
        <f>IFERROR(VLOOKUP(H87,Charges!$T$6:$U$35,2,0)*C87,0)</f>
        <v>0.98</v>
      </c>
      <c r="K87" s="29">
        <f t="shared" si="59"/>
        <v>0</v>
      </c>
      <c r="L87" s="29">
        <f t="shared" si="60"/>
        <v>0</v>
      </c>
      <c r="M87" s="147">
        <f t="shared" ca="1" si="61"/>
        <v>0</v>
      </c>
      <c r="N87" s="148">
        <f ca="1">IF(AND(Option_SPW="Y",H87&gt;=Lock_In_Period,Z86&gt;SPW_Amount_pa+IF(option="Single",1/5*pr,2*pr),H87&gt;=SPW_Start_Year,H87&lt;=SPW_Start_Year+SPW_Duration-1,age+H87&gt;=Legal_Age),IF(AND(F87=0,SPW_Payout_Freq=1),SPW_Amount_pa,IF(AND(SPW_Payout_Freq=2,MOD(F87,6)=0),SPW_Amount_pa/SPW_Payout_Freq,IF(AND(SPW_Payout_Freq=4,MOD(F87,3)=0),SPW_Amount_pa/SPW_Payout_Freq,IF(SPW_Payout_Freq=12,SPW_Amount_pa/SPW_Payout_Freq,0)))),0)+IFERROR(VLOOKUP(H87,Input!$B$68:$C$74,2,0),0)*(F87=0)*(Option_PW="Y")*(Option_SPW="N")*(age+H87&gt;=Legal_Age)</f>
        <v>0</v>
      </c>
      <c r="O87" s="148">
        <f t="shared" ca="1" si="87"/>
        <v>0</v>
      </c>
      <c r="P87" s="14">
        <f ca="1">(MAX(MAX(sa-CF86*Flag_UL_Type,105%*SUM($I$7:I87))-(AD86+L87-N87)*Flag_UL_Type,0)*B87)</f>
        <v>1072851.5046044269</v>
      </c>
      <c r="Q87" s="213">
        <f t="shared" ca="1" si="62"/>
        <v>1499.8374630077831</v>
      </c>
      <c r="R87" s="14">
        <f t="shared" ca="1" si="63"/>
        <v>0</v>
      </c>
      <c r="S87" s="14">
        <f t="shared" ca="1" si="64"/>
        <v>0</v>
      </c>
      <c r="T87" s="14">
        <f>IFERROR(IF(WoP_Flag="Y",IF(fq=1,VLOOKUP(ppt*fq-H87,Charges!$AN$41:$AO$59,2,FALSE),IF(fq=2,VLOOKUP(ppt*fq-G87,Charges!$AP$41:$AQ$79,2,FALSE),VLOOKUP(ppt*fq-D87,Charges!$AR$41:$AS$279,2,FALSE)))*pr/fq,0),0)</f>
        <v>0</v>
      </c>
      <c r="U87" s="14">
        <f ca="1">IFERROR(((T87*(VLOOKUP(Input!$D$18+H87-1,Tab_Mort_Charge,IF(Gender_2="M",2,3),FALSE)*(1+_emr2)+_rpm2)/IF(Model_Type="LA_PQIS",1000/0.0833,(12*1000))))*Flag_Mort_Rider_Charge*(T87&gt;0),0)</f>
        <v>0</v>
      </c>
      <c r="V87" s="34">
        <f>ROUND(MIN(IF(H87&gt;=7,Charges!$C$12*(1+Charges!$C$14)^((H87-7+1)),VLOOKUP(H87,Charges!$B$7:$C$12,2,0))*pr,Charges!$C$13)*B87,Round)</f>
        <v>500</v>
      </c>
      <c r="W87" s="14">
        <f t="shared" ca="1" si="65"/>
        <v>1924788.6871892239</v>
      </c>
      <c r="X87" s="14">
        <f t="shared" ca="1" si="66"/>
        <v>1931089.9444868017</v>
      </c>
      <c r="Y87" s="213">
        <f t="shared" ca="1" si="88"/>
        <v>2173.6584711596361</v>
      </c>
      <c r="Z87" s="14">
        <f t="shared" ca="1" si="67"/>
        <v>1928525.0274908333</v>
      </c>
      <c r="AA87" s="14">
        <f>IF(AND($H87=pt,$F87=11),SUM($K$7:K87)*VLOOKUP(pt,ROC,2,FALSE),0)</f>
        <v>0</v>
      </c>
      <c r="AB87" s="14">
        <f>IF(AND($H87=pt,$F87=11),SUM($V$7:V87)*VLOOKUP(pt,ROC,2,FALSE),0)</f>
        <v>0</v>
      </c>
      <c r="AC87" s="14">
        <f>IF(AND($H87=pt,$F87=11),SUM($Q$7:Q87)*VLOOKUP(pt,ROC,2,FALSE),0)</f>
        <v>0</v>
      </c>
      <c r="AD87" s="14">
        <f t="shared" ca="1" si="89"/>
        <v>1928525.0274908333</v>
      </c>
      <c r="AE87" s="14">
        <f ca="1">(MAX(sa-CF86*Flag_UL_Type,105%*SUM($I$7:I87),Z87)+AU87)*B87</f>
        <v>3000000</v>
      </c>
      <c r="AF87" s="136"/>
      <c r="AG87" s="18">
        <v>81</v>
      </c>
      <c r="AH87" s="30">
        <f t="shared" ca="1" si="68"/>
        <v>0</v>
      </c>
      <c r="AI87" s="138"/>
      <c r="AJ87" s="50">
        <f>IF(AND(Option_Sys_TopUp&gt;="Y",H87&gt;=sytp,H87&lt;=(dtp+sytp-1),F87=0,H87&lt;=ppt+1),atp,0)+IFERROR(VLOOKUP(H87,Input!$B$55:$C$61,2,0),0)*(F87=0)*(Option_TopUP="Y")*(Option_Sys_TopUp="N")*B87*(pt&gt;=H87+5)</f>
        <v>0</v>
      </c>
      <c r="AK87" s="50">
        <f t="shared" si="69"/>
        <v>0</v>
      </c>
      <c r="AL87" s="50">
        <f t="shared" si="90"/>
        <v>0</v>
      </c>
      <c r="AM87" s="50">
        <f t="shared" ca="1" si="70"/>
        <v>0</v>
      </c>
      <c r="AN87" s="50">
        <f ca="1">IF(B87=0,0,AT87*(_rpm1+(1+_emr1)*VLOOKUP(E87,Tab_Mort_Charge,IF(Input!$C$12="M",2,3),0))*(0.001*0.0833)*Flag_Mort_Rider_Charge*(AT87&gt;0))</f>
        <v>0</v>
      </c>
      <c r="AO87" s="50">
        <f t="shared" ca="1" si="91"/>
        <v>0</v>
      </c>
      <c r="AP87" s="50">
        <f t="shared" ca="1" si="92"/>
        <v>0</v>
      </c>
      <c r="AQ87" s="50">
        <f t="shared" ca="1" si="71"/>
        <v>0</v>
      </c>
      <c r="AR87" s="50">
        <f t="shared" ca="1" si="72"/>
        <v>0</v>
      </c>
      <c r="AS87" s="50">
        <f t="shared" si="73"/>
        <v>0</v>
      </c>
      <c r="AT87" s="50">
        <f ca="1">(MAX((MAX(AS87,105%*SUM($AJ$7:AJ87))-AM87*Flag_UL_Type),0)*B87)</f>
        <v>0</v>
      </c>
      <c r="AU87" s="50">
        <f ca="1">(MAX(AS87,AR87,105%*SUM($AJ$7:AJ87))*B87)</f>
        <v>0</v>
      </c>
      <c r="AV87" s="125"/>
      <c r="AW87" s="13"/>
      <c r="AX87" s="13"/>
      <c r="AY87" s="13"/>
      <c r="AZ87" s="13"/>
      <c r="BA87" s="13"/>
      <c r="BG87" s="51">
        <f t="shared" si="74"/>
        <v>0</v>
      </c>
      <c r="BH87" s="51">
        <f t="shared" ca="1" si="75"/>
        <v>269.97074334140098</v>
      </c>
      <c r="BI87" s="51">
        <f t="shared" ca="1" si="76"/>
        <v>0</v>
      </c>
      <c r="BJ87" s="51">
        <f t="shared" ca="1" si="77"/>
        <v>0</v>
      </c>
      <c r="BK87" s="51">
        <f t="shared" si="78"/>
        <v>90</v>
      </c>
      <c r="BL87" s="51">
        <f t="shared" ca="1" si="79"/>
        <v>391.25852480873448</v>
      </c>
      <c r="BM87" s="51">
        <f t="shared" si="80"/>
        <v>0</v>
      </c>
      <c r="BN87" s="51">
        <f t="shared" ca="1" si="81"/>
        <v>0</v>
      </c>
      <c r="BO87" s="51">
        <f t="shared" ca="1" si="82"/>
        <v>0</v>
      </c>
      <c r="BP87" s="51">
        <f t="shared" ca="1" si="83"/>
        <v>751.22926815013545</v>
      </c>
      <c r="BQ87" s="120"/>
      <c r="BR87" s="32"/>
      <c r="BS87" s="126"/>
      <c r="BT87" s="16"/>
      <c r="BU87" s="58"/>
      <c r="BW87" s="51">
        <f>VLOOKUP(H87,Charges!$AT$4:$AU$33,2,FALSE)*I87</f>
        <v>0</v>
      </c>
      <c r="BX87" s="51">
        <f t="shared" si="84"/>
        <v>0</v>
      </c>
      <c r="BY87" s="51">
        <f t="shared" si="93"/>
        <v>0</v>
      </c>
      <c r="BZ87" s="151"/>
      <c r="CA87" s="151"/>
      <c r="CB87" s="32"/>
      <c r="CC87" s="16">
        <f ca="1">SUM($N$7:$N87)</f>
        <v>0</v>
      </c>
      <c r="CD87" s="16">
        <f t="shared" ca="1" si="85"/>
        <v>0</v>
      </c>
      <c r="CE87" s="16">
        <f t="shared" ca="1" si="86"/>
        <v>0</v>
      </c>
      <c r="CF87" s="7">
        <f t="shared" ca="1" si="94"/>
        <v>0</v>
      </c>
    </row>
    <row r="88" spans="1:84" s="7" customFormat="1" x14ac:dyDescent="0.2">
      <c r="A88" s="149"/>
      <c r="B88" s="14">
        <f t="shared" si="55"/>
        <v>1</v>
      </c>
      <c r="C88" s="12">
        <f t="shared" si="56"/>
        <v>1</v>
      </c>
      <c r="D88" s="17">
        <f t="shared" si="95"/>
        <v>82</v>
      </c>
      <c r="E88" s="17">
        <f t="shared" ca="1" si="57"/>
        <v>66</v>
      </c>
      <c r="F88" s="12">
        <f t="shared" si="97"/>
        <v>9</v>
      </c>
      <c r="G88" s="12">
        <f t="shared" si="96"/>
        <v>14</v>
      </c>
      <c r="H88" s="17">
        <f t="shared" si="98"/>
        <v>7</v>
      </c>
      <c r="I88" s="29">
        <f t="shared" si="58"/>
        <v>0</v>
      </c>
      <c r="J88" s="211">
        <f>IFERROR(VLOOKUP(H88,Charges!$T$6:$U$35,2,0)*C88,0)</f>
        <v>0.98</v>
      </c>
      <c r="K88" s="29">
        <f t="shared" si="59"/>
        <v>0</v>
      </c>
      <c r="L88" s="29">
        <f t="shared" si="60"/>
        <v>0</v>
      </c>
      <c r="M88" s="147">
        <f t="shared" ca="1" si="61"/>
        <v>0</v>
      </c>
      <c r="N88" s="148">
        <f ca="1">IF(AND(Option_SPW="Y",H88&gt;=Lock_In_Period,Z87&gt;SPW_Amount_pa+IF(option="Single",1/5*pr,2*pr),H88&gt;=SPW_Start_Year,H88&lt;=SPW_Start_Year+SPW_Duration-1,age+H88&gt;=Legal_Age),IF(AND(F88=0,SPW_Payout_Freq=1),SPW_Amount_pa,IF(AND(SPW_Payout_Freq=2,MOD(F88,6)=0),SPW_Amount_pa/SPW_Payout_Freq,IF(AND(SPW_Payout_Freq=4,MOD(F88,3)=0),SPW_Amount_pa/SPW_Payout_Freq,IF(SPW_Payout_Freq=12,SPW_Amount_pa/SPW_Payout_Freq,0)))),0)+IFERROR(VLOOKUP(H88,Input!$B$68:$C$74,2,0),0)*(F88=0)*(Option_PW="Y")*(Option_SPW="N")*(age+H88&gt;=Legal_Age)</f>
        <v>0</v>
      </c>
      <c r="O88" s="148">
        <f t="shared" ca="1" si="87"/>
        <v>0</v>
      </c>
      <c r="P88" s="14">
        <f ca="1">(MAX(MAX(sa-CF87*Flag_UL_Type,105%*SUM($I$7:I88))-(AD87+L88-N88)*Flag_UL_Type,0)*B88)</f>
        <v>1071474.9725091667</v>
      </c>
      <c r="Q88" s="213">
        <f t="shared" ca="1" si="62"/>
        <v>1497.9130826097085</v>
      </c>
      <c r="R88" s="14">
        <f t="shared" ca="1" si="63"/>
        <v>0</v>
      </c>
      <c r="S88" s="14">
        <f t="shared" ca="1" si="64"/>
        <v>0</v>
      </c>
      <c r="T88" s="14">
        <f>IFERROR(IF(WoP_Flag="Y",IF(fq=1,VLOOKUP(ppt*fq-H88,Charges!$AN$41:$AO$59,2,FALSE),IF(fq=2,VLOOKUP(ppt*fq-G88,Charges!$AP$41:$AQ$79,2,FALSE),VLOOKUP(ppt*fq-D88,Charges!$AR$41:$AS$279,2,FALSE)))*pr/fq,0),0)</f>
        <v>0</v>
      </c>
      <c r="U88" s="14">
        <f ca="1">IFERROR(((T88*(VLOOKUP(Input!$D$18+H88-1,Tab_Mort_Charge,IF(Gender_2="M",2,3),FALSE)*(1+_emr2)+_rpm2)/IF(Model_Type="LA_PQIS",1000/0.0833,(12*1000))))*Flag_Mort_Rider_Charge*(T88&gt;0),0)</f>
        <v>0</v>
      </c>
      <c r="V88" s="34">
        <f>ROUND(MIN(IF(H88&gt;=7,Charges!$C$12*(1+Charges!$C$14)^((H88-7+1)),VLOOKUP(H88,Charges!$B$7:$C$12,2,0))*pr,Charges!$C$13)*B88,Round)</f>
        <v>500</v>
      </c>
      <c r="W88" s="14">
        <f t="shared" ca="1" si="65"/>
        <v>1926167.4900533538</v>
      </c>
      <c r="X88" s="14">
        <f t="shared" ca="1" si="66"/>
        <v>1932473.2611927197</v>
      </c>
      <c r="Y88" s="213">
        <f t="shared" ca="1" si="88"/>
        <v>2175.2155493706741</v>
      </c>
      <c r="Z88" s="14">
        <f t="shared" ca="1" si="67"/>
        <v>1929906.5068444624</v>
      </c>
      <c r="AA88" s="14">
        <f>IF(AND($H88=pt,$F88=11),SUM($K$7:K88)*VLOOKUP(pt,ROC,2,FALSE),0)</f>
        <v>0</v>
      </c>
      <c r="AB88" s="14">
        <f>IF(AND($H88=pt,$F88=11),SUM($V$7:V88)*VLOOKUP(pt,ROC,2,FALSE),0)</f>
        <v>0</v>
      </c>
      <c r="AC88" s="14">
        <f>IF(AND($H88=pt,$F88=11),SUM($Q$7:Q88)*VLOOKUP(pt,ROC,2,FALSE),0)</f>
        <v>0</v>
      </c>
      <c r="AD88" s="14">
        <f t="shared" ca="1" si="89"/>
        <v>1929906.5068444624</v>
      </c>
      <c r="AE88" s="14">
        <f ca="1">(MAX(sa-CF87*Flag_UL_Type,105%*SUM($I$7:I88),Z88)+AU88)*B88</f>
        <v>3000000</v>
      </c>
      <c r="AF88" s="136"/>
      <c r="AG88" s="18">
        <v>82</v>
      </c>
      <c r="AH88" s="30">
        <f t="shared" ca="1" si="68"/>
        <v>0</v>
      </c>
      <c r="AI88" s="138"/>
      <c r="AJ88" s="50">
        <f>IF(AND(Option_Sys_TopUp&gt;="Y",H88&gt;=sytp,H88&lt;=(dtp+sytp-1),F88=0,H88&lt;=ppt+1),atp,0)+IFERROR(VLOOKUP(H88,Input!$B$55:$C$61,2,0),0)*(F88=0)*(Option_TopUP="Y")*(Option_Sys_TopUp="N")*B88*(pt&gt;=H88+5)</f>
        <v>0</v>
      </c>
      <c r="AK88" s="50">
        <f t="shared" si="69"/>
        <v>0</v>
      </c>
      <c r="AL88" s="50">
        <f t="shared" si="90"/>
        <v>0</v>
      </c>
      <c r="AM88" s="50">
        <f t="shared" ca="1" si="70"/>
        <v>0</v>
      </c>
      <c r="AN88" s="50">
        <f ca="1">IF(B88=0,0,AT88*(_rpm1+(1+_emr1)*VLOOKUP(E88,Tab_Mort_Charge,IF(Input!$C$12="M",2,3),0))*(0.001*0.0833)*Flag_Mort_Rider_Charge*(AT88&gt;0))</f>
        <v>0</v>
      </c>
      <c r="AO88" s="50">
        <f t="shared" ca="1" si="91"/>
        <v>0</v>
      </c>
      <c r="AP88" s="50">
        <f t="shared" ca="1" si="92"/>
        <v>0</v>
      </c>
      <c r="AQ88" s="50">
        <f t="shared" ca="1" si="71"/>
        <v>0</v>
      </c>
      <c r="AR88" s="50">
        <f t="shared" ca="1" si="72"/>
        <v>0</v>
      </c>
      <c r="AS88" s="50">
        <f t="shared" si="73"/>
        <v>0</v>
      </c>
      <c r="AT88" s="50">
        <f ca="1">(MAX((MAX(AS88,105%*SUM($AJ$7:AJ88))-AM88*Flag_UL_Type),0)*B88)</f>
        <v>0</v>
      </c>
      <c r="AU88" s="50">
        <f ca="1">(MAX(AS88,AR88,105%*SUM($AJ$7:AJ88))*B88)</f>
        <v>0</v>
      </c>
      <c r="AV88" s="125"/>
      <c r="AW88" s="13"/>
      <c r="AX88" s="13"/>
      <c r="AY88" s="13"/>
      <c r="AZ88" s="13"/>
      <c r="BA88" s="13"/>
      <c r="BG88" s="51">
        <f t="shared" si="74"/>
        <v>0</v>
      </c>
      <c r="BH88" s="51">
        <f t="shared" ca="1" si="75"/>
        <v>269.62435486974698</v>
      </c>
      <c r="BI88" s="51">
        <f t="shared" ca="1" si="76"/>
        <v>0</v>
      </c>
      <c r="BJ88" s="51">
        <f t="shared" ca="1" si="77"/>
        <v>0</v>
      </c>
      <c r="BK88" s="51">
        <f t="shared" si="78"/>
        <v>90</v>
      </c>
      <c r="BL88" s="51">
        <f t="shared" ca="1" si="79"/>
        <v>391.53879888672134</v>
      </c>
      <c r="BM88" s="51">
        <f t="shared" si="80"/>
        <v>0</v>
      </c>
      <c r="BN88" s="51">
        <f t="shared" ca="1" si="81"/>
        <v>0</v>
      </c>
      <c r="BO88" s="51">
        <f t="shared" ca="1" si="82"/>
        <v>0</v>
      </c>
      <c r="BP88" s="51">
        <f t="shared" ca="1" si="83"/>
        <v>751.16315375646832</v>
      </c>
      <c r="BQ88" s="120"/>
      <c r="BR88" s="32"/>
      <c r="BS88" s="126"/>
      <c r="BT88" s="16"/>
      <c r="BU88" s="58"/>
      <c r="BW88" s="51">
        <f>VLOOKUP(H88,Charges!$AT$4:$AU$33,2,FALSE)*I88</f>
        <v>0</v>
      </c>
      <c r="BX88" s="51">
        <f t="shared" si="84"/>
        <v>0</v>
      </c>
      <c r="BY88" s="51">
        <f t="shared" si="93"/>
        <v>0</v>
      </c>
      <c r="BZ88" s="151"/>
      <c r="CA88" s="151"/>
      <c r="CB88" s="32"/>
      <c r="CC88" s="16">
        <f ca="1">SUM($N$7:$N88)</f>
        <v>0</v>
      </c>
      <c r="CD88" s="16">
        <f t="shared" ca="1" si="85"/>
        <v>0</v>
      </c>
      <c r="CE88" s="16">
        <f t="shared" ca="1" si="86"/>
        <v>0</v>
      </c>
      <c r="CF88" s="7">
        <f t="shared" ca="1" si="94"/>
        <v>0</v>
      </c>
    </row>
    <row r="89" spans="1:84" s="7" customFormat="1" x14ac:dyDescent="0.2">
      <c r="A89" s="149"/>
      <c r="B89" s="14">
        <f t="shared" si="55"/>
        <v>1</v>
      </c>
      <c r="C89" s="12">
        <f t="shared" si="56"/>
        <v>1</v>
      </c>
      <c r="D89" s="17">
        <f t="shared" si="95"/>
        <v>83</v>
      </c>
      <c r="E89" s="17">
        <f t="shared" ca="1" si="57"/>
        <v>66</v>
      </c>
      <c r="F89" s="12">
        <f t="shared" si="97"/>
        <v>10</v>
      </c>
      <c r="G89" s="12">
        <f t="shared" si="96"/>
        <v>14</v>
      </c>
      <c r="H89" s="17">
        <f t="shared" si="98"/>
        <v>7</v>
      </c>
      <c r="I89" s="29">
        <f t="shared" si="58"/>
        <v>0</v>
      </c>
      <c r="J89" s="211">
        <f>IFERROR(VLOOKUP(H89,Charges!$T$6:$U$35,2,0)*C89,0)</f>
        <v>0.98</v>
      </c>
      <c r="K89" s="29">
        <f t="shared" si="59"/>
        <v>0</v>
      </c>
      <c r="L89" s="29">
        <f t="shared" si="60"/>
        <v>0</v>
      </c>
      <c r="M89" s="147">
        <f t="shared" ca="1" si="61"/>
        <v>0</v>
      </c>
      <c r="N89" s="148">
        <f ca="1">IF(AND(Option_SPW="Y",H89&gt;=Lock_In_Period,Z88&gt;SPW_Amount_pa+IF(option="Single",1/5*pr,2*pr),H89&gt;=SPW_Start_Year,H89&lt;=SPW_Start_Year+SPW_Duration-1,age+H89&gt;=Legal_Age),IF(AND(F89=0,SPW_Payout_Freq=1),SPW_Amount_pa,IF(AND(SPW_Payout_Freq=2,MOD(F89,6)=0),SPW_Amount_pa/SPW_Payout_Freq,IF(AND(SPW_Payout_Freq=4,MOD(F89,3)=0),SPW_Amount_pa/SPW_Payout_Freq,IF(SPW_Payout_Freq=12,SPW_Amount_pa/SPW_Payout_Freq,0)))),0)+IFERROR(VLOOKUP(H89,Input!$B$68:$C$74,2,0),0)*(F89=0)*(Option_PW="Y")*(Option_SPW="N")*(age+H89&gt;=Legal_Age)</f>
        <v>0</v>
      </c>
      <c r="O89" s="148">
        <f t="shared" ca="1" si="87"/>
        <v>0</v>
      </c>
      <c r="P89" s="14">
        <f ca="1">(MAX(MAX(sa-CF88*Flag_UL_Type,105%*SUM($I$7:I89))-(AD88+L89-N89)*Flag_UL_Type,0)*B89)</f>
        <v>1070093.4931555376</v>
      </c>
      <c r="Q89" s="213">
        <f t="shared" ca="1" si="62"/>
        <v>1495.9817859856666</v>
      </c>
      <c r="R89" s="14">
        <f t="shared" ca="1" si="63"/>
        <v>0</v>
      </c>
      <c r="S89" s="14">
        <f t="shared" ca="1" si="64"/>
        <v>0</v>
      </c>
      <c r="T89" s="14">
        <f>IFERROR(IF(WoP_Flag="Y",IF(fq=1,VLOOKUP(ppt*fq-H89,Charges!$AN$41:$AO$59,2,FALSE),IF(fq=2,VLOOKUP(ppt*fq-G89,Charges!$AP$41:$AQ$79,2,FALSE),VLOOKUP(ppt*fq-D89,Charges!$AR$41:$AS$279,2,FALSE)))*pr/fq,0),0)</f>
        <v>0</v>
      </c>
      <c r="U89" s="14">
        <f ca="1">IFERROR(((T89*(VLOOKUP(Input!$D$18+H89-1,Tab_Mort_Charge,IF(Gender_2="M",2,3),FALSE)*(1+_emr2)+_rpm2)/IF(Model_Type="LA_PQIS",1000/0.0833,(12*1000))))*Flag_Mort_Rider_Charge*(T89&gt;0),0)</f>
        <v>0</v>
      </c>
      <c r="V89" s="34">
        <f>ROUND(MIN(IF(H89&gt;=7,Charges!$C$12*(1+Charges!$C$14)^((H89-7+1)),VLOOKUP(H89,Charges!$B$7:$C$12,2,0))*pr,Charges!$C$13)*B89,Round)</f>
        <v>500</v>
      </c>
      <c r="W89" s="14">
        <f t="shared" ca="1" si="65"/>
        <v>1927551.2483369992</v>
      </c>
      <c r="X89" s="14">
        <f t="shared" ca="1" si="66"/>
        <v>1933861.5495409071</v>
      </c>
      <c r="Y89" s="213">
        <f t="shared" ca="1" si="88"/>
        <v>2176.7782237230858</v>
      </c>
      <c r="Z89" s="14">
        <f t="shared" ca="1" si="67"/>
        <v>1931292.9512369139</v>
      </c>
      <c r="AA89" s="14">
        <f>IF(AND($H89=pt,$F89=11),SUM($K$7:K89)*VLOOKUP(pt,ROC,2,FALSE),0)</f>
        <v>0</v>
      </c>
      <c r="AB89" s="14">
        <f>IF(AND($H89=pt,$F89=11),SUM($V$7:V89)*VLOOKUP(pt,ROC,2,FALSE),0)</f>
        <v>0</v>
      </c>
      <c r="AC89" s="14">
        <f>IF(AND($H89=pt,$F89=11),SUM($Q$7:Q89)*VLOOKUP(pt,ROC,2,FALSE),0)</f>
        <v>0</v>
      </c>
      <c r="AD89" s="14">
        <f t="shared" ca="1" si="89"/>
        <v>1931292.9512369139</v>
      </c>
      <c r="AE89" s="14">
        <f ca="1">(MAX(sa-CF88*Flag_UL_Type,105%*SUM($I$7:I89),Z89)+AU89)*B89</f>
        <v>3000000</v>
      </c>
      <c r="AF89" s="136"/>
      <c r="AG89" s="18">
        <v>83</v>
      </c>
      <c r="AH89" s="30">
        <f t="shared" ca="1" si="68"/>
        <v>0</v>
      </c>
      <c r="AI89" s="138"/>
      <c r="AJ89" s="50">
        <f>IF(AND(Option_Sys_TopUp&gt;="Y",H89&gt;=sytp,H89&lt;=(dtp+sytp-1),F89=0,H89&lt;=ppt+1),atp,0)+IFERROR(VLOOKUP(H89,Input!$B$55:$C$61,2,0),0)*(F89=0)*(Option_TopUP="Y")*(Option_Sys_TopUp="N")*B89*(pt&gt;=H89+5)</f>
        <v>0</v>
      </c>
      <c r="AK89" s="50">
        <f t="shared" si="69"/>
        <v>0</v>
      </c>
      <c r="AL89" s="50">
        <f t="shared" si="90"/>
        <v>0</v>
      </c>
      <c r="AM89" s="50">
        <f t="shared" ca="1" si="70"/>
        <v>0</v>
      </c>
      <c r="AN89" s="50">
        <f ca="1">IF(B89=0,0,AT89*(_rpm1+(1+_emr1)*VLOOKUP(E89,Tab_Mort_Charge,IF(Input!$C$12="M",2,3),0))*(0.001*0.0833)*Flag_Mort_Rider_Charge*(AT89&gt;0))</f>
        <v>0</v>
      </c>
      <c r="AO89" s="50">
        <f t="shared" ca="1" si="91"/>
        <v>0</v>
      </c>
      <c r="AP89" s="50">
        <f t="shared" ca="1" si="92"/>
        <v>0</v>
      </c>
      <c r="AQ89" s="50">
        <f t="shared" ca="1" si="71"/>
        <v>0</v>
      </c>
      <c r="AR89" s="50">
        <f t="shared" ca="1" si="72"/>
        <v>0</v>
      </c>
      <c r="AS89" s="50">
        <f t="shared" si="73"/>
        <v>0</v>
      </c>
      <c r="AT89" s="50">
        <f ca="1">(MAX((MAX(AS89,105%*SUM($AJ$7:AJ89))-AM89*Flag_UL_Type),0)*B89)</f>
        <v>0</v>
      </c>
      <c r="AU89" s="50">
        <f ca="1">(MAX(AS89,AR89,105%*SUM($AJ$7:AJ89))*B89)</f>
        <v>0</v>
      </c>
      <c r="AV89" s="125"/>
      <c r="AW89" s="13"/>
      <c r="AX89" s="13"/>
      <c r="AY89" s="13"/>
      <c r="AZ89" s="13"/>
      <c r="BA89" s="13"/>
      <c r="BG89" s="51">
        <f t="shared" si="74"/>
        <v>0</v>
      </c>
      <c r="BH89" s="51">
        <f t="shared" ca="1" si="75"/>
        <v>269.27672147741998</v>
      </c>
      <c r="BI89" s="51">
        <f t="shared" ca="1" si="76"/>
        <v>0</v>
      </c>
      <c r="BJ89" s="51">
        <f t="shared" ca="1" si="77"/>
        <v>0</v>
      </c>
      <c r="BK89" s="51">
        <f t="shared" si="78"/>
        <v>90</v>
      </c>
      <c r="BL89" s="51">
        <f t="shared" ca="1" si="79"/>
        <v>391.82008027015542</v>
      </c>
      <c r="BM89" s="51">
        <f t="shared" si="80"/>
        <v>0</v>
      </c>
      <c r="BN89" s="51">
        <f t="shared" ca="1" si="81"/>
        <v>0</v>
      </c>
      <c r="BO89" s="51">
        <f t="shared" ca="1" si="82"/>
        <v>0</v>
      </c>
      <c r="BP89" s="51">
        <f t="shared" ca="1" si="83"/>
        <v>751.09680174757546</v>
      </c>
      <c r="BQ89" s="120"/>
      <c r="BR89" s="32"/>
      <c r="BS89" s="126"/>
      <c r="BT89" s="16"/>
      <c r="BU89" s="58"/>
      <c r="BW89" s="51">
        <f>VLOOKUP(H89,Charges!$AT$4:$AU$33,2,FALSE)*I89</f>
        <v>0</v>
      </c>
      <c r="BX89" s="51">
        <f t="shared" si="84"/>
        <v>0</v>
      </c>
      <c r="BY89" s="51">
        <f t="shared" si="93"/>
        <v>0</v>
      </c>
      <c r="BZ89" s="151"/>
      <c r="CA89" s="151"/>
      <c r="CB89" s="32"/>
      <c r="CC89" s="16">
        <f ca="1">SUM($N$7:$N89)</f>
        <v>0</v>
      </c>
      <c r="CD89" s="16">
        <f t="shared" ca="1" si="85"/>
        <v>0</v>
      </c>
      <c r="CE89" s="16">
        <f t="shared" ca="1" si="86"/>
        <v>0</v>
      </c>
      <c r="CF89" s="7">
        <f t="shared" ca="1" si="94"/>
        <v>0</v>
      </c>
    </row>
    <row r="90" spans="1:84" s="7" customFormat="1" x14ac:dyDescent="0.2">
      <c r="A90" s="149"/>
      <c r="B90" s="14">
        <f t="shared" si="55"/>
        <v>1</v>
      </c>
      <c r="C90" s="12">
        <f t="shared" si="56"/>
        <v>1</v>
      </c>
      <c r="D90" s="17">
        <f t="shared" si="95"/>
        <v>84</v>
      </c>
      <c r="E90" s="17">
        <f t="shared" ca="1" si="57"/>
        <v>66</v>
      </c>
      <c r="F90" s="12">
        <f t="shared" si="97"/>
        <v>11</v>
      </c>
      <c r="G90" s="12">
        <f t="shared" si="96"/>
        <v>14</v>
      </c>
      <c r="H90" s="17">
        <f t="shared" si="98"/>
        <v>7</v>
      </c>
      <c r="I90" s="29">
        <f t="shared" si="58"/>
        <v>0</v>
      </c>
      <c r="J90" s="211">
        <f>IFERROR(VLOOKUP(H90,Charges!$T$6:$U$35,2,0)*C90,0)</f>
        <v>0.98</v>
      </c>
      <c r="K90" s="29">
        <f t="shared" si="59"/>
        <v>0</v>
      </c>
      <c r="L90" s="29">
        <f t="shared" si="60"/>
        <v>0</v>
      </c>
      <c r="M90" s="147">
        <f t="shared" ca="1" si="61"/>
        <v>0</v>
      </c>
      <c r="N90" s="148">
        <f ca="1">IF(AND(Option_SPW="Y",H90&gt;=Lock_In_Period,Z89&gt;SPW_Amount_pa+IF(option="Single",1/5*pr,2*pr),H90&gt;=SPW_Start_Year,H90&lt;=SPW_Start_Year+SPW_Duration-1,age+H90&gt;=Legal_Age),IF(AND(F90=0,SPW_Payout_Freq=1),SPW_Amount_pa,IF(AND(SPW_Payout_Freq=2,MOD(F90,6)=0),SPW_Amount_pa/SPW_Payout_Freq,IF(AND(SPW_Payout_Freq=4,MOD(F90,3)=0),SPW_Amount_pa/SPW_Payout_Freq,IF(SPW_Payout_Freq=12,SPW_Amount_pa/SPW_Payout_Freq,0)))),0)+IFERROR(VLOOKUP(H90,Input!$B$68:$C$74,2,0),0)*(F90=0)*(Option_PW="Y")*(Option_SPW="N")*(age+H90&gt;=Legal_Age)</f>
        <v>0</v>
      </c>
      <c r="O90" s="148">
        <f t="shared" ca="1" si="87"/>
        <v>0</v>
      </c>
      <c r="P90" s="14">
        <f ca="1">(MAX(MAX(sa-CF89*Flag_UL_Type,105%*SUM($I$7:I90))-(AD89+L90-N90)*Flag_UL_Type,0)*B90)</f>
        <v>1068707.0487630861</v>
      </c>
      <c r="Q90" s="213">
        <f t="shared" ca="1" si="62"/>
        <v>1494.043548278725</v>
      </c>
      <c r="R90" s="14">
        <f t="shared" ca="1" si="63"/>
        <v>0</v>
      </c>
      <c r="S90" s="14">
        <f t="shared" ca="1" si="64"/>
        <v>0</v>
      </c>
      <c r="T90" s="14">
        <f>IFERROR(IF(WoP_Flag="Y",IF(fq=1,VLOOKUP(ppt*fq-H90,Charges!$AN$41:$AO$59,2,FALSE),IF(fq=2,VLOOKUP(ppt*fq-G90,Charges!$AP$41:$AQ$79,2,FALSE),VLOOKUP(ppt*fq-D90,Charges!$AR$41:$AS$279,2,FALSE)))*pr/fq,0),0)</f>
        <v>0</v>
      </c>
      <c r="U90" s="14">
        <f ca="1">IFERROR(((T90*(VLOOKUP(Input!$D$18+H90-1,Tab_Mort_Charge,IF(Gender_2="M",2,3),FALSE)*(1+_emr2)+_rpm2)/IF(Model_Type="LA_PQIS",1000/0.0833,(12*1000))))*Flag_Mort_Rider_Charge*(T90&gt;0),0)</f>
        <v>0</v>
      </c>
      <c r="V90" s="34">
        <f>ROUND(MIN(IF(H90&gt;=7,Charges!$C$12*(1+Charges!$C$14)^((H90-7+1)),VLOOKUP(H90,Charges!$B$7:$C$12,2,0))*pr,Charges!$C$13)*B90,Round)</f>
        <v>500</v>
      </c>
      <c r="W90" s="14">
        <f t="shared" ca="1" si="65"/>
        <v>1928939.9798499451</v>
      </c>
      <c r="X90" s="14">
        <f t="shared" ca="1" si="66"/>
        <v>1935254.8273994538</v>
      </c>
      <c r="Y90" s="213">
        <f t="shared" ca="1" si="88"/>
        <v>2178.346514329412</v>
      </c>
      <c r="Z90" s="14">
        <f t="shared" ca="1" si="67"/>
        <v>1932684.3785125453</v>
      </c>
      <c r="AA90" s="14">
        <f>IF(AND($H90=pt,$F90=11),SUM($K$7:K90)*VLOOKUP(pt,ROC,2,FALSE),0)</f>
        <v>0</v>
      </c>
      <c r="AB90" s="14">
        <f>IF(AND($H90=pt,$F90=11),SUM($V$7:V90)*VLOOKUP(pt,ROC,2,FALSE),0)</f>
        <v>0</v>
      </c>
      <c r="AC90" s="14">
        <f>IF(AND($H90=pt,$F90=11),SUM($Q$7:Q90)*VLOOKUP(pt,ROC,2,FALSE),0)</f>
        <v>0</v>
      </c>
      <c r="AD90" s="14">
        <f t="shared" ca="1" si="89"/>
        <v>1932684.3785125453</v>
      </c>
      <c r="AE90" s="14">
        <f ca="1">(MAX(sa-CF89*Flag_UL_Type,105%*SUM($I$7:I90),Z90)+AU90)*B90</f>
        <v>3000000</v>
      </c>
      <c r="AF90" s="136"/>
      <c r="AG90" s="18">
        <v>84</v>
      </c>
      <c r="AH90" s="30">
        <f t="shared" ca="1" si="68"/>
        <v>0</v>
      </c>
      <c r="AI90" s="138"/>
      <c r="AJ90" s="50">
        <f>IF(AND(Option_Sys_TopUp&gt;="Y",H90&gt;=sytp,H90&lt;=(dtp+sytp-1),F90=0,H90&lt;=ppt+1),atp,0)+IFERROR(VLOOKUP(H90,Input!$B$55:$C$61,2,0),0)*(F90=0)*(Option_TopUP="Y")*(Option_Sys_TopUp="N")*B90*(pt&gt;=H90+5)</f>
        <v>0</v>
      </c>
      <c r="AK90" s="50">
        <f t="shared" si="69"/>
        <v>0</v>
      </c>
      <c r="AL90" s="50">
        <f t="shared" si="90"/>
        <v>0</v>
      </c>
      <c r="AM90" s="50">
        <f t="shared" ca="1" si="70"/>
        <v>0</v>
      </c>
      <c r="AN90" s="50">
        <f ca="1">IF(B90=0,0,AT90*(_rpm1+(1+_emr1)*VLOOKUP(E90,Tab_Mort_Charge,IF(Input!$C$12="M",2,3),0))*(0.001*0.0833)*Flag_Mort_Rider_Charge*(AT90&gt;0))</f>
        <v>0</v>
      </c>
      <c r="AO90" s="50">
        <f t="shared" ca="1" si="91"/>
        <v>0</v>
      </c>
      <c r="AP90" s="50">
        <f t="shared" ca="1" si="92"/>
        <v>0</v>
      </c>
      <c r="AQ90" s="50">
        <f t="shared" ca="1" si="71"/>
        <v>0</v>
      </c>
      <c r="AR90" s="50">
        <f t="shared" ca="1" si="72"/>
        <v>0</v>
      </c>
      <c r="AS90" s="50">
        <f t="shared" si="73"/>
        <v>0</v>
      </c>
      <c r="AT90" s="50">
        <f ca="1">(MAX((MAX(AS90,105%*SUM($AJ$7:AJ90))-AM90*Flag_UL_Type),0)*B90)</f>
        <v>0</v>
      </c>
      <c r="AU90" s="50">
        <f ca="1">(MAX(AS90,AR90,105%*SUM($AJ$7:AJ90))*B90)</f>
        <v>0</v>
      </c>
      <c r="AV90" s="125"/>
      <c r="AW90" s="13"/>
      <c r="AX90" s="13"/>
      <c r="AY90" s="13"/>
      <c r="AZ90" s="13"/>
      <c r="BA90" s="13"/>
      <c r="BG90" s="51">
        <f t="shared" si="74"/>
        <v>0</v>
      </c>
      <c r="BH90" s="51">
        <f t="shared" ca="1" si="75"/>
        <v>268.92783869017001</v>
      </c>
      <c r="BI90" s="51">
        <f t="shared" ca="1" si="76"/>
        <v>0</v>
      </c>
      <c r="BJ90" s="51">
        <f t="shared" ca="1" si="77"/>
        <v>0</v>
      </c>
      <c r="BK90" s="51">
        <f t="shared" si="78"/>
        <v>90</v>
      </c>
      <c r="BL90" s="51">
        <f t="shared" ca="1" si="79"/>
        <v>392.10237257929413</v>
      </c>
      <c r="BM90" s="51">
        <f t="shared" si="80"/>
        <v>0</v>
      </c>
      <c r="BN90" s="51">
        <f t="shared" ca="1" si="81"/>
        <v>0</v>
      </c>
      <c r="BO90" s="51">
        <f t="shared" ca="1" si="82"/>
        <v>0</v>
      </c>
      <c r="BP90" s="51">
        <f t="shared" ca="1" si="83"/>
        <v>751.03021126946419</v>
      </c>
      <c r="BQ90" s="120"/>
      <c r="BR90" s="32"/>
      <c r="BS90" s="126"/>
      <c r="BT90" s="16"/>
      <c r="BU90" s="58"/>
      <c r="BW90" s="51">
        <f>VLOOKUP(H90,Charges!$AT$4:$AU$33,2,FALSE)*I90</f>
        <v>0</v>
      </c>
      <c r="BX90" s="51">
        <f t="shared" si="84"/>
        <v>0</v>
      </c>
      <c r="BY90" s="51">
        <f t="shared" si="93"/>
        <v>0</v>
      </c>
      <c r="BZ90" s="151"/>
      <c r="CA90" s="151"/>
      <c r="CB90" s="32"/>
      <c r="CC90" s="16">
        <f ca="1">SUM($N$7:$N90)</f>
        <v>0</v>
      </c>
      <c r="CD90" s="16">
        <f t="shared" ca="1" si="85"/>
        <v>0</v>
      </c>
      <c r="CE90" s="16">
        <f t="shared" ca="1" si="86"/>
        <v>0</v>
      </c>
      <c r="CF90" s="7">
        <f t="shared" ca="1" si="94"/>
        <v>0</v>
      </c>
    </row>
    <row r="91" spans="1:84" s="7" customFormat="1" x14ac:dyDescent="0.2">
      <c r="A91" s="149"/>
      <c r="B91" s="14">
        <f t="shared" si="55"/>
        <v>1</v>
      </c>
      <c r="C91" s="12">
        <f t="shared" si="56"/>
        <v>1</v>
      </c>
      <c r="D91" s="17">
        <f t="shared" si="95"/>
        <v>85</v>
      </c>
      <c r="E91" s="17">
        <f t="shared" ca="1" si="57"/>
        <v>67</v>
      </c>
      <c r="F91" s="12">
        <f t="shared" si="97"/>
        <v>0</v>
      </c>
      <c r="G91" s="12">
        <f t="shared" si="96"/>
        <v>15</v>
      </c>
      <c r="H91" s="17">
        <f t="shared" si="98"/>
        <v>8</v>
      </c>
      <c r="I91" s="29">
        <f t="shared" si="58"/>
        <v>300000</v>
      </c>
      <c r="J91" s="211">
        <f>IFERROR(VLOOKUP(H91,Charges!$T$6:$U$35,2,0)*C91,0)</f>
        <v>0.98</v>
      </c>
      <c r="K91" s="29">
        <f t="shared" si="59"/>
        <v>6000.00000000001</v>
      </c>
      <c r="L91" s="29">
        <f t="shared" si="60"/>
        <v>292920</v>
      </c>
      <c r="M91" s="147">
        <f t="shared" ca="1" si="61"/>
        <v>0</v>
      </c>
      <c r="N91" s="148">
        <f ca="1">IF(AND(Option_SPW="Y",H91&gt;=Lock_In_Period,Z90&gt;SPW_Amount_pa+IF(option="Single",1/5*pr,2*pr),H91&gt;=SPW_Start_Year,H91&lt;=SPW_Start_Year+SPW_Duration-1,age+H91&gt;=Legal_Age),IF(AND(F91=0,SPW_Payout_Freq=1),SPW_Amount_pa,IF(AND(SPW_Payout_Freq=2,MOD(F91,6)=0),SPW_Amount_pa/SPW_Payout_Freq,IF(AND(SPW_Payout_Freq=4,MOD(F91,3)=0),SPW_Amount_pa/SPW_Payout_Freq,IF(SPW_Payout_Freq=12,SPW_Amount_pa/SPW_Payout_Freq,0)))),0)+IFERROR(VLOOKUP(H91,Input!$B$68:$C$74,2,0),0)*(F91=0)*(Option_PW="Y")*(Option_SPW="N")*(age+H91&gt;=Legal_Age)</f>
        <v>0</v>
      </c>
      <c r="O91" s="148">
        <f t="shared" ca="1" si="87"/>
        <v>0</v>
      </c>
      <c r="P91" s="14">
        <f ca="1">(MAX(MAX(sa-CF90*Flag_UL_Type,105%*SUM($I$7:I91))-(AD90+L91-N91)*Flag_UL_Type,0)*B91)</f>
        <v>774395.62148745451</v>
      </c>
      <c r="Q91" s="213">
        <f t="shared" ca="1" si="62"/>
        <v>1172.5059571973084</v>
      </c>
      <c r="R91" s="14">
        <f t="shared" ca="1" si="63"/>
        <v>0</v>
      </c>
      <c r="S91" s="14">
        <f t="shared" ca="1" si="64"/>
        <v>0</v>
      </c>
      <c r="T91" s="14">
        <f>IFERROR(IF(WoP_Flag="Y",IF(fq=1,VLOOKUP(ppt*fq-H91,Charges!$AN$41:$AO$59,2,FALSE),IF(fq=2,VLOOKUP(ppt*fq-G91,Charges!$AP$41:$AQ$79,2,FALSE),VLOOKUP(ppt*fq-D91,Charges!$AR$41:$AS$279,2,FALSE)))*pr/fq,0),0)</f>
        <v>0</v>
      </c>
      <c r="U91" s="14">
        <f ca="1">IFERROR(((T91*(VLOOKUP(Input!$D$18+H91-1,Tab_Mort_Charge,IF(Gender_2="M",2,3),FALSE)*(1+_emr2)+_rpm2)/IF(Model_Type="LA_PQIS",1000/0.0833,(12*1000))))*Flag_Mort_Rider_Charge*(T91&gt;0),0)</f>
        <v>0</v>
      </c>
      <c r="V91" s="34">
        <f>ROUND(MIN(IF(H91&gt;=7,Charges!$C$12*(1+Charges!$C$14)^((H91-7+1)),VLOOKUP(H91,Charges!$B$7:$C$12,2,0))*pr,Charges!$C$13)*B91,Round)</f>
        <v>500</v>
      </c>
      <c r="W91" s="14">
        <f t="shared" ca="1" si="65"/>
        <v>2223630.8214830528</v>
      </c>
      <c r="X91" s="14">
        <f t="shared" ca="1" si="66"/>
        <v>2230910.4101642654</v>
      </c>
      <c r="Y91" s="213">
        <f t="shared" ca="1" si="88"/>
        <v>2511.140056058076</v>
      </c>
      <c r="Z91" s="14">
        <f t="shared" ca="1" si="67"/>
        <v>2227947.2648981167</v>
      </c>
      <c r="AA91" s="14">
        <f>IF(AND($H91=pt,$F91=11),SUM($K$7:K91)*VLOOKUP(pt,ROC,2,FALSE),0)</f>
        <v>0</v>
      </c>
      <c r="AB91" s="14">
        <f>IF(AND($H91=pt,$F91=11),SUM($V$7:V91)*VLOOKUP(pt,ROC,2,FALSE),0)</f>
        <v>0</v>
      </c>
      <c r="AC91" s="14">
        <f>IF(AND($H91=pt,$F91=11),SUM($Q$7:Q91)*VLOOKUP(pt,ROC,2,FALSE),0)</f>
        <v>0</v>
      </c>
      <c r="AD91" s="14">
        <f t="shared" ca="1" si="89"/>
        <v>2227947.2648981167</v>
      </c>
      <c r="AE91" s="14">
        <f ca="1">(MAX(sa-CF90*Flag_UL_Type,105%*SUM($I$7:I91),Z91)+AU91)*B91</f>
        <v>3000000</v>
      </c>
      <c r="AF91" s="136"/>
      <c r="AG91" s="18">
        <v>85</v>
      </c>
      <c r="AH91" s="30">
        <f t="shared" ca="1" si="68"/>
        <v>300000</v>
      </c>
      <c r="AI91" s="138"/>
      <c r="AJ91" s="50">
        <f>IF(AND(Option_Sys_TopUp&gt;="Y",H91&gt;=sytp,H91&lt;=(dtp+sytp-1),F91=0,H91&lt;=ppt+1),atp,0)+IFERROR(VLOOKUP(H91,Input!$B$55:$C$61,2,0),0)*(F91=0)*(Option_TopUP="Y")*(Option_Sys_TopUp="N")*B91*(pt&gt;=H91+5)</f>
        <v>0</v>
      </c>
      <c r="AK91" s="50">
        <f t="shared" si="69"/>
        <v>0</v>
      </c>
      <c r="AL91" s="50">
        <f t="shared" si="90"/>
        <v>0</v>
      </c>
      <c r="AM91" s="50">
        <f t="shared" ca="1" si="70"/>
        <v>0</v>
      </c>
      <c r="AN91" s="50">
        <f ca="1">IF(B91=0,0,AT91*(_rpm1+(1+_emr1)*VLOOKUP(E91,Tab_Mort_Charge,IF(Input!$C$12="M",2,3),0))*(0.001*0.0833)*Flag_Mort_Rider_Charge*(AT91&gt;0))</f>
        <v>0</v>
      </c>
      <c r="AO91" s="50">
        <f t="shared" ca="1" si="91"/>
        <v>0</v>
      </c>
      <c r="AP91" s="50">
        <f ca="1">AO91*(1+$F$3)*B91</f>
        <v>0</v>
      </c>
      <c r="AQ91" s="50">
        <f t="shared" ca="1" si="71"/>
        <v>0</v>
      </c>
      <c r="AR91" s="50">
        <f t="shared" ca="1" si="72"/>
        <v>0</v>
      </c>
      <c r="AS91" s="50">
        <f t="shared" si="73"/>
        <v>0</v>
      </c>
      <c r="AT91" s="50">
        <f ca="1">(MAX((MAX(AS91,105%*SUM($AJ$7:AJ91))-AM91*Flag_UL_Type),0)*B91)</f>
        <v>0</v>
      </c>
      <c r="AU91" s="50">
        <f ca="1">(MAX(AS91,AR91,105%*SUM($AJ$7:AJ91))*B91)</f>
        <v>0</v>
      </c>
      <c r="AV91" s="125"/>
      <c r="AW91" s="13"/>
      <c r="AX91" s="13"/>
      <c r="AY91" s="13"/>
      <c r="AZ91" s="13"/>
      <c r="BA91" s="13"/>
      <c r="BG91" s="51">
        <f t="shared" si="74"/>
        <v>1080</v>
      </c>
      <c r="BH91" s="51">
        <f t="shared" ca="1" si="75"/>
        <v>211.05107229551501</v>
      </c>
      <c r="BI91" s="51">
        <f t="shared" ca="1" si="76"/>
        <v>0</v>
      </c>
      <c r="BJ91" s="51">
        <f t="shared" ca="1" si="77"/>
        <v>0</v>
      </c>
      <c r="BK91" s="51">
        <f t="shared" si="78"/>
        <v>90</v>
      </c>
      <c r="BL91" s="51">
        <f t="shared" ca="1" si="79"/>
        <v>452.00521009045366</v>
      </c>
      <c r="BM91" s="51">
        <f t="shared" si="80"/>
        <v>0</v>
      </c>
      <c r="BN91" s="51">
        <f t="shared" ca="1" si="81"/>
        <v>0</v>
      </c>
      <c r="BO91" s="51">
        <f t="shared" ca="1" si="82"/>
        <v>0</v>
      </c>
      <c r="BP91" s="51">
        <f t="shared" ca="1" si="83"/>
        <v>1833.0562823859686</v>
      </c>
      <c r="BQ91" s="120"/>
      <c r="BR91" s="32"/>
      <c r="BS91" s="126"/>
      <c r="BT91" s="16"/>
      <c r="BU91" s="58"/>
      <c r="BW91" s="51">
        <f>VLOOKUP(H91,Charges!$AT$4:$AU$33,2,FALSE)*I91</f>
        <v>1500</v>
      </c>
      <c r="BX91" s="51">
        <f t="shared" si="84"/>
        <v>0</v>
      </c>
      <c r="BY91" s="51">
        <f t="shared" si="93"/>
        <v>1500</v>
      </c>
      <c r="BZ91" s="151"/>
      <c r="CA91" s="151"/>
      <c r="CB91" s="32"/>
      <c r="CC91" s="16">
        <f ca="1">SUM($N$7:$N91)</f>
        <v>0</v>
      </c>
      <c r="CD91" s="16">
        <f t="shared" ca="1" si="85"/>
        <v>0</v>
      </c>
      <c r="CE91" s="16">
        <f t="shared" ca="1" si="86"/>
        <v>0</v>
      </c>
      <c r="CF91" s="7">
        <f t="shared" ca="1" si="94"/>
        <v>0</v>
      </c>
    </row>
    <row r="92" spans="1:84" s="7" customFormat="1" x14ac:dyDescent="0.2">
      <c r="A92" s="149"/>
      <c r="B92" s="14">
        <f t="shared" si="55"/>
        <v>1</v>
      </c>
      <c r="C92" s="12">
        <f t="shared" si="56"/>
        <v>1</v>
      </c>
      <c r="D92" s="17">
        <f t="shared" si="95"/>
        <v>86</v>
      </c>
      <c r="E92" s="17">
        <f t="shared" ca="1" si="57"/>
        <v>67</v>
      </c>
      <c r="F92" s="12">
        <f t="shared" si="97"/>
        <v>1</v>
      </c>
      <c r="G92" s="12">
        <f t="shared" si="96"/>
        <v>15</v>
      </c>
      <c r="H92" s="17">
        <f t="shared" si="98"/>
        <v>8</v>
      </c>
      <c r="I92" s="29">
        <f t="shared" si="58"/>
        <v>0</v>
      </c>
      <c r="J92" s="211">
        <f>IFERROR(VLOOKUP(H92,Charges!$T$6:$U$35,2,0)*C92,0)</f>
        <v>0.98</v>
      </c>
      <c r="K92" s="29">
        <f t="shared" si="59"/>
        <v>0</v>
      </c>
      <c r="L92" s="29">
        <f t="shared" si="60"/>
        <v>0</v>
      </c>
      <c r="M92" s="147">
        <f t="shared" ca="1" si="61"/>
        <v>0</v>
      </c>
      <c r="N92" s="148">
        <f ca="1">IF(AND(Option_SPW="Y",H92&gt;=Lock_In_Period,Z91&gt;SPW_Amount_pa+IF(option="Single",1/5*pr,2*pr),H92&gt;=SPW_Start_Year,H92&lt;=SPW_Start_Year+SPW_Duration-1,age+H92&gt;=Legal_Age),IF(AND(F92=0,SPW_Payout_Freq=1),SPW_Amount_pa,IF(AND(SPW_Payout_Freq=2,MOD(F92,6)=0),SPW_Amount_pa/SPW_Payout_Freq,IF(AND(SPW_Payout_Freq=4,MOD(F92,3)=0),SPW_Amount_pa/SPW_Payout_Freq,IF(SPW_Payout_Freq=12,SPW_Amount_pa/SPW_Payout_Freq,0)))),0)+IFERROR(VLOOKUP(H92,Input!$B$68:$C$74,2,0),0)*(F92=0)*(Option_PW="Y")*(Option_SPW="N")*(age+H92&gt;=Legal_Age)</f>
        <v>0</v>
      </c>
      <c r="O92" s="148">
        <f t="shared" ca="1" si="87"/>
        <v>0</v>
      </c>
      <c r="P92" s="14">
        <f ca="1">(MAX(MAX(sa-CF91*Flag_UL_Type,105%*SUM($I$7:I92))-(AD91+L92-N92)*Flag_UL_Type,0)*B92)</f>
        <v>772052.7351018833</v>
      </c>
      <c r="Q92" s="213">
        <f t="shared" ca="1" si="62"/>
        <v>1168.9586124449668</v>
      </c>
      <c r="R92" s="14">
        <f t="shared" ca="1" si="63"/>
        <v>0</v>
      </c>
      <c r="S92" s="14">
        <f t="shared" ca="1" si="64"/>
        <v>0</v>
      </c>
      <c r="T92" s="14">
        <f>IFERROR(IF(WoP_Flag="Y",IF(fq=1,VLOOKUP(ppt*fq-H92,Charges!$AN$41:$AO$59,2,FALSE),IF(fq=2,VLOOKUP(ppt*fq-G92,Charges!$AP$41:$AQ$79,2,FALSE),VLOOKUP(ppt*fq-D92,Charges!$AR$41:$AS$279,2,FALSE)))*pr/fq,0),0)</f>
        <v>0</v>
      </c>
      <c r="U92" s="14">
        <f ca="1">IFERROR(((T92*(VLOOKUP(Input!$D$18+H92-1,Tab_Mort_Charge,IF(Gender_2="M",2,3),FALSE)*(1+_emr2)+_rpm2)/IF(Model_Type="LA_PQIS",1000/0.0833,(12*1000))))*Flag_Mort_Rider_Charge*(T92&gt;0),0)</f>
        <v>0</v>
      </c>
      <c r="V92" s="34">
        <f>ROUND(MIN(IF(H92&gt;=7,Charges!$C$12*(1+Charges!$C$14)^((H92-7+1)),VLOOKUP(H92,Charges!$B$7:$C$12,2,0))*pr,Charges!$C$13)*B92,Round)</f>
        <v>500</v>
      </c>
      <c r="W92" s="14">
        <f t="shared" ca="1" si="65"/>
        <v>2225977.8937354316</v>
      </c>
      <c r="X92" s="14">
        <f t="shared" ca="1" si="66"/>
        <v>2233265.1661204486</v>
      </c>
      <c r="Y92" s="213">
        <f t="shared" ca="1" si="88"/>
        <v>2513.7905981761601</v>
      </c>
      <c r="Z92" s="14">
        <f t="shared" ca="1" si="67"/>
        <v>2230298.8932146006</v>
      </c>
      <c r="AA92" s="14">
        <f>IF(AND($H92=pt,$F92=11),SUM($K$7:K92)*VLOOKUP(pt,ROC,2,FALSE),0)</f>
        <v>0</v>
      </c>
      <c r="AB92" s="14">
        <f>IF(AND($H92=pt,$F92=11),SUM($V$7:V92)*VLOOKUP(pt,ROC,2,FALSE),0)</f>
        <v>0</v>
      </c>
      <c r="AC92" s="14">
        <f>IF(AND($H92=pt,$F92=11),SUM($Q$7:Q92)*VLOOKUP(pt,ROC,2,FALSE),0)</f>
        <v>0</v>
      </c>
      <c r="AD92" s="14">
        <f t="shared" ca="1" si="89"/>
        <v>2230298.8932146006</v>
      </c>
      <c r="AE92" s="14">
        <f ca="1">(MAX(sa-CF91*Flag_UL_Type,105%*SUM($I$7:I92),Z92)+AU92)*B92</f>
        <v>3000000</v>
      </c>
      <c r="AF92" s="136"/>
      <c r="AG92" s="18">
        <v>86</v>
      </c>
      <c r="AH92" s="30">
        <f t="shared" ca="1" si="68"/>
        <v>0</v>
      </c>
      <c r="AI92" s="138"/>
      <c r="AJ92" s="50">
        <f>IF(AND(Option_Sys_TopUp&gt;="Y",H92&gt;=sytp,H92&lt;=(dtp+sytp-1),F92=0,H92&lt;=ppt+1),atp,0)+IFERROR(VLOOKUP(H92,Input!$B$55:$C$61,2,0),0)*(F92=0)*(Option_TopUP="Y")*(Option_Sys_TopUp="N")*B92*(pt&gt;=H92+5)</f>
        <v>0</v>
      </c>
      <c r="AK92" s="50">
        <f t="shared" si="69"/>
        <v>0</v>
      </c>
      <c r="AL92" s="50">
        <f t="shared" si="90"/>
        <v>0</v>
      </c>
      <c r="AM92" s="50">
        <f t="shared" ca="1" si="70"/>
        <v>0</v>
      </c>
      <c r="AN92" s="50">
        <f ca="1">IF(B92=0,0,AT92*(_rpm1+(1+_emr1)*VLOOKUP(E92,Tab_Mort_Charge,IF(Input!$C$12="M",2,3),0))*(0.001*0.0833)*Flag_Mort_Rider_Charge*(AT92&gt;0))</f>
        <v>0</v>
      </c>
      <c r="AO92" s="50">
        <f t="shared" ca="1" si="91"/>
        <v>0</v>
      </c>
      <c r="AP92" s="50">
        <f t="shared" ref="AP92:AP155" ca="1" si="99">AO92*(1+$F$3)*B92</f>
        <v>0</v>
      </c>
      <c r="AQ92" s="50">
        <f t="shared" ca="1" si="71"/>
        <v>0</v>
      </c>
      <c r="AR92" s="50">
        <f t="shared" ca="1" si="72"/>
        <v>0</v>
      </c>
      <c r="AS92" s="50">
        <f t="shared" si="73"/>
        <v>0</v>
      </c>
      <c r="AT92" s="50">
        <f ca="1">(MAX((MAX(AS92,105%*SUM($AJ$7:AJ92))-AM92*Flag_UL_Type),0)*B92)</f>
        <v>0</v>
      </c>
      <c r="AU92" s="50">
        <f ca="1">(MAX(AS92,AR92,105%*SUM($AJ$7:AJ92))*B92)</f>
        <v>0</v>
      </c>
      <c r="AV92" s="125"/>
      <c r="AW92" s="13"/>
      <c r="AX92" s="13"/>
      <c r="AY92" s="13"/>
      <c r="AZ92" s="13"/>
      <c r="BA92" s="13"/>
      <c r="BG92" s="51">
        <f t="shared" si="74"/>
        <v>0</v>
      </c>
      <c r="BH92" s="51">
        <f t="shared" ca="1" si="75"/>
        <v>210.41255024009399</v>
      </c>
      <c r="BI92" s="51">
        <f t="shared" ca="1" si="76"/>
        <v>0</v>
      </c>
      <c r="BJ92" s="51">
        <f t="shared" ca="1" si="77"/>
        <v>0</v>
      </c>
      <c r="BK92" s="51">
        <f t="shared" si="78"/>
        <v>90</v>
      </c>
      <c r="BL92" s="51">
        <f t="shared" ca="1" si="79"/>
        <v>452.48230767170878</v>
      </c>
      <c r="BM92" s="51">
        <f t="shared" si="80"/>
        <v>0</v>
      </c>
      <c r="BN92" s="51">
        <f t="shared" ca="1" si="81"/>
        <v>0</v>
      </c>
      <c r="BO92" s="51">
        <f t="shared" ca="1" si="82"/>
        <v>0</v>
      </c>
      <c r="BP92" s="51">
        <f t="shared" ca="1" si="83"/>
        <v>752.89485791180277</v>
      </c>
      <c r="BQ92" s="120"/>
      <c r="BR92" s="32"/>
      <c r="BS92" s="126"/>
      <c r="BT92" s="16"/>
      <c r="BU92" s="58"/>
      <c r="BW92" s="51">
        <f>VLOOKUP(H92,Charges!$AT$4:$AU$33,2,FALSE)*I92</f>
        <v>0</v>
      </c>
      <c r="BX92" s="51">
        <f t="shared" si="84"/>
        <v>0</v>
      </c>
      <c r="BY92" s="51">
        <f t="shared" si="93"/>
        <v>0</v>
      </c>
      <c r="BZ92" s="151"/>
      <c r="CA92" s="151"/>
      <c r="CB92" s="32"/>
      <c r="CC92" s="16">
        <f ca="1">SUM($N$7:$N92)</f>
        <v>0</v>
      </c>
      <c r="CD92" s="16">
        <f t="shared" ca="1" si="85"/>
        <v>0</v>
      </c>
      <c r="CE92" s="16">
        <f t="shared" ca="1" si="86"/>
        <v>0</v>
      </c>
      <c r="CF92" s="7">
        <f t="shared" ca="1" si="94"/>
        <v>0</v>
      </c>
    </row>
    <row r="93" spans="1:84" s="7" customFormat="1" x14ac:dyDescent="0.2">
      <c r="A93" s="149"/>
      <c r="B93" s="14">
        <f t="shared" si="55"/>
        <v>1</v>
      </c>
      <c r="C93" s="12">
        <f t="shared" si="56"/>
        <v>1</v>
      </c>
      <c r="D93" s="17">
        <f t="shared" si="95"/>
        <v>87</v>
      </c>
      <c r="E93" s="17">
        <f t="shared" ca="1" si="57"/>
        <v>67</v>
      </c>
      <c r="F93" s="12">
        <f t="shared" si="97"/>
        <v>2</v>
      </c>
      <c r="G93" s="12">
        <f t="shared" si="96"/>
        <v>15</v>
      </c>
      <c r="H93" s="17">
        <f t="shared" si="98"/>
        <v>8</v>
      </c>
      <c r="I93" s="29">
        <f t="shared" si="58"/>
        <v>0</v>
      </c>
      <c r="J93" s="211">
        <f>IFERROR(VLOOKUP(H93,Charges!$T$6:$U$35,2,0)*C93,0)</f>
        <v>0.98</v>
      </c>
      <c r="K93" s="29">
        <f t="shared" si="59"/>
        <v>0</v>
      </c>
      <c r="L93" s="29">
        <f t="shared" si="60"/>
        <v>0</v>
      </c>
      <c r="M93" s="147">
        <f t="shared" ca="1" si="61"/>
        <v>0</v>
      </c>
      <c r="N93" s="148">
        <f ca="1">IF(AND(Option_SPW="Y",H93&gt;=Lock_In_Period,Z92&gt;SPW_Amount_pa+IF(option="Single",1/5*pr,2*pr),H93&gt;=SPW_Start_Year,H93&lt;=SPW_Start_Year+SPW_Duration-1,age+H93&gt;=Legal_Age),IF(AND(F93=0,SPW_Payout_Freq=1),SPW_Amount_pa,IF(AND(SPW_Payout_Freq=2,MOD(F93,6)=0),SPW_Amount_pa/SPW_Payout_Freq,IF(AND(SPW_Payout_Freq=4,MOD(F93,3)=0),SPW_Amount_pa/SPW_Payout_Freq,IF(SPW_Payout_Freq=12,SPW_Amount_pa/SPW_Payout_Freq,0)))),0)+IFERROR(VLOOKUP(H93,Input!$B$68:$C$74,2,0),0)*(F93=0)*(Option_PW="Y")*(Option_SPW="N")*(age+H93&gt;=Legal_Age)</f>
        <v>0</v>
      </c>
      <c r="O93" s="148">
        <f t="shared" ca="1" si="87"/>
        <v>0</v>
      </c>
      <c r="P93" s="14">
        <f ca="1">(MAX(MAX(sa-CF92*Flag_UL_Type,105%*SUM($I$7:I93))-(AD92+L93-N93)*Flag_UL_Type,0)*B93)</f>
        <v>769701.10678539937</v>
      </c>
      <c r="Q93" s="213">
        <f t="shared" ca="1" si="62"/>
        <v>1165.3980316078832</v>
      </c>
      <c r="R93" s="14">
        <f t="shared" ca="1" si="63"/>
        <v>0</v>
      </c>
      <c r="S93" s="14">
        <f t="shared" ca="1" si="64"/>
        <v>0</v>
      </c>
      <c r="T93" s="14">
        <f>IFERROR(IF(WoP_Flag="Y",IF(fq=1,VLOOKUP(ppt*fq-H93,Charges!$AN$41:$AO$59,2,FALSE),IF(fq=2,VLOOKUP(ppt*fq-G93,Charges!$AP$41:$AQ$79,2,FALSE),VLOOKUP(ppt*fq-D93,Charges!$AR$41:$AS$279,2,FALSE)))*pr/fq,0),0)</f>
        <v>0</v>
      </c>
      <c r="U93" s="14">
        <f ca="1">IFERROR(((T93*(VLOOKUP(Input!$D$18+H93-1,Tab_Mort_Charge,IF(Gender_2="M",2,3),FALSE)*(1+_emr2)+_rpm2)/IF(Model_Type="LA_PQIS",1000/0.0833,(12*1000))))*Flag_Mort_Rider_Charge*(T93&gt;0),0)</f>
        <v>0</v>
      </c>
      <c r="V93" s="34">
        <f>ROUND(MIN(IF(H93&gt;=7,Charges!$C$12*(1+Charges!$C$14)^((H93-7+1)),VLOOKUP(H93,Charges!$B$7:$C$12,2,0))*pr,Charges!$C$13)*B93,Round)</f>
        <v>500</v>
      </c>
      <c r="W93" s="14">
        <f t="shared" ca="1" si="65"/>
        <v>2228333.7235373035</v>
      </c>
      <c r="X93" s="14">
        <f t="shared" ca="1" si="66"/>
        <v>2235628.7082960629</v>
      </c>
      <c r="Y93" s="213">
        <f t="shared" ca="1" si="88"/>
        <v>2516.4510301703476</v>
      </c>
      <c r="Z93" s="14">
        <f t="shared" ca="1" si="67"/>
        <v>2232659.2960804617</v>
      </c>
      <c r="AA93" s="14">
        <f>IF(AND($H93=pt,$F93=11),SUM($K$7:K93)*VLOOKUP(pt,ROC,2,FALSE),0)</f>
        <v>0</v>
      </c>
      <c r="AB93" s="14">
        <f>IF(AND($H93=pt,$F93=11),SUM($V$7:V93)*VLOOKUP(pt,ROC,2,FALSE),0)</f>
        <v>0</v>
      </c>
      <c r="AC93" s="14">
        <f>IF(AND($H93=pt,$F93=11),SUM($Q$7:Q93)*VLOOKUP(pt,ROC,2,FALSE),0)</f>
        <v>0</v>
      </c>
      <c r="AD93" s="14">
        <f t="shared" ca="1" si="89"/>
        <v>2232659.2960804617</v>
      </c>
      <c r="AE93" s="14">
        <f ca="1">(MAX(sa-CF92*Flag_UL_Type,105%*SUM($I$7:I93),Z93)+AU93)*B93</f>
        <v>3000000</v>
      </c>
      <c r="AF93" s="136"/>
      <c r="AG93" s="18">
        <v>87</v>
      </c>
      <c r="AH93" s="30">
        <f t="shared" ca="1" si="68"/>
        <v>0</v>
      </c>
      <c r="AI93" s="138"/>
      <c r="AJ93" s="50">
        <f>IF(AND(Option_Sys_TopUp&gt;="Y",H93&gt;=sytp,H93&lt;=(dtp+sytp-1),F93=0,H93&lt;=ppt+1),atp,0)+IFERROR(VLOOKUP(H93,Input!$B$55:$C$61,2,0),0)*(F93=0)*(Option_TopUP="Y")*(Option_Sys_TopUp="N")*B93*(pt&gt;=H93+5)</f>
        <v>0</v>
      </c>
      <c r="AK93" s="50">
        <f t="shared" si="69"/>
        <v>0</v>
      </c>
      <c r="AL93" s="50">
        <f t="shared" si="90"/>
        <v>0</v>
      </c>
      <c r="AM93" s="50">
        <f t="shared" ca="1" si="70"/>
        <v>0</v>
      </c>
      <c r="AN93" s="50">
        <f ca="1">IF(B93=0,0,AT93*(_rpm1+(1+_emr1)*VLOOKUP(E93,Tab_Mort_Charge,IF(Input!$C$12="M",2,3),0))*(0.001*0.0833)*Flag_Mort_Rider_Charge*(AT93&gt;0))</f>
        <v>0</v>
      </c>
      <c r="AO93" s="50">
        <f t="shared" ca="1" si="91"/>
        <v>0</v>
      </c>
      <c r="AP93" s="50">
        <f t="shared" ca="1" si="99"/>
        <v>0</v>
      </c>
      <c r="AQ93" s="50">
        <f t="shared" ca="1" si="71"/>
        <v>0</v>
      </c>
      <c r="AR93" s="50">
        <f t="shared" ca="1" si="72"/>
        <v>0</v>
      </c>
      <c r="AS93" s="50">
        <f t="shared" si="73"/>
        <v>0</v>
      </c>
      <c r="AT93" s="50">
        <f ca="1">(MAX((MAX(AS93,105%*SUM($AJ$7:AJ93))-AM93*Flag_UL_Type),0)*B93)</f>
        <v>0</v>
      </c>
      <c r="AU93" s="50">
        <f ca="1">(MAX(AS93,AR93,105%*SUM($AJ$7:AJ93))*B93)</f>
        <v>0</v>
      </c>
      <c r="AV93" s="125"/>
      <c r="AW93" s="13"/>
      <c r="AX93" s="13"/>
      <c r="AY93" s="13"/>
      <c r="AZ93" s="13"/>
      <c r="BA93" s="13"/>
      <c r="BG93" s="51">
        <f t="shared" si="74"/>
        <v>0</v>
      </c>
      <c r="BH93" s="51">
        <f t="shared" ca="1" si="75"/>
        <v>209.77164568941899</v>
      </c>
      <c r="BI93" s="51">
        <f t="shared" ca="1" si="76"/>
        <v>0</v>
      </c>
      <c r="BJ93" s="51">
        <f t="shared" ca="1" si="77"/>
        <v>0</v>
      </c>
      <c r="BK93" s="51">
        <f t="shared" si="78"/>
        <v>90</v>
      </c>
      <c r="BL93" s="51">
        <f t="shared" ca="1" si="79"/>
        <v>452.96118543066257</v>
      </c>
      <c r="BM93" s="51">
        <f t="shared" si="80"/>
        <v>0</v>
      </c>
      <c r="BN93" s="51">
        <f t="shared" ca="1" si="81"/>
        <v>0</v>
      </c>
      <c r="BO93" s="51">
        <f t="shared" ca="1" si="82"/>
        <v>0</v>
      </c>
      <c r="BP93" s="51">
        <f t="shared" ca="1" si="83"/>
        <v>752.73283112008153</v>
      </c>
      <c r="BQ93" s="120"/>
      <c r="BR93" s="32"/>
      <c r="BS93" s="126"/>
      <c r="BT93" s="16"/>
      <c r="BU93" s="58"/>
      <c r="BW93" s="51">
        <f>VLOOKUP(H93,Charges!$AT$4:$AU$33,2,FALSE)*I93</f>
        <v>0</v>
      </c>
      <c r="BX93" s="51">
        <f t="shared" si="84"/>
        <v>0</v>
      </c>
      <c r="BY93" s="51">
        <f t="shared" si="93"/>
        <v>0</v>
      </c>
      <c r="BZ93" s="151"/>
      <c r="CA93" s="151"/>
      <c r="CB93" s="32"/>
      <c r="CC93" s="16">
        <f ca="1">SUM($N$7:$N93)</f>
        <v>0</v>
      </c>
      <c r="CD93" s="16">
        <f t="shared" ca="1" si="85"/>
        <v>0</v>
      </c>
      <c r="CE93" s="16">
        <f t="shared" ca="1" si="86"/>
        <v>0</v>
      </c>
      <c r="CF93" s="7">
        <f t="shared" ca="1" si="94"/>
        <v>0</v>
      </c>
    </row>
    <row r="94" spans="1:84" s="7" customFormat="1" x14ac:dyDescent="0.2">
      <c r="A94" s="149"/>
      <c r="B94" s="14">
        <f t="shared" si="55"/>
        <v>1</v>
      </c>
      <c r="C94" s="12">
        <f t="shared" si="56"/>
        <v>1</v>
      </c>
      <c r="D94" s="17">
        <f t="shared" si="95"/>
        <v>88</v>
      </c>
      <c r="E94" s="17">
        <f t="shared" ca="1" si="57"/>
        <v>67</v>
      </c>
      <c r="F94" s="12">
        <f t="shared" si="97"/>
        <v>3</v>
      </c>
      <c r="G94" s="12">
        <f t="shared" si="96"/>
        <v>15</v>
      </c>
      <c r="H94" s="17">
        <f t="shared" si="98"/>
        <v>8</v>
      </c>
      <c r="I94" s="29">
        <f t="shared" si="58"/>
        <v>0</v>
      </c>
      <c r="J94" s="211">
        <f>IFERROR(VLOOKUP(H94,Charges!$T$6:$U$35,2,0)*C94,0)</f>
        <v>0.98</v>
      </c>
      <c r="K94" s="29">
        <f t="shared" si="59"/>
        <v>0</v>
      </c>
      <c r="L94" s="29">
        <f t="shared" si="60"/>
        <v>0</v>
      </c>
      <c r="M94" s="147">
        <f t="shared" ca="1" si="61"/>
        <v>0</v>
      </c>
      <c r="N94" s="148">
        <f ca="1">IF(AND(Option_SPW="Y",H94&gt;=Lock_In_Period,Z93&gt;SPW_Amount_pa+IF(option="Single",1/5*pr,2*pr),H94&gt;=SPW_Start_Year,H94&lt;=SPW_Start_Year+SPW_Duration-1,age+H94&gt;=Legal_Age),IF(AND(F94=0,SPW_Payout_Freq=1),SPW_Amount_pa,IF(AND(SPW_Payout_Freq=2,MOD(F94,6)=0),SPW_Amount_pa/SPW_Payout_Freq,IF(AND(SPW_Payout_Freq=4,MOD(F94,3)=0),SPW_Amount_pa/SPW_Payout_Freq,IF(SPW_Payout_Freq=12,SPW_Amount_pa/SPW_Payout_Freq,0)))),0)+IFERROR(VLOOKUP(H94,Input!$B$68:$C$74,2,0),0)*(F94=0)*(Option_PW="Y")*(Option_SPW="N")*(age+H94&gt;=Legal_Age)</f>
        <v>0</v>
      </c>
      <c r="O94" s="148">
        <f t="shared" ca="1" si="87"/>
        <v>0</v>
      </c>
      <c r="P94" s="14">
        <f ca="1">(MAX(MAX(sa-CF93*Flag_UL_Type,105%*SUM($I$7:I94))-(AD93+L94-N94)*Flag_UL_Type,0)*B94)</f>
        <v>767340.7039195383</v>
      </c>
      <c r="Q94" s="213">
        <f t="shared" ca="1" si="62"/>
        <v>1161.8241652987083</v>
      </c>
      <c r="R94" s="14">
        <f t="shared" ca="1" si="63"/>
        <v>0</v>
      </c>
      <c r="S94" s="14">
        <f t="shared" ca="1" si="64"/>
        <v>0</v>
      </c>
      <c r="T94" s="14">
        <f>IFERROR(IF(WoP_Flag="Y",IF(fq=1,VLOOKUP(ppt*fq-H94,Charges!$AN$41:$AO$59,2,FALSE),IF(fq=2,VLOOKUP(ppt*fq-G94,Charges!$AP$41:$AQ$79,2,FALSE),VLOOKUP(ppt*fq-D94,Charges!$AR$41:$AS$279,2,FALSE)))*pr/fq,0),0)</f>
        <v>0</v>
      </c>
      <c r="U94" s="14">
        <f ca="1">IFERROR(((T94*(VLOOKUP(Input!$D$18+H94-1,Tab_Mort_Charge,IF(Gender_2="M",2,3),FALSE)*(1+_emr2)+_rpm2)/IF(Model_Type="LA_PQIS",1000/0.0833,(12*1000))))*Flag_Mort_Rider_Charge*(T94&gt;0),0)</f>
        <v>0</v>
      </c>
      <c r="V94" s="34">
        <f>ROUND(MIN(IF(H94&gt;=7,Charges!$C$12*(1+Charges!$C$14)^((H94-7+1)),VLOOKUP(H94,Charges!$B$7:$C$12,2,0))*pr,Charges!$C$13)*B94,Round)</f>
        <v>500</v>
      </c>
      <c r="W94" s="14">
        <f t="shared" ca="1" si="65"/>
        <v>2230698.3435654091</v>
      </c>
      <c r="X94" s="14">
        <f t="shared" ca="1" si="66"/>
        <v>2238001.0694748242</v>
      </c>
      <c r="Y94" s="213">
        <f t="shared" ca="1" si="88"/>
        <v>2519.1213889423911</v>
      </c>
      <c r="Z94" s="14">
        <f t="shared" ca="1" si="67"/>
        <v>2235028.5062358724</v>
      </c>
      <c r="AA94" s="14">
        <f>IF(AND($H94=pt,$F94=11),SUM($K$7:K94)*VLOOKUP(pt,ROC,2,FALSE),0)</f>
        <v>0</v>
      </c>
      <c r="AB94" s="14">
        <f>IF(AND($H94=pt,$F94=11),SUM($V$7:V94)*VLOOKUP(pt,ROC,2,FALSE),0)</f>
        <v>0</v>
      </c>
      <c r="AC94" s="14">
        <f>IF(AND($H94=pt,$F94=11),SUM($Q$7:Q94)*VLOOKUP(pt,ROC,2,FALSE),0)</f>
        <v>0</v>
      </c>
      <c r="AD94" s="14">
        <f t="shared" ca="1" si="89"/>
        <v>2235028.5062358724</v>
      </c>
      <c r="AE94" s="14">
        <f ca="1">(MAX(sa-CF93*Flag_UL_Type,105%*SUM($I$7:I94),Z94)+AU94)*B94</f>
        <v>3000000</v>
      </c>
      <c r="AF94" s="136"/>
      <c r="AG94" s="18">
        <v>88</v>
      </c>
      <c r="AH94" s="30">
        <f t="shared" ca="1" si="68"/>
        <v>0</v>
      </c>
      <c r="AI94" s="138"/>
      <c r="AJ94" s="50">
        <f>IF(AND(Option_Sys_TopUp&gt;="Y",H94&gt;=sytp,H94&lt;=(dtp+sytp-1),F94=0,H94&lt;=ppt+1),atp,0)+IFERROR(VLOOKUP(H94,Input!$B$55:$C$61,2,0),0)*(F94=0)*(Option_TopUP="Y")*(Option_Sys_TopUp="N")*B94*(pt&gt;=H94+5)</f>
        <v>0</v>
      </c>
      <c r="AK94" s="50">
        <f t="shared" si="69"/>
        <v>0</v>
      </c>
      <c r="AL94" s="50">
        <f t="shared" si="90"/>
        <v>0</v>
      </c>
      <c r="AM94" s="50">
        <f t="shared" ca="1" si="70"/>
        <v>0</v>
      </c>
      <c r="AN94" s="50">
        <f ca="1">IF(B94=0,0,AT94*(_rpm1+(1+_emr1)*VLOOKUP(E94,Tab_Mort_Charge,IF(Input!$C$12="M",2,3),0))*(0.001*0.0833)*Flag_Mort_Rider_Charge*(AT94&gt;0))</f>
        <v>0</v>
      </c>
      <c r="AO94" s="50">
        <f t="shared" ca="1" si="91"/>
        <v>0</v>
      </c>
      <c r="AP94" s="50">
        <f t="shared" ca="1" si="99"/>
        <v>0</v>
      </c>
      <c r="AQ94" s="50">
        <f t="shared" ca="1" si="71"/>
        <v>0</v>
      </c>
      <c r="AR94" s="50">
        <f t="shared" ca="1" si="72"/>
        <v>0</v>
      </c>
      <c r="AS94" s="50">
        <f t="shared" si="73"/>
        <v>0</v>
      </c>
      <c r="AT94" s="50">
        <f ca="1">(MAX((MAX(AS94,105%*SUM($AJ$7:AJ94))-AM94*Flag_UL_Type),0)*B94)</f>
        <v>0</v>
      </c>
      <c r="AU94" s="50">
        <f ca="1">(MAX(AS94,AR94,105%*SUM($AJ$7:AJ94))*B94)</f>
        <v>0</v>
      </c>
      <c r="AV94" s="125"/>
      <c r="AW94" s="13"/>
      <c r="AX94" s="13"/>
      <c r="AY94" s="13"/>
      <c r="AZ94" s="13"/>
      <c r="BA94" s="13"/>
      <c r="BG94" s="51">
        <f t="shared" si="74"/>
        <v>0</v>
      </c>
      <c r="BH94" s="51">
        <f t="shared" ca="1" si="75"/>
        <v>209.128349753767</v>
      </c>
      <c r="BI94" s="51">
        <f t="shared" ca="1" si="76"/>
        <v>0</v>
      </c>
      <c r="BJ94" s="51">
        <f t="shared" ca="1" si="77"/>
        <v>0</v>
      </c>
      <c r="BK94" s="51">
        <f t="shared" si="78"/>
        <v>90</v>
      </c>
      <c r="BL94" s="51">
        <f t="shared" ca="1" si="79"/>
        <v>453.4418500096304</v>
      </c>
      <c r="BM94" s="51">
        <f t="shared" si="80"/>
        <v>0</v>
      </c>
      <c r="BN94" s="51">
        <f t="shared" ca="1" si="81"/>
        <v>0</v>
      </c>
      <c r="BO94" s="51">
        <f t="shared" ca="1" si="82"/>
        <v>0</v>
      </c>
      <c r="BP94" s="51">
        <f t="shared" ca="1" si="83"/>
        <v>752.57019976339734</v>
      </c>
      <c r="BQ94" s="120"/>
      <c r="BR94" s="32"/>
      <c r="BS94" s="126"/>
      <c r="BT94" s="16"/>
      <c r="BU94" s="58"/>
      <c r="BW94" s="51">
        <f>VLOOKUP(H94,Charges!$AT$4:$AU$33,2,FALSE)*I94</f>
        <v>0</v>
      </c>
      <c r="BX94" s="51">
        <f t="shared" si="84"/>
        <v>0</v>
      </c>
      <c r="BY94" s="51">
        <f t="shared" si="93"/>
        <v>0</v>
      </c>
      <c r="BZ94" s="151"/>
      <c r="CA94" s="151"/>
      <c r="CB94" s="32"/>
      <c r="CC94" s="16">
        <f ca="1">SUM($N$7:$N94)</f>
        <v>0</v>
      </c>
      <c r="CD94" s="16">
        <f t="shared" ca="1" si="85"/>
        <v>0</v>
      </c>
      <c r="CE94" s="16">
        <f t="shared" ca="1" si="86"/>
        <v>0</v>
      </c>
      <c r="CF94" s="7">
        <f t="shared" ca="1" si="94"/>
        <v>0</v>
      </c>
    </row>
    <row r="95" spans="1:84" s="7" customFormat="1" x14ac:dyDescent="0.2">
      <c r="A95" s="149"/>
      <c r="B95" s="14">
        <f t="shared" si="55"/>
        <v>1</v>
      </c>
      <c r="C95" s="12">
        <f t="shared" si="56"/>
        <v>1</v>
      </c>
      <c r="D95" s="17">
        <f t="shared" si="95"/>
        <v>89</v>
      </c>
      <c r="E95" s="17">
        <f t="shared" ca="1" si="57"/>
        <v>67</v>
      </c>
      <c r="F95" s="12">
        <f t="shared" si="97"/>
        <v>4</v>
      </c>
      <c r="G95" s="12">
        <f t="shared" si="96"/>
        <v>15</v>
      </c>
      <c r="H95" s="17">
        <f t="shared" si="98"/>
        <v>8</v>
      </c>
      <c r="I95" s="29">
        <f t="shared" si="58"/>
        <v>0</v>
      </c>
      <c r="J95" s="211">
        <f>IFERROR(VLOOKUP(H95,Charges!$T$6:$U$35,2,0)*C95,0)</f>
        <v>0.98</v>
      </c>
      <c r="K95" s="29">
        <f t="shared" si="59"/>
        <v>0</v>
      </c>
      <c r="L95" s="29">
        <f t="shared" si="60"/>
        <v>0</v>
      </c>
      <c r="M95" s="147">
        <f t="shared" ca="1" si="61"/>
        <v>0</v>
      </c>
      <c r="N95" s="148">
        <f ca="1">IF(AND(Option_SPW="Y",H95&gt;=Lock_In_Period,Z94&gt;SPW_Amount_pa+IF(option="Single",1/5*pr,2*pr),H95&gt;=SPW_Start_Year,H95&lt;=SPW_Start_Year+SPW_Duration-1,age+H95&gt;=Legal_Age),IF(AND(F95=0,SPW_Payout_Freq=1),SPW_Amount_pa,IF(AND(SPW_Payout_Freq=2,MOD(F95,6)=0),SPW_Amount_pa/SPW_Payout_Freq,IF(AND(SPW_Payout_Freq=4,MOD(F95,3)=0),SPW_Amount_pa/SPW_Payout_Freq,IF(SPW_Payout_Freq=12,SPW_Amount_pa/SPW_Payout_Freq,0)))),0)+IFERROR(VLOOKUP(H95,Input!$B$68:$C$74,2,0),0)*(F95=0)*(Option_PW="Y")*(Option_SPW="N")*(age+H95&gt;=Legal_Age)</f>
        <v>0</v>
      </c>
      <c r="O95" s="148">
        <f t="shared" ca="1" si="87"/>
        <v>0</v>
      </c>
      <c r="P95" s="14">
        <f ca="1">(MAX(MAX(sa-CF94*Flag_UL_Type,105%*SUM($I$7:I95))-(AD94+L95-N95)*Flag_UL_Type,0)*B95)</f>
        <v>764971.4937641276</v>
      </c>
      <c r="Q95" s="213">
        <f t="shared" ca="1" si="62"/>
        <v>1158.2369639458168</v>
      </c>
      <c r="R95" s="14">
        <f t="shared" ca="1" si="63"/>
        <v>0</v>
      </c>
      <c r="S95" s="14">
        <f t="shared" ca="1" si="64"/>
        <v>0</v>
      </c>
      <c r="T95" s="14">
        <f>IFERROR(IF(WoP_Flag="Y",IF(fq=1,VLOOKUP(ppt*fq-H95,Charges!$AN$41:$AO$59,2,FALSE),IF(fq=2,VLOOKUP(ppt*fq-G95,Charges!$AP$41:$AQ$79,2,FALSE),VLOOKUP(ppt*fq-D95,Charges!$AR$41:$AS$279,2,FALSE)))*pr/fq,0),0)</f>
        <v>0</v>
      </c>
      <c r="U95" s="14">
        <f ca="1">IFERROR(((T95*(VLOOKUP(Input!$D$18+H95-1,Tab_Mort_Charge,IF(Gender_2="M",2,3),FALSE)*(1+_emr2)+_rpm2)/IF(Model_Type="LA_PQIS",1000/0.0833,(12*1000))))*Flag_Mort_Rider_Charge*(T95&gt;0),0)</f>
        <v>0</v>
      </c>
      <c r="V95" s="34">
        <f>ROUND(MIN(IF(H95&gt;=7,Charges!$C$12*(1+Charges!$C$14)^((H95-7+1)),VLOOKUP(H95,Charges!$B$7:$C$12,2,0))*pr,Charges!$C$13)*B95,Round)</f>
        <v>500</v>
      </c>
      <c r="W95" s="14">
        <f t="shared" ca="1" si="65"/>
        <v>2233071.7866184162</v>
      </c>
      <c r="X95" s="14">
        <f t="shared" ca="1" si="66"/>
        <v>2240382.2825627751</v>
      </c>
      <c r="Y95" s="213">
        <f t="shared" ca="1" si="88"/>
        <v>2521.8017115317339</v>
      </c>
      <c r="Z95" s="14">
        <f t="shared" ca="1" si="67"/>
        <v>2237406.5565431677</v>
      </c>
      <c r="AA95" s="14">
        <f>IF(AND($H95=pt,$F95=11),SUM($K$7:K95)*VLOOKUP(pt,ROC,2,FALSE),0)</f>
        <v>0</v>
      </c>
      <c r="AB95" s="14">
        <f>IF(AND($H95=pt,$F95=11),SUM($V$7:V95)*VLOOKUP(pt,ROC,2,FALSE),0)</f>
        <v>0</v>
      </c>
      <c r="AC95" s="14">
        <f>IF(AND($H95=pt,$F95=11),SUM($Q$7:Q95)*VLOOKUP(pt,ROC,2,FALSE),0)</f>
        <v>0</v>
      </c>
      <c r="AD95" s="14">
        <f t="shared" ca="1" si="89"/>
        <v>2237406.5565431677</v>
      </c>
      <c r="AE95" s="14">
        <f ca="1">(MAX(sa-CF94*Flag_UL_Type,105%*SUM($I$7:I95),Z95)+AU95)*B95</f>
        <v>3000000</v>
      </c>
      <c r="AF95" s="136"/>
      <c r="AG95" s="18">
        <v>89</v>
      </c>
      <c r="AH95" s="30">
        <f t="shared" ca="1" si="68"/>
        <v>0</v>
      </c>
      <c r="AI95" s="138"/>
      <c r="AJ95" s="50">
        <f>IF(AND(Option_Sys_TopUp&gt;="Y",H95&gt;=sytp,H95&lt;=(dtp+sytp-1),F95=0,H95&lt;=ppt+1),atp,0)+IFERROR(VLOOKUP(H95,Input!$B$55:$C$61,2,0),0)*(F95=0)*(Option_TopUP="Y")*(Option_Sys_TopUp="N")*B95*(pt&gt;=H95+5)</f>
        <v>0</v>
      </c>
      <c r="AK95" s="50">
        <f t="shared" si="69"/>
        <v>0</v>
      </c>
      <c r="AL95" s="50">
        <f t="shared" si="90"/>
        <v>0</v>
      </c>
      <c r="AM95" s="50">
        <f t="shared" ca="1" si="70"/>
        <v>0</v>
      </c>
      <c r="AN95" s="50">
        <f ca="1">IF(B95=0,0,AT95*(_rpm1+(1+_emr1)*VLOOKUP(E95,Tab_Mort_Charge,IF(Input!$C$12="M",2,3),0))*(0.001*0.0833)*Flag_Mort_Rider_Charge*(AT95&gt;0))</f>
        <v>0</v>
      </c>
      <c r="AO95" s="50">
        <f t="shared" ca="1" si="91"/>
        <v>0</v>
      </c>
      <c r="AP95" s="50">
        <f t="shared" ca="1" si="99"/>
        <v>0</v>
      </c>
      <c r="AQ95" s="50">
        <f t="shared" ca="1" si="71"/>
        <v>0</v>
      </c>
      <c r="AR95" s="50">
        <f t="shared" ca="1" si="72"/>
        <v>0</v>
      </c>
      <c r="AS95" s="50">
        <f t="shared" si="73"/>
        <v>0</v>
      </c>
      <c r="AT95" s="50">
        <f ca="1">(MAX((MAX(AS95,105%*SUM($AJ$7:AJ95))-AM95*Flag_UL_Type),0)*B95)</f>
        <v>0</v>
      </c>
      <c r="AU95" s="50">
        <f ca="1">(MAX(AS95,AR95,105%*SUM($AJ$7:AJ95))*B95)</f>
        <v>0</v>
      </c>
      <c r="AV95" s="125"/>
      <c r="AW95" s="13"/>
      <c r="AX95" s="13"/>
      <c r="AY95" s="13"/>
      <c r="AZ95" s="13"/>
      <c r="BA95" s="13"/>
      <c r="BG95" s="51">
        <f t="shared" si="74"/>
        <v>0</v>
      </c>
      <c r="BH95" s="51">
        <f t="shared" ca="1" si="75"/>
        <v>208.48265351024699</v>
      </c>
      <c r="BI95" s="51">
        <f t="shared" ca="1" si="76"/>
        <v>0</v>
      </c>
      <c r="BJ95" s="51">
        <f t="shared" ca="1" si="77"/>
        <v>0</v>
      </c>
      <c r="BK95" s="51">
        <f t="shared" si="78"/>
        <v>90</v>
      </c>
      <c r="BL95" s="51">
        <f t="shared" ca="1" si="79"/>
        <v>453.92430807571208</v>
      </c>
      <c r="BM95" s="51">
        <f t="shared" si="80"/>
        <v>0</v>
      </c>
      <c r="BN95" s="51">
        <f t="shared" ca="1" si="81"/>
        <v>0</v>
      </c>
      <c r="BO95" s="51">
        <f t="shared" ca="1" si="82"/>
        <v>0</v>
      </c>
      <c r="BP95" s="51">
        <f t="shared" ca="1" si="83"/>
        <v>752.40696158595915</v>
      </c>
      <c r="BQ95" s="120"/>
      <c r="BR95" s="32"/>
      <c r="BS95" s="126"/>
      <c r="BT95" s="16"/>
      <c r="BU95" s="58"/>
      <c r="BW95" s="51">
        <f>VLOOKUP(H95,Charges!$AT$4:$AU$33,2,FALSE)*I95</f>
        <v>0</v>
      </c>
      <c r="BX95" s="51">
        <f t="shared" si="84"/>
        <v>0</v>
      </c>
      <c r="BY95" s="51">
        <f t="shared" si="93"/>
        <v>0</v>
      </c>
      <c r="BZ95" s="151"/>
      <c r="CA95" s="151"/>
      <c r="CB95" s="32"/>
      <c r="CC95" s="16">
        <f ca="1">SUM($N$7:$N95)</f>
        <v>0</v>
      </c>
      <c r="CD95" s="16">
        <f t="shared" ca="1" si="85"/>
        <v>0</v>
      </c>
      <c r="CE95" s="16">
        <f t="shared" ca="1" si="86"/>
        <v>0</v>
      </c>
      <c r="CF95" s="7">
        <f t="shared" ca="1" si="94"/>
        <v>0</v>
      </c>
    </row>
    <row r="96" spans="1:84" s="7" customFormat="1" x14ac:dyDescent="0.2">
      <c r="A96" s="149"/>
      <c r="B96" s="14">
        <f t="shared" si="55"/>
        <v>1</v>
      </c>
      <c r="C96" s="12">
        <f t="shared" si="56"/>
        <v>1</v>
      </c>
      <c r="D96" s="17">
        <f t="shared" si="95"/>
        <v>90</v>
      </c>
      <c r="E96" s="17">
        <f t="shared" ca="1" si="57"/>
        <v>67</v>
      </c>
      <c r="F96" s="12">
        <f t="shared" si="97"/>
        <v>5</v>
      </c>
      <c r="G96" s="12">
        <f t="shared" si="96"/>
        <v>15</v>
      </c>
      <c r="H96" s="17">
        <f t="shared" si="98"/>
        <v>8</v>
      </c>
      <c r="I96" s="29">
        <f t="shared" si="58"/>
        <v>0</v>
      </c>
      <c r="J96" s="211">
        <f>IFERROR(VLOOKUP(H96,Charges!$T$6:$U$35,2,0)*C96,0)</f>
        <v>0.98</v>
      </c>
      <c r="K96" s="29">
        <f t="shared" si="59"/>
        <v>0</v>
      </c>
      <c r="L96" s="29">
        <f t="shared" si="60"/>
        <v>0</v>
      </c>
      <c r="M96" s="147">
        <f t="shared" ca="1" si="61"/>
        <v>0</v>
      </c>
      <c r="N96" s="148">
        <f ca="1">IF(AND(Option_SPW="Y",H96&gt;=Lock_In_Period,Z95&gt;SPW_Amount_pa+IF(option="Single",1/5*pr,2*pr),H96&gt;=SPW_Start_Year,H96&lt;=SPW_Start_Year+SPW_Duration-1,age+H96&gt;=Legal_Age),IF(AND(F96=0,SPW_Payout_Freq=1),SPW_Amount_pa,IF(AND(SPW_Payout_Freq=2,MOD(F96,6)=0),SPW_Amount_pa/SPW_Payout_Freq,IF(AND(SPW_Payout_Freq=4,MOD(F96,3)=0),SPW_Amount_pa/SPW_Payout_Freq,IF(SPW_Payout_Freq=12,SPW_Amount_pa/SPW_Payout_Freq,0)))),0)+IFERROR(VLOOKUP(H96,Input!$B$68:$C$74,2,0),0)*(F96=0)*(Option_PW="Y")*(Option_SPW="N")*(age+H96&gt;=Legal_Age)</f>
        <v>0</v>
      </c>
      <c r="O96" s="148">
        <f t="shared" ca="1" si="87"/>
        <v>0</v>
      </c>
      <c r="P96" s="14">
        <f ca="1">(MAX(MAX(sa-CF95*Flag_UL_Type,105%*SUM($I$7:I96))-(AD95+L96-N96)*Flag_UL_Type,0)*B96)</f>
        <v>762593.44345683232</v>
      </c>
      <c r="Q96" s="213">
        <f t="shared" ca="1" si="62"/>
        <v>1154.6363777926251</v>
      </c>
      <c r="R96" s="14">
        <f t="shared" ca="1" si="63"/>
        <v>0</v>
      </c>
      <c r="S96" s="14">
        <f t="shared" ca="1" si="64"/>
        <v>0</v>
      </c>
      <c r="T96" s="14">
        <f>IFERROR(IF(WoP_Flag="Y",IF(fq=1,VLOOKUP(ppt*fq-H96,Charges!$AN$41:$AO$59,2,FALSE),IF(fq=2,VLOOKUP(ppt*fq-G96,Charges!$AP$41:$AQ$79,2,FALSE),VLOOKUP(ppt*fq-D96,Charges!$AR$41:$AS$279,2,FALSE)))*pr/fq,0),0)</f>
        <v>0</v>
      </c>
      <c r="U96" s="14">
        <f ca="1">IFERROR(((T96*(VLOOKUP(Input!$D$18+H96-1,Tab_Mort_Charge,IF(Gender_2="M",2,3),FALSE)*(1+_emr2)+_rpm2)/IF(Model_Type="LA_PQIS",1000/0.0833,(12*1000))))*Flag_Mort_Rider_Charge*(T96&gt;0),0)</f>
        <v>0</v>
      </c>
      <c r="V96" s="34">
        <f>ROUND(MIN(IF(H96&gt;=7,Charges!$C$12*(1+Charges!$C$14)^((H96-7+1)),VLOOKUP(H96,Charges!$B$7:$C$12,2,0))*pr,Charges!$C$13)*B96,Round)</f>
        <v>500</v>
      </c>
      <c r="W96" s="14">
        <f t="shared" ca="1" si="65"/>
        <v>2235454.0856173723</v>
      </c>
      <c r="X96" s="14">
        <f t="shared" ca="1" si="66"/>
        <v>2242772.3805887369</v>
      </c>
      <c r="Y96" s="213">
        <f t="shared" ca="1" si="88"/>
        <v>2524.4920351160217</v>
      </c>
      <c r="Z96" s="14">
        <f t="shared" ca="1" si="67"/>
        <v>2239793.4799873</v>
      </c>
      <c r="AA96" s="14">
        <f>IF(AND($H96=pt,$F96=11),SUM($K$7:K96)*VLOOKUP(pt,ROC,2,FALSE),0)</f>
        <v>0</v>
      </c>
      <c r="AB96" s="14">
        <f>IF(AND($H96=pt,$F96=11),SUM($V$7:V96)*VLOOKUP(pt,ROC,2,FALSE),0)</f>
        <v>0</v>
      </c>
      <c r="AC96" s="14">
        <f>IF(AND($H96=pt,$F96=11),SUM($Q$7:Q96)*VLOOKUP(pt,ROC,2,FALSE),0)</f>
        <v>0</v>
      </c>
      <c r="AD96" s="14">
        <f t="shared" ca="1" si="89"/>
        <v>2239793.4799873</v>
      </c>
      <c r="AE96" s="14">
        <f ca="1">(MAX(sa-CF95*Flag_UL_Type,105%*SUM($I$7:I96),Z96)+AU96)*B96</f>
        <v>3000000</v>
      </c>
      <c r="AF96" s="136"/>
      <c r="AG96" s="18">
        <v>90</v>
      </c>
      <c r="AH96" s="30">
        <f t="shared" ca="1" si="68"/>
        <v>0</v>
      </c>
      <c r="AI96" s="138"/>
      <c r="AJ96" s="50">
        <f>IF(AND(Option_Sys_TopUp&gt;="Y",H96&gt;=sytp,H96&lt;=(dtp+sytp-1),F96=0,H96&lt;=ppt+1),atp,0)+IFERROR(VLOOKUP(H96,Input!$B$55:$C$61,2,0),0)*(F96=0)*(Option_TopUP="Y")*(Option_Sys_TopUp="N")*B96*(pt&gt;=H96+5)</f>
        <v>0</v>
      </c>
      <c r="AK96" s="50">
        <f t="shared" si="69"/>
        <v>0</v>
      </c>
      <c r="AL96" s="50">
        <f t="shared" si="90"/>
        <v>0</v>
      </c>
      <c r="AM96" s="50">
        <f t="shared" ca="1" si="70"/>
        <v>0</v>
      </c>
      <c r="AN96" s="50">
        <f ca="1">IF(B96=0,0,AT96*(_rpm1+(1+_emr1)*VLOOKUP(E96,Tab_Mort_Charge,IF(Input!$C$12="M",2,3),0))*(0.001*0.0833)*Flag_Mort_Rider_Charge*(AT96&gt;0))</f>
        <v>0</v>
      </c>
      <c r="AO96" s="50">
        <f t="shared" ca="1" si="91"/>
        <v>0</v>
      </c>
      <c r="AP96" s="50">
        <f t="shared" ca="1" si="99"/>
        <v>0</v>
      </c>
      <c r="AQ96" s="50">
        <f t="shared" ca="1" si="71"/>
        <v>0</v>
      </c>
      <c r="AR96" s="50">
        <f t="shared" ca="1" si="72"/>
        <v>0</v>
      </c>
      <c r="AS96" s="50">
        <f t="shared" si="73"/>
        <v>0</v>
      </c>
      <c r="AT96" s="50">
        <f ca="1">(MAX((MAX(AS96,105%*SUM($AJ$7:AJ96))-AM96*Flag_UL_Type),0)*B96)</f>
        <v>0</v>
      </c>
      <c r="AU96" s="50">
        <f ca="1">(MAX(AS96,AR96,105%*SUM($AJ$7:AJ96))*B96)</f>
        <v>0</v>
      </c>
      <c r="AV96" s="125"/>
      <c r="AW96" s="13"/>
      <c r="AX96" s="13"/>
      <c r="AY96" s="13"/>
      <c r="AZ96" s="13"/>
      <c r="BA96" s="13"/>
      <c r="BG96" s="51">
        <f t="shared" si="74"/>
        <v>0</v>
      </c>
      <c r="BH96" s="51">
        <f t="shared" ca="1" si="75"/>
        <v>207.83454800267299</v>
      </c>
      <c r="BI96" s="51">
        <f t="shared" ca="1" si="76"/>
        <v>0</v>
      </c>
      <c r="BJ96" s="51">
        <f t="shared" ca="1" si="77"/>
        <v>0</v>
      </c>
      <c r="BK96" s="51">
        <f t="shared" si="78"/>
        <v>90</v>
      </c>
      <c r="BL96" s="51">
        <f t="shared" ca="1" si="79"/>
        <v>454.40856632088389</v>
      </c>
      <c r="BM96" s="51">
        <f t="shared" si="80"/>
        <v>0</v>
      </c>
      <c r="BN96" s="51">
        <f t="shared" ca="1" si="81"/>
        <v>0</v>
      </c>
      <c r="BO96" s="51">
        <f t="shared" ca="1" si="82"/>
        <v>0</v>
      </c>
      <c r="BP96" s="51">
        <f t="shared" ca="1" si="83"/>
        <v>752.24311432355694</v>
      </c>
      <c r="BQ96" s="120"/>
      <c r="BR96" s="32"/>
      <c r="BS96" s="126"/>
      <c r="BT96" s="16"/>
      <c r="BU96" s="58"/>
      <c r="BW96" s="51">
        <f>VLOOKUP(H96,Charges!$AT$4:$AU$33,2,FALSE)*I96</f>
        <v>0</v>
      </c>
      <c r="BX96" s="51">
        <f t="shared" si="84"/>
        <v>0</v>
      </c>
      <c r="BY96" s="51">
        <f t="shared" si="93"/>
        <v>0</v>
      </c>
      <c r="BZ96" s="151"/>
      <c r="CA96" s="151"/>
      <c r="CB96" s="32"/>
      <c r="CC96" s="16">
        <f ca="1">SUM($N$7:$N96)</f>
        <v>0</v>
      </c>
      <c r="CD96" s="16">
        <f t="shared" ca="1" si="85"/>
        <v>0</v>
      </c>
      <c r="CE96" s="16">
        <f t="shared" ca="1" si="86"/>
        <v>0</v>
      </c>
      <c r="CF96" s="7">
        <f t="shared" ca="1" si="94"/>
        <v>0</v>
      </c>
    </row>
    <row r="97" spans="1:84" s="7" customFormat="1" x14ac:dyDescent="0.2">
      <c r="A97" s="149"/>
      <c r="B97" s="14">
        <f t="shared" si="55"/>
        <v>1</v>
      </c>
      <c r="C97" s="12">
        <f t="shared" si="56"/>
        <v>1</v>
      </c>
      <c r="D97" s="17">
        <f t="shared" si="95"/>
        <v>91</v>
      </c>
      <c r="E97" s="17">
        <f t="shared" ca="1" si="57"/>
        <v>67</v>
      </c>
      <c r="F97" s="12">
        <f t="shared" si="97"/>
        <v>6</v>
      </c>
      <c r="G97" s="12">
        <f t="shared" si="96"/>
        <v>16</v>
      </c>
      <c r="H97" s="17">
        <f t="shared" si="98"/>
        <v>8</v>
      </c>
      <c r="I97" s="29">
        <f t="shared" si="58"/>
        <v>0</v>
      </c>
      <c r="J97" s="211">
        <f>IFERROR(VLOOKUP(H97,Charges!$T$6:$U$35,2,0)*C97,0)</f>
        <v>0.98</v>
      </c>
      <c r="K97" s="29">
        <f t="shared" si="59"/>
        <v>0</v>
      </c>
      <c r="L97" s="29">
        <f t="shared" si="60"/>
        <v>0</v>
      </c>
      <c r="M97" s="147">
        <f t="shared" ca="1" si="61"/>
        <v>0</v>
      </c>
      <c r="N97" s="148">
        <f ca="1">IF(AND(Option_SPW="Y",H97&gt;=Lock_In_Period,Z96&gt;SPW_Amount_pa+IF(option="Single",1/5*pr,2*pr),H97&gt;=SPW_Start_Year,H97&lt;=SPW_Start_Year+SPW_Duration-1,age+H97&gt;=Legal_Age),IF(AND(F97=0,SPW_Payout_Freq=1),SPW_Amount_pa,IF(AND(SPW_Payout_Freq=2,MOD(F97,6)=0),SPW_Amount_pa/SPW_Payout_Freq,IF(AND(SPW_Payout_Freq=4,MOD(F97,3)=0),SPW_Amount_pa/SPW_Payout_Freq,IF(SPW_Payout_Freq=12,SPW_Amount_pa/SPW_Payout_Freq,0)))),0)+IFERROR(VLOOKUP(H97,Input!$B$68:$C$74,2,0),0)*(F97=0)*(Option_PW="Y")*(Option_SPW="N")*(age+H97&gt;=Legal_Age)</f>
        <v>0</v>
      </c>
      <c r="O97" s="148">
        <f t="shared" ca="1" si="87"/>
        <v>0</v>
      </c>
      <c r="P97" s="14">
        <f ca="1">(MAX(MAX(sa-CF96*Flag_UL_Type,105%*SUM($I$7:I97))-(AD96+L97-N97)*Flag_UL_Type,0)*B97)</f>
        <v>760206.5200127</v>
      </c>
      <c r="Q97" s="213">
        <f t="shared" ca="1" si="62"/>
        <v>1151.0223568968918</v>
      </c>
      <c r="R97" s="14">
        <f t="shared" ca="1" si="63"/>
        <v>0</v>
      </c>
      <c r="S97" s="14">
        <f t="shared" ca="1" si="64"/>
        <v>0</v>
      </c>
      <c r="T97" s="14">
        <f>IFERROR(IF(WoP_Flag="Y",IF(fq=1,VLOOKUP(ppt*fq-H97,Charges!$AN$41:$AO$59,2,FALSE),IF(fq=2,VLOOKUP(ppt*fq-G97,Charges!$AP$41:$AQ$79,2,FALSE),VLOOKUP(ppt*fq-D97,Charges!$AR$41:$AS$279,2,FALSE)))*pr/fq,0),0)</f>
        <v>0</v>
      </c>
      <c r="U97" s="14">
        <f ca="1">IFERROR(((T97*(VLOOKUP(Input!$D$18+H97-1,Tab_Mort_Charge,IF(Gender_2="M",2,3),FALSE)*(1+_emr2)+_rpm2)/IF(Model_Type="LA_PQIS",1000/0.0833,(12*1000))))*Flag_Mort_Rider_Charge*(T97&gt;0),0)</f>
        <v>0</v>
      </c>
      <c r="V97" s="34">
        <f>ROUND(MIN(IF(H97&gt;=7,Charges!$C$12*(1+Charges!$C$14)^((H97-7+1)),VLOOKUP(H97,Charges!$B$7:$C$12,2,0))*pr,Charges!$C$13)*B97,Round)</f>
        <v>500</v>
      </c>
      <c r="W97" s="14">
        <f t="shared" ca="1" si="65"/>
        <v>2237845.2736061616</v>
      </c>
      <c r="X97" s="14">
        <f t="shared" ca="1" si="66"/>
        <v>2245171.396704772</v>
      </c>
      <c r="Y97" s="213">
        <f t="shared" ca="1" si="88"/>
        <v>2527.1923970116213</v>
      </c>
      <c r="Z97" s="14">
        <f t="shared" ca="1" si="67"/>
        <v>2242189.3096762984</v>
      </c>
      <c r="AA97" s="14">
        <f>IF(AND($H97=pt,$F97=11),SUM($K$7:K97)*VLOOKUP(pt,ROC,2,FALSE),0)</f>
        <v>0</v>
      </c>
      <c r="AB97" s="14">
        <f>IF(AND($H97=pt,$F97=11),SUM($V$7:V97)*VLOOKUP(pt,ROC,2,FALSE),0)</f>
        <v>0</v>
      </c>
      <c r="AC97" s="14">
        <f>IF(AND($H97=pt,$F97=11),SUM($Q$7:Q97)*VLOOKUP(pt,ROC,2,FALSE),0)</f>
        <v>0</v>
      </c>
      <c r="AD97" s="14">
        <f t="shared" ca="1" si="89"/>
        <v>2242189.3096762984</v>
      </c>
      <c r="AE97" s="14">
        <f ca="1">(MAX(sa-CF96*Flag_UL_Type,105%*SUM($I$7:I97),Z97)+AU97)*B97</f>
        <v>3000000</v>
      </c>
      <c r="AF97" s="136"/>
      <c r="AG97" s="18">
        <v>91</v>
      </c>
      <c r="AH97" s="30">
        <f t="shared" ca="1" si="68"/>
        <v>0</v>
      </c>
      <c r="AI97" s="138"/>
      <c r="AJ97" s="50">
        <f>IF(AND(Option_Sys_TopUp&gt;="Y",H97&gt;=sytp,H97&lt;=(dtp+sytp-1),F97=0,H97&lt;=ppt+1),atp,0)+IFERROR(VLOOKUP(H97,Input!$B$55:$C$61,2,0),0)*(F97=0)*(Option_TopUP="Y")*(Option_Sys_TopUp="N")*B97*(pt&gt;=H97+5)</f>
        <v>0</v>
      </c>
      <c r="AK97" s="50">
        <f t="shared" si="69"/>
        <v>0</v>
      </c>
      <c r="AL97" s="50">
        <f t="shared" si="90"/>
        <v>0</v>
      </c>
      <c r="AM97" s="50">
        <f t="shared" ca="1" si="70"/>
        <v>0</v>
      </c>
      <c r="AN97" s="50">
        <f ca="1">IF(B97=0,0,AT97*(_rpm1+(1+_emr1)*VLOOKUP(E97,Tab_Mort_Charge,IF(Input!$C$12="M",2,3),0))*(0.001*0.0833)*Flag_Mort_Rider_Charge*(AT97&gt;0))</f>
        <v>0</v>
      </c>
      <c r="AO97" s="50">
        <f t="shared" ca="1" si="91"/>
        <v>0</v>
      </c>
      <c r="AP97" s="50">
        <f t="shared" ca="1" si="99"/>
        <v>0</v>
      </c>
      <c r="AQ97" s="50">
        <f t="shared" ca="1" si="71"/>
        <v>0</v>
      </c>
      <c r="AR97" s="50">
        <f t="shared" ca="1" si="72"/>
        <v>0</v>
      </c>
      <c r="AS97" s="50">
        <f t="shared" si="73"/>
        <v>0</v>
      </c>
      <c r="AT97" s="50">
        <f ca="1">(MAX((MAX(AS97,105%*SUM($AJ$7:AJ97))-AM97*Flag_UL_Type),0)*B97)</f>
        <v>0</v>
      </c>
      <c r="AU97" s="50">
        <f ca="1">(MAX(AS97,AR97,105%*SUM($AJ$7:AJ97))*B97)</f>
        <v>0</v>
      </c>
      <c r="AV97" s="125"/>
      <c r="AW97" s="13"/>
      <c r="AX97" s="13"/>
      <c r="AY97" s="13"/>
      <c r="AZ97" s="13"/>
      <c r="BA97" s="13"/>
      <c r="BG97" s="51">
        <f t="shared" si="74"/>
        <v>0</v>
      </c>
      <c r="BH97" s="51">
        <f t="shared" ca="1" si="75"/>
        <v>207.18402424144099</v>
      </c>
      <c r="BI97" s="51">
        <f t="shared" ca="1" si="76"/>
        <v>0</v>
      </c>
      <c r="BJ97" s="51">
        <f t="shared" ca="1" si="77"/>
        <v>0</v>
      </c>
      <c r="BK97" s="51">
        <f t="shared" si="78"/>
        <v>90</v>
      </c>
      <c r="BL97" s="51">
        <f t="shared" ca="1" si="79"/>
        <v>454.89463146209181</v>
      </c>
      <c r="BM97" s="51">
        <f t="shared" si="80"/>
        <v>0</v>
      </c>
      <c r="BN97" s="51">
        <f t="shared" ca="1" si="81"/>
        <v>0</v>
      </c>
      <c r="BO97" s="51">
        <f t="shared" ca="1" si="82"/>
        <v>0</v>
      </c>
      <c r="BP97" s="51">
        <f t="shared" ca="1" si="83"/>
        <v>752.07865570353283</v>
      </c>
      <c r="BQ97" s="120"/>
      <c r="BR97" s="32"/>
      <c r="BS97" s="126"/>
      <c r="BT97" s="16"/>
      <c r="BU97" s="58"/>
      <c r="BW97" s="51">
        <f>VLOOKUP(H97,Charges!$AT$4:$AU$33,2,FALSE)*I97</f>
        <v>0</v>
      </c>
      <c r="BX97" s="51">
        <f t="shared" si="84"/>
        <v>0</v>
      </c>
      <c r="BY97" s="51">
        <f t="shared" si="93"/>
        <v>0</v>
      </c>
      <c r="BZ97" s="151"/>
      <c r="CA97" s="151"/>
      <c r="CB97" s="32"/>
      <c r="CC97" s="16">
        <f ca="1">SUM($N$7:$N97)</f>
        <v>0</v>
      </c>
      <c r="CD97" s="16">
        <f t="shared" ca="1" si="85"/>
        <v>0</v>
      </c>
      <c r="CE97" s="16">
        <f t="shared" ca="1" si="86"/>
        <v>0</v>
      </c>
      <c r="CF97" s="7">
        <f t="shared" ca="1" si="94"/>
        <v>0</v>
      </c>
    </row>
    <row r="98" spans="1:84" s="7" customFormat="1" x14ac:dyDescent="0.2">
      <c r="A98" s="149"/>
      <c r="B98" s="14">
        <f t="shared" si="55"/>
        <v>1</v>
      </c>
      <c r="C98" s="12">
        <f t="shared" si="56"/>
        <v>1</v>
      </c>
      <c r="D98" s="17">
        <f t="shared" si="95"/>
        <v>92</v>
      </c>
      <c r="E98" s="17">
        <f t="shared" ca="1" si="57"/>
        <v>67</v>
      </c>
      <c r="F98" s="12">
        <f t="shared" si="97"/>
        <v>7</v>
      </c>
      <c r="G98" s="12">
        <f t="shared" si="96"/>
        <v>16</v>
      </c>
      <c r="H98" s="17">
        <f t="shared" si="98"/>
        <v>8</v>
      </c>
      <c r="I98" s="29">
        <f t="shared" si="58"/>
        <v>0</v>
      </c>
      <c r="J98" s="211">
        <f>IFERROR(VLOOKUP(H98,Charges!$T$6:$U$35,2,0)*C98,0)</f>
        <v>0.98</v>
      </c>
      <c r="K98" s="29">
        <f t="shared" si="59"/>
        <v>0</v>
      </c>
      <c r="L98" s="29">
        <f t="shared" si="60"/>
        <v>0</v>
      </c>
      <c r="M98" s="147">
        <f t="shared" ca="1" si="61"/>
        <v>0</v>
      </c>
      <c r="N98" s="148">
        <f ca="1">IF(AND(Option_SPW="Y",H98&gt;=Lock_In_Period,Z97&gt;SPW_Amount_pa+IF(option="Single",1/5*pr,2*pr),H98&gt;=SPW_Start_Year,H98&lt;=SPW_Start_Year+SPW_Duration-1,age+H98&gt;=Legal_Age),IF(AND(F98=0,SPW_Payout_Freq=1),SPW_Amount_pa,IF(AND(SPW_Payout_Freq=2,MOD(F98,6)=0),SPW_Amount_pa/SPW_Payout_Freq,IF(AND(SPW_Payout_Freq=4,MOD(F98,3)=0),SPW_Amount_pa/SPW_Payout_Freq,IF(SPW_Payout_Freq=12,SPW_Amount_pa/SPW_Payout_Freq,0)))),0)+IFERROR(VLOOKUP(H98,Input!$B$68:$C$74,2,0),0)*(F98=0)*(Option_PW="Y")*(Option_SPW="N")*(age+H98&gt;=Legal_Age)</f>
        <v>0</v>
      </c>
      <c r="O98" s="148">
        <f t="shared" ca="1" si="87"/>
        <v>0</v>
      </c>
      <c r="P98" s="14">
        <f ca="1">(MAX(MAX(sa-CF97*Flag_UL_Type,105%*SUM($I$7:I98))-(AD97+L98-N98)*Flag_UL_Type,0)*B98)</f>
        <v>757810.69032370159</v>
      </c>
      <c r="Q98" s="213">
        <f t="shared" ca="1" si="62"/>
        <v>1147.3948511300334</v>
      </c>
      <c r="R98" s="14">
        <f t="shared" ca="1" si="63"/>
        <v>0</v>
      </c>
      <c r="S98" s="14">
        <f t="shared" ca="1" si="64"/>
        <v>0</v>
      </c>
      <c r="T98" s="14">
        <f>IFERROR(IF(WoP_Flag="Y",IF(fq=1,VLOOKUP(ppt*fq-H98,Charges!$AN$41:$AO$59,2,FALSE),IF(fq=2,VLOOKUP(ppt*fq-G98,Charges!$AP$41:$AQ$79,2,FALSE),VLOOKUP(ppt*fq-D98,Charges!$AR$41:$AS$279,2,FALSE)))*pr/fq,0),0)</f>
        <v>0</v>
      </c>
      <c r="U98" s="14">
        <f ca="1">IFERROR(((T98*(VLOOKUP(Input!$D$18+H98-1,Tab_Mort_Charge,IF(Gender_2="M",2,3),FALSE)*(1+_emr2)+_rpm2)/IF(Model_Type="LA_PQIS",1000/0.0833,(12*1000))))*Flag_Mort_Rider_Charge*(T98&gt;0),0)</f>
        <v>0</v>
      </c>
      <c r="V98" s="34">
        <f>ROUND(MIN(IF(H98&gt;=7,Charges!$C$12*(1+Charges!$C$14)^((H98-7+1)),VLOOKUP(H98,Charges!$B$7:$C$12,2,0))*pr,Charges!$C$13)*B98,Round)</f>
        <v>500</v>
      </c>
      <c r="W98" s="14">
        <f t="shared" ca="1" si="65"/>
        <v>2240245.3837519651</v>
      </c>
      <c r="X98" s="14">
        <f t="shared" ca="1" si="66"/>
        <v>2247579.3641866413</v>
      </c>
      <c r="Y98" s="213">
        <f t="shared" ca="1" si="88"/>
        <v>2529.902834674137</v>
      </c>
      <c r="Z98" s="14">
        <f t="shared" ca="1" si="67"/>
        <v>2244594.0788417258</v>
      </c>
      <c r="AA98" s="14">
        <f>IF(AND($H98=pt,$F98=11),SUM($K$7:K98)*VLOOKUP(pt,ROC,2,FALSE),0)</f>
        <v>0</v>
      </c>
      <c r="AB98" s="14">
        <f>IF(AND($H98=pt,$F98=11),SUM($V$7:V98)*VLOOKUP(pt,ROC,2,FALSE),0)</f>
        <v>0</v>
      </c>
      <c r="AC98" s="14">
        <f>IF(AND($H98=pt,$F98=11),SUM($Q$7:Q98)*VLOOKUP(pt,ROC,2,FALSE),0)</f>
        <v>0</v>
      </c>
      <c r="AD98" s="14">
        <f t="shared" ca="1" si="89"/>
        <v>2244594.0788417258</v>
      </c>
      <c r="AE98" s="14">
        <f ca="1">(MAX(sa-CF97*Flag_UL_Type,105%*SUM($I$7:I98),Z98)+AU98)*B98</f>
        <v>3000000</v>
      </c>
      <c r="AF98" s="136"/>
      <c r="AG98" s="18">
        <v>92</v>
      </c>
      <c r="AH98" s="30">
        <f t="shared" ca="1" si="68"/>
        <v>0</v>
      </c>
      <c r="AI98" s="138"/>
      <c r="AJ98" s="50">
        <f>IF(AND(Option_Sys_TopUp&gt;="Y",H98&gt;=sytp,H98&lt;=(dtp+sytp-1),F98=0,H98&lt;=ppt+1),atp,0)+IFERROR(VLOOKUP(H98,Input!$B$55:$C$61,2,0),0)*(F98=0)*(Option_TopUP="Y")*(Option_Sys_TopUp="N")*B98*(pt&gt;=H98+5)</f>
        <v>0</v>
      </c>
      <c r="AK98" s="50">
        <f t="shared" si="69"/>
        <v>0</v>
      </c>
      <c r="AL98" s="50">
        <f t="shared" si="90"/>
        <v>0</v>
      </c>
      <c r="AM98" s="50">
        <f t="shared" ca="1" si="70"/>
        <v>0</v>
      </c>
      <c r="AN98" s="50">
        <f ca="1">IF(B98=0,0,AT98*(_rpm1+(1+_emr1)*VLOOKUP(E98,Tab_Mort_Charge,IF(Input!$C$12="M",2,3),0))*(0.001*0.0833)*Flag_Mort_Rider_Charge*(AT98&gt;0))</f>
        <v>0</v>
      </c>
      <c r="AO98" s="50">
        <f t="shared" ca="1" si="91"/>
        <v>0</v>
      </c>
      <c r="AP98" s="50">
        <f t="shared" ca="1" si="99"/>
        <v>0</v>
      </c>
      <c r="AQ98" s="50">
        <f t="shared" ca="1" si="71"/>
        <v>0</v>
      </c>
      <c r="AR98" s="50">
        <f t="shared" ca="1" si="72"/>
        <v>0</v>
      </c>
      <c r="AS98" s="50">
        <f t="shared" si="73"/>
        <v>0</v>
      </c>
      <c r="AT98" s="50">
        <f ca="1">(MAX((MAX(AS98,105%*SUM($AJ$7:AJ98))-AM98*Flag_UL_Type),0)*B98)</f>
        <v>0</v>
      </c>
      <c r="AU98" s="50">
        <f ca="1">(MAX(AS98,AR98,105%*SUM($AJ$7:AJ98))*B98)</f>
        <v>0</v>
      </c>
      <c r="AV98" s="125"/>
      <c r="AW98" s="13"/>
      <c r="AX98" s="13"/>
      <c r="AY98" s="13"/>
      <c r="AZ98" s="13"/>
      <c r="BA98" s="13"/>
      <c r="BG98" s="51">
        <f t="shared" si="74"/>
        <v>0</v>
      </c>
      <c r="BH98" s="51">
        <f t="shared" ca="1" si="75"/>
        <v>206.53107320340601</v>
      </c>
      <c r="BI98" s="51">
        <f t="shared" ca="1" si="76"/>
        <v>0</v>
      </c>
      <c r="BJ98" s="51">
        <f t="shared" ca="1" si="77"/>
        <v>0</v>
      </c>
      <c r="BK98" s="51">
        <f t="shared" si="78"/>
        <v>90</v>
      </c>
      <c r="BL98" s="51">
        <f t="shared" ca="1" si="79"/>
        <v>455.38251024134462</v>
      </c>
      <c r="BM98" s="51">
        <f t="shared" si="80"/>
        <v>0</v>
      </c>
      <c r="BN98" s="51">
        <f t="shared" ca="1" si="81"/>
        <v>0</v>
      </c>
      <c r="BO98" s="51">
        <f t="shared" ca="1" si="82"/>
        <v>0</v>
      </c>
      <c r="BP98" s="51">
        <f t="shared" ca="1" si="83"/>
        <v>751.91358344475066</v>
      </c>
      <c r="BQ98" s="120"/>
      <c r="BR98" s="32"/>
      <c r="BS98" s="126"/>
      <c r="BT98" s="16"/>
      <c r="BU98" s="58"/>
      <c r="BW98" s="51">
        <f>VLOOKUP(H98,Charges!$AT$4:$AU$33,2,FALSE)*I98</f>
        <v>0</v>
      </c>
      <c r="BX98" s="51">
        <f t="shared" si="84"/>
        <v>0</v>
      </c>
      <c r="BY98" s="51">
        <f t="shared" si="93"/>
        <v>0</v>
      </c>
      <c r="BZ98" s="151"/>
      <c r="CA98" s="151"/>
      <c r="CB98" s="32"/>
      <c r="CC98" s="16">
        <f ca="1">SUM($N$7:$N98)</f>
        <v>0</v>
      </c>
      <c r="CD98" s="16">
        <f t="shared" ca="1" si="85"/>
        <v>0</v>
      </c>
      <c r="CE98" s="16">
        <f t="shared" ca="1" si="86"/>
        <v>0</v>
      </c>
      <c r="CF98" s="7">
        <f t="shared" ca="1" si="94"/>
        <v>0</v>
      </c>
    </row>
    <row r="99" spans="1:84" s="7" customFormat="1" x14ac:dyDescent="0.2">
      <c r="A99" s="149"/>
      <c r="B99" s="14">
        <f t="shared" si="55"/>
        <v>1</v>
      </c>
      <c r="C99" s="12">
        <f t="shared" si="56"/>
        <v>1</v>
      </c>
      <c r="D99" s="17">
        <f t="shared" si="95"/>
        <v>93</v>
      </c>
      <c r="E99" s="17">
        <f t="shared" ca="1" si="57"/>
        <v>67</v>
      </c>
      <c r="F99" s="12">
        <f t="shared" si="97"/>
        <v>8</v>
      </c>
      <c r="G99" s="12">
        <f t="shared" si="96"/>
        <v>16</v>
      </c>
      <c r="H99" s="17">
        <f t="shared" si="98"/>
        <v>8</v>
      </c>
      <c r="I99" s="29">
        <f t="shared" si="58"/>
        <v>0</v>
      </c>
      <c r="J99" s="211">
        <f>IFERROR(VLOOKUP(H99,Charges!$T$6:$U$35,2,0)*C99,0)</f>
        <v>0.98</v>
      </c>
      <c r="K99" s="29">
        <f t="shared" si="59"/>
        <v>0</v>
      </c>
      <c r="L99" s="29">
        <f t="shared" si="60"/>
        <v>0</v>
      </c>
      <c r="M99" s="147">
        <f t="shared" ca="1" si="61"/>
        <v>0</v>
      </c>
      <c r="N99" s="148">
        <f ca="1">IF(AND(Option_SPW="Y",H99&gt;=Lock_In_Period,Z98&gt;SPW_Amount_pa+IF(option="Single",1/5*pr,2*pr),H99&gt;=SPW_Start_Year,H99&lt;=SPW_Start_Year+SPW_Duration-1,age+H99&gt;=Legal_Age),IF(AND(F99=0,SPW_Payout_Freq=1),SPW_Amount_pa,IF(AND(SPW_Payout_Freq=2,MOD(F99,6)=0),SPW_Amount_pa/SPW_Payout_Freq,IF(AND(SPW_Payout_Freq=4,MOD(F99,3)=0),SPW_Amount_pa/SPW_Payout_Freq,IF(SPW_Payout_Freq=12,SPW_Amount_pa/SPW_Payout_Freq,0)))),0)+IFERROR(VLOOKUP(H99,Input!$B$68:$C$74,2,0),0)*(F99=0)*(Option_PW="Y")*(Option_SPW="N")*(age+H99&gt;=Legal_Age)</f>
        <v>0</v>
      </c>
      <c r="O99" s="148">
        <f t="shared" ca="1" si="87"/>
        <v>0</v>
      </c>
      <c r="P99" s="14">
        <f ca="1">(MAX(MAX(sa-CF98*Flag_UL_Type,105%*SUM($I$7:I99))-(AD98+L99-N99)*Flag_UL_Type,0)*B99)</f>
        <v>755405.92115827417</v>
      </c>
      <c r="Q99" s="213">
        <f t="shared" ca="1" si="62"/>
        <v>1143.7538101764001</v>
      </c>
      <c r="R99" s="14">
        <f t="shared" ca="1" si="63"/>
        <v>0</v>
      </c>
      <c r="S99" s="14">
        <f t="shared" ca="1" si="64"/>
        <v>0</v>
      </c>
      <c r="T99" s="14">
        <f>IFERROR(IF(WoP_Flag="Y",IF(fq=1,VLOOKUP(ppt*fq-H99,Charges!$AN$41:$AO$59,2,FALSE),IF(fq=2,VLOOKUP(ppt*fq-G99,Charges!$AP$41:$AQ$79,2,FALSE),VLOOKUP(ppt*fq-D99,Charges!$AR$41:$AS$279,2,FALSE)))*pr/fq,0),0)</f>
        <v>0</v>
      </c>
      <c r="U99" s="14">
        <f ca="1">IFERROR(((T99*(VLOOKUP(Input!$D$18+H99-1,Tab_Mort_Charge,IF(Gender_2="M",2,3),FALSE)*(1+_emr2)+_rpm2)/IF(Model_Type="LA_PQIS",1000/0.0833,(12*1000))))*Flag_Mort_Rider_Charge*(T99&gt;0),0)</f>
        <v>0</v>
      </c>
      <c r="V99" s="34">
        <f>ROUND(MIN(IF(H99&gt;=7,Charges!$C$12*(1+Charges!$C$14)^((H99-7+1)),VLOOKUP(H99,Charges!$B$7:$C$12,2,0))*pr,Charges!$C$13)*B99,Round)</f>
        <v>500</v>
      </c>
      <c r="W99" s="14">
        <f t="shared" ca="1" si="65"/>
        <v>2242654.4493457177</v>
      </c>
      <c r="X99" s="14">
        <f t="shared" ca="1" si="66"/>
        <v>2249996.316434266</v>
      </c>
      <c r="Y99" s="213">
        <f t="shared" ca="1" si="88"/>
        <v>2532.6233856989284</v>
      </c>
      <c r="Z99" s="14">
        <f t="shared" ca="1" si="67"/>
        <v>2247007.8208391415</v>
      </c>
      <c r="AA99" s="14">
        <f>IF(AND($H99=pt,$F99=11),SUM($K$7:K99)*VLOOKUP(pt,ROC,2,FALSE),0)</f>
        <v>0</v>
      </c>
      <c r="AB99" s="14">
        <f>IF(AND($H99=pt,$F99=11),SUM($V$7:V99)*VLOOKUP(pt,ROC,2,FALSE),0)</f>
        <v>0</v>
      </c>
      <c r="AC99" s="14">
        <f>IF(AND($H99=pt,$F99=11),SUM($Q$7:Q99)*VLOOKUP(pt,ROC,2,FALSE),0)</f>
        <v>0</v>
      </c>
      <c r="AD99" s="14">
        <f t="shared" ca="1" si="89"/>
        <v>2247007.8208391415</v>
      </c>
      <c r="AE99" s="14">
        <f ca="1">(MAX(sa-CF98*Flag_UL_Type,105%*SUM($I$7:I99),Z99)+AU99)*B99</f>
        <v>3000000</v>
      </c>
      <c r="AF99" s="136"/>
      <c r="AG99" s="18">
        <v>93</v>
      </c>
      <c r="AH99" s="30">
        <f t="shared" ca="1" si="68"/>
        <v>0</v>
      </c>
      <c r="AI99" s="138"/>
      <c r="AJ99" s="50">
        <f>IF(AND(Option_Sys_TopUp&gt;="Y",H99&gt;=sytp,H99&lt;=(dtp+sytp-1),F99=0,H99&lt;=ppt+1),atp,0)+IFERROR(VLOOKUP(H99,Input!$B$55:$C$61,2,0),0)*(F99=0)*(Option_TopUP="Y")*(Option_Sys_TopUp="N")*B99*(pt&gt;=H99+5)</f>
        <v>0</v>
      </c>
      <c r="AK99" s="50">
        <f t="shared" si="69"/>
        <v>0</v>
      </c>
      <c r="AL99" s="50">
        <f t="shared" si="90"/>
        <v>0</v>
      </c>
      <c r="AM99" s="50">
        <f t="shared" ca="1" si="70"/>
        <v>0</v>
      </c>
      <c r="AN99" s="50">
        <f ca="1">IF(B99=0,0,AT99*(_rpm1+(1+_emr1)*VLOOKUP(E99,Tab_Mort_Charge,IF(Input!$C$12="M",2,3),0))*(0.001*0.0833)*Flag_Mort_Rider_Charge*(AT99&gt;0))</f>
        <v>0</v>
      </c>
      <c r="AO99" s="50">
        <f t="shared" ca="1" si="91"/>
        <v>0</v>
      </c>
      <c r="AP99" s="50">
        <f t="shared" ca="1" si="99"/>
        <v>0</v>
      </c>
      <c r="AQ99" s="50">
        <f t="shared" ca="1" si="71"/>
        <v>0</v>
      </c>
      <c r="AR99" s="50">
        <f t="shared" ca="1" si="72"/>
        <v>0</v>
      </c>
      <c r="AS99" s="50">
        <f t="shared" si="73"/>
        <v>0</v>
      </c>
      <c r="AT99" s="50">
        <f ca="1">(MAX((MAX(AS99,105%*SUM($AJ$7:AJ99))-AM99*Flag_UL_Type),0)*B99)</f>
        <v>0</v>
      </c>
      <c r="AU99" s="50">
        <f ca="1">(MAX(AS99,AR99,105%*SUM($AJ$7:AJ99))*B99)</f>
        <v>0</v>
      </c>
      <c r="AV99" s="125"/>
      <c r="AW99" s="13"/>
      <c r="AX99" s="13"/>
      <c r="AY99" s="13"/>
      <c r="AZ99" s="13"/>
      <c r="BA99" s="13"/>
      <c r="BG99" s="51">
        <f t="shared" si="74"/>
        <v>0</v>
      </c>
      <c r="BH99" s="51">
        <f t="shared" ca="1" si="75"/>
        <v>205.87568583175201</v>
      </c>
      <c r="BI99" s="51">
        <f t="shared" ca="1" si="76"/>
        <v>0</v>
      </c>
      <c r="BJ99" s="51">
        <f t="shared" ca="1" si="77"/>
        <v>0</v>
      </c>
      <c r="BK99" s="51">
        <f t="shared" si="78"/>
        <v>90</v>
      </c>
      <c r="BL99" s="51">
        <f t="shared" ca="1" si="79"/>
        <v>455.87220942580711</v>
      </c>
      <c r="BM99" s="51">
        <f t="shared" si="80"/>
        <v>0</v>
      </c>
      <c r="BN99" s="51">
        <f t="shared" ca="1" si="81"/>
        <v>0</v>
      </c>
      <c r="BO99" s="51">
        <f t="shared" ca="1" si="82"/>
        <v>0</v>
      </c>
      <c r="BP99" s="51">
        <f t="shared" ca="1" si="83"/>
        <v>751.74789525755909</v>
      </c>
      <c r="BQ99" s="120"/>
      <c r="BR99" s="32"/>
      <c r="BS99" s="126"/>
      <c r="BT99" s="16"/>
      <c r="BU99" s="58"/>
      <c r="BW99" s="51">
        <f>VLOOKUP(H99,Charges!$AT$4:$AU$33,2,FALSE)*I99</f>
        <v>0</v>
      </c>
      <c r="BX99" s="51">
        <f t="shared" si="84"/>
        <v>0</v>
      </c>
      <c r="BY99" s="51">
        <f t="shared" si="93"/>
        <v>0</v>
      </c>
      <c r="BZ99" s="151"/>
      <c r="CA99" s="151"/>
      <c r="CB99" s="32"/>
      <c r="CC99" s="16">
        <f ca="1">SUM($N$7:$N99)</f>
        <v>0</v>
      </c>
      <c r="CD99" s="16">
        <f t="shared" ca="1" si="85"/>
        <v>0</v>
      </c>
      <c r="CE99" s="16">
        <f t="shared" ca="1" si="86"/>
        <v>0</v>
      </c>
      <c r="CF99" s="7">
        <f t="shared" ca="1" si="94"/>
        <v>0</v>
      </c>
    </row>
    <row r="100" spans="1:84" s="7" customFormat="1" x14ac:dyDescent="0.2">
      <c r="A100" s="149"/>
      <c r="B100" s="14">
        <f t="shared" si="55"/>
        <v>1</v>
      </c>
      <c r="C100" s="12">
        <f t="shared" si="56"/>
        <v>1</v>
      </c>
      <c r="D100" s="17">
        <f t="shared" si="95"/>
        <v>94</v>
      </c>
      <c r="E100" s="17">
        <f t="shared" ca="1" si="57"/>
        <v>67</v>
      </c>
      <c r="F100" s="12">
        <f t="shared" si="97"/>
        <v>9</v>
      </c>
      <c r="G100" s="12">
        <f t="shared" si="96"/>
        <v>16</v>
      </c>
      <c r="H100" s="17">
        <f t="shared" si="98"/>
        <v>8</v>
      </c>
      <c r="I100" s="29">
        <f t="shared" si="58"/>
        <v>0</v>
      </c>
      <c r="J100" s="211">
        <f>IFERROR(VLOOKUP(H100,Charges!$T$6:$U$35,2,0)*C100,0)</f>
        <v>0.98</v>
      </c>
      <c r="K100" s="29">
        <f t="shared" si="59"/>
        <v>0</v>
      </c>
      <c r="L100" s="29">
        <f t="shared" si="60"/>
        <v>0</v>
      </c>
      <c r="M100" s="147">
        <f t="shared" ca="1" si="61"/>
        <v>0</v>
      </c>
      <c r="N100" s="148">
        <f ca="1">IF(AND(Option_SPW="Y",H100&gt;=Lock_In_Period,Z99&gt;SPW_Amount_pa+IF(option="Single",1/5*pr,2*pr),H100&gt;=SPW_Start_Year,H100&lt;=SPW_Start_Year+SPW_Duration-1,age+H100&gt;=Legal_Age),IF(AND(F100=0,SPW_Payout_Freq=1),SPW_Amount_pa,IF(AND(SPW_Payout_Freq=2,MOD(F100,6)=0),SPW_Amount_pa/SPW_Payout_Freq,IF(AND(SPW_Payout_Freq=4,MOD(F100,3)=0),SPW_Amount_pa/SPW_Payout_Freq,IF(SPW_Payout_Freq=12,SPW_Amount_pa/SPW_Payout_Freq,0)))),0)+IFERROR(VLOOKUP(H100,Input!$B$68:$C$74,2,0),0)*(F100=0)*(Option_PW="Y")*(Option_SPW="N")*(age+H100&gt;=Legal_Age)</f>
        <v>0</v>
      </c>
      <c r="O100" s="148">
        <f t="shared" ca="1" si="87"/>
        <v>0</v>
      </c>
      <c r="P100" s="14">
        <f ca="1">(MAX(MAX(sa-CF99*Flag_UL_Type,105%*SUM($I$7:I100))-(AD99+L100-N100)*Flag_UL_Type,0)*B100)</f>
        <v>752992.1791608585</v>
      </c>
      <c r="Q100" s="213">
        <f t="shared" ca="1" si="62"/>
        <v>1140.0991835326333</v>
      </c>
      <c r="R100" s="14">
        <f t="shared" ca="1" si="63"/>
        <v>0</v>
      </c>
      <c r="S100" s="14">
        <f t="shared" ca="1" si="64"/>
        <v>0</v>
      </c>
      <c r="T100" s="14">
        <f>IFERROR(IF(WoP_Flag="Y",IF(fq=1,VLOOKUP(ppt*fq-H100,Charges!$AN$41:$AO$59,2,FALSE),IF(fq=2,VLOOKUP(ppt*fq-G100,Charges!$AP$41:$AQ$79,2,FALSE),VLOOKUP(ppt*fq-D100,Charges!$AR$41:$AS$279,2,FALSE)))*pr/fq,0),0)</f>
        <v>0</v>
      </c>
      <c r="U100" s="14">
        <f ca="1">IFERROR(((T100*(VLOOKUP(Input!$D$18+H100-1,Tab_Mort_Charge,IF(Gender_2="M",2,3),FALSE)*(1+_emr2)+_rpm2)/IF(Model_Type="LA_PQIS",1000/0.0833,(12*1000))))*Flag_Mort_Rider_Charge*(T100&gt;0),0)</f>
        <v>0</v>
      </c>
      <c r="V100" s="34">
        <f>ROUND(MIN(IF(H100&gt;=7,Charges!$C$12*(1+Charges!$C$14)^((H100-7+1)),VLOOKUP(H100,Charges!$B$7:$C$12,2,0))*pr,Charges!$C$13)*B100,Round)</f>
        <v>500</v>
      </c>
      <c r="W100" s="14">
        <f t="shared" ca="1" si="65"/>
        <v>2245072.5038025728</v>
      </c>
      <c r="X100" s="14">
        <f t="shared" ca="1" si="66"/>
        <v>2252422.2869721921</v>
      </c>
      <c r="Y100" s="213">
        <f t="shared" ca="1" si="88"/>
        <v>2535.3540878216345</v>
      </c>
      <c r="Z100" s="14">
        <f t="shared" ca="1" si="67"/>
        <v>2249430.5691485624</v>
      </c>
      <c r="AA100" s="14">
        <f>IF(AND($H100=pt,$F100=11),SUM($K$7:K100)*VLOOKUP(pt,ROC,2,FALSE),0)</f>
        <v>0</v>
      </c>
      <c r="AB100" s="14">
        <f>IF(AND($H100=pt,$F100=11),SUM($V$7:V100)*VLOOKUP(pt,ROC,2,FALSE),0)</f>
        <v>0</v>
      </c>
      <c r="AC100" s="14">
        <f>IF(AND($H100=pt,$F100=11),SUM($Q$7:Q100)*VLOOKUP(pt,ROC,2,FALSE),0)</f>
        <v>0</v>
      </c>
      <c r="AD100" s="14">
        <f t="shared" ca="1" si="89"/>
        <v>2249430.5691485624</v>
      </c>
      <c r="AE100" s="14">
        <f ca="1">(MAX(sa-CF99*Flag_UL_Type,105%*SUM($I$7:I100),Z100)+AU100)*B100</f>
        <v>3000000</v>
      </c>
      <c r="AF100" s="136"/>
      <c r="AG100" s="18">
        <v>94</v>
      </c>
      <c r="AH100" s="30">
        <f t="shared" ca="1" si="68"/>
        <v>0</v>
      </c>
      <c r="AI100" s="58"/>
      <c r="AJ100" s="50">
        <f>IF(AND(Option_Sys_TopUp&gt;="Y",H100&gt;=sytp,H100&lt;=(dtp+sytp-1),F100=0,H100&lt;=ppt+1),atp,0)+IFERROR(VLOOKUP(H100,Input!$B$55:$C$61,2,0),0)*(F100=0)*(Option_TopUP="Y")*(Option_Sys_TopUp="N")*B100*(pt&gt;=H100+5)</f>
        <v>0</v>
      </c>
      <c r="AK100" s="50">
        <f t="shared" si="69"/>
        <v>0</v>
      </c>
      <c r="AL100" s="50">
        <f t="shared" si="90"/>
        <v>0</v>
      </c>
      <c r="AM100" s="50">
        <f t="shared" ca="1" si="70"/>
        <v>0</v>
      </c>
      <c r="AN100" s="50">
        <f ca="1">IF(B100=0,0,AT100*(_rpm1+(1+_emr1)*VLOOKUP(E100,Tab_Mort_Charge,IF(Input!$C$12="M",2,3),0))*(0.001*0.0833)*Flag_Mort_Rider_Charge*(AT100&gt;0))</f>
        <v>0</v>
      </c>
      <c r="AO100" s="50">
        <f t="shared" ca="1" si="91"/>
        <v>0</v>
      </c>
      <c r="AP100" s="50">
        <f t="shared" ca="1" si="99"/>
        <v>0</v>
      </c>
      <c r="AQ100" s="50">
        <f t="shared" ca="1" si="71"/>
        <v>0</v>
      </c>
      <c r="AR100" s="50">
        <f t="shared" ca="1" si="72"/>
        <v>0</v>
      </c>
      <c r="AS100" s="50">
        <f t="shared" si="73"/>
        <v>0</v>
      </c>
      <c r="AT100" s="50">
        <f ca="1">(MAX((MAX(AS100,105%*SUM($AJ$7:AJ100))-AM100*Flag_UL_Type),0)*B100)</f>
        <v>0</v>
      </c>
      <c r="AU100" s="50">
        <f ca="1">(MAX(AS100,AR100,105%*SUM($AJ$7:AJ100))*B100)</f>
        <v>0</v>
      </c>
      <c r="AV100" s="125"/>
      <c r="AW100" s="13"/>
      <c r="AX100" s="13"/>
      <c r="AY100" s="13"/>
      <c r="AZ100" s="13"/>
      <c r="BA100" s="13"/>
      <c r="BG100" s="51">
        <f t="shared" si="74"/>
        <v>0</v>
      </c>
      <c r="BH100" s="51">
        <f t="shared" ca="1" si="75"/>
        <v>205.21785303587399</v>
      </c>
      <c r="BI100" s="51">
        <f t="shared" ca="1" si="76"/>
        <v>0</v>
      </c>
      <c r="BJ100" s="51">
        <f t="shared" ca="1" si="77"/>
        <v>0</v>
      </c>
      <c r="BK100" s="51">
        <f t="shared" si="78"/>
        <v>90</v>
      </c>
      <c r="BL100" s="51">
        <f t="shared" ca="1" si="79"/>
        <v>456.36373580789422</v>
      </c>
      <c r="BM100" s="51">
        <f t="shared" si="80"/>
        <v>0</v>
      </c>
      <c r="BN100" s="51">
        <f t="shared" ca="1" si="81"/>
        <v>0</v>
      </c>
      <c r="BO100" s="51">
        <f t="shared" ca="1" si="82"/>
        <v>0</v>
      </c>
      <c r="BP100" s="51">
        <f t="shared" ca="1" si="83"/>
        <v>751.58158884376826</v>
      </c>
      <c r="BQ100" s="120"/>
      <c r="BR100" s="32"/>
      <c r="BS100" s="126"/>
      <c r="BT100" s="16"/>
      <c r="BU100" s="58"/>
      <c r="BW100" s="51">
        <f>VLOOKUP(H100,Charges!$AT$4:$AU$33,2,FALSE)*I100</f>
        <v>0</v>
      </c>
      <c r="BX100" s="51">
        <f t="shared" si="84"/>
        <v>0</v>
      </c>
      <c r="BY100" s="51">
        <f t="shared" si="93"/>
        <v>0</v>
      </c>
      <c r="BZ100" s="151"/>
      <c r="CA100" s="151"/>
      <c r="CB100" s="32"/>
      <c r="CC100" s="16">
        <f ca="1">SUM($N$7:$N100)</f>
        <v>0</v>
      </c>
      <c r="CD100" s="16">
        <f t="shared" ca="1" si="85"/>
        <v>0</v>
      </c>
      <c r="CE100" s="16">
        <f t="shared" ca="1" si="86"/>
        <v>0</v>
      </c>
      <c r="CF100" s="7">
        <f t="shared" ca="1" si="94"/>
        <v>0</v>
      </c>
    </row>
    <row r="101" spans="1:84" s="7" customFormat="1" x14ac:dyDescent="0.2">
      <c r="A101" s="149"/>
      <c r="B101" s="14">
        <f t="shared" si="55"/>
        <v>1</v>
      </c>
      <c r="C101" s="12">
        <f t="shared" si="56"/>
        <v>1</v>
      </c>
      <c r="D101" s="17">
        <f t="shared" si="95"/>
        <v>95</v>
      </c>
      <c r="E101" s="17">
        <f t="shared" ca="1" si="57"/>
        <v>67</v>
      </c>
      <c r="F101" s="12">
        <f t="shared" si="97"/>
        <v>10</v>
      </c>
      <c r="G101" s="12">
        <f t="shared" si="96"/>
        <v>16</v>
      </c>
      <c r="H101" s="17">
        <f t="shared" si="98"/>
        <v>8</v>
      </c>
      <c r="I101" s="29">
        <f t="shared" si="58"/>
        <v>0</v>
      </c>
      <c r="J101" s="211">
        <f>IFERROR(VLOOKUP(H101,Charges!$T$6:$U$35,2,0)*C101,0)</f>
        <v>0.98</v>
      </c>
      <c r="K101" s="29">
        <f t="shared" si="59"/>
        <v>0</v>
      </c>
      <c r="L101" s="29">
        <f t="shared" si="60"/>
        <v>0</v>
      </c>
      <c r="M101" s="147">
        <f t="shared" ca="1" si="61"/>
        <v>0</v>
      </c>
      <c r="N101" s="148">
        <f ca="1">IF(AND(Option_SPW="Y",H101&gt;=Lock_In_Period,Z100&gt;SPW_Amount_pa+IF(option="Single",1/5*pr,2*pr),H101&gt;=SPW_Start_Year,H101&lt;=SPW_Start_Year+SPW_Duration-1,age+H101&gt;=Legal_Age),IF(AND(F101=0,SPW_Payout_Freq=1),SPW_Amount_pa,IF(AND(SPW_Payout_Freq=2,MOD(F101,6)=0),SPW_Amount_pa/SPW_Payout_Freq,IF(AND(SPW_Payout_Freq=4,MOD(F101,3)=0),SPW_Amount_pa/SPW_Payout_Freq,IF(SPW_Payout_Freq=12,SPW_Amount_pa/SPW_Payout_Freq,0)))),0)+IFERROR(VLOOKUP(H101,Input!$B$68:$C$74,2,0),0)*(F101=0)*(Option_PW="Y")*(Option_SPW="N")*(age+H101&gt;=Legal_Age)</f>
        <v>0</v>
      </c>
      <c r="O101" s="148">
        <f t="shared" ca="1" si="87"/>
        <v>0</v>
      </c>
      <c r="P101" s="14">
        <f ca="1">(MAX(MAX(sa-CF100*Flag_UL_Type,105%*SUM($I$7:I101))-(AD100+L101-N101)*Flag_UL_Type,0)*B101)</f>
        <v>750569.43085143762</v>
      </c>
      <c r="Q101" s="213">
        <f t="shared" ca="1" si="62"/>
        <v>1136.4309205069085</v>
      </c>
      <c r="R101" s="14">
        <f t="shared" ca="1" si="63"/>
        <v>0</v>
      </c>
      <c r="S101" s="14">
        <f t="shared" ca="1" si="64"/>
        <v>0</v>
      </c>
      <c r="T101" s="14">
        <f>IFERROR(IF(WoP_Flag="Y",IF(fq=1,VLOOKUP(ppt*fq-H101,Charges!$AN$41:$AO$59,2,FALSE),IF(fq=2,VLOOKUP(ppt*fq-G101,Charges!$AP$41:$AQ$79,2,FALSE),VLOOKUP(ppt*fq-D101,Charges!$AR$41:$AS$279,2,FALSE)))*pr/fq,0),0)</f>
        <v>0</v>
      </c>
      <c r="U101" s="14">
        <f ca="1">IFERROR(((T101*(VLOOKUP(Input!$D$18+H101-1,Tab_Mort_Charge,IF(Gender_2="M",2,3),FALSE)*(1+_emr2)+_rpm2)/IF(Model_Type="LA_PQIS",1000/0.0833,(12*1000))))*Flag_Mort_Rider_Charge*(T101&gt;0),0)</f>
        <v>0</v>
      </c>
      <c r="V101" s="34">
        <f>ROUND(MIN(IF(H101&gt;=7,Charges!$C$12*(1+Charges!$C$14)^((H101-7+1)),VLOOKUP(H101,Charges!$B$7:$C$12,2,0))*pr,Charges!$C$13)*B101,Round)</f>
        <v>500</v>
      </c>
      <c r="W101" s="14">
        <f t="shared" ca="1" si="65"/>
        <v>2247499.5806623641</v>
      </c>
      <c r="X101" s="14">
        <f t="shared" ca="1" si="66"/>
        <v>2254857.3094500541</v>
      </c>
      <c r="Y101" s="213">
        <f t="shared" ca="1" si="88"/>
        <v>2538.0949789186961</v>
      </c>
      <c r="Z101" s="14">
        <f t="shared" ca="1" si="67"/>
        <v>2251862.3573749298</v>
      </c>
      <c r="AA101" s="14">
        <f>IF(AND($H101=pt,$F101=11),SUM($K$7:K101)*VLOOKUP(pt,ROC,2,FALSE),0)</f>
        <v>0</v>
      </c>
      <c r="AB101" s="14">
        <f>IF(AND($H101=pt,$F101=11),SUM($V$7:V101)*VLOOKUP(pt,ROC,2,FALSE),0)</f>
        <v>0</v>
      </c>
      <c r="AC101" s="14">
        <f>IF(AND($H101=pt,$F101=11),SUM($Q$7:Q101)*VLOOKUP(pt,ROC,2,FALSE),0)</f>
        <v>0</v>
      </c>
      <c r="AD101" s="14">
        <f t="shared" ca="1" si="89"/>
        <v>2251862.3573749298</v>
      </c>
      <c r="AE101" s="14">
        <f ca="1">(MAX(sa-CF100*Flag_UL_Type,105%*SUM($I$7:I101),Z101)+AU101)*B101</f>
        <v>3000000</v>
      </c>
      <c r="AF101" s="136"/>
      <c r="AG101" s="18">
        <v>95</v>
      </c>
      <c r="AH101" s="30">
        <f t="shared" ca="1" si="68"/>
        <v>0</v>
      </c>
      <c r="AI101" s="58"/>
      <c r="AJ101" s="50">
        <f>IF(AND(Option_Sys_TopUp&gt;="Y",H101&gt;=sytp,H101&lt;=(dtp+sytp-1),F101=0,H101&lt;=ppt+1),atp,0)+IFERROR(VLOOKUP(H101,Input!$B$55:$C$61,2,0),0)*(F101=0)*(Option_TopUP="Y")*(Option_Sys_TopUp="N")*B101*(pt&gt;=H101+5)</f>
        <v>0</v>
      </c>
      <c r="AK101" s="50">
        <f t="shared" si="69"/>
        <v>0</v>
      </c>
      <c r="AL101" s="50">
        <f t="shared" si="90"/>
        <v>0</v>
      </c>
      <c r="AM101" s="50">
        <f t="shared" ca="1" si="70"/>
        <v>0</v>
      </c>
      <c r="AN101" s="50">
        <f ca="1">IF(B101=0,0,AT101*(_rpm1+(1+_emr1)*VLOOKUP(E101,Tab_Mort_Charge,IF(Input!$C$12="M",2,3),0))*(0.001*0.0833)*Flag_Mort_Rider_Charge*(AT101&gt;0))</f>
        <v>0</v>
      </c>
      <c r="AO101" s="50">
        <f t="shared" ca="1" si="91"/>
        <v>0</v>
      </c>
      <c r="AP101" s="50">
        <f t="shared" ca="1" si="99"/>
        <v>0</v>
      </c>
      <c r="AQ101" s="50">
        <f t="shared" ca="1" si="71"/>
        <v>0</v>
      </c>
      <c r="AR101" s="50">
        <f t="shared" ca="1" si="72"/>
        <v>0</v>
      </c>
      <c r="AS101" s="50">
        <f t="shared" si="73"/>
        <v>0</v>
      </c>
      <c r="AT101" s="50">
        <f ca="1">(MAX((MAX(AS101,105%*SUM($AJ$7:AJ101))-AM101*Flag_UL_Type),0)*B101)</f>
        <v>0</v>
      </c>
      <c r="AU101" s="50">
        <f ca="1">(MAX(AS101,AR101,105%*SUM($AJ$7:AJ101))*B101)</f>
        <v>0</v>
      </c>
      <c r="AV101" s="125"/>
      <c r="AW101" s="13"/>
      <c r="AX101" s="13"/>
      <c r="AY101" s="13"/>
      <c r="AZ101" s="13"/>
      <c r="BA101" s="13"/>
      <c r="BG101" s="51">
        <f t="shared" si="74"/>
        <v>0</v>
      </c>
      <c r="BH101" s="51">
        <f t="shared" ca="1" si="75"/>
        <v>204.55756569124401</v>
      </c>
      <c r="BI101" s="51">
        <f t="shared" ca="1" si="76"/>
        <v>0</v>
      </c>
      <c r="BJ101" s="51">
        <f t="shared" ca="1" si="77"/>
        <v>0</v>
      </c>
      <c r="BK101" s="51">
        <f t="shared" si="78"/>
        <v>90</v>
      </c>
      <c r="BL101" s="51">
        <f t="shared" ca="1" si="79"/>
        <v>456.85709620536528</v>
      </c>
      <c r="BM101" s="51">
        <f t="shared" si="80"/>
        <v>0</v>
      </c>
      <c r="BN101" s="51">
        <f t="shared" ca="1" si="81"/>
        <v>0</v>
      </c>
      <c r="BO101" s="51">
        <f t="shared" ca="1" si="82"/>
        <v>0</v>
      </c>
      <c r="BP101" s="51">
        <f t="shared" ca="1" si="83"/>
        <v>751.41466189660923</v>
      </c>
      <c r="BQ101" s="120"/>
      <c r="BR101" s="32"/>
      <c r="BS101" s="126"/>
      <c r="BT101" s="16"/>
      <c r="BU101" s="58"/>
      <c r="BW101" s="51">
        <f>VLOOKUP(H101,Charges!$AT$4:$AU$33,2,FALSE)*I101</f>
        <v>0</v>
      </c>
      <c r="BX101" s="51">
        <f t="shared" si="84"/>
        <v>0</v>
      </c>
      <c r="BY101" s="51">
        <f t="shared" si="93"/>
        <v>0</v>
      </c>
      <c r="BZ101" s="151"/>
      <c r="CA101" s="151"/>
      <c r="CB101" s="32"/>
      <c r="CC101" s="16">
        <f ca="1">SUM($N$7:$N101)</f>
        <v>0</v>
      </c>
      <c r="CD101" s="16">
        <f t="shared" ca="1" si="85"/>
        <v>0</v>
      </c>
      <c r="CE101" s="16">
        <f t="shared" ca="1" si="86"/>
        <v>0</v>
      </c>
      <c r="CF101" s="7">
        <f t="shared" ca="1" si="94"/>
        <v>0</v>
      </c>
    </row>
    <row r="102" spans="1:84" s="7" customFormat="1" x14ac:dyDescent="0.2">
      <c r="A102" s="149"/>
      <c r="B102" s="14">
        <f t="shared" si="55"/>
        <v>1</v>
      </c>
      <c r="C102" s="12">
        <f t="shared" si="56"/>
        <v>1</v>
      </c>
      <c r="D102" s="17">
        <f t="shared" si="95"/>
        <v>96</v>
      </c>
      <c r="E102" s="17">
        <f t="shared" ca="1" si="57"/>
        <v>67</v>
      </c>
      <c r="F102" s="12">
        <f t="shared" si="97"/>
        <v>11</v>
      </c>
      <c r="G102" s="12">
        <f t="shared" si="96"/>
        <v>16</v>
      </c>
      <c r="H102" s="17">
        <f t="shared" si="98"/>
        <v>8</v>
      </c>
      <c r="I102" s="29">
        <f t="shared" si="58"/>
        <v>0</v>
      </c>
      <c r="J102" s="211">
        <f>IFERROR(VLOOKUP(H102,Charges!$T$6:$U$35,2,0)*C102,0)</f>
        <v>0.98</v>
      </c>
      <c r="K102" s="29">
        <f t="shared" si="59"/>
        <v>0</v>
      </c>
      <c r="L102" s="29">
        <f t="shared" si="60"/>
        <v>0</v>
      </c>
      <c r="M102" s="147">
        <f t="shared" ca="1" si="61"/>
        <v>0</v>
      </c>
      <c r="N102" s="148">
        <f ca="1">IF(AND(Option_SPW="Y",H102&gt;=Lock_In_Period,Z101&gt;SPW_Amount_pa+IF(option="Single",1/5*pr,2*pr),H102&gt;=SPW_Start_Year,H102&lt;=SPW_Start_Year+SPW_Duration-1,age+H102&gt;=Legal_Age),IF(AND(F102=0,SPW_Payout_Freq=1),SPW_Amount_pa,IF(AND(SPW_Payout_Freq=2,MOD(F102,6)=0),SPW_Amount_pa/SPW_Payout_Freq,IF(AND(SPW_Payout_Freq=4,MOD(F102,3)=0),SPW_Amount_pa/SPW_Payout_Freq,IF(SPW_Payout_Freq=12,SPW_Amount_pa/SPW_Payout_Freq,0)))),0)+IFERROR(VLOOKUP(H102,Input!$B$68:$C$74,2,0),0)*(F102=0)*(Option_PW="Y")*(Option_SPW="N")*(age+H102&gt;=Legal_Age)</f>
        <v>0</v>
      </c>
      <c r="O102" s="148">
        <f t="shared" ca="1" si="87"/>
        <v>0</v>
      </c>
      <c r="P102" s="14">
        <f ca="1">(MAX(MAX(sa-CF101*Flag_UL_Type,105%*SUM($I$7:I102))-(AD101+L102-N102)*Flag_UL_Type,0)*B102)</f>
        <v>748137.64262507018</v>
      </c>
      <c r="Q102" s="213">
        <f t="shared" ca="1" si="62"/>
        <v>1132.7489702182665</v>
      </c>
      <c r="R102" s="14">
        <f t="shared" ca="1" si="63"/>
        <v>0</v>
      </c>
      <c r="S102" s="14">
        <f t="shared" ca="1" si="64"/>
        <v>0</v>
      </c>
      <c r="T102" s="14">
        <f>IFERROR(IF(WoP_Flag="Y",IF(fq=1,VLOOKUP(ppt*fq-H102,Charges!$AN$41:$AO$59,2,FALSE),IF(fq=2,VLOOKUP(ppt*fq-G102,Charges!$AP$41:$AQ$79,2,FALSE),VLOOKUP(ppt*fq-D102,Charges!$AR$41:$AS$279,2,FALSE)))*pr/fq,0),0)</f>
        <v>0</v>
      </c>
      <c r="U102" s="14">
        <f ca="1">IFERROR(((T102*(VLOOKUP(Input!$D$18+H102-1,Tab_Mort_Charge,IF(Gender_2="M",2,3),FALSE)*(1+_emr2)+_rpm2)/IF(Model_Type="LA_PQIS",1000/0.0833,(12*1000))))*Flag_Mort_Rider_Charge*(T102&gt;0),0)</f>
        <v>0</v>
      </c>
      <c r="V102" s="34">
        <f>ROUND(MIN(IF(H102&gt;=7,Charges!$C$12*(1+Charges!$C$14)^((H102-7+1)),VLOOKUP(H102,Charges!$B$7:$C$12,2,0))*pr,Charges!$C$13)*B102,Round)</f>
        <v>500</v>
      </c>
      <c r="W102" s="14">
        <f t="shared" ca="1" si="65"/>
        <v>2249935.7135900725</v>
      </c>
      <c r="X102" s="14">
        <f t="shared" ca="1" si="66"/>
        <v>2257301.4176430423</v>
      </c>
      <c r="Y102" s="213">
        <f t="shared" ca="1" si="88"/>
        <v>2540.8460970078804</v>
      </c>
      <c r="Z102" s="14">
        <f t="shared" ca="1" si="67"/>
        <v>2254303.2192485728</v>
      </c>
      <c r="AA102" s="14">
        <f>IF(AND($H102=pt,$F102=11),SUM($K$7:K102)*VLOOKUP(pt,ROC,2,FALSE),0)</f>
        <v>0</v>
      </c>
      <c r="AB102" s="14">
        <f>IF(AND($H102=pt,$F102=11),SUM($V$7:V102)*VLOOKUP(pt,ROC,2,FALSE),0)</f>
        <v>0</v>
      </c>
      <c r="AC102" s="14">
        <f>IF(AND($H102=pt,$F102=11),SUM($Q$7:Q102)*VLOOKUP(pt,ROC,2,FALSE),0)</f>
        <v>0</v>
      </c>
      <c r="AD102" s="14">
        <f t="shared" ca="1" si="89"/>
        <v>2254303.2192485728</v>
      </c>
      <c r="AE102" s="14">
        <f ca="1">(MAX(sa-CF101*Flag_UL_Type,105%*SUM($I$7:I102),Z102)+AU102)*B102</f>
        <v>3000000</v>
      </c>
      <c r="AF102" s="136"/>
      <c r="AG102" s="18">
        <v>96</v>
      </c>
      <c r="AH102" s="30">
        <f t="shared" ca="1" si="68"/>
        <v>0</v>
      </c>
      <c r="AI102" s="58"/>
      <c r="AJ102" s="50">
        <f>IF(AND(Option_Sys_TopUp&gt;="Y",H102&gt;=sytp,H102&lt;=(dtp+sytp-1),F102=0,H102&lt;=ppt+1),atp,0)+IFERROR(VLOOKUP(H102,Input!$B$55:$C$61,2,0),0)*(F102=0)*(Option_TopUP="Y")*(Option_Sys_TopUp="N")*B102*(pt&gt;=H102+5)</f>
        <v>0</v>
      </c>
      <c r="AK102" s="50">
        <f t="shared" si="69"/>
        <v>0</v>
      </c>
      <c r="AL102" s="50">
        <f t="shared" si="90"/>
        <v>0</v>
      </c>
      <c r="AM102" s="50">
        <f t="shared" ca="1" si="70"/>
        <v>0</v>
      </c>
      <c r="AN102" s="50">
        <f ca="1">IF(B102=0,0,AT102*(_rpm1+(1+_emr1)*VLOOKUP(E102,Tab_Mort_Charge,IF(Input!$C$12="M",2,3),0))*(0.001*0.0833)*Flag_Mort_Rider_Charge*(AT102&gt;0))</f>
        <v>0</v>
      </c>
      <c r="AO102" s="50">
        <f t="shared" ca="1" si="91"/>
        <v>0</v>
      </c>
      <c r="AP102" s="50">
        <f t="shared" ca="1" si="99"/>
        <v>0</v>
      </c>
      <c r="AQ102" s="50">
        <f t="shared" ca="1" si="71"/>
        <v>0</v>
      </c>
      <c r="AR102" s="50">
        <f t="shared" ca="1" si="72"/>
        <v>0</v>
      </c>
      <c r="AS102" s="50">
        <f t="shared" si="73"/>
        <v>0</v>
      </c>
      <c r="AT102" s="50">
        <f ca="1">(MAX((MAX(AS102,105%*SUM($AJ$7:AJ102))-AM102*Flag_UL_Type),0)*B102)</f>
        <v>0</v>
      </c>
      <c r="AU102" s="50">
        <f ca="1">(MAX(AS102,AR102,105%*SUM($AJ$7:AJ102))*B102)</f>
        <v>0</v>
      </c>
      <c r="AV102" s="125"/>
      <c r="AW102" s="13"/>
      <c r="AX102" s="13"/>
      <c r="AY102" s="13"/>
      <c r="AZ102" s="13"/>
      <c r="BA102" s="13"/>
      <c r="BG102" s="51">
        <f t="shared" si="74"/>
        <v>0</v>
      </c>
      <c r="BH102" s="51">
        <f t="shared" ca="1" si="75"/>
        <v>203.894814639288</v>
      </c>
      <c r="BI102" s="51">
        <f t="shared" ca="1" si="76"/>
        <v>0</v>
      </c>
      <c r="BJ102" s="51">
        <f t="shared" ca="1" si="77"/>
        <v>0</v>
      </c>
      <c r="BK102" s="51">
        <f t="shared" si="78"/>
        <v>90</v>
      </c>
      <c r="BL102" s="51">
        <f t="shared" ca="1" si="79"/>
        <v>457.35229746141846</v>
      </c>
      <c r="BM102" s="51">
        <f t="shared" si="80"/>
        <v>0</v>
      </c>
      <c r="BN102" s="51">
        <f t="shared" ca="1" si="81"/>
        <v>0</v>
      </c>
      <c r="BO102" s="51">
        <f t="shared" ca="1" si="82"/>
        <v>0</v>
      </c>
      <c r="BP102" s="51">
        <f t="shared" ca="1" si="83"/>
        <v>751.24711210070654</v>
      </c>
      <c r="BQ102" s="120"/>
      <c r="BR102" s="32"/>
      <c r="BS102" s="126"/>
      <c r="BT102" s="16"/>
      <c r="BU102" s="58"/>
      <c r="BW102" s="51">
        <f>VLOOKUP(H102,Charges!$AT$4:$AU$33,2,FALSE)*I102</f>
        <v>0</v>
      </c>
      <c r="BX102" s="51">
        <f t="shared" si="84"/>
        <v>0</v>
      </c>
      <c r="BY102" s="51">
        <f t="shared" si="93"/>
        <v>0</v>
      </c>
      <c r="BZ102" s="151"/>
      <c r="CA102" s="151"/>
      <c r="CB102" s="32"/>
      <c r="CC102" s="16">
        <f ca="1">SUM($N$7:$N102)</f>
        <v>0</v>
      </c>
      <c r="CD102" s="16">
        <f t="shared" ca="1" si="85"/>
        <v>0</v>
      </c>
      <c r="CE102" s="16">
        <f t="shared" ca="1" si="86"/>
        <v>0</v>
      </c>
      <c r="CF102" s="7">
        <f t="shared" ca="1" si="94"/>
        <v>0</v>
      </c>
    </row>
    <row r="103" spans="1:84" s="7" customFormat="1" x14ac:dyDescent="0.2">
      <c r="A103" s="149"/>
      <c r="B103" s="14">
        <f t="shared" si="55"/>
        <v>1</v>
      </c>
      <c r="C103" s="12">
        <f t="shared" si="56"/>
        <v>1</v>
      </c>
      <c r="D103" s="17">
        <f t="shared" si="95"/>
        <v>97</v>
      </c>
      <c r="E103" s="17">
        <f t="shared" ca="1" si="57"/>
        <v>68</v>
      </c>
      <c r="F103" s="12">
        <f t="shared" si="97"/>
        <v>0</v>
      </c>
      <c r="G103" s="12">
        <f t="shared" si="96"/>
        <v>17</v>
      </c>
      <c r="H103" s="17">
        <f t="shared" si="98"/>
        <v>9</v>
      </c>
      <c r="I103" s="29">
        <f t="shared" si="58"/>
        <v>300000</v>
      </c>
      <c r="J103" s="211">
        <f>IFERROR(VLOOKUP(H103,Charges!$T$6:$U$35,2,0)*C103,0)</f>
        <v>0.98</v>
      </c>
      <c r="K103" s="29">
        <f t="shared" si="59"/>
        <v>6000.00000000001</v>
      </c>
      <c r="L103" s="29">
        <f t="shared" si="60"/>
        <v>292920</v>
      </c>
      <c r="M103" s="147">
        <f t="shared" ca="1" si="61"/>
        <v>0</v>
      </c>
      <c r="N103" s="148">
        <f ca="1">IF(AND(Option_SPW="Y",H103&gt;=Lock_In_Period,Z102&gt;SPW_Amount_pa+IF(option="Single",1/5*pr,2*pr),H103&gt;=SPW_Start_Year,H103&lt;=SPW_Start_Year+SPW_Duration-1,age+H103&gt;=Legal_Age),IF(AND(F103=0,SPW_Payout_Freq=1),SPW_Amount_pa,IF(AND(SPW_Payout_Freq=2,MOD(F103,6)=0),SPW_Amount_pa/SPW_Payout_Freq,IF(AND(SPW_Payout_Freq=4,MOD(F103,3)=0),SPW_Amount_pa/SPW_Payout_Freq,IF(SPW_Payout_Freq=12,SPW_Amount_pa/SPW_Payout_Freq,0)))),0)+IFERROR(VLOOKUP(H103,Input!$B$68:$C$74,2,0),0)*(F103=0)*(Option_PW="Y")*(Option_SPW="N")*(age+H103&gt;=Legal_Age)</f>
        <v>0</v>
      </c>
      <c r="O103" s="148">
        <f t="shared" ca="1" si="87"/>
        <v>0</v>
      </c>
      <c r="P103" s="14">
        <f ca="1">(MAX(MAX(sa-CF102*Flag_UL_Type,105%*SUM($I$7:I103))-(AD102+L103-N103)*Flag_UL_Type,0)*B103)</f>
        <v>452776.78075142717</v>
      </c>
      <c r="Q103" s="213">
        <f t="shared" ca="1" si="62"/>
        <v>744.59141594572259</v>
      </c>
      <c r="R103" s="14">
        <f t="shared" ca="1" si="63"/>
        <v>0</v>
      </c>
      <c r="S103" s="14">
        <f t="shared" ca="1" si="64"/>
        <v>0</v>
      </c>
      <c r="T103" s="14">
        <f>IFERROR(IF(WoP_Flag="Y",IF(fq=1,VLOOKUP(ppt*fq-H103,Charges!$AN$41:$AO$59,2,FALSE),IF(fq=2,VLOOKUP(ppt*fq-G103,Charges!$AP$41:$AQ$79,2,FALSE),VLOOKUP(ppt*fq-D103,Charges!$AR$41:$AS$279,2,FALSE)))*pr/fq,0),0)</f>
        <v>0</v>
      </c>
      <c r="U103" s="14">
        <f ca="1">IFERROR(((T103*(VLOOKUP(Input!$D$18+H103-1,Tab_Mort_Charge,IF(Gender_2="M",2,3),FALSE)*(1+_emr2)+_rpm2)/IF(Model_Type="LA_PQIS",1000/0.0833,(12*1000))))*Flag_Mort_Rider_Charge*(T103&gt;0),0)</f>
        <v>0</v>
      </c>
      <c r="V103" s="34">
        <f>ROUND(MIN(IF(H103&gt;=7,Charges!$C$12*(1+Charges!$C$14)^((H103-7+1)),VLOOKUP(H103,Charges!$B$7:$C$12,2,0))*pr,Charges!$C$13)*B103,Round)</f>
        <v>500</v>
      </c>
      <c r="W103" s="14">
        <f t="shared" ca="1" si="65"/>
        <v>2545754.6013777568</v>
      </c>
      <c r="X103" s="14">
        <f t="shared" ca="1" si="66"/>
        <v>2554088.7394920029</v>
      </c>
      <c r="Y103" s="213">
        <f t="shared" ca="1" si="88"/>
        <v>2874.9135380981074</v>
      </c>
      <c r="Z103" s="14">
        <f t="shared" ca="1" si="67"/>
        <v>2550696.341517047</v>
      </c>
      <c r="AA103" s="14">
        <f>IF(AND($H103=pt,$F103=11),SUM($K$7:K103)*VLOOKUP(pt,ROC,2,FALSE),0)</f>
        <v>0</v>
      </c>
      <c r="AB103" s="14">
        <f>IF(AND($H103=pt,$F103=11),SUM($V$7:V103)*VLOOKUP(pt,ROC,2,FALSE),0)</f>
        <v>0</v>
      </c>
      <c r="AC103" s="14">
        <f>IF(AND($H103=pt,$F103=11),SUM($Q$7:Q103)*VLOOKUP(pt,ROC,2,FALSE),0)</f>
        <v>0</v>
      </c>
      <c r="AD103" s="14">
        <f t="shared" ca="1" si="89"/>
        <v>2550696.341517047</v>
      </c>
      <c r="AE103" s="14">
        <f ca="1">(MAX(sa-CF102*Flag_UL_Type,105%*SUM($I$7:I103),Z103)+AU103)*B103</f>
        <v>3000000</v>
      </c>
      <c r="AF103" s="136"/>
      <c r="AG103" s="18">
        <v>97</v>
      </c>
      <c r="AH103" s="30">
        <f t="shared" ca="1" si="68"/>
        <v>300000</v>
      </c>
      <c r="AI103" s="58"/>
      <c r="AJ103" s="50">
        <f>IF(AND(Option_Sys_TopUp&gt;="Y",H103&gt;=sytp,H103&lt;=(dtp+sytp-1),F103=0,H103&lt;=ppt+1),atp,0)+IFERROR(VLOOKUP(H103,Input!$B$55:$C$61,2,0),0)*(F103=0)*(Option_TopUP="Y")*(Option_Sys_TopUp="N")*B103*(pt&gt;=H103+5)</f>
        <v>0</v>
      </c>
      <c r="AK103" s="50">
        <f t="shared" si="69"/>
        <v>0</v>
      </c>
      <c r="AL103" s="50">
        <f t="shared" si="90"/>
        <v>0</v>
      </c>
      <c r="AM103" s="50">
        <f t="shared" ca="1" si="70"/>
        <v>0</v>
      </c>
      <c r="AN103" s="50">
        <f ca="1">IF(B103=0,0,AT103*(_rpm1+(1+_emr1)*VLOOKUP(E103,Tab_Mort_Charge,IF(Input!$C$12="M",2,3),0))*(0.001*0.0833)*Flag_Mort_Rider_Charge*(AT103&gt;0))</f>
        <v>0</v>
      </c>
      <c r="AO103" s="50">
        <f t="shared" ca="1" si="91"/>
        <v>0</v>
      </c>
      <c r="AP103" s="50">
        <f t="shared" ca="1" si="99"/>
        <v>0</v>
      </c>
      <c r="AQ103" s="50">
        <f t="shared" ca="1" si="71"/>
        <v>0</v>
      </c>
      <c r="AR103" s="50">
        <f t="shared" ca="1" si="72"/>
        <v>0</v>
      </c>
      <c r="AS103" s="50">
        <f t="shared" si="73"/>
        <v>0</v>
      </c>
      <c r="AT103" s="50">
        <f ca="1">(MAX((MAX(AS103,105%*SUM($AJ$7:AJ103))-AM103*Flag_UL_Type),0)*B103)</f>
        <v>0</v>
      </c>
      <c r="AU103" s="50">
        <f ca="1">(MAX(AS103,AR103,105%*SUM($AJ$7:AJ103))*B103)</f>
        <v>0</v>
      </c>
      <c r="AV103" s="125"/>
      <c r="AW103" s="13"/>
      <c r="AX103" s="13"/>
      <c r="AY103" s="13"/>
      <c r="AZ103" s="13"/>
      <c r="BA103" s="13"/>
      <c r="BG103" s="51">
        <f t="shared" si="74"/>
        <v>1080</v>
      </c>
      <c r="BH103" s="51">
        <f t="shared" ca="1" si="75"/>
        <v>134.02645487023</v>
      </c>
      <c r="BI103" s="51">
        <f t="shared" ca="1" si="76"/>
        <v>0</v>
      </c>
      <c r="BJ103" s="51">
        <f t="shared" ca="1" si="77"/>
        <v>0</v>
      </c>
      <c r="BK103" s="51">
        <f t="shared" si="78"/>
        <v>90</v>
      </c>
      <c r="BL103" s="51">
        <f t="shared" ca="1" si="79"/>
        <v>517.48443685765938</v>
      </c>
      <c r="BM103" s="51">
        <f t="shared" si="80"/>
        <v>0</v>
      </c>
      <c r="BN103" s="51">
        <f t="shared" ca="1" si="81"/>
        <v>0</v>
      </c>
      <c r="BO103" s="51">
        <f t="shared" ca="1" si="82"/>
        <v>0</v>
      </c>
      <c r="BP103" s="51">
        <f t="shared" ca="1" si="83"/>
        <v>1821.5108917278894</v>
      </c>
      <c r="BQ103" s="120"/>
      <c r="BR103" s="32"/>
      <c r="BS103" s="126"/>
      <c r="BT103" s="16"/>
      <c r="BU103" s="58"/>
      <c r="BW103" s="51">
        <f>VLOOKUP(H103,Charges!$AT$4:$AU$33,2,FALSE)*I103</f>
        <v>1500</v>
      </c>
      <c r="BX103" s="51">
        <f t="shared" si="84"/>
        <v>0</v>
      </c>
      <c r="BY103" s="51">
        <f t="shared" si="93"/>
        <v>1500</v>
      </c>
      <c r="BZ103" s="151"/>
      <c r="CA103" s="151"/>
      <c r="CB103" s="32"/>
      <c r="CC103" s="16">
        <f ca="1">SUM($N$7:$N103)</f>
        <v>0</v>
      </c>
      <c r="CD103" s="16">
        <f t="shared" ca="1" si="85"/>
        <v>0</v>
      </c>
      <c r="CE103" s="16">
        <f t="shared" ca="1" si="86"/>
        <v>0</v>
      </c>
      <c r="CF103" s="7">
        <f t="shared" ca="1" si="94"/>
        <v>0</v>
      </c>
    </row>
    <row r="104" spans="1:84" s="7" customFormat="1" x14ac:dyDescent="0.2">
      <c r="A104" s="149"/>
      <c r="B104" s="14">
        <f t="shared" si="55"/>
        <v>1</v>
      </c>
      <c r="C104" s="12">
        <f t="shared" si="56"/>
        <v>1</v>
      </c>
      <c r="D104" s="17">
        <f t="shared" si="95"/>
        <v>98</v>
      </c>
      <c r="E104" s="17">
        <f t="shared" ca="1" si="57"/>
        <v>68</v>
      </c>
      <c r="F104" s="12">
        <f t="shared" si="97"/>
        <v>1</v>
      </c>
      <c r="G104" s="12">
        <f t="shared" si="96"/>
        <v>17</v>
      </c>
      <c r="H104" s="17">
        <f t="shared" si="98"/>
        <v>9</v>
      </c>
      <c r="I104" s="29">
        <f t="shared" si="58"/>
        <v>0</v>
      </c>
      <c r="J104" s="211">
        <f>IFERROR(VLOOKUP(H104,Charges!$T$6:$U$35,2,0)*C104,0)</f>
        <v>0.98</v>
      </c>
      <c r="K104" s="29">
        <f t="shared" si="59"/>
        <v>0</v>
      </c>
      <c r="L104" s="29">
        <f t="shared" si="60"/>
        <v>0</v>
      </c>
      <c r="M104" s="147">
        <f t="shared" ca="1" si="61"/>
        <v>0</v>
      </c>
      <c r="N104" s="148">
        <f ca="1">IF(AND(Option_SPW="Y",H104&gt;=Lock_In_Period,Z103&gt;SPW_Amount_pa+IF(option="Single",1/5*pr,2*pr),H104&gt;=SPW_Start_Year,H104&lt;=SPW_Start_Year+SPW_Duration-1,age+H104&gt;=Legal_Age),IF(AND(F104=0,SPW_Payout_Freq=1),SPW_Amount_pa,IF(AND(SPW_Payout_Freq=2,MOD(F104,6)=0),SPW_Amount_pa/SPW_Payout_Freq,IF(AND(SPW_Payout_Freq=4,MOD(F104,3)=0),SPW_Amount_pa/SPW_Payout_Freq,IF(SPW_Payout_Freq=12,SPW_Amount_pa/SPW_Payout_Freq,0)))),0)+IFERROR(VLOOKUP(H104,Input!$B$68:$C$74,2,0),0)*(F104=0)*(Option_PW="Y")*(Option_SPW="N")*(age+H104&gt;=Legal_Age)</f>
        <v>0</v>
      </c>
      <c r="O104" s="148">
        <f t="shared" ca="1" si="87"/>
        <v>0</v>
      </c>
      <c r="P104" s="14">
        <f ca="1">(MAX(MAX(sa-CF103*Flag_UL_Type,105%*SUM($I$7:I104))-(AD103+L104-N104)*Flag_UL_Type,0)*B104)</f>
        <v>449303.65848295297</v>
      </c>
      <c r="Q104" s="213">
        <f t="shared" ca="1" si="62"/>
        <v>738.87986637521658</v>
      </c>
      <c r="R104" s="14">
        <f t="shared" ca="1" si="63"/>
        <v>0</v>
      </c>
      <c r="S104" s="14">
        <f t="shared" ca="1" si="64"/>
        <v>0</v>
      </c>
      <c r="T104" s="14">
        <f>IFERROR(IF(WoP_Flag="Y",IF(fq=1,VLOOKUP(ppt*fq-H104,Charges!$AN$41:$AO$59,2,FALSE),IF(fq=2,VLOOKUP(ppt*fq-G104,Charges!$AP$41:$AQ$79,2,FALSE),VLOOKUP(ppt*fq-D104,Charges!$AR$41:$AS$279,2,FALSE)))*pr/fq,0),0)</f>
        <v>0</v>
      </c>
      <c r="U104" s="14">
        <f ca="1">IFERROR(((T104*(VLOOKUP(Input!$D$18+H104-1,Tab_Mort_Charge,IF(Gender_2="M",2,3),FALSE)*(1+_emr2)+_rpm2)/IF(Model_Type="LA_PQIS",1000/0.0833,(12*1000))))*Flag_Mort_Rider_Charge*(T104&gt;0),0)</f>
        <v>0</v>
      </c>
      <c r="V104" s="34">
        <f>ROUND(MIN(IF(H104&gt;=7,Charges!$C$12*(1+Charges!$C$14)^((H104-7+1)),VLOOKUP(H104,Charges!$B$7:$C$12,2,0))*pr,Charges!$C$13)*B104,Round)</f>
        <v>500</v>
      </c>
      <c r="W104" s="14">
        <f t="shared" ca="1" si="65"/>
        <v>2549234.4632747243</v>
      </c>
      <c r="X104" s="14">
        <f t="shared" ca="1" si="66"/>
        <v>2557579.9935512994</v>
      </c>
      <c r="Y104" s="213">
        <f t="shared" ca="1" si="88"/>
        <v>2878.8433363877343</v>
      </c>
      <c r="Z104" s="14">
        <f t="shared" ca="1" si="67"/>
        <v>2554182.9584143618</v>
      </c>
      <c r="AA104" s="14">
        <f>IF(AND($H104=pt,$F104=11),SUM($K$7:K104)*VLOOKUP(pt,ROC,2,FALSE),0)</f>
        <v>0</v>
      </c>
      <c r="AB104" s="14">
        <f>IF(AND($H104=pt,$F104=11),SUM($V$7:V104)*VLOOKUP(pt,ROC,2,FALSE),0)</f>
        <v>0</v>
      </c>
      <c r="AC104" s="14">
        <f>IF(AND($H104=pt,$F104=11),SUM($Q$7:Q104)*VLOOKUP(pt,ROC,2,FALSE),0)</f>
        <v>0</v>
      </c>
      <c r="AD104" s="14">
        <f t="shared" ca="1" si="89"/>
        <v>2554182.9584143618</v>
      </c>
      <c r="AE104" s="14">
        <f ca="1">(MAX(sa-CF103*Flag_UL_Type,105%*SUM($I$7:I104),Z104)+AU104)*B104</f>
        <v>3000000</v>
      </c>
      <c r="AF104" s="136"/>
      <c r="AG104" s="18">
        <v>98</v>
      </c>
      <c r="AH104" s="30">
        <f t="shared" ca="1" si="68"/>
        <v>0</v>
      </c>
      <c r="AI104" s="58"/>
      <c r="AJ104" s="50">
        <f>IF(AND(Option_Sys_TopUp&gt;="Y",H104&gt;=sytp,H104&lt;=(dtp+sytp-1),F104=0,H104&lt;=ppt+1),atp,0)+IFERROR(VLOOKUP(H104,Input!$B$55:$C$61,2,0),0)*(F104=0)*(Option_TopUP="Y")*(Option_Sys_TopUp="N")*B104*(pt&gt;=H104+5)</f>
        <v>0</v>
      </c>
      <c r="AK104" s="50">
        <f t="shared" si="69"/>
        <v>0</v>
      </c>
      <c r="AL104" s="50">
        <f t="shared" si="90"/>
        <v>0</v>
      </c>
      <c r="AM104" s="50">
        <f t="shared" ca="1" si="70"/>
        <v>0</v>
      </c>
      <c r="AN104" s="50">
        <f ca="1">IF(B104=0,0,AT104*(_rpm1+(1+_emr1)*VLOOKUP(E104,Tab_Mort_Charge,IF(Input!$C$12="M",2,3),0))*(0.001*0.0833)*Flag_Mort_Rider_Charge*(AT104&gt;0))</f>
        <v>0</v>
      </c>
      <c r="AO104" s="50">
        <f t="shared" ca="1" si="91"/>
        <v>0</v>
      </c>
      <c r="AP104" s="50">
        <f t="shared" ca="1" si="99"/>
        <v>0</v>
      </c>
      <c r="AQ104" s="50">
        <f t="shared" ca="1" si="71"/>
        <v>0</v>
      </c>
      <c r="AR104" s="50">
        <f t="shared" ca="1" si="72"/>
        <v>0</v>
      </c>
      <c r="AS104" s="50">
        <f t="shared" si="73"/>
        <v>0</v>
      </c>
      <c r="AT104" s="50">
        <f ca="1">(MAX((MAX(AS104,105%*SUM($AJ$7:AJ104))-AM104*Flag_UL_Type),0)*B104)</f>
        <v>0</v>
      </c>
      <c r="AU104" s="50">
        <f ca="1">(MAX(AS104,AR104,105%*SUM($AJ$7:AJ104))*B104)</f>
        <v>0</v>
      </c>
      <c r="AV104" s="125"/>
      <c r="AW104" s="13"/>
      <c r="AX104" s="13"/>
      <c r="AY104" s="13"/>
      <c r="AZ104" s="13"/>
      <c r="BA104" s="13"/>
      <c r="BG104" s="51">
        <f t="shared" si="74"/>
        <v>0</v>
      </c>
      <c r="BH104" s="51">
        <f t="shared" ca="1" si="75"/>
        <v>132.99837594753899</v>
      </c>
      <c r="BI104" s="51">
        <f t="shared" ca="1" si="76"/>
        <v>0</v>
      </c>
      <c r="BJ104" s="51">
        <f t="shared" ca="1" si="77"/>
        <v>0</v>
      </c>
      <c r="BK104" s="51">
        <f t="shared" si="78"/>
        <v>90</v>
      </c>
      <c r="BL104" s="51">
        <f t="shared" ca="1" si="79"/>
        <v>518.19180054979211</v>
      </c>
      <c r="BM104" s="51">
        <f t="shared" si="80"/>
        <v>0</v>
      </c>
      <c r="BN104" s="51">
        <f t="shared" ca="1" si="81"/>
        <v>0</v>
      </c>
      <c r="BO104" s="51">
        <f t="shared" ca="1" si="82"/>
        <v>0</v>
      </c>
      <c r="BP104" s="51">
        <f t="shared" ca="1" si="83"/>
        <v>741.19017649733109</v>
      </c>
      <c r="BQ104" s="120"/>
      <c r="BR104" s="32"/>
      <c r="BS104" s="126"/>
      <c r="BT104" s="16"/>
      <c r="BU104" s="58"/>
      <c r="BW104" s="51">
        <f>VLOOKUP(H104,Charges!$AT$4:$AU$33,2,FALSE)*I104</f>
        <v>0</v>
      </c>
      <c r="BX104" s="51">
        <f t="shared" si="84"/>
        <v>0</v>
      </c>
      <c r="BY104" s="51">
        <f t="shared" si="93"/>
        <v>0</v>
      </c>
      <c r="BZ104" s="151"/>
      <c r="CA104" s="151"/>
      <c r="CB104" s="32"/>
      <c r="CC104" s="16">
        <f ca="1">SUM($N$7:$N104)</f>
        <v>0</v>
      </c>
      <c r="CD104" s="16">
        <f t="shared" ca="1" si="85"/>
        <v>0</v>
      </c>
      <c r="CE104" s="16">
        <f t="shared" ca="1" si="86"/>
        <v>0</v>
      </c>
      <c r="CF104" s="7">
        <f t="shared" ca="1" si="94"/>
        <v>0</v>
      </c>
    </row>
    <row r="105" spans="1:84" s="7" customFormat="1" x14ac:dyDescent="0.2">
      <c r="A105" s="149"/>
      <c r="B105" s="14">
        <f t="shared" si="55"/>
        <v>1</v>
      </c>
      <c r="C105" s="12">
        <f t="shared" si="56"/>
        <v>1</v>
      </c>
      <c r="D105" s="17">
        <f t="shared" si="95"/>
        <v>99</v>
      </c>
      <c r="E105" s="17">
        <f t="shared" ca="1" si="57"/>
        <v>68</v>
      </c>
      <c r="F105" s="12">
        <f t="shared" si="97"/>
        <v>2</v>
      </c>
      <c r="G105" s="12">
        <f t="shared" si="96"/>
        <v>17</v>
      </c>
      <c r="H105" s="17">
        <f t="shared" si="98"/>
        <v>9</v>
      </c>
      <c r="I105" s="29">
        <f t="shared" si="58"/>
        <v>0</v>
      </c>
      <c r="J105" s="211">
        <f>IFERROR(VLOOKUP(H105,Charges!$T$6:$U$35,2,0)*C105,0)</f>
        <v>0.98</v>
      </c>
      <c r="K105" s="29">
        <f t="shared" si="59"/>
        <v>0</v>
      </c>
      <c r="L105" s="29">
        <f t="shared" si="60"/>
        <v>0</v>
      </c>
      <c r="M105" s="147">
        <f t="shared" ca="1" si="61"/>
        <v>0</v>
      </c>
      <c r="N105" s="148">
        <f ca="1">IF(AND(Option_SPW="Y",H105&gt;=Lock_In_Period,Z104&gt;SPW_Amount_pa+IF(option="Single",1/5*pr,2*pr),H105&gt;=SPW_Start_Year,H105&lt;=SPW_Start_Year+SPW_Duration-1,age+H105&gt;=Legal_Age),IF(AND(F105=0,SPW_Payout_Freq=1),SPW_Amount_pa,IF(AND(SPW_Payout_Freq=2,MOD(F105,6)=0),SPW_Amount_pa/SPW_Payout_Freq,IF(AND(SPW_Payout_Freq=4,MOD(F105,3)=0),SPW_Amount_pa/SPW_Payout_Freq,IF(SPW_Payout_Freq=12,SPW_Amount_pa/SPW_Payout_Freq,0)))),0)+IFERROR(VLOOKUP(H105,Input!$B$68:$C$74,2,0),0)*(F105=0)*(Option_PW="Y")*(Option_SPW="N")*(age+H105&gt;=Legal_Age)</f>
        <v>0</v>
      </c>
      <c r="O105" s="148">
        <f t="shared" ca="1" si="87"/>
        <v>0</v>
      </c>
      <c r="P105" s="14">
        <f ca="1">(MAX(MAX(sa-CF104*Flag_UL_Type,105%*SUM($I$7:I105))-(AD104+L105-N105)*Flag_UL_Type,0)*B105)</f>
        <v>445817.04158563819</v>
      </c>
      <c r="Q105" s="213">
        <f t="shared" ca="1" si="62"/>
        <v>733.14612488758155</v>
      </c>
      <c r="R105" s="14">
        <f t="shared" ca="1" si="63"/>
        <v>0</v>
      </c>
      <c r="S105" s="14">
        <f t="shared" ca="1" si="64"/>
        <v>0</v>
      </c>
      <c r="T105" s="14">
        <f>IFERROR(IF(WoP_Flag="Y",IF(fq=1,VLOOKUP(ppt*fq-H105,Charges!$AN$41:$AO$59,2,FALSE),IF(fq=2,VLOOKUP(ppt*fq-G105,Charges!$AP$41:$AQ$79,2,FALSE),VLOOKUP(ppt*fq-D105,Charges!$AR$41:$AS$279,2,FALSE)))*pr/fq,0),0)</f>
        <v>0</v>
      </c>
      <c r="U105" s="14">
        <f ca="1">IFERROR(((T105*(VLOOKUP(Input!$D$18+H105-1,Tab_Mort_Charge,IF(Gender_2="M",2,3),FALSE)*(1+_emr2)+_rpm2)/IF(Model_Type="LA_PQIS",1000/0.0833,(12*1000))))*Flag_Mort_Rider_Charge*(T105&gt;0),0)</f>
        <v>0</v>
      </c>
      <c r="V105" s="34">
        <f>ROUND(MIN(IF(H105&gt;=7,Charges!$C$12*(1+Charges!$C$14)^((H105-7+1)),VLOOKUP(H105,Charges!$B$7:$C$12,2,0))*pr,Charges!$C$13)*B105,Round)</f>
        <v>500</v>
      </c>
      <c r="W105" s="14">
        <f t="shared" ca="1" si="65"/>
        <v>2552727.8459869944</v>
      </c>
      <c r="X105" s="14">
        <f t="shared" ca="1" si="66"/>
        <v>2561084.8126895288</v>
      </c>
      <c r="Y105" s="213">
        <f t="shared" ca="1" si="88"/>
        <v>2882.7884036961964</v>
      </c>
      <c r="Z105" s="14">
        <f t="shared" ca="1" si="67"/>
        <v>2557683.1223731674</v>
      </c>
      <c r="AA105" s="14">
        <f>IF(AND($H105=pt,$F105=11),SUM($K$7:K105)*VLOOKUP(pt,ROC,2,FALSE),0)</f>
        <v>0</v>
      </c>
      <c r="AB105" s="14">
        <f>IF(AND($H105=pt,$F105=11),SUM($V$7:V105)*VLOOKUP(pt,ROC,2,FALSE),0)</f>
        <v>0</v>
      </c>
      <c r="AC105" s="14">
        <f>IF(AND($H105=pt,$F105=11),SUM($Q$7:Q105)*VLOOKUP(pt,ROC,2,FALSE),0)</f>
        <v>0</v>
      </c>
      <c r="AD105" s="14">
        <f t="shared" ca="1" si="89"/>
        <v>2557683.1223731674</v>
      </c>
      <c r="AE105" s="14">
        <f ca="1">(MAX(sa-CF104*Flag_UL_Type,105%*SUM($I$7:I105),Z105)+AU105)*B105</f>
        <v>3000000</v>
      </c>
      <c r="AF105" s="136"/>
      <c r="AG105" s="18">
        <v>99</v>
      </c>
      <c r="AH105" s="30">
        <f t="shared" ca="1" si="68"/>
        <v>0</v>
      </c>
      <c r="AI105" s="58"/>
      <c r="AJ105" s="50">
        <f>IF(AND(Option_Sys_TopUp&gt;="Y",H105&gt;=sytp,H105&lt;=(dtp+sytp-1),F105=0,H105&lt;=ppt+1),atp,0)+IFERROR(VLOOKUP(H105,Input!$B$55:$C$61,2,0),0)*(F105=0)*(Option_TopUP="Y")*(Option_Sys_TopUp="N")*B105*(pt&gt;=H105+5)</f>
        <v>0</v>
      </c>
      <c r="AK105" s="50">
        <f t="shared" si="69"/>
        <v>0</v>
      </c>
      <c r="AL105" s="50">
        <f t="shared" si="90"/>
        <v>0</v>
      </c>
      <c r="AM105" s="50">
        <f t="shared" ca="1" si="70"/>
        <v>0</v>
      </c>
      <c r="AN105" s="50">
        <f ca="1">IF(B105=0,0,AT105*(_rpm1+(1+_emr1)*VLOOKUP(E105,Tab_Mort_Charge,IF(Input!$C$12="M",2,3),0))*(0.001*0.0833)*Flag_Mort_Rider_Charge*(AT105&gt;0))</f>
        <v>0</v>
      </c>
      <c r="AO105" s="50">
        <f t="shared" ca="1" si="91"/>
        <v>0</v>
      </c>
      <c r="AP105" s="50">
        <f t="shared" ca="1" si="99"/>
        <v>0</v>
      </c>
      <c r="AQ105" s="50">
        <f t="shared" ca="1" si="71"/>
        <v>0</v>
      </c>
      <c r="AR105" s="50">
        <f t="shared" ca="1" si="72"/>
        <v>0</v>
      </c>
      <c r="AS105" s="50">
        <f t="shared" si="73"/>
        <v>0</v>
      </c>
      <c r="AT105" s="50">
        <f ca="1">(MAX((MAX(AS105,105%*SUM($AJ$7:AJ105))-AM105*Flag_UL_Type),0)*B105)</f>
        <v>0</v>
      </c>
      <c r="AU105" s="50">
        <f ca="1">(MAX(AS105,AR105,105%*SUM($AJ$7:AJ105))*B105)</f>
        <v>0</v>
      </c>
      <c r="AV105" s="125"/>
      <c r="AW105" s="13"/>
      <c r="AX105" s="13"/>
      <c r="AY105" s="13"/>
      <c r="AZ105" s="13"/>
      <c r="BA105" s="13"/>
      <c r="BG105" s="51">
        <f t="shared" si="74"/>
        <v>0</v>
      </c>
      <c r="BH105" s="51">
        <f t="shared" ca="1" si="75"/>
        <v>131.96630247976501</v>
      </c>
      <c r="BI105" s="51">
        <f t="shared" ca="1" si="76"/>
        <v>0</v>
      </c>
      <c r="BJ105" s="51">
        <f t="shared" ca="1" si="77"/>
        <v>0</v>
      </c>
      <c r="BK105" s="51">
        <f t="shared" si="78"/>
        <v>90</v>
      </c>
      <c r="BL105" s="51">
        <f t="shared" ca="1" si="79"/>
        <v>518.90191266531531</v>
      </c>
      <c r="BM105" s="51">
        <f t="shared" si="80"/>
        <v>0</v>
      </c>
      <c r="BN105" s="51">
        <f t="shared" ca="1" si="81"/>
        <v>0</v>
      </c>
      <c r="BO105" s="51">
        <f t="shared" ca="1" si="82"/>
        <v>0</v>
      </c>
      <c r="BP105" s="51">
        <f t="shared" ca="1" si="83"/>
        <v>740.86821514508028</v>
      </c>
      <c r="BQ105" s="120"/>
      <c r="BR105" s="32"/>
      <c r="BS105" s="126"/>
      <c r="BT105" s="16"/>
      <c r="BU105" s="58"/>
      <c r="BW105" s="51">
        <f>VLOOKUP(H105,Charges!$AT$4:$AU$33,2,FALSE)*I105</f>
        <v>0</v>
      </c>
      <c r="BX105" s="51">
        <f t="shared" si="84"/>
        <v>0</v>
      </c>
      <c r="BY105" s="51">
        <f t="shared" si="93"/>
        <v>0</v>
      </c>
      <c r="BZ105" s="151"/>
      <c r="CA105" s="151"/>
      <c r="CB105" s="32"/>
      <c r="CC105" s="16">
        <f ca="1">SUM($N$7:$N105)</f>
        <v>0</v>
      </c>
      <c r="CD105" s="16">
        <f t="shared" ca="1" si="85"/>
        <v>0</v>
      </c>
      <c r="CE105" s="16">
        <f t="shared" ca="1" si="86"/>
        <v>0</v>
      </c>
      <c r="CF105" s="7">
        <f t="shared" ca="1" si="94"/>
        <v>0</v>
      </c>
    </row>
    <row r="106" spans="1:84" s="7" customFormat="1" x14ac:dyDescent="0.2">
      <c r="A106" s="149"/>
      <c r="B106" s="14">
        <f t="shared" si="55"/>
        <v>1</v>
      </c>
      <c r="C106" s="12">
        <f t="shared" si="56"/>
        <v>1</v>
      </c>
      <c r="D106" s="17">
        <f t="shared" si="95"/>
        <v>100</v>
      </c>
      <c r="E106" s="17">
        <f t="shared" ca="1" si="57"/>
        <v>68</v>
      </c>
      <c r="F106" s="12">
        <f t="shared" si="97"/>
        <v>3</v>
      </c>
      <c r="G106" s="12">
        <f t="shared" si="96"/>
        <v>17</v>
      </c>
      <c r="H106" s="17">
        <f t="shared" si="98"/>
        <v>9</v>
      </c>
      <c r="I106" s="29">
        <f t="shared" si="58"/>
        <v>0</v>
      </c>
      <c r="J106" s="211">
        <f>IFERROR(VLOOKUP(H106,Charges!$T$6:$U$35,2,0)*C106,0)</f>
        <v>0.98</v>
      </c>
      <c r="K106" s="29">
        <f t="shared" si="59"/>
        <v>0</v>
      </c>
      <c r="L106" s="29">
        <f t="shared" si="60"/>
        <v>0</v>
      </c>
      <c r="M106" s="147">
        <f t="shared" ca="1" si="61"/>
        <v>0</v>
      </c>
      <c r="N106" s="148">
        <f ca="1">IF(AND(Option_SPW="Y",H106&gt;=Lock_In_Period,Z105&gt;SPW_Amount_pa+IF(option="Single",1/5*pr,2*pr),H106&gt;=SPW_Start_Year,H106&lt;=SPW_Start_Year+SPW_Duration-1,age+H106&gt;=Legal_Age),IF(AND(F106=0,SPW_Payout_Freq=1),SPW_Amount_pa,IF(AND(SPW_Payout_Freq=2,MOD(F106,6)=0),SPW_Amount_pa/SPW_Payout_Freq,IF(AND(SPW_Payout_Freq=4,MOD(F106,3)=0),SPW_Amount_pa/SPW_Payout_Freq,IF(SPW_Payout_Freq=12,SPW_Amount_pa/SPW_Payout_Freq,0)))),0)+IFERROR(VLOOKUP(H106,Input!$B$68:$C$74,2,0),0)*(F106=0)*(Option_PW="Y")*(Option_SPW="N")*(age+H106&gt;=Legal_Age)</f>
        <v>0</v>
      </c>
      <c r="O106" s="148">
        <f t="shared" ca="1" si="87"/>
        <v>0</v>
      </c>
      <c r="P106" s="14">
        <f ca="1">(MAX(MAX(sa-CF105*Flag_UL_Type,105%*SUM($I$7:I106))-(AD105+L106-N106)*Flag_UL_Type,0)*B106)</f>
        <v>442316.87762683257</v>
      </c>
      <c r="Q106" s="213">
        <f t="shared" ca="1" si="62"/>
        <v>727.3901052573267</v>
      </c>
      <c r="R106" s="14">
        <f t="shared" ca="1" si="63"/>
        <v>0</v>
      </c>
      <c r="S106" s="14">
        <f t="shared" ca="1" si="64"/>
        <v>0</v>
      </c>
      <c r="T106" s="14">
        <f>IFERROR(IF(WoP_Flag="Y",IF(fq=1,VLOOKUP(ppt*fq-H106,Charges!$AN$41:$AO$59,2,FALSE),IF(fq=2,VLOOKUP(ppt*fq-G106,Charges!$AP$41:$AQ$79,2,FALSE),VLOOKUP(ppt*fq-D106,Charges!$AR$41:$AS$279,2,FALSE)))*pr/fq,0),0)</f>
        <v>0</v>
      </c>
      <c r="U106" s="14">
        <f ca="1">IFERROR(((T106*(VLOOKUP(Input!$D$18+H106-1,Tab_Mort_Charge,IF(Gender_2="M",2,3),FALSE)*(1+_emr2)+_rpm2)/IF(Model_Type="LA_PQIS",1000/0.0833,(12*1000))))*Flag_Mort_Rider_Charge*(T106&gt;0),0)</f>
        <v>0</v>
      </c>
      <c r="V106" s="34">
        <f>ROUND(MIN(IF(H106&gt;=7,Charges!$C$12*(1+Charges!$C$14)^((H106-7+1)),VLOOKUP(H106,Charges!$B$7:$C$12,2,0))*pr,Charges!$C$13)*B106,Round)</f>
        <v>500</v>
      </c>
      <c r="W106" s="14">
        <f t="shared" ca="1" si="65"/>
        <v>2556234.802048964</v>
      </c>
      <c r="X106" s="14">
        <f t="shared" ca="1" si="66"/>
        <v>2564603.2496130732</v>
      </c>
      <c r="Y106" s="213">
        <f t="shared" ca="1" si="88"/>
        <v>2886.7487993504424</v>
      </c>
      <c r="Z106" s="14">
        <f t="shared" ca="1" si="67"/>
        <v>2561196.8860298395</v>
      </c>
      <c r="AA106" s="14">
        <f>IF(AND($H106=pt,$F106=11),SUM($K$7:K106)*VLOOKUP(pt,ROC,2,FALSE),0)</f>
        <v>0</v>
      </c>
      <c r="AB106" s="14">
        <f>IF(AND($H106=pt,$F106=11),SUM($V$7:V106)*VLOOKUP(pt,ROC,2,FALSE),0)</f>
        <v>0</v>
      </c>
      <c r="AC106" s="14">
        <f>IF(AND($H106=pt,$F106=11),SUM($Q$7:Q106)*VLOOKUP(pt,ROC,2,FALSE),0)</f>
        <v>0</v>
      </c>
      <c r="AD106" s="14">
        <f t="shared" ca="1" si="89"/>
        <v>2561196.8860298395</v>
      </c>
      <c r="AE106" s="14">
        <f ca="1">(MAX(sa-CF105*Flag_UL_Type,105%*SUM($I$7:I106),Z106)+AU106)*B106</f>
        <v>3000000</v>
      </c>
      <c r="AF106" s="136"/>
      <c r="AG106" s="18">
        <v>100</v>
      </c>
      <c r="AH106" s="30">
        <f t="shared" ca="1" si="68"/>
        <v>0</v>
      </c>
      <c r="AI106" s="58"/>
      <c r="AJ106" s="50">
        <f>IF(AND(Option_Sys_TopUp&gt;="Y",H106&gt;=sytp,H106&lt;=(dtp+sytp-1),F106=0,H106&lt;=ppt+1),atp,0)+IFERROR(VLOOKUP(H106,Input!$B$55:$C$61,2,0),0)*(F106=0)*(Option_TopUP="Y")*(Option_Sys_TopUp="N")*B106*(pt&gt;=H106+5)</f>
        <v>0</v>
      </c>
      <c r="AK106" s="50">
        <f t="shared" si="69"/>
        <v>0</v>
      </c>
      <c r="AL106" s="50">
        <f t="shared" si="90"/>
        <v>0</v>
      </c>
      <c r="AM106" s="50">
        <f t="shared" ca="1" si="70"/>
        <v>0</v>
      </c>
      <c r="AN106" s="50">
        <f ca="1">IF(B106=0,0,AT106*(_rpm1+(1+_emr1)*VLOOKUP(E106,Tab_Mort_Charge,IF(Input!$C$12="M",2,3),0))*(0.001*0.0833)*Flag_Mort_Rider_Charge*(AT106&gt;0))</f>
        <v>0</v>
      </c>
      <c r="AO106" s="50">
        <f t="shared" ca="1" si="91"/>
        <v>0</v>
      </c>
      <c r="AP106" s="50">
        <f t="shared" ca="1" si="99"/>
        <v>0</v>
      </c>
      <c r="AQ106" s="50">
        <f t="shared" ca="1" si="71"/>
        <v>0</v>
      </c>
      <c r="AR106" s="50">
        <f t="shared" ca="1" si="72"/>
        <v>0</v>
      </c>
      <c r="AS106" s="50">
        <f t="shared" si="73"/>
        <v>0</v>
      </c>
      <c r="AT106" s="50">
        <f ca="1">(MAX((MAX(AS106,105%*SUM($AJ$7:AJ106))-AM106*Flag_UL_Type),0)*B106)</f>
        <v>0</v>
      </c>
      <c r="AU106" s="50">
        <f ca="1">(MAX(AS106,AR106,105%*SUM($AJ$7:AJ106))*B106)</f>
        <v>0</v>
      </c>
      <c r="AV106" s="125"/>
      <c r="AW106" s="13"/>
      <c r="AX106" s="13"/>
      <c r="AY106" s="13"/>
      <c r="AZ106" s="13"/>
      <c r="BA106" s="13"/>
      <c r="BG106" s="51">
        <f t="shared" si="74"/>
        <v>0</v>
      </c>
      <c r="BH106" s="51">
        <f t="shared" ca="1" si="75"/>
        <v>130.930218946319</v>
      </c>
      <c r="BI106" s="51">
        <f t="shared" ca="1" si="76"/>
        <v>0</v>
      </c>
      <c r="BJ106" s="51">
        <f t="shared" ca="1" si="77"/>
        <v>0</v>
      </c>
      <c r="BK106" s="51">
        <f t="shared" si="78"/>
        <v>90</v>
      </c>
      <c r="BL106" s="51">
        <f t="shared" ca="1" si="79"/>
        <v>519.61478388307955</v>
      </c>
      <c r="BM106" s="51">
        <f t="shared" si="80"/>
        <v>0</v>
      </c>
      <c r="BN106" s="51">
        <f t="shared" ca="1" si="81"/>
        <v>0</v>
      </c>
      <c r="BO106" s="51">
        <f t="shared" ca="1" si="82"/>
        <v>0</v>
      </c>
      <c r="BP106" s="51">
        <f t="shared" ca="1" si="83"/>
        <v>740.54500282939853</v>
      </c>
      <c r="BQ106" s="120"/>
      <c r="BR106" s="32"/>
      <c r="BS106" s="126"/>
      <c r="BT106" s="16"/>
      <c r="BU106" s="58"/>
      <c r="BW106" s="51">
        <f>VLOOKUP(H106,Charges!$AT$4:$AU$33,2,FALSE)*I106</f>
        <v>0</v>
      </c>
      <c r="BX106" s="51">
        <f t="shared" si="84"/>
        <v>0</v>
      </c>
      <c r="BY106" s="51">
        <f t="shared" si="93"/>
        <v>0</v>
      </c>
      <c r="BZ106" s="151"/>
      <c r="CA106" s="151"/>
      <c r="CB106" s="32"/>
      <c r="CC106" s="16">
        <f ca="1">SUM($N$7:$N106)</f>
        <v>0</v>
      </c>
      <c r="CD106" s="16">
        <f t="shared" ca="1" si="85"/>
        <v>0</v>
      </c>
      <c r="CE106" s="16">
        <f t="shared" ca="1" si="86"/>
        <v>0</v>
      </c>
      <c r="CF106" s="7">
        <f t="shared" ca="1" si="94"/>
        <v>0</v>
      </c>
    </row>
    <row r="107" spans="1:84" s="7" customFormat="1" x14ac:dyDescent="0.2">
      <c r="A107" s="149"/>
      <c r="B107" s="14">
        <f t="shared" si="55"/>
        <v>1</v>
      </c>
      <c r="C107" s="12">
        <f t="shared" si="56"/>
        <v>1</v>
      </c>
      <c r="D107" s="17">
        <f t="shared" si="95"/>
        <v>101</v>
      </c>
      <c r="E107" s="17">
        <f t="shared" ca="1" si="57"/>
        <v>68</v>
      </c>
      <c r="F107" s="12">
        <f t="shared" si="97"/>
        <v>4</v>
      </c>
      <c r="G107" s="12">
        <f t="shared" si="96"/>
        <v>17</v>
      </c>
      <c r="H107" s="17">
        <f t="shared" si="98"/>
        <v>9</v>
      </c>
      <c r="I107" s="29">
        <f t="shared" si="58"/>
        <v>0</v>
      </c>
      <c r="J107" s="211">
        <f>IFERROR(VLOOKUP(H107,Charges!$T$6:$U$35,2,0)*C107,0)</f>
        <v>0.98</v>
      </c>
      <c r="K107" s="29">
        <f t="shared" si="59"/>
        <v>0</v>
      </c>
      <c r="L107" s="29">
        <f t="shared" si="60"/>
        <v>0</v>
      </c>
      <c r="M107" s="147">
        <f t="shared" ca="1" si="61"/>
        <v>0</v>
      </c>
      <c r="N107" s="148">
        <f ca="1">IF(AND(Option_SPW="Y",H107&gt;=Lock_In_Period,Z106&gt;SPW_Amount_pa+IF(option="Single",1/5*pr,2*pr),H107&gt;=SPW_Start_Year,H107&lt;=SPW_Start_Year+SPW_Duration-1,age+H107&gt;=Legal_Age),IF(AND(F107=0,SPW_Payout_Freq=1),SPW_Amount_pa,IF(AND(SPW_Payout_Freq=2,MOD(F107,6)=0),SPW_Amount_pa/SPW_Payout_Freq,IF(AND(SPW_Payout_Freq=4,MOD(F107,3)=0),SPW_Amount_pa/SPW_Payout_Freq,IF(SPW_Payout_Freq=12,SPW_Amount_pa/SPW_Payout_Freq,0)))),0)+IFERROR(VLOOKUP(H107,Input!$B$68:$C$74,2,0),0)*(F107=0)*(Option_PW="Y")*(Option_SPW="N")*(age+H107&gt;=Legal_Age)</f>
        <v>0</v>
      </c>
      <c r="O107" s="148">
        <f t="shared" ca="1" si="87"/>
        <v>0</v>
      </c>
      <c r="P107" s="14">
        <f ca="1">(MAX(MAX(sa-CF106*Flag_UL_Type,105%*SUM($I$7:I107))-(AD106+L107-N107)*Flag_UL_Type,0)*B107)</f>
        <v>438803.11397016048</v>
      </c>
      <c r="Q107" s="213">
        <f t="shared" ca="1" si="62"/>
        <v>721.61172092392917</v>
      </c>
      <c r="R107" s="14">
        <f t="shared" ca="1" si="63"/>
        <v>0</v>
      </c>
      <c r="S107" s="14">
        <f t="shared" ca="1" si="64"/>
        <v>0</v>
      </c>
      <c r="T107" s="14">
        <f>IFERROR(IF(WoP_Flag="Y",IF(fq=1,VLOOKUP(ppt*fq-H107,Charges!$AN$41:$AO$59,2,FALSE),IF(fq=2,VLOOKUP(ppt*fq-G107,Charges!$AP$41:$AQ$79,2,FALSE),VLOOKUP(ppt*fq-D107,Charges!$AR$41:$AS$279,2,FALSE)))*pr/fq,0),0)</f>
        <v>0</v>
      </c>
      <c r="U107" s="14">
        <f ca="1">IFERROR(((T107*(VLOOKUP(Input!$D$18+H107-1,Tab_Mort_Charge,IF(Gender_2="M",2,3),FALSE)*(1+_emr2)+_rpm2)/IF(Model_Type="LA_PQIS",1000/0.0833,(12*1000))))*Flag_Mort_Rider_Charge*(T107&gt;0),0)</f>
        <v>0</v>
      </c>
      <c r="V107" s="34">
        <f>ROUND(MIN(IF(H107&gt;=7,Charges!$C$12*(1+Charges!$C$14)^((H107-7+1)),VLOOKUP(H107,Charges!$B$7:$C$12,2,0))*pr,Charges!$C$13)*B107,Round)</f>
        <v>500</v>
      </c>
      <c r="W107" s="14">
        <f t="shared" ca="1" si="65"/>
        <v>2559755.3841991494</v>
      </c>
      <c r="X107" s="14">
        <f t="shared" ca="1" si="66"/>
        <v>2568135.3572331001</v>
      </c>
      <c r="Y107" s="213">
        <f t="shared" ca="1" si="88"/>
        <v>2890.7245829079293</v>
      </c>
      <c r="Z107" s="14">
        <f t="shared" ca="1" si="67"/>
        <v>2564724.3022252689</v>
      </c>
      <c r="AA107" s="14">
        <f>IF(AND($H107=pt,$F107=11),SUM($K$7:K107)*VLOOKUP(pt,ROC,2,FALSE),0)</f>
        <v>0</v>
      </c>
      <c r="AB107" s="14">
        <f>IF(AND($H107=pt,$F107=11),SUM($V$7:V107)*VLOOKUP(pt,ROC,2,FALSE),0)</f>
        <v>0</v>
      </c>
      <c r="AC107" s="14">
        <f>IF(AND($H107=pt,$F107=11),SUM($Q$7:Q107)*VLOOKUP(pt,ROC,2,FALSE),0)</f>
        <v>0</v>
      </c>
      <c r="AD107" s="14">
        <f t="shared" ca="1" si="89"/>
        <v>2564724.3022252689</v>
      </c>
      <c r="AE107" s="14">
        <f ca="1">(MAX(sa-CF106*Flag_UL_Type,105%*SUM($I$7:I107),Z107)+AU107)*B107</f>
        <v>3000000</v>
      </c>
      <c r="AF107" s="136"/>
      <c r="AG107" s="18">
        <v>101</v>
      </c>
      <c r="AH107" s="30">
        <f t="shared" ca="1" si="68"/>
        <v>0</v>
      </c>
      <c r="AI107" s="58"/>
      <c r="AJ107" s="50">
        <f>IF(AND(Option_Sys_TopUp&gt;="Y",H107&gt;=sytp,H107&lt;=(dtp+sytp-1),F107=0,H107&lt;=ppt+1),atp,0)+IFERROR(VLOOKUP(H107,Input!$B$55:$C$61,2,0),0)*(F107=0)*(Option_TopUP="Y")*(Option_Sys_TopUp="N")*B107*(pt&gt;=H107+5)</f>
        <v>0</v>
      </c>
      <c r="AK107" s="50">
        <f t="shared" si="69"/>
        <v>0</v>
      </c>
      <c r="AL107" s="50">
        <f t="shared" si="90"/>
        <v>0</v>
      </c>
      <c r="AM107" s="50">
        <f t="shared" ca="1" si="70"/>
        <v>0</v>
      </c>
      <c r="AN107" s="50">
        <f ca="1">IF(B107=0,0,AT107*(_rpm1+(1+_emr1)*VLOOKUP(E107,Tab_Mort_Charge,IF(Input!$C$12="M",2,3),0))*(0.001*0.0833)*Flag_Mort_Rider_Charge*(AT107&gt;0))</f>
        <v>0</v>
      </c>
      <c r="AO107" s="50">
        <f t="shared" ca="1" si="91"/>
        <v>0</v>
      </c>
      <c r="AP107" s="50">
        <f t="shared" ca="1" si="99"/>
        <v>0</v>
      </c>
      <c r="AQ107" s="50">
        <f t="shared" ca="1" si="71"/>
        <v>0</v>
      </c>
      <c r="AR107" s="50">
        <f t="shared" ca="1" si="72"/>
        <v>0</v>
      </c>
      <c r="AS107" s="50">
        <f t="shared" si="73"/>
        <v>0</v>
      </c>
      <c r="AT107" s="50">
        <f ca="1">(MAX((MAX(AS107,105%*SUM($AJ$7:AJ107))-AM107*Flag_UL_Type),0)*B107)</f>
        <v>0</v>
      </c>
      <c r="AU107" s="50">
        <f ca="1">(MAX(AS107,AR107,105%*SUM($AJ$7:AJ107))*B107)</f>
        <v>0</v>
      </c>
      <c r="AV107" s="125"/>
      <c r="AW107" s="13"/>
      <c r="AX107" s="13"/>
      <c r="AY107" s="13"/>
      <c r="AZ107" s="13"/>
      <c r="BA107" s="13"/>
      <c r="BG107" s="51">
        <f t="shared" si="74"/>
        <v>0</v>
      </c>
      <c r="BH107" s="51">
        <f t="shared" ca="1" si="75"/>
        <v>129.89010976630701</v>
      </c>
      <c r="BI107" s="51">
        <f t="shared" ca="1" si="76"/>
        <v>0</v>
      </c>
      <c r="BJ107" s="51">
        <f t="shared" ca="1" si="77"/>
        <v>0</v>
      </c>
      <c r="BK107" s="51">
        <f t="shared" si="78"/>
        <v>90</v>
      </c>
      <c r="BL107" s="51">
        <f t="shared" ca="1" si="79"/>
        <v>520.33042492342724</v>
      </c>
      <c r="BM107" s="51">
        <f t="shared" si="80"/>
        <v>0</v>
      </c>
      <c r="BN107" s="51">
        <f t="shared" ca="1" si="81"/>
        <v>0</v>
      </c>
      <c r="BO107" s="51">
        <f t="shared" ca="1" si="82"/>
        <v>0</v>
      </c>
      <c r="BP107" s="51">
        <f t="shared" ca="1" si="83"/>
        <v>740.22053468973422</v>
      </c>
      <c r="BQ107" s="120"/>
      <c r="BR107" s="32"/>
      <c r="BS107" s="126"/>
      <c r="BT107" s="16"/>
      <c r="BU107" s="58"/>
      <c r="BW107" s="51">
        <f>VLOOKUP(H107,Charges!$AT$4:$AU$33,2,FALSE)*I107</f>
        <v>0</v>
      </c>
      <c r="BX107" s="51">
        <f t="shared" si="84"/>
        <v>0</v>
      </c>
      <c r="BY107" s="51">
        <f t="shared" si="93"/>
        <v>0</v>
      </c>
      <c r="BZ107" s="151"/>
      <c r="CA107" s="151"/>
      <c r="CB107" s="32"/>
      <c r="CC107" s="16">
        <f ca="1">SUM($N$7:$N107)</f>
        <v>0</v>
      </c>
      <c r="CD107" s="16">
        <f t="shared" ca="1" si="85"/>
        <v>0</v>
      </c>
      <c r="CE107" s="16">
        <f t="shared" ca="1" si="86"/>
        <v>0</v>
      </c>
      <c r="CF107" s="7">
        <f t="shared" ca="1" si="94"/>
        <v>0</v>
      </c>
    </row>
    <row r="108" spans="1:84" s="7" customFormat="1" x14ac:dyDescent="0.2">
      <c r="A108" s="149"/>
      <c r="B108" s="14">
        <f t="shared" si="55"/>
        <v>1</v>
      </c>
      <c r="C108" s="12">
        <f t="shared" si="56"/>
        <v>1</v>
      </c>
      <c r="D108" s="17">
        <f t="shared" si="95"/>
        <v>102</v>
      </c>
      <c r="E108" s="17">
        <f t="shared" ca="1" si="57"/>
        <v>68</v>
      </c>
      <c r="F108" s="12">
        <f t="shared" si="97"/>
        <v>5</v>
      </c>
      <c r="G108" s="12">
        <f t="shared" si="96"/>
        <v>17</v>
      </c>
      <c r="H108" s="17">
        <f t="shared" si="98"/>
        <v>9</v>
      </c>
      <c r="I108" s="29">
        <f t="shared" si="58"/>
        <v>0</v>
      </c>
      <c r="J108" s="211">
        <f>IFERROR(VLOOKUP(H108,Charges!$T$6:$U$35,2,0)*C108,0)</f>
        <v>0.98</v>
      </c>
      <c r="K108" s="29">
        <f t="shared" si="59"/>
        <v>0</v>
      </c>
      <c r="L108" s="29">
        <f t="shared" si="60"/>
        <v>0</v>
      </c>
      <c r="M108" s="147">
        <f t="shared" ca="1" si="61"/>
        <v>0</v>
      </c>
      <c r="N108" s="148">
        <f ca="1">IF(AND(Option_SPW="Y",H108&gt;=Lock_In_Period,Z107&gt;SPW_Amount_pa+IF(option="Single",1/5*pr,2*pr),H108&gt;=SPW_Start_Year,H108&lt;=SPW_Start_Year+SPW_Duration-1,age+H108&gt;=Legal_Age),IF(AND(F108=0,SPW_Payout_Freq=1),SPW_Amount_pa,IF(AND(SPW_Payout_Freq=2,MOD(F108,6)=0),SPW_Amount_pa/SPW_Payout_Freq,IF(AND(SPW_Payout_Freq=4,MOD(F108,3)=0),SPW_Amount_pa/SPW_Payout_Freq,IF(SPW_Payout_Freq=12,SPW_Amount_pa/SPW_Payout_Freq,0)))),0)+IFERROR(VLOOKUP(H108,Input!$B$68:$C$74,2,0),0)*(F108=0)*(Option_PW="Y")*(Option_SPW="N")*(age+H108&gt;=Legal_Age)</f>
        <v>0</v>
      </c>
      <c r="O108" s="148">
        <f t="shared" ca="1" si="87"/>
        <v>0</v>
      </c>
      <c r="P108" s="14">
        <f ca="1">(MAX(MAX(sa-CF107*Flag_UL_Type,105%*SUM($I$7:I108))-(AD107+L108-N108)*Flag_UL_Type,0)*B108)</f>
        <v>435275.69777473109</v>
      </c>
      <c r="Q108" s="213">
        <f t="shared" ca="1" si="62"/>
        <v>715.81088499054499</v>
      </c>
      <c r="R108" s="14">
        <f t="shared" ca="1" si="63"/>
        <v>0</v>
      </c>
      <c r="S108" s="14">
        <f t="shared" ca="1" si="64"/>
        <v>0</v>
      </c>
      <c r="T108" s="14">
        <f>IFERROR(IF(WoP_Flag="Y",IF(fq=1,VLOOKUP(ppt*fq-H108,Charges!$AN$41:$AO$59,2,FALSE),IF(fq=2,VLOOKUP(ppt*fq-G108,Charges!$AP$41:$AQ$79,2,FALSE),VLOOKUP(ppt*fq-D108,Charges!$AR$41:$AS$279,2,FALSE)))*pr/fq,0),0)</f>
        <v>0</v>
      </c>
      <c r="U108" s="14">
        <f ca="1">IFERROR(((T108*(VLOOKUP(Input!$D$18+H108-1,Tab_Mort_Charge,IF(Gender_2="M",2,3),FALSE)*(1+_emr2)+_rpm2)/IF(Model_Type="LA_PQIS",1000/0.0833,(12*1000))))*Flag_Mort_Rider_Charge*(T108&gt;0),0)</f>
        <v>0</v>
      </c>
      <c r="V108" s="34">
        <f>ROUND(MIN(IF(H108&gt;=7,Charges!$C$12*(1+Charges!$C$14)^((H108-7+1)),VLOOKUP(H108,Charges!$B$7:$C$12,2,0))*pr,Charges!$C$13)*B108,Round)</f>
        <v>500</v>
      </c>
      <c r="W108" s="14">
        <f t="shared" ca="1" si="65"/>
        <v>2563289.6453809799</v>
      </c>
      <c r="X108" s="14">
        <f t="shared" ca="1" si="66"/>
        <v>2571681.1886663623</v>
      </c>
      <c r="Y108" s="213">
        <f t="shared" ca="1" si="88"/>
        <v>2894.7158141575242</v>
      </c>
      <c r="Z108" s="14">
        <f t="shared" ca="1" si="67"/>
        <v>2568265.4240056565</v>
      </c>
      <c r="AA108" s="14">
        <f>IF(AND($H108=pt,$F108=11),SUM($K$7:K108)*VLOOKUP(pt,ROC,2,FALSE),0)</f>
        <v>0</v>
      </c>
      <c r="AB108" s="14">
        <f>IF(AND($H108=pt,$F108=11),SUM($V$7:V108)*VLOOKUP(pt,ROC,2,FALSE),0)</f>
        <v>0</v>
      </c>
      <c r="AC108" s="14">
        <f>IF(AND($H108=pt,$F108=11),SUM($Q$7:Q108)*VLOOKUP(pt,ROC,2,FALSE),0)</f>
        <v>0</v>
      </c>
      <c r="AD108" s="14">
        <f t="shared" ca="1" si="89"/>
        <v>2568265.4240056565</v>
      </c>
      <c r="AE108" s="14">
        <f ca="1">(MAX(sa-CF107*Flag_UL_Type,105%*SUM($I$7:I108),Z108)+AU108)*B108</f>
        <v>3000000</v>
      </c>
      <c r="AF108" s="136"/>
      <c r="AG108" s="18">
        <v>102</v>
      </c>
      <c r="AH108" s="30">
        <f t="shared" ca="1" si="68"/>
        <v>0</v>
      </c>
      <c r="AI108" s="58"/>
      <c r="AJ108" s="50">
        <f>IF(AND(Option_Sys_TopUp&gt;="Y",H108&gt;=sytp,H108&lt;=(dtp+sytp-1),F108=0,H108&lt;=ppt+1),atp,0)+IFERROR(VLOOKUP(H108,Input!$B$55:$C$61,2,0),0)*(F108=0)*(Option_TopUP="Y")*(Option_Sys_TopUp="N")*B108*(pt&gt;=H108+5)</f>
        <v>0</v>
      </c>
      <c r="AK108" s="50">
        <f t="shared" si="69"/>
        <v>0</v>
      </c>
      <c r="AL108" s="50">
        <f t="shared" si="90"/>
        <v>0</v>
      </c>
      <c r="AM108" s="50">
        <f t="shared" ca="1" si="70"/>
        <v>0</v>
      </c>
      <c r="AN108" s="50">
        <f ca="1">IF(B108=0,0,AT108*(_rpm1+(1+_emr1)*VLOOKUP(E108,Tab_Mort_Charge,IF(Input!$C$12="M",2,3),0))*(0.001*0.0833)*Flag_Mort_Rider_Charge*(AT108&gt;0))</f>
        <v>0</v>
      </c>
      <c r="AO108" s="50">
        <f t="shared" ca="1" si="91"/>
        <v>0</v>
      </c>
      <c r="AP108" s="50">
        <f t="shared" ca="1" si="99"/>
        <v>0</v>
      </c>
      <c r="AQ108" s="50">
        <f t="shared" ca="1" si="71"/>
        <v>0</v>
      </c>
      <c r="AR108" s="50">
        <f t="shared" ca="1" si="72"/>
        <v>0</v>
      </c>
      <c r="AS108" s="50">
        <f t="shared" si="73"/>
        <v>0</v>
      </c>
      <c r="AT108" s="50">
        <f ca="1">(MAX((MAX(AS108,105%*SUM($AJ$7:AJ108))-AM108*Flag_UL_Type),0)*B108)</f>
        <v>0</v>
      </c>
      <c r="AU108" s="50">
        <f ca="1">(MAX(AS108,AR108,105%*SUM($AJ$7:AJ108))*B108)</f>
        <v>0</v>
      </c>
      <c r="AV108" s="125"/>
      <c r="AW108" s="13"/>
      <c r="AX108" s="13"/>
      <c r="AY108" s="13"/>
      <c r="AZ108" s="13"/>
      <c r="BA108" s="13"/>
      <c r="BG108" s="51">
        <f t="shared" si="74"/>
        <v>0</v>
      </c>
      <c r="BH108" s="51">
        <f t="shared" ca="1" si="75"/>
        <v>128.845959298298</v>
      </c>
      <c r="BI108" s="51">
        <f t="shared" ca="1" si="76"/>
        <v>0</v>
      </c>
      <c r="BJ108" s="51">
        <f t="shared" ca="1" si="77"/>
        <v>0</v>
      </c>
      <c r="BK108" s="51">
        <f t="shared" si="78"/>
        <v>90</v>
      </c>
      <c r="BL108" s="51">
        <f t="shared" ca="1" si="79"/>
        <v>521.04884654835428</v>
      </c>
      <c r="BM108" s="51">
        <f t="shared" si="80"/>
        <v>0</v>
      </c>
      <c r="BN108" s="51">
        <f t="shared" ca="1" si="81"/>
        <v>0</v>
      </c>
      <c r="BO108" s="51">
        <f t="shared" ca="1" si="82"/>
        <v>0</v>
      </c>
      <c r="BP108" s="51">
        <f t="shared" ca="1" si="83"/>
        <v>739.89480584665228</v>
      </c>
      <c r="BQ108" s="120"/>
      <c r="BR108" s="32"/>
      <c r="BS108" s="126"/>
      <c r="BT108" s="16"/>
      <c r="BU108" s="58"/>
      <c r="BW108" s="51">
        <f>VLOOKUP(H108,Charges!$AT$4:$AU$33,2,FALSE)*I108</f>
        <v>0</v>
      </c>
      <c r="BX108" s="51">
        <f t="shared" si="84"/>
        <v>0</v>
      </c>
      <c r="BY108" s="51">
        <f t="shared" si="93"/>
        <v>0</v>
      </c>
      <c r="BZ108" s="151"/>
      <c r="CA108" s="151"/>
      <c r="CB108" s="32"/>
      <c r="CC108" s="16">
        <f ca="1">SUM($N$7:$N108)</f>
        <v>0</v>
      </c>
      <c r="CD108" s="16">
        <f t="shared" ca="1" si="85"/>
        <v>0</v>
      </c>
      <c r="CE108" s="16">
        <f t="shared" ca="1" si="86"/>
        <v>0</v>
      </c>
      <c r="CF108" s="7">
        <f t="shared" ca="1" si="94"/>
        <v>0</v>
      </c>
    </row>
    <row r="109" spans="1:84" s="7" customFormat="1" x14ac:dyDescent="0.2">
      <c r="A109" s="149"/>
      <c r="B109" s="14">
        <f t="shared" si="55"/>
        <v>1</v>
      </c>
      <c r="C109" s="12">
        <f t="shared" si="56"/>
        <v>1</v>
      </c>
      <c r="D109" s="17">
        <f t="shared" si="95"/>
        <v>103</v>
      </c>
      <c r="E109" s="17">
        <f t="shared" ca="1" si="57"/>
        <v>68</v>
      </c>
      <c r="F109" s="12">
        <f t="shared" si="97"/>
        <v>6</v>
      </c>
      <c r="G109" s="12">
        <f t="shared" si="96"/>
        <v>18</v>
      </c>
      <c r="H109" s="17">
        <f t="shared" si="98"/>
        <v>9</v>
      </c>
      <c r="I109" s="29">
        <f t="shared" si="58"/>
        <v>0</v>
      </c>
      <c r="J109" s="211">
        <f>IFERROR(VLOOKUP(H109,Charges!$T$6:$U$35,2,0)*C109,0)</f>
        <v>0.98</v>
      </c>
      <c r="K109" s="29">
        <f t="shared" si="59"/>
        <v>0</v>
      </c>
      <c r="L109" s="29">
        <f t="shared" si="60"/>
        <v>0</v>
      </c>
      <c r="M109" s="147">
        <f t="shared" ca="1" si="61"/>
        <v>0</v>
      </c>
      <c r="N109" s="148">
        <f ca="1">IF(AND(Option_SPW="Y",H109&gt;=Lock_In_Period,Z108&gt;SPW_Amount_pa+IF(option="Single",1/5*pr,2*pr),H109&gt;=SPW_Start_Year,H109&lt;=SPW_Start_Year+SPW_Duration-1,age+H109&gt;=Legal_Age),IF(AND(F109=0,SPW_Payout_Freq=1),SPW_Amount_pa,IF(AND(SPW_Payout_Freq=2,MOD(F109,6)=0),SPW_Amount_pa/SPW_Payout_Freq,IF(AND(SPW_Payout_Freq=4,MOD(F109,3)=0),SPW_Amount_pa/SPW_Payout_Freq,IF(SPW_Payout_Freq=12,SPW_Amount_pa/SPW_Payout_Freq,0)))),0)+IFERROR(VLOOKUP(H109,Input!$B$68:$C$74,2,0),0)*(F109=0)*(Option_PW="Y")*(Option_SPW="N")*(age+H109&gt;=Legal_Age)</f>
        <v>0</v>
      </c>
      <c r="O109" s="148">
        <f t="shared" ca="1" si="87"/>
        <v>0</v>
      </c>
      <c r="P109" s="14">
        <f ca="1">(MAX(MAX(sa-CF108*Flag_UL_Type,105%*SUM($I$7:I109))-(AD108+L109-N109)*Flag_UL_Type,0)*B109)</f>
        <v>431734.5759943435</v>
      </c>
      <c r="Q109" s="213">
        <f t="shared" ca="1" si="62"/>
        <v>709.98751022269835</v>
      </c>
      <c r="R109" s="14">
        <f t="shared" ca="1" si="63"/>
        <v>0</v>
      </c>
      <c r="S109" s="14">
        <f t="shared" ca="1" si="64"/>
        <v>0</v>
      </c>
      <c r="T109" s="14">
        <f>IFERROR(IF(WoP_Flag="Y",IF(fq=1,VLOOKUP(ppt*fq-H109,Charges!$AN$41:$AO$59,2,FALSE),IF(fq=2,VLOOKUP(ppt*fq-G109,Charges!$AP$41:$AQ$79,2,FALSE),VLOOKUP(ppt*fq-D109,Charges!$AR$41:$AS$279,2,FALSE)))*pr/fq,0),0)</f>
        <v>0</v>
      </c>
      <c r="U109" s="14">
        <f ca="1">IFERROR(((T109*(VLOOKUP(Input!$D$18+H109-1,Tab_Mort_Charge,IF(Gender_2="M",2,3),FALSE)*(1+_emr2)+_rpm2)/IF(Model_Type="LA_PQIS",1000/0.0833,(12*1000))))*Flag_Mort_Rider_Charge*(T109&gt;0),0)</f>
        <v>0</v>
      </c>
      <c r="V109" s="34">
        <f>ROUND(MIN(IF(H109&gt;=7,Charges!$C$12*(1+Charges!$C$14)^((H109-7+1)),VLOOKUP(H109,Charges!$B$7:$C$12,2,0))*pr,Charges!$C$13)*B109,Round)</f>
        <v>500</v>
      </c>
      <c r="W109" s="14">
        <f t="shared" ca="1" si="65"/>
        <v>2566837.6387435938</v>
      </c>
      <c r="X109" s="14">
        <f t="shared" ca="1" si="66"/>
        <v>2575240.7972359941</v>
      </c>
      <c r="Y109" s="213">
        <f t="shared" ca="1" si="88"/>
        <v>2898.7225531203999</v>
      </c>
      <c r="Z109" s="14">
        <f t="shared" ca="1" si="67"/>
        <v>2571820.3046233119</v>
      </c>
      <c r="AA109" s="14">
        <f>IF(AND($H109=pt,$F109=11),SUM($K$7:K109)*VLOOKUP(pt,ROC,2,FALSE),0)</f>
        <v>0</v>
      </c>
      <c r="AB109" s="14">
        <f>IF(AND($H109=pt,$F109=11),SUM($V$7:V109)*VLOOKUP(pt,ROC,2,FALSE),0)</f>
        <v>0</v>
      </c>
      <c r="AC109" s="14">
        <f>IF(AND($H109=pt,$F109=11),SUM($Q$7:Q109)*VLOOKUP(pt,ROC,2,FALSE),0)</f>
        <v>0</v>
      </c>
      <c r="AD109" s="14">
        <f t="shared" ca="1" si="89"/>
        <v>2571820.3046233119</v>
      </c>
      <c r="AE109" s="14">
        <f ca="1">(MAX(sa-CF108*Flag_UL_Type,105%*SUM($I$7:I109),Z109)+AU109)*B109</f>
        <v>3000000</v>
      </c>
      <c r="AF109" s="136"/>
      <c r="AG109" s="18">
        <v>103</v>
      </c>
      <c r="AH109" s="30">
        <f t="shared" ca="1" si="68"/>
        <v>0</v>
      </c>
      <c r="AI109" s="58"/>
      <c r="AJ109" s="50">
        <f>IF(AND(Option_Sys_TopUp&gt;="Y",H109&gt;=sytp,H109&lt;=(dtp+sytp-1),F109=0,H109&lt;=ppt+1),atp,0)+IFERROR(VLOOKUP(H109,Input!$B$55:$C$61,2,0),0)*(F109=0)*(Option_TopUP="Y")*(Option_Sys_TopUp="N")*B109*(pt&gt;=H109+5)</f>
        <v>0</v>
      </c>
      <c r="AK109" s="50">
        <f t="shared" si="69"/>
        <v>0</v>
      </c>
      <c r="AL109" s="50">
        <f t="shared" si="90"/>
        <v>0</v>
      </c>
      <c r="AM109" s="50">
        <f t="shared" ca="1" si="70"/>
        <v>0</v>
      </c>
      <c r="AN109" s="50">
        <f ca="1">IF(B109=0,0,AT109*(_rpm1+(1+_emr1)*VLOOKUP(E109,Tab_Mort_Charge,IF(Input!$C$12="M",2,3),0))*(0.001*0.0833)*Flag_Mort_Rider_Charge*(AT109&gt;0))</f>
        <v>0</v>
      </c>
      <c r="AO109" s="50">
        <f t="shared" ca="1" si="91"/>
        <v>0</v>
      </c>
      <c r="AP109" s="50">
        <f t="shared" ca="1" si="99"/>
        <v>0</v>
      </c>
      <c r="AQ109" s="50">
        <f t="shared" ca="1" si="71"/>
        <v>0</v>
      </c>
      <c r="AR109" s="50">
        <f t="shared" ca="1" si="72"/>
        <v>0</v>
      </c>
      <c r="AS109" s="50">
        <f t="shared" si="73"/>
        <v>0</v>
      </c>
      <c r="AT109" s="50">
        <f ca="1">(MAX((MAX(AS109,105%*SUM($AJ$7:AJ109))-AM109*Flag_UL_Type),0)*B109)</f>
        <v>0</v>
      </c>
      <c r="AU109" s="50">
        <f ca="1">(MAX(AS109,AR109,105%*SUM($AJ$7:AJ109))*B109)</f>
        <v>0</v>
      </c>
      <c r="AV109" s="125"/>
      <c r="AW109" s="13"/>
      <c r="AX109" s="13"/>
      <c r="AY109" s="13"/>
      <c r="AZ109" s="13"/>
      <c r="BA109" s="13"/>
      <c r="BG109" s="51">
        <f t="shared" si="74"/>
        <v>0</v>
      </c>
      <c r="BH109" s="51">
        <f t="shared" ca="1" si="75"/>
        <v>127.79775184008599</v>
      </c>
      <c r="BI109" s="51">
        <f t="shared" ca="1" si="76"/>
        <v>0</v>
      </c>
      <c r="BJ109" s="51">
        <f t="shared" ca="1" si="77"/>
        <v>0</v>
      </c>
      <c r="BK109" s="51">
        <f t="shared" si="78"/>
        <v>90</v>
      </c>
      <c r="BL109" s="51">
        <f t="shared" ca="1" si="79"/>
        <v>521.77005956167193</v>
      </c>
      <c r="BM109" s="51">
        <f t="shared" si="80"/>
        <v>0</v>
      </c>
      <c r="BN109" s="51">
        <f t="shared" ca="1" si="81"/>
        <v>0</v>
      </c>
      <c r="BO109" s="51">
        <f t="shared" ca="1" si="82"/>
        <v>0</v>
      </c>
      <c r="BP109" s="51">
        <f t="shared" ca="1" si="83"/>
        <v>739.56781140175792</v>
      </c>
      <c r="BQ109" s="120"/>
      <c r="BR109" s="32"/>
      <c r="BS109" s="126"/>
      <c r="BT109" s="16"/>
      <c r="BU109" s="58"/>
      <c r="BW109" s="51">
        <f>VLOOKUP(H109,Charges!$AT$4:$AU$33,2,FALSE)*I109</f>
        <v>0</v>
      </c>
      <c r="BX109" s="51">
        <f t="shared" si="84"/>
        <v>0</v>
      </c>
      <c r="BY109" s="51">
        <f t="shared" si="93"/>
        <v>0</v>
      </c>
      <c r="BZ109" s="151"/>
      <c r="CA109" s="151"/>
      <c r="CB109" s="32"/>
      <c r="CC109" s="16">
        <f ca="1">SUM($N$7:$N109)</f>
        <v>0</v>
      </c>
      <c r="CD109" s="16">
        <f t="shared" ca="1" si="85"/>
        <v>0</v>
      </c>
      <c r="CE109" s="16">
        <f t="shared" ca="1" si="86"/>
        <v>0</v>
      </c>
      <c r="CF109" s="7">
        <f t="shared" ca="1" si="94"/>
        <v>0</v>
      </c>
    </row>
    <row r="110" spans="1:84" s="7" customFormat="1" x14ac:dyDescent="0.2">
      <c r="A110" s="149"/>
      <c r="B110" s="14">
        <f t="shared" si="55"/>
        <v>1</v>
      </c>
      <c r="C110" s="12">
        <f t="shared" si="56"/>
        <v>1</v>
      </c>
      <c r="D110" s="17">
        <f t="shared" si="95"/>
        <v>104</v>
      </c>
      <c r="E110" s="17">
        <f t="shared" ca="1" si="57"/>
        <v>68</v>
      </c>
      <c r="F110" s="12">
        <f t="shared" si="97"/>
        <v>7</v>
      </c>
      <c r="G110" s="12">
        <f t="shared" si="96"/>
        <v>18</v>
      </c>
      <c r="H110" s="17">
        <f t="shared" si="98"/>
        <v>9</v>
      </c>
      <c r="I110" s="29">
        <f t="shared" si="58"/>
        <v>0</v>
      </c>
      <c r="J110" s="211">
        <f>IFERROR(VLOOKUP(H110,Charges!$T$6:$U$35,2,0)*C110,0)</f>
        <v>0.98</v>
      </c>
      <c r="K110" s="29">
        <f t="shared" si="59"/>
        <v>0</v>
      </c>
      <c r="L110" s="29">
        <f t="shared" si="60"/>
        <v>0</v>
      </c>
      <c r="M110" s="147">
        <f t="shared" ca="1" si="61"/>
        <v>0</v>
      </c>
      <c r="N110" s="148">
        <f ca="1">IF(AND(Option_SPW="Y",H110&gt;=Lock_In_Period,Z109&gt;SPW_Amount_pa+IF(option="Single",1/5*pr,2*pr),H110&gt;=SPW_Start_Year,H110&lt;=SPW_Start_Year+SPW_Duration-1,age+H110&gt;=Legal_Age),IF(AND(F110=0,SPW_Payout_Freq=1),SPW_Amount_pa,IF(AND(SPW_Payout_Freq=2,MOD(F110,6)=0),SPW_Amount_pa/SPW_Payout_Freq,IF(AND(SPW_Payout_Freq=4,MOD(F110,3)=0),SPW_Amount_pa/SPW_Payout_Freq,IF(SPW_Payout_Freq=12,SPW_Amount_pa/SPW_Payout_Freq,0)))),0)+IFERROR(VLOOKUP(H110,Input!$B$68:$C$74,2,0),0)*(F110=0)*(Option_PW="Y")*(Option_SPW="N")*(age+H110&gt;=Legal_Age)</f>
        <v>0</v>
      </c>
      <c r="O110" s="148">
        <f t="shared" ca="1" si="87"/>
        <v>0</v>
      </c>
      <c r="P110" s="14">
        <f ca="1">(MAX(MAX(sa-CF109*Flag_UL_Type,105%*SUM($I$7:I110))-(AD109+L110-N110)*Flag_UL_Type,0)*B110)</f>
        <v>428179.69537668815</v>
      </c>
      <c r="Q110" s="213">
        <f t="shared" ca="1" si="62"/>
        <v>704.14150904696328</v>
      </c>
      <c r="R110" s="14">
        <f t="shared" ca="1" si="63"/>
        <v>0</v>
      </c>
      <c r="S110" s="14">
        <f t="shared" ca="1" si="64"/>
        <v>0</v>
      </c>
      <c r="T110" s="14">
        <f>IFERROR(IF(WoP_Flag="Y",IF(fq=1,VLOOKUP(ppt*fq-H110,Charges!$AN$41:$AO$59,2,FALSE),IF(fq=2,VLOOKUP(ppt*fq-G110,Charges!$AP$41:$AQ$79,2,FALSE),VLOOKUP(ppt*fq-D110,Charges!$AR$41:$AS$279,2,FALSE)))*pr/fq,0),0)</f>
        <v>0</v>
      </c>
      <c r="U110" s="14">
        <f ca="1">IFERROR(((T110*(VLOOKUP(Input!$D$18+H110-1,Tab_Mort_Charge,IF(Gender_2="M",2,3),FALSE)*(1+_emr2)+_rpm2)/IF(Model_Type="LA_PQIS",1000/0.0833,(12*1000))))*Flag_Mort_Rider_Charge*(T110&gt;0),0)</f>
        <v>0</v>
      </c>
      <c r="V110" s="34">
        <f>ROUND(MIN(IF(H110&gt;=7,Charges!$C$12*(1+Charges!$C$14)^((H110-7+1)),VLOOKUP(H110,Charges!$B$7:$C$12,2,0))*pr,Charges!$C$13)*B110,Round)</f>
        <v>500</v>
      </c>
      <c r="W110" s="14">
        <f t="shared" ca="1" si="65"/>
        <v>2570399.4176426362</v>
      </c>
      <c r="X110" s="14">
        <f t="shared" ca="1" si="66"/>
        <v>2578814.2364723138</v>
      </c>
      <c r="Y110" s="213">
        <f t="shared" ca="1" si="88"/>
        <v>2902.7448600509374</v>
      </c>
      <c r="Z110" s="14">
        <f t="shared" ca="1" si="67"/>
        <v>2575388.9975374537</v>
      </c>
      <c r="AA110" s="14">
        <f>IF(AND($H110=pt,$F110=11),SUM($K$7:K110)*VLOOKUP(pt,ROC,2,FALSE),0)</f>
        <v>0</v>
      </c>
      <c r="AB110" s="14">
        <f>IF(AND($H110=pt,$F110=11),SUM($V$7:V110)*VLOOKUP(pt,ROC,2,FALSE),0)</f>
        <v>0</v>
      </c>
      <c r="AC110" s="14">
        <f>IF(AND($H110=pt,$F110=11),SUM($Q$7:Q110)*VLOOKUP(pt,ROC,2,FALSE),0)</f>
        <v>0</v>
      </c>
      <c r="AD110" s="14">
        <f t="shared" ca="1" si="89"/>
        <v>2575388.9975374537</v>
      </c>
      <c r="AE110" s="14">
        <f ca="1">(MAX(sa-CF109*Flag_UL_Type,105%*SUM($I$7:I110),Z110)+AU110)*B110</f>
        <v>3000000</v>
      </c>
      <c r="AF110" s="136"/>
      <c r="AG110" s="18">
        <v>104</v>
      </c>
      <c r="AH110" s="30">
        <f t="shared" ca="1" si="68"/>
        <v>0</v>
      </c>
      <c r="AI110" s="58"/>
      <c r="AJ110" s="50">
        <f>IF(AND(Option_Sys_TopUp&gt;="Y",H110&gt;=sytp,H110&lt;=(dtp+sytp-1),F110=0,H110&lt;=ppt+1),atp,0)+IFERROR(VLOOKUP(H110,Input!$B$55:$C$61,2,0),0)*(F110=0)*(Option_TopUP="Y")*(Option_Sys_TopUp="N")*B110*(pt&gt;=H110+5)</f>
        <v>0</v>
      </c>
      <c r="AK110" s="50">
        <f t="shared" si="69"/>
        <v>0</v>
      </c>
      <c r="AL110" s="50">
        <f t="shared" si="90"/>
        <v>0</v>
      </c>
      <c r="AM110" s="50">
        <f t="shared" ca="1" si="70"/>
        <v>0</v>
      </c>
      <c r="AN110" s="50">
        <f ca="1">IF(B110=0,0,AT110*(_rpm1+(1+_emr1)*VLOOKUP(E110,Tab_Mort_Charge,IF(Input!$C$12="M",2,3),0))*(0.001*0.0833)*Flag_Mort_Rider_Charge*(AT110&gt;0))</f>
        <v>0</v>
      </c>
      <c r="AO110" s="50">
        <f t="shared" ca="1" si="91"/>
        <v>0</v>
      </c>
      <c r="AP110" s="50">
        <f t="shared" ca="1" si="99"/>
        <v>0</v>
      </c>
      <c r="AQ110" s="50">
        <f t="shared" ca="1" si="71"/>
        <v>0</v>
      </c>
      <c r="AR110" s="50">
        <f t="shared" ca="1" si="72"/>
        <v>0</v>
      </c>
      <c r="AS110" s="50">
        <f t="shared" si="73"/>
        <v>0</v>
      </c>
      <c r="AT110" s="50">
        <f ca="1">(MAX((MAX(AS110,105%*SUM($AJ$7:AJ110))-AM110*Flag_UL_Type),0)*B110)</f>
        <v>0</v>
      </c>
      <c r="AU110" s="50">
        <f ca="1">(MAX(AS110,AR110,105%*SUM($AJ$7:AJ110))*B110)</f>
        <v>0</v>
      </c>
      <c r="AV110" s="125"/>
      <c r="AW110" s="13"/>
      <c r="AX110" s="13"/>
      <c r="AY110" s="13"/>
      <c r="AZ110" s="13"/>
      <c r="BA110" s="13"/>
      <c r="BG110" s="51">
        <f t="shared" si="74"/>
        <v>0</v>
      </c>
      <c r="BH110" s="51">
        <f t="shared" ca="1" si="75"/>
        <v>126.745471628453</v>
      </c>
      <c r="BI110" s="51">
        <f t="shared" ca="1" si="76"/>
        <v>0</v>
      </c>
      <c r="BJ110" s="51">
        <f t="shared" ca="1" si="77"/>
        <v>0</v>
      </c>
      <c r="BK110" s="51">
        <f t="shared" si="78"/>
        <v>90</v>
      </c>
      <c r="BL110" s="51">
        <f t="shared" ca="1" si="79"/>
        <v>522.49407480916875</v>
      </c>
      <c r="BM110" s="51">
        <f t="shared" si="80"/>
        <v>0</v>
      </c>
      <c r="BN110" s="51">
        <f t="shared" ca="1" si="81"/>
        <v>0</v>
      </c>
      <c r="BO110" s="51">
        <f t="shared" ca="1" si="82"/>
        <v>0</v>
      </c>
      <c r="BP110" s="51">
        <f t="shared" ca="1" si="83"/>
        <v>739.23954643762181</v>
      </c>
      <c r="BQ110" s="120"/>
      <c r="BR110" s="32"/>
      <c r="BS110" s="126"/>
      <c r="BT110" s="16"/>
      <c r="BU110" s="58"/>
      <c r="BW110" s="51">
        <f>VLOOKUP(H110,Charges!$AT$4:$AU$33,2,FALSE)*I110</f>
        <v>0</v>
      </c>
      <c r="BX110" s="51">
        <f t="shared" si="84"/>
        <v>0</v>
      </c>
      <c r="BY110" s="51">
        <f t="shared" si="93"/>
        <v>0</v>
      </c>
      <c r="BZ110" s="151"/>
      <c r="CA110" s="151"/>
      <c r="CB110" s="32"/>
      <c r="CC110" s="16">
        <f ca="1">SUM($N$7:$N110)</f>
        <v>0</v>
      </c>
      <c r="CD110" s="16">
        <f t="shared" ca="1" si="85"/>
        <v>0</v>
      </c>
      <c r="CE110" s="16">
        <f t="shared" ca="1" si="86"/>
        <v>0</v>
      </c>
      <c r="CF110" s="7">
        <f t="shared" ca="1" si="94"/>
        <v>0</v>
      </c>
    </row>
    <row r="111" spans="1:84" s="7" customFormat="1" x14ac:dyDescent="0.2">
      <c r="A111" s="149"/>
      <c r="B111" s="14">
        <f t="shared" si="55"/>
        <v>1</v>
      </c>
      <c r="C111" s="12">
        <f t="shared" si="56"/>
        <v>1</v>
      </c>
      <c r="D111" s="17">
        <f t="shared" si="95"/>
        <v>105</v>
      </c>
      <c r="E111" s="17">
        <f t="shared" ca="1" si="57"/>
        <v>68</v>
      </c>
      <c r="F111" s="12">
        <f t="shared" si="97"/>
        <v>8</v>
      </c>
      <c r="G111" s="12">
        <f t="shared" si="96"/>
        <v>18</v>
      </c>
      <c r="H111" s="17">
        <f t="shared" si="98"/>
        <v>9</v>
      </c>
      <c r="I111" s="29">
        <f t="shared" si="58"/>
        <v>0</v>
      </c>
      <c r="J111" s="211">
        <f>IFERROR(VLOOKUP(H111,Charges!$T$6:$U$35,2,0)*C111,0)</f>
        <v>0.98</v>
      </c>
      <c r="K111" s="29">
        <f t="shared" si="59"/>
        <v>0</v>
      </c>
      <c r="L111" s="29">
        <f t="shared" si="60"/>
        <v>0</v>
      </c>
      <c r="M111" s="147">
        <f t="shared" ca="1" si="61"/>
        <v>0</v>
      </c>
      <c r="N111" s="148">
        <f ca="1">IF(AND(Option_SPW="Y",H111&gt;=Lock_In_Period,Z110&gt;SPW_Amount_pa+IF(option="Single",1/5*pr,2*pr),H111&gt;=SPW_Start_Year,H111&lt;=SPW_Start_Year+SPW_Duration-1,age+H111&gt;=Legal_Age),IF(AND(F111=0,SPW_Payout_Freq=1),SPW_Amount_pa,IF(AND(SPW_Payout_Freq=2,MOD(F111,6)=0),SPW_Amount_pa/SPW_Payout_Freq,IF(AND(SPW_Payout_Freq=4,MOD(F111,3)=0),SPW_Amount_pa/SPW_Payout_Freq,IF(SPW_Payout_Freq=12,SPW_Amount_pa/SPW_Payout_Freq,0)))),0)+IFERROR(VLOOKUP(H111,Input!$B$68:$C$74,2,0),0)*(F111=0)*(Option_PW="Y")*(Option_SPW="N")*(age+H111&gt;=Legal_Age)</f>
        <v>0</v>
      </c>
      <c r="O111" s="148">
        <f t="shared" ca="1" si="87"/>
        <v>0</v>
      </c>
      <c r="P111" s="14">
        <f ca="1">(MAX(MAX(sa-CF110*Flag_UL_Type,105%*SUM($I$7:I111))-(AD110+L111-N111)*Flag_UL_Type,0)*B111)</f>
        <v>424611.00246254634</v>
      </c>
      <c r="Q111" s="213">
        <f t="shared" ca="1" si="62"/>
        <v>698.27279354965742</v>
      </c>
      <c r="R111" s="14">
        <f t="shared" ca="1" si="63"/>
        <v>0</v>
      </c>
      <c r="S111" s="14">
        <f t="shared" ca="1" si="64"/>
        <v>0</v>
      </c>
      <c r="T111" s="14">
        <f>IFERROR(IF(WoP_Flag="Y",IF(fq=1,VLOOKUP(ppt*fq-H111,Charges!$AN$41:$AO$59,2,FALSE),IF(fq=2,VLOOKUP(ppt*fq-G111,Charges!$AP$41:$AQ$79,2,FALSE),VLOOKUP(ppt*fq-D111,Charges!$AR$41:$AS$279,2,FALSE)))*pr/fq,0),0)</f>
        <v>0</v>
      </c>
      <c r="U111" s="14">
        <f ca="1">IFERROR(((T111*(VLOOKUP(Input!$D$18+H111-1,Tab_Mort_Charge,IF(Gender_2="M",2,3),FALSE)*(1+_emr2)+_rpm2)/IF(Model_Type="LA_PQIS",1000/0.0833,(12*1000))))*Flag_Mort_Rider_Charge*(T111&gt;0),0)</f>
        <v>0</v>
      </c>
      <c r="V111" s="34">
        <f>ROUND(MIN(IF(H111&gt;=7,Charges!$C$12*(1+Charges!$C$14)^((H111-7+1)),VLOOKUP(H111,Charges!$B$7:$C$12,2,0))*pr,Charges!$C$13)*B111,Round)</f>
        <v>500</v>
      </c>
      <c r="W111" s="14">
        <f t="shared" ca="1" si="65"/>
        <v>2573975.0356410649</v>
      </c>
      <c r="X111" s="14">
        <f t="shared" ca="1" si="66"/>
        <v>2582401.5601136298</v>
      </c>
      <c r="Y111" s="213">
        <f t="shared" ca="1" si="88"/>
        <v>2906.7827954376344</v>
      </c>
      <c r="Z111" s="14">
        <f t="shared" ca="1" si="67"/>
        <v>2578971.5564150135</v>
      </c>
      <c r="AA111" s="14">
        <f>IF(AND($H111=pt,$F111=11),SUM($K$7:K111)*VLOOKUP(pt,ROC,2,FALSE),0)</f>
        <v>0</v>
      </c>
      <c r="AB111" s="14">
        <f>IF(AND($H111=pt,$F111=11),SUM($V$7:V111)*VLOOKUP(pt,ROC,2,FALSE),0)</f>
        <v>0</v>
      </c>
      <c r="AC111" s="14">
        <f>IF(AND($H111=pt,$F111=11),SUM($Q$7:Q111)*VLOOKUP(pt,ROC,2,FALSE),0)</f>
        <v>0</v>
      </c>
      <c r="AD111" s="14">
        <f t="shared" ca="1" si="89"/>
        <v>2578971.5564150135</v>
      </c>
      <c r="AE111" s="14">
        <f ca="1">(MAX(sa-CF110*Flag_UL_Type,105%*SUM($I$7:I111),Z111)+AU111)*B111</f>
        <v>3000000</v>
      </c>
      <c r="AF111" s="136"/>
      <c r="AG111" s="18">
        <v>105</v>
      </c>
      <c r="AH111" s="30">
        <f t="shared" ca="1" si="68"/>
        <v>0</v>
      </c>
      <c r="AI111" s="58"/>
      <c r="AJ111" s="50">
        <f>IF(AND(Option_Sys_TopUp&gt;="Y",H111&gt;=sytp,H111&lt;=(dtp+sytp-1),F111=0,H111&lt;=ppt+1),atp,0)+IFERROR(VLOOKUP(H111,Input!$B$55:$C$61,2,0),0)*(F111=0)*(Option_TopUP="Y")*(Option_Sys_TopUp="N")*B111*(pt&gt;=H111+5)</f>
        <v>0</v>
      </c>
      <c r="AK111" s="50">
        <f t="shared" si="69"/>
        <v>0</v>
      </c>
      <c r="AL111" s="50">
        <f t="shared" si="90"/>
        <v>0</v>
      </c>
      <c r="AM111" s="50">
        <f t="shared" ca="1" si="70"/>
        <v>0</v>
      </c>
      <c r="AN111" s="50">
        <f ca="1">IF(B111=0,0,AT111*(_rpm1+(1+_emr1)*VLOOKUP(E111,Tab_Mort_Charge,IF(Input!$C$12="M",2,3),0))*(0.001*0.0833)*Flag_Mort_Rider_Charge*(AT111&gt;0))</f>
        <v>0</v>
      </c>
      <c r="AO111" s="50">
        <f t="shared" ca="1" si="91"/>
        <v>0</v>
      </c>
      <c r="AP111" s="50">
        <f t="shared" ca="1" si="99"/>
        <v>0</v>
      </c>
      <c r="AQ111" s="50">
        <f t="shared" ca="1" si="71"/>
        <v>0</v>
      </c>
      <c r="AR111" s="50">
        <f t="shared" ca="1" si="72"/>
        <v>0</v>
      </c>
      <c r="AS111" s="50">
        <f t="shared" si="73"/>
        <v>0</v>
      </c>
      <c r="AT111" s="50">
        <f ca="1">(MAX((MAX(AS111,105%*SUM($AJ$7:AJ111))-AM111*Flag_UL_Type),0)*B111)</f>
        <v>0</v>
      </c>
      <c r="AU111" s="50">
        <f ca="1">(MAX(AS111,AR111,105%*SUM($AJ$7:AJ111))*B111)</f>
        <v>0</v>
      </c>
      <c r="AV111" s="125"/>
      <c r="AW111" s="13"/>
      <c r="AX111" s="13"/>
      <c r="AY111" s="13"/>
      <c r="AZ111" s="13"/>
      <c r="BA111" s="13"/>
      <c r="BG111" s="51">
        <f t="shared" si="74"/>
        <v>0</v>
      </c>
      <c r="BH111" s="51">
        <f t="shared" ca="1" si="75"/>
        <v>125.689102838938</v>
      </c>
      <c r="BI111" s="51">
        <f t="shared" ca="1" si="76"/>
        <v>0</v>
      </c>
      <c r="BJ111" s="51">
        <f t="shared" ca="1" si="77"/>
        <v>0</v>
      </c>
      <c r="BK111" s="51">
        <f t="shared" si="78"/>
        <v>90</v>
      </c>
      <c r="BL111" s="51">
        <f t="shared" ca="1" si="79"/>
        <v>523.22090317877417</v>
      </c>
      <c r="BM111" s="51">
        <f t="shared" si="80"/>
        <v>0</v>
      </c>
      <c r="BN111" s="51">
        <f t="shared" ca="1" si="81"/>
        <v>0</v>
      </c>
      <c r="BO111" s="51">
        <f t="shared" ca="1" si="82"/>
        <v>0</v>
      </c>
      <c r="BP111" s="51">
        <f t="shared" ca="1" si="83"/>
        <v>738.91000601771213</v>
      </c>
      <c r="BQ111" s="120"/>
      <c r="BR111" s="32"/>
      <c r="BS111" s="126"/>
      <c r="BT111" s="16"/>
      <c r="BU111" s="58"/>
      <c r="BW111" s="51">
        <f>VLOOKUP(H111,Charges!$AT$4:$AU$33,2,FALSE)*I111</f>
        <v>0</v>
      </c>
      <c r="BX111" s="51">
        <f t="shared" si="84"/>
        <v>0</v>
      </c>
      <c r="BY111" s="51">
        <f t="shared" si="93"/>
        <v>0</v>
      </c>
      <c r="BZ111" s="151"/>
      <c r="CA111" s="151"/>
      <c r="CB111" s="32"/>
      <c r="CC111" s="16">
        <f ca="1">SUM($N$7:$N111)</f>
        <v>0</v>
      </c>
      <c r="CD111" s="16">
        <f t="shared" ca="1" si="85"/>
        <v>0</v>
      </c>
      <c r="CE111" s="16">
        <f t="shared" ca="1" si="86"/>
        <v>0</v>
      </c>
      <c r="CF111" s="7">
        <f t="shared" ca="1" si="94"/>
        <v>0</v>
      </c>
    </row>
    <row r="112" spans="1:84" s="7" customFormat="1" x14ac:dyDescent="0.2">
      <c r="A112" s="149"/>
      <c r="B112" s="14">
        <f t="shared" si="55"/>
        <v>1</v>
      </c>
      <c r="C112" s="12">
        <f t="shared" si="56"/>
        <v>1</v>
      </c>
      <c r="D112" s="17">
        <f t="shared" si="95"/>
        <v>106</v>
      </c>
      <c r="E112" s="17">
        <f t="shared" ca="1" si="57"/>
        <v>68</v>
      </c>
      <c r="F112" s="12">
        <f t="shared" si="97"/>
        <v>9</v>
      </c>
      <c r="G112" s="12">
        <f t="shared" si="96"/>
        <v>18</v>
      </c>
      <c r="H112" s="17">
        <f t="shared" si="98"/>
        <v>9</v>
      </c>
      <c r="I112" s="29">
        <f t="shared" si="58"/>
        <v>0</v>
      </c>
      <c r="J112" s="211">
        <f>IFERROR(VLOOKUP(H112,Charges!$T$6:$U$35,2,0)*C112,0)</f>
        <v>0.98</v>
      </c>
      <c r="K112" s="29">
        <f t="shared" si="59"/>
        <v>0</v>
      </c>
      <c r="L112" s="29">
        <f t="shared" si="60"/>
        <v>0</v>
      </c>
      <c r="M112" s="147">
        <f t="shared" ca="1" si="61"/>
        <v>0</v>
      </c>
      <c r="N112" s="148">
        <f ca="1">IF(AND(Option_SPW="Y",H112&gt;=Lock_In_Period,Z111&gt;SPW_Amount_pa+IF(option="Single",1/5*pr,2*pr),H112&gt;=SPW_Start_Year,H112&lt;=SPW_Start_Year+SPW_Duration-1,age+H112&gt;=Legal_Age),IF(AND(F112=0,SPW_Payout_Freq=1),SPW_Amount_pa,IF(AND(SPW_Payout_Freq=2,MOD(F112,6)=0),SPW_Amount_pa/SPW_Payout_Freq,IF(AND(SPW_Payout_Freq=4,MOD(F112,3)=0),SPW_Amount_pa/SPW_Payout_Freq,IF(SPW_Payout_Freq=12,SPW_Amount_pa/SPW_Payout_Freq,0)))),0)+IFERROR(VLOOKUP(H112,Input!$B$68:$C$74,2,0),0)*(F112=0)*(Option_PW="Y")*(Option_SPW="N")*(age+H112&gt;=Legal_Age)</f>
        <v>0</v>
      </c>
      <c r="O112" s="148">
        <f t="shared" ca="1" si="87"/>
        <v>0</v>
      </c>
      <c r="P112" s="14">
        <f ca="1">(MAX(MAX(sa-CF111*Flag_UL_Type,105%*SUM($I$7:I112))-(AD111+L112-N112)*Flag_UL_Type,0)*B112)</f>
        <v>421028.4435849865</v>
      </c>
      <c r="Q112" s="213">
        <f t="shared" ca="1" si="62"/>
        <v>692.38127547550994</v>
      </c>
      <c r="R112" s="14">
        <f t="shared" ca="1" si="63"/>
        <v>0</v>
      </c>
      <c r="S112" s="14">
        <f t="shared" ca="1" si="64"/>
        <v>0</v>
      </c>
      <c r="T112" s="14">
        <f>IFERROR(IF(WoP_Flag="Y",IF(fq=1,VLOOKUP(ppt*fq-H112,Charges!$AN$41:$AO$59,2,FALSE),IF(fq=2,VLOOKUP(ppt*fq-G112,Charges!$AP$41:$AQ$79,2,FALSE),VLOOKUP(ppt*fq-D112,Charges!$AR$41:$AS$279,2,FALSE)))*pr/fq,0),0)</f>
        <v>0</v>
      </c>
      <c r="U112" s="14">
        <f ca="1">IFERROR(((T112*(VLOOKUP(Input!$D$18+H112-1,Tab_Mort_Charge,IF(Gender_2="M",2,3),FALSE)*(1+_emr2)+_rpm2)/IF(Model_Type="LA_PQIS",1000/0.0833,(12*1000))))*Flag_Mort_Rider_Charge*(T112&gt;0),0)</f>
        <v>0</v>
      </c>
      <c r="V112" s="34">
        <f>ROUND(MIN(IF(H112&gt;=7,Charges!$C$12*(1+Charges!$C$14)^((H112-7+1)),VLOOKUP(H112,Charges!$B$7:$C$12,2,0))*pr,Charges!$C$13)*B112,Round)</f>
        <v>500</v>
      </c>
      <c r="W112" s="14">
        <f t="shared" ca="1" si="65"/>
        <v>2577564.5465099523</v>
      </c>
      <c r="X112" s="14">
        <f t="shared" ca="1" si="66"/>
        <v>2586002.8221070473</v>
      </c>
      <c r="Y112" s="213">
        <f t="shared" ca="1" si="88"/>
        <v>2910.8364200040123</v>
      </c>
      <c r="Z112" s="14">
        <f t="shared" ca="1" si="67"/>
        <v>2582568.0351314424</v>
      </c>
      <c r="AA112" s="14">
        <f>IF(AND($H112=pt,$F112=11),SUM($K$7:K112)*VLOOKUP(pt,ROC,2,FALSE),0)</f>
        <v>0</v>
      </c>
      <c r="AB112" s="14">
        <f>IF(AND($H112=pt,$F112=11),SUM($V$7:V112)*VLOOKUP(pt,ROC,2,FALSE),0)</f>
        <v>0</v>
      </c>
      <c r="AC112" s="14">
        <f>IF(AND($H112=pt,$F112=11),SUM($Q$7:Q112)*VLOOKUP(pt,ROC,2,FALSE),0)</f>
        <v>0</v>
      </c>
      <c r="AD112" s="14">
        <f t="shared" ca="1" si="89"/>
        <v>2582568.0351314424</v>
      </c>
      <c r="AE112" s="14">
        <f ca="1">(MAX(sa-CF111*Flag_UL_Type,105%*SUM($I$7:I112),Z112)+AU112)*B112</f>
        <v>3000000</v>
      </c>
      <c r="AF112" s="136"/>
      <c r="AG112" s="18">
        <v>106</v>
      </c>
      <c r="AH112" s="30">
        <f t="shared" ca="1" si="68"/>
        <v>0</v>
      </c>
      <c r="AI112" s="58"/>
      <c r="AJ112" s="50">
        <f>IF(AND(Option_Sys_TopUp&gt;="Y",H112&gt;=sytp,H112&lt;=(dtp+sytp-1),F112=0,H112&lt;=ppt+1),atp,0)+IFERROR(VLOOKUP(H112,Input!$B$55:$C$61,2,0),0)*(F112=0)*(Option_TopUP="Y")*(Option_Sys_TopUp="N")*B112*(pt&gt;=H112+5)</f>
        <v>0</v>
      </c>
      <c r="AK112" s="50">
        <f t="shared" si="69"/>
        <v>0</v>
      </c>
      <c r="AL112" s="50">
        <f t="shared" si="90"/>
        <v>0</v>
      </c>
      <c r="AM112" s="50">
        <f t="shared" ca="1" si="70"/>
        <v>0</v>
      </c>
      <c r="AN112" s="50">
        <f ca="1">IF(B112=0,0,AT112*(_rpm1+(1+_emr1)*VLOOKUP(E112,Tab_Mort_Charge,IF(Input!$C$12="M",2,3),0))*(0.001*0.0833)*Flag_Mort_Rider_Charge*(AT112&gt;0))</f>
        <v>0</v>
      </c>
      <c r="AO112" s="50">
        <f t="shared" ca="1" si="91"/>
        <v>0</v>
      </c>
      <c r="AP112" s="50">
        <f t="shared" ca="1" si="99"/>
        <v>0</v>
      </c>
      <c r="AQ112" s="50">
        <f t="shared" ca="1" si="71"/>
        <v>0</v>
      </c>
      <c r="AR112" s="50">
        <f t="shared" ca="1" si="72"/>
        <v>0</v>
      </c>
      <c r="AS112" s="50">
        <f t="shared" si="73"/>
        <v>0</v>
      </c>
      <c r="AT112" s="50">
        <f ca="1">(MAX((MAX(AS112,105%*SUM($AJ$7:AJ112))-AM112*Flag_UL_Type),0)*B112)</f>
        <v>0</v>
      </c>
      <c r="AU112" s="50">
        <f ca="1">(MAX(AS112,AR112,105%*SUM($AJ$7:AJ112))*B112)</f>
        <v>0</v>
      </c>
      <c r="AV112" s="125"/>
      <c r="AW112" s="13"/>
      <c r="AX112" s="13"/>
      <c r="AY112" s="13"/>
      <c r="AZ112" s="13"/>
      <c r="BA112" s="13"/>
      <c r="BG112" s="51">
        <f t="shared" si="74"/>
        <v>0</v>
      </c>
      <c r="BH112" s="51">
        <f t="shared" ca="1" si="75"/>
        <v>124.62862958559199</v>
      </c>
      <c r="BI112" s="51">
        <f t="shared" ca="1" si="76"/>
        <v>0</v>
      </c>
      <c r="BJ112" s="51">
        <f t="shared" ca="1" si="77"/>
        <v>0</v>
      </c>
      <c r="BK112" s="51">
        <f t="shared" si="78"/>
        <v>90</v>
      </c>
      <c r="BL112" s="51">
        <f t="shared" ca="1" si="79"/>
        <v>523.95055560072217</v>
      </c>
      <c r="BM112" s="51">
        <f t="shared" si="80"/>
        <v>0</v>
      </c>
      <c r="BN112" s="51">
        <f t="shared" ca="1" si="81"/>
        <v>0</v>
      </c>
      <c r="BO112" s="51">
        <f t="shared" ca="1" si="82"/>
        <v>0</v>
      </c>
      <c r="BP112" s="51">
        <f t="shared" ca="1" si="83"/>
        <v>738.57918518631413</v>
      </c>
      <c r="BQ112" s="120"/>
      <c r="BR112" s="32"/>
      <c r="BS112" s="126"/>
      <c r="BT112" s="16"/>
      <c r="BU112" s="58"/>
      <c r="BW112" s="51">
        <f>VLOOKUP(H112,Charges!$AT$4:$AU$33,2,FALSE)*I112</f>
        <v>0</v>
      </c>
      <c r="BX112" s="51">
        <f t="shared" si="84"/>
        <v>0</v>
      </c>
      <c r="BY112" s="51">
        <f t="shared" si="93"/>
        <v>0</v>
      </c>
      <c r="BZ112" s="151"/>
      <c r="CA112" s="151"/>
      <c r="CB112" s="32"/>
      <c r="CC112" s="16">
        <f ca="1">SUM($N$7:$N112)</f>
        <v>0</v>
      </c>
      <c r="CD112" s="16">
        <f t="shared" ca="1" si="85"/>
        <v>0</v>
      </c>
      <c r="CE112" s="16">
        <f t="shared" ca="1" si="86"/>
        <v>0</v>
      </c>
      <c r="CF112" s="7">
        <f t="shared" ca="1" si="94"/>
        <v>0</v>
      </c>
    </row>
    <row r="113" spans="1:84" s="7" customFormat="1" x14ac:dyDescent="0.2">
      <c r="A113" s="149"/>
      <c r="B113" s="14">
        <f t="shared" si="55"/>
        <v>1</v>
      </c>
      <c r="C113" s="12">
        <f t="shared" si="56"/>
        <v>1</v>
      </c>
      <c r="D113" s="17">
        <f t="shared" si="95"/>
        <v>107</v>
      </c>
      <c r="E113" s="17">
        <f t="shared" ca="1" si="57"/>
        <v>68</v>
      </c>
      <c r="F113" s="12">
        <f t="shared" si="97"/>
        <v>10</v>
      </c>
      <c r="G113" s="12">
        <f t="shared" si="96"/>
        <v>18</v>
      </c>
      <c r="H113" s="17">
        <f t="shared" si="98"/>
        <v>9</v>
      </c>
      <c r="I113" s="29">
        <f t="shared" si="58"/>
        <v>0</v>
      </c>
      <c r="J113" s="211">
        <f>IFERROR(VLOOKUP(H113,Charges!$T$6:$U$35,2,0)*C113,0)</f>
        <v>0.98</v>
      </c>
      <c r="K113" s="29">
        <f t="shared" si="59"/>
        <v>0</v>
      </c>
      <c r="L113" s="29">
        <f t="shared" si="60"/>
        <v>0</v>
      </c>
      <c r="M113" s="147">
        <f t="shared" ca="1" si="61"/>
        <v>0</v>
      </c>
      <c r="N113" s="148">
        <f ca="1">IF(AND(Option_SPW="Y",H113&gt;=Lock_In_Period,Z112&gt;SPW_Amount_pa+IF(option="Single",1/5*pr,2*pr),H113&gt;=SPW_Start_Year,H113&lt;=SPW_Start_Year+SPW_Duration-1,age+H113&gt;=Legal_Age),IF(AND(F113=0,SPW_Payout_Freq=1),SPW_Amount_pa,IF(AND(SPW_Payout_Freq=2,MOD(F113,6)=0),SPW_Amount_pa/SPW_Payout_Freq,IF(AND(SPW_Payout_Freq=4,MOD(F113,3)=0),SPW_Amount_pa/SPW_Payout_Freq,IF(SPW_Payout_Freq=12,SPW_Amount_pa/SPW_Payout_Freq,0)))),0)+IFERROR(VLOOKUP(H113,Input!$B$68:$C$74,2,0),0)*(F113=0)*(Option_PW="Y")*(Option_SPW="N")*(age+H113&gt;=Legal_Age)</f>
        <v>0</v>
      </c>
      <c r="O113" s="148">
        <f t="shared" ca="1" si="87"/>
        <v>0</v>
      </c>
      <c r="P113" s="14">
        <f ca="1">(MAX(MAX(sa-CF112*Flag_UL_Type,105%*SUM($I$7:I113))-(AD112+L113-N113)*Flag_UL_Type,0)*B113)</f>
        <v>417431.96486855764</v>
      </c>
      <c r="Q113" s="213">
        <f t="shared" ca="1" si="62"/>
        <v>686.46686622634331</v>
      </c>
      <c r="R113" s="14">
        <f t="shared" ca="1" si="63"/>
        <v>0</v>
      </c>
      <c r="S113" s="14">
        <f t="shared" ca="1" si="64"/>
        <v>0</v>
      </c>
      <c r="T113" s="14">
        <f>IFERROR(IF(WoP_Flag="Y",IF(fq=1,VLOOKUP(ppt*fq-H113,Charges!$AN$41:$AO$59,2,FALSE),IF(fq=2,VLOOKUP(ppt*fq-G113,Charges!$AP$41:$AQ$79,2,FALSE),VLOOKUP(ppt*fq-D113,Charges!$AR$41:$AS$279,2,FALSE)))*pr/fq,0),0)</f>
        <v>0</v>
      </c>
      <c r="U113" s="14">
        <f ca="1">IFERROR(((T113*(VLOOKUP(Input!$D$18+H113-1,Tab_Mort_Charge,IF(Gender_2="M",2,3),FALSE)*(1+_emr2)+_rpm2)/IF(Model_Type="LA_PQIS",1000/0.0833,(12*1000))))*Flag_Mort_Rider_Charge*(T113&gt;0),0)</f>
        <v>0</v>
      </c>
      <c r="V113" s="34">
        <f>ROUND(MIN(IF(H113&gt;=7,Charges!$C$12*(1+Charges!$C$14)^((H113-7+1)),VLOOKUP(H113,Charges!$B$7:$C$12,2,0))*pr,Charges!$C$13)*B113,Round)</f>
        <v>500</v>
      </c>
      <c r="W113" s="14">
        <f t="shared" ca="1" si="65"/>
        <v>2581168.0042292951</v>
      </c>
      <c r="X113" s="14">
        <f t="shared" ca="1" si="66"/>
        <v>2589618.0766092795</v>
      </c>
      <c r="Y113" s="213">
        <f t="shared" ca="1" si="88"/>
        <v>2914.9057947095303</v>
      </c>
      <c r="Z113" s="14">
        <f t="shared" ca="1" si="67"/>
        <v>2586178.4877715223</v>
      </c>
      <c r="AA113" s="14">
        <f>IF(AND($H113=pt,$F113=11),SUM($K$7:K113)*VLOOKUP(pt,ROC,2,FALSE),0)</f>
        <v>0</v>
      </c>
      <c r="AB113" s="14">
        <f>IF(AND($H113=pt,$F113=11),SUM($V$7:V113)*VLOOKUP(pt,ROC,2,FALSE),0)</f>
        <v>0</v>
      </c>
      <c r="AC113" s="14">
        <f>IF(AND($H113=pt,$F113=11),SUM($Q$7:Q113)*VLOOKUP(pt,ROC,2,FALSE),0)</f>
        <v>0</v>
      </c>
      <c r="AD113" s="14">
        <f t="shared" ca="1" si="89"/>
        <v>2586178.4877715223</v>
      </c>
      <c r="AE113" s="14">
        <f ca="1">(MAX(sa-CF112*Flag_UL_Type,105%*SUM($I$7:I113),Z113)+AU113)*B113</f>
        <v>3000000</v>
      </c>
      <c r="AF113" s="136"/>
      <c r="AG113" s="18">
        <v>107</v>
      </c>
      <c r="AH113" s="30">
        <f t="shared" ca="1" si="68"/>
        <v>0</v>
      </c>
      <c r="AI113" s="58"/>
      <c r="AJ113" s="50">
        <f>IF(AND(Option_Sys_TopUp&gt;="Y",H113&gt;=sytp,H113&lt;=(dtp+sytp-1),F113=0,H113&lt;=ppt+1),atp,0)+IFERROR(VLOOKUP(H113,Input!$B$55:$C$61,2,0),0)*(F113=0)*(Option_TopUP="Y")*(Option_Sys_TopUp="N")*B113*(pt&gt;=H113+5)</f>
        <v>0</v>
      </c>
      <c r="AK113" s="50">
        <f t="shared" si="69"/>
        <v>0</v>
      </c>
      <c r="AL113" s="50">
        <f t="shared" si="90"/>
        <v>0</v>
      </c>
      <c r="AM113" s="50">
        <f t="shared" ca="1" si="70"/>
        <v>0</v>
      </c>
      <c r="AN113" s="50">
        <f ca="1">IF(B113=0,0,AT113*(_rpm1+(1+_emr1)*VLOOKUP(E113,Tab_Mort_Charge,IF(Input!$C$12="M",2,3),0))*(0.001*0.0833)*Flag_Mort_Rider_Charge*(AT113&gt;0))</f>
        <v>0</v>
      </c>
      <c r="AO113" s="50">
        <f t="shared" ca="1" si="91"/>
        <v>0</v>
      </c>
      <c r="AP113" s="50">
        <f t="shared" ca="1" si="99"/>
        <v>0</v>
      </c>
      <c r="AQ113" s="50">
        <f t="shared" ca="1" si="71"/>
        <v>0</v>
      </c>
      <c r="AR113" s="50">
        <f t="shared" ca="1" si="72"/>
        <v>0</v>
      </c>
      <c r="AS113" s="50">
        <f t="shared" si="73"/>
        <v>0</v>
      </c>
      <c r="AT113" s="50">
        <f ca="1">(MAX((MAX(AS113,105%*SUM($AJ$7:AJ113))-AM113*Flag_UL_Type),0)*B113)</f>
        <v>0</v>
      </c>
      <c r="AU113" s="50">
        <f ca="1">(MAX(AS113,AR113,105%*SUM($AJ$7:AJ113))*B113)</f>
        <v>0</v>
      </c>
      <c r="AV113" s="125"/>
      <c r="AW113" s="13"/>
      <c r="AX113" s="13"/>
      <c r="AY113" s="13"/>
      <c r="AZ113" s="13"/>
      <c r="BA113" s="13"/>
      <c r="BG113" s="51">
        <f t="shared" si="74"/>
        <v>0</v>
      </c>
      <c r="BH113" s="51">
        <f t="shared" ca="1" si="75"/>
        <v>123.564035920742</v>
      </c>
      <c r="BI113" s="51">
        <f t="shared" ca="1" si="76"/>
        <v>0</v>
      </c>
      <c r="BJ113" s="51">
        <f t="shared" ca="1" si="77"/>
        <v>0</v>
      </c>
      <c r="BK113" s="51">
        <f t="shared" si="78"/>
        <v>90</v>
      </c>
      <c r="BL113" s="51">
        <f t="shared" ca="1" si="79"/>
        <v>524.68304304771539</v>
      </c>
      <c r="BM113" s="51">
        <f t="shared" si="80"/>
        <v>0</v>
      </c>
      <c r="BN113" s="51">
        <f t="shared" ca="1" si="81"/>
        <v>0</v>
      </c>
      <c r="BO113" s="51">
        <f t="shared" ca="1" si="82"/>
        <v>0</v>
      </c>
      <c r="BP113" s="51">
        <f t="shared" ca="1" si="83"/>
        <v>738.24707896845734</v>
      </c>
      <c r="BQ113" s="120"/>
      <c r="BR113" s="32"/>
      <c r="BS113" s="126"/>
      <c r="BT113" s="16"/>
      <c r="BU113" s="58"/>
      <c r="BW113" s="51">
        <f>VLOOKUP(H113,Charges!$AT$4:$AU$33,2,FALSE)*I113</f>
        <v>0</v>
      </c>
      <c r="BX113" s="51">
        <f t="shared" si="84"/>
        <v>0</v>
      </c>
      <c r="BY113" s="51">
        <f t="shared" si="93"/>
        <v>0</v>
      </c>
      <c r="BZ113" s="151"/>
      <c r="CA113" s="151"/>
      <c r="CB113" s="32"/>
      <c r="CC113" s="16">
        <f ca="1">SUM($N$7:$N113)</f>
        <v>0</v>
      </c>
      <c r="CD113" s="16">
        <f t="shared" ca="1" si="85"/>
        <v>0</v>
      </c>
      <c r="CE113" s="16">
        <f t="shared" ca="1" si="86"/>
        <v>0</v>
      </c>
      <c r="CF113" s="7">
        <f t="shared" ca="1" si="94"/>
        <v>0</v>
      </c>
    </row>
    <row r="114" spans="1:84" s="7" customFormat="1" ht="13.5" customHeight="1" x14ac:dyDescent="0.2">
      <c r="A114" s="149"/>
      <c r="B114" s="14">
        <f t="shared" si="55"/>
        <v>1</v>
      </c>
      <c r="C114" s="12">
        <f t="shared" si="56"/>
        <v>1</v>
      </c>
      <c r="D114" s="17">
        <f t="shared" si="95"/>
        <v>108</v>
      </c>
      <c r="E114" s="17">
        <f t="shared" ca="1" si="57"/>
        <v>68</v>
      </c>
      <c r="F114" s="12">
        <f t="shared" si="97"/>
        <v>11</v>
      </c>
      <c r="G114" s="12">
        <f t="shared" si="96"/>
        <v>18</v>
      </c>
      <c r="H114" s="17">
        <f t="shared" si="98"/>
        <v>9</v>
      </c>
      <c r="I114" s="29">
        <f t="shared" si="58"/>
        <v>0</v>
      </c>
      <c r="J114" s="211">
        <f>IFERROR(VLOOKUP(H114,Charges!$T$6:$U$35,2,0)*C114,0)</f>
        <v>0.98</v>
      </c>
      <c r="K114" s="29">
        <f t="shared" si="59"/>
        <v>0</v>
      </c>
      <c r="L114" s="29">
        <f t="shared" si="60"/>
        <v>0</v>
      </c>
      <c r="M114" s="147">
        <f t="shared" ca="1" si="61"/>
        <v>0</v>
      </c>
      <c r="N114" s="148">
        <f ca="1">IF(AND(Option_SPW="Y",H114&gt;=Lock_In_Period,Z113&gt;SPW_Amount_pa+IF(option="Single",1/5*pr,2*pr),H114&gt;=SPW_Start_Year,H114&lt;=SPW_Start_Year+SPW_Duration-1,age+H114&gt;=Legal_Age),IF(AND(F114=0,SPW_Payout_Freq=1),SPW_Amount_pa,IF(AND(SPW_Payout_Freq=2,MOD(F114,6)=0),SPW_Amount_pa/SPW_Payout_Freq,IF(AND(SPW_Payout_Freq=4,MOD(F114,3)=0),SPW_Amount_pa/SPW_Payout_Freq,IF(SPW_Payout_Freq=12,SPW_Amount_pa/SPW_Payout_Freq,0)))),0)+IFERROR(VLOOKUP(H114,Input!$B$68:$C$74,2,0),0)*(F114=0)*(Option_PW="Y")*(Option_SPW="N")*(age+H114&gt;=Legal_Age)</f>
        <v>0</v>
      </c>
      <c r="O114" s="148">
        <f t="shared" ca="1" si="87"/>
        <v>0</v>
      </c>
      <c r="P114" s="14">
        <f ca="1">(MAX(MAX(sa-CF113*Flag_UL_Type,105%*SUM($I$7:I114))-(AD113+L114-N114)*Flag_UL_Type,0)*B114)</f>
        <v>413821.51222847775</v>
      </c>
      <c r="Q114" s="213">
        <f t="shared" ca="1" si="62"/>
        <v>680.52947685973163</v>
      </c>
      <c r="R114" s="14">
        <f t="shared" ca="1" si="63"/>
        <v>0</v>
      </c>
      <c r="S114" s="14">
        <f t="shared" ca="1" si="64"/>
        <v>0</v>
      </c>
      <c r="T114" s="14">
        <f>IFERROR(IF(WoP_Flag="Y",IF(fq=1,VLOOKUP(ppt*fq-H114,Charges!$AN$41:$AO$59,2,FALSE),IF(fq=2,VLOOKUP(ppt*fq-G114,Charges!$AP$41:$AQ$79,2,FALSE),VLOOKUP(ppt*fq-D114,Charges!$AR$41:$AS$279,2,FALSE)))*pr/fq,0),0)</f>
        <v>0</v>
      </c>
      <c r="U114" s="14">
        <f ca="1">IFERROR(((T114*(VLOOKUP(Input!$D$18+H114-1,Tab_Mort_Charge,IF(Gender_2="M",2,3),FALSE)*(1+_emr2)+_rpm2)/IF(Model_Type="LA_PQIS",1000/0.0833,(12*1000))))*Flag_Mort_Rider_Charge*(T114&gt;0),0)</f>
        <v>0</v>
      </c>
      <c r="V114" s="34">
        <f>ROUND(MIN(IF(H114&gt;=7,Charges!$C$12*(1+Charges!$C$14)^((H114-7+1)),VLOOKUP(H114,Charges!$B$7:$C$12,2,0))*pr,Charges!$C$13)*B114,Round)</f>
        <v>500</v>
      </c>
      <c r="W114" s="14">
        <f t="shared" ca="1" si="65"/>
        <v>2584785.4629888278</v>
      </c>
      <c r="X114" s="14">
        <f t="shared" ca="1" si="66"/>
        <v>2593247.377987464</v>
      </c>
      <c r="Y114" s="213">
        <f t="shared" ca="1" si="88"/>
        <v>2918.9909807505041</v>
      </c>
      <c r="Z114" s="14">
        <f t="shared" ca="1" si="67"/>
        <v>2589802.9686301784</v>
      </c>
      <c r="AA114" s="14">
        <f>IF(AND($H114=pt,$F114=11),SUM($K$7:K114)*VLOOKUP(pt,ROC,2,FALSE),0)</f>
        <v>0</v>
      </c>
      <c r="AB114" s="14">
        <f>IF(AND($H114=pt,$F114=11),SUM($V$7:V114)*VLOOKUP(pt,ROC,2,FALSE),0)</f>
        <v>0</v>
      </c>
      <c r="AC114" s="14">
        <f>IF(AND($H114=pt,$F114=11),SUM($Q$7:Q114)*VLOOKUP(pt,ROC,2,FALSE),0)</f>
        <v>0</v>
      </c>
      <c r="AD114" s="14">
        <f t="shared" ca="1" si="89"/>
        <v>2589802.9686301784</v>
      </c>
      <c r="AE114" s="14">
        <f ca="1">(MAX(sa-CF113*Flag_UL_Type,105%*SUM($I$7:I114),Z114)+AU114)*B114</f>
        <v>3000000</v>
      </c>
      <c r="AF114" s="136"/>
      <c r="AG114" s="18">
        <v>108</v>
      </c>
      <c r="AH114" s="30">
        <f t="shared" ca="1" si="68"/>
        <v>0</v>
      </c>
      <c r="AI114" s="58"/>
      <c r="AJ114" s="50">
        <f>IF(AND(Option_Sys_TopUp&gt;="Y",H114&gt;=sytp,H114&lt;=(dtp+sytp-1),F114=0,H114&lt;=ppt+1),atp,0)+IFERROR(VLOOKUP(H114,Input!$B$55:$C$61,2,0),0)*(F114=0)*(Option_TopUP="Y")*(Option_Sys_TopUp="N")*B114*(pt&gt;=H114+5)</f>
        <v>0</v>
      </c>
      <c r="AK114" s="50">
        <f t="shared" si="69"/>
        <v>0</v>
      </c>
      <c r="AL114" s="50">
        <f t="shared" si="90"/>
        <v>0</v>
      </c>
      <c r="AM114" s="50">
        <f t="shared" ca="1" si="70"/>
        <v>0</v>
      </c>
      <c r="AN114" s="50">
        <f ca="1">IF(B114=0,0,AT114*(_rpm1+(1+_emr1)*VLOOKUP(E114,Tab_Mort_Charge,IF(Input!$C$12="M",2,3),0))*(0.001*0.0833)*Flag_Mort_Rider_Charge*(AT114&gt;0))</f>
        <v>0</v>
      </c>
      <c r="AO114" s="50">
        <f t="shared" ca="1" si="91"/>
        <v>0</v>
      </c>
      <c r="AP114" s="50">
        <f t="shared" ca="1" si="99"/>
        <v>0</v>
      </c>
      <c r="AQ114" s="50">
        <f t="shared" ca="1" si="71"/>
        <v>0</v>
      </c>
      <c r="AR114" s="50">
        <f t="shared" ca="1" si="72"/>
        <v>0</v>
      </c>
      <c r="AS114" s="50">
        <f t="shared" si="73"/>
        <v>0</v>
      </c>
      <c r="AT114" s="50">
        <f ca="1">(MAX((MAX(AS114,105%*SUM($AJ$7:AJ114))-AM114*Flag_UL_Type),0)*B114)</f>
        <v>0</v>
      </c>
      <c r="AU114" s="50">
        <f ca="1">(MAX(AS114,AR114,105%*SUM($AJ$7:AJ114))*B114)</f>
        <v>0</v>
      </c>
      <c r="AV114" s="125"/>
      <c r="AW114" s="13"/>
      <c r="AX114" s="13"/>
      <c r="AY114" s="13"/>
      <c r="AZ114" s="13"/>
      <c r="BA114" s="13"/>
      <c r="BG114" s="51">
        <f t="shared" si="74"/>
        <v>0</v>
      </c>
      <c r="BH114" s="51">
        <f t="shared" ca="1" si="75"/>
        <v>122.495305834752</v>
      </c>
      <c r="BI114" s="51">
        <f t="shared" ca="1" si="76"/>
        <v>0</v>
      </c>
      <c r="BJ114" s="51">
        <f t="shared" ca="1" si="77"/>
        <v>0</v>
      </c>
      <c r="BK114" s="51">
        <f t="shared" si="78"/>
        <v>90</v>
      </c>
      <c r="BL114" s="51">
        <f t="shared" ca="1" si="79"/>
        <v>525.41837653509072</v>
      </c>
      <c r="BM114" s="51">
        <f t="shared" si="80"/>
        <v>0</v>
      </c>
      <c r="BN114" s="51">
        <f t="shared" ca="1" si="81"/>
        <v>0</v>
      </c>
      <c r="BO114" s="51">
        <f t="shared" ca="1" si="82"/>
        <v>0</v>
      </c>
      <c r="BP114" s="51">
        <f t="shared" ca="1" si="83"/>
        <v>737.91368236984272</v>
      </c>
      <c r="BQ114" s="120"/>
      <c r="BR114" s="32"/>
      <c r="BS114" s="126"/>
      <c r="BT114" s="16"/>
      <c r="BU114" s="58"/>
      <c r="BW114" s="51">
        <f>VLOOKUP(H114,Charges!$AT$4:$AU$33,2,FALSE)*I114</f>
        <v>0</v>
      </c>
      <c r="BX114" s="51">
        <f t="shared" si="84"/>
        <v>0</v>
      </c>
      <c r="BY114" s="51">
        <f t="shared" si="93"/>
        <v>0</v>
      </c>
      <c r="BZ114" s="151"/>
      <c r="CA114" s="151"/>
      <c r="CB114" s="32"/>
      <c r="CC114" s="16">
        <f ca="1">SUM($N$7:$N114)</f>
        <v>0</v>
      </c>
      <c r="CD114" s="16">
        <f t="shared" ca="1" si="85"/>
        <v>0</v>
      </c>
      <c r="CE114" s="16">
        <f t="shared" ca="1" si="86"/>
        <v>0</v>
      </c>
      <c r="CF114" s="7">
        <f t="shared" ca="1" si="94"/>
        <v>0</v>
      </c>
    </row>
    <row r="115" spans="1:84" s="7" customFormat="1" x14ac:dyDescent="0.2">
      <c r="A115" s="149"/>
      <c r="B115" s="14">
        <f t="shared" si="55"/>
        <v>1</v>
      </c>
      <c r="C115" s="12">
        <f t="shared" si="56"/>
        <v>1</v>
      </c>
      <c r="D115" s="17">
        <f t="shared" si="95"/>
        <v>109</v>
      </c>
      <c r="E115" s="17">
        <f t="shared" ca="1" si="57"/>
        <v>69</v>
      </c>
      <c r="F115" s="12">
        <f t="shared" si="97"/>
        <v>0</v>
      </c>
      <c r="G115" s="12">
        <f t="shared" si="96"/>
        <v>19</v>
      </c>
      <c r="H115" s="17">
        <f t="shared" si="98"/>
        <v>10</v>
      </c>
      <c r="I115" s="29">
        <f t="shared" si="58"/>
        <v>300000</v>
      </c>
      <c r="J115" s="211">
        <f>IFERROR(VLOOKUP(H115,Charges!$T$6:$U$35,2,0)*C115,0)</f>
        <v>0.98</v>
      </c>
      <c r="K115" s="29">
        <f t="shared" si="59"/>
        <v>6000.00000000001</v>
      </c>
      <c r="L115" s="29">
        <f t="shared" si="60"/>
        <v>292920</v>
      </c>
      <c r="M115" s="147">
        <f t="shared" ca="1" si="61"/>
        <v>0</v>
      </c>
      <c r="N115" s="148">
        <f ca="1">IF(AND(Option_SPW="Y",H115&gt;=Lock_In_Period,Z114&gt;SPW_Amount_pa+IF(option="Single",1/5*pr,2*pr),H115&gt;=SPW_Start_Year,H115&lt;=SPW_Start_Year+SPW_Duration-1,age+H115&gt;=Legal_Age),IF(AND(F115=0,SPW_Payout_Freq=1),SPW_Amount_pa,IF(AND(SPW_Payout_Freq=2,MOD(F115,6)=0),SPW_Amount_pa/SPW_Payout_Freq,IF(AND(SPW_Payout_Freq=4,MOD(F115,3)=0),SPW_Amount_pa/SPW_Payout_Freq,IF(SPW_Payout_Freq=12,SPW_Amount_pa/SPW_Payout_Freq,0)))),0)+IFERROR(VLOOKUP(H115,Input!$B$68:$C$74,2,0),0)*(F115=0)*(Option_PW="Y")*(Option_SPW="N")*(age+H115&gt;=Legal_Age)</f>
        <v>0</v>
      </c>
      <c r="O115" s="148">
        <f t="shared" ca="1" si="87"/>
        <v>0</v>
      </c>
      <c r="P115" s="14">
        <f ca="1">(MAX(MAX(sa-CF114*Flag_UL_Type,105%*SUM($I$7:I115))-(AD114+L115-N115)*Flag_UL_Type,0)*B115)</f>
        <v>267277.03136982163</v>
      </c>
      <c r="Q115" s="213">
        <f t="shared" ca="1" si="62"/>
        <v>478.62634392550837</v>
      </c>
      <c r="R115" s="14">
        <f t="shared" ca="1" si="63"/>
        <v>0</v>
      </c>
      <c r="S115" s="14">
        <f t="shared" ca="1" si="64"/>
        <v>0</v>
      </c>
      <c r="T115" s="14">
        <f>IFERROR(IF(WoP_Flag="Y",IF(fq=1,VLOOKUP(ppt*fq-H115,Charges!$AN$41:$AO$59,2,FALSE),IF(fq=2,VLOOKUP(ppt*fq-G115,Charges!$AP$41:$AQ$79,2,FALSE),VLOOKUP(ppt*fq-D115,Charges!$AR$41:$AS$279,2,FALSE)))*pr/fq,0),0)</f>
        <v>0</v>
      </c>
      <c r="U115" s="14">
        <f ca="1">IFERROR(((T115*(VLOOKUP(Input!$D$18+H115-1,Tab_Mort_Charge,IF(Gender_2="M",2,3),FALSE)*(1+_emr2)+_rpm2)/IF(Model_Type="LA_PQIS",1000/0.0833,(12*1000))))*Flag_Mort_Rider_Charge*(T115&gt;0),0)</f>
        <v>0</v>
      </c>
      <c r="V115" s="34">
        <f>ROUND(MIN(IF(H115&gt;=7,Charges!$C$12*(1+Charges!$C$14)^((H115-7+1)),VLOOKUP(H115,Charges!$B$7:$C$12,2,0))*pr,Charges!$C$13)*B115,Round)</f>
        <v>500</v>
      </c>
      <c r="W115" s="14">
        <f t="shared" ca="1" si="65"/>
        <v>2881568.1895443462</v>
      </c>
      <c r="X115" s="14">
        <f t="shared" ca="1" si="66"/>
        <v>2891001.6939615766</v>
      </c>
      <c r="Y115" s="213">
        <f t="shared" ca="1" si="88"/>
        <v>3254.1468822605575</v>
      </c>
      <c r="Z115" s="14">
        <f t="shared" ca="1" si="67"/>
        <v>2887161.800640509</v>
      </c>
      <c r="AA115" s="14">
        <f>IF(AND($H115=pt,$F115=11),SUM($K$7:K115)*VLOOKUP(pt,ROC,2,FALSE),0)</f>
        <v>0</v>
      </c>
      <c r="AB115" s="14">
        <f>IF(AND($H115=pt,$F115=11),SUM($V$7:V115)*VLOOKUP(pt,ROC,2,FALSE),0)</f>
        <v>0</v>
      </c>
      <c r="AC115" s="14">
        <f>IF(AND($H115=pt,$F115=11),SUM($Q$7:Q115)*VLOOKUP(pt,ROC,2,FALSE),0)</f>
        <v>0</v>
      </c>
      <c r="AD115" s="14">
        <f t="shared" ca="1" si="89"/>
        <v>2887161.800640509</v>
      </c>
      <c r="AE115" s="14">
        <f ca="1">(MAX(sa-CF114*Flag_UL_Type,105%*SUM($I$7:I115),Z115)+AU115)*B115</f>
        <v>3150000</v>
      </c>
      <c r="AF115" s="136"/>
      <c r="AG115" s="18">
        <v>109</v>
      </c>
      <c r="AH115" s="30">
        <f t="shared" ca="1" si="68"/>
        <v>300000</v>
      </c>
      <c r="AI115" s="58"/>
      <c r="AJ115" s="50">
        <f>IF(AND(Option_Sys_TopUp&gt;="Y",H115&gt;=sytp,H115&lt;=(dtp+sytp-1),F115=0,H115&lt;=ppt+1),atp,0)+IFERROR(VLOOKUP(H115,Input!$B$55:$C$61,2,0),0)*(F115=0)*(Option_TopUP="Y")*(Option_Sys_TopUp="N")*B115*(pt&gt;=H115+5)</f>
        <v>0</v>
      </c>
      <c r="AK115" s="50">
        <f t="shared" si="69"/>
        <v>0</v>
      </c>
      <c r="AL115" s="50">
        <f t="shared" si="90"/>
        <v>0</v>
      </c>
      <c r="AM115" s="50">
        <f t="shared" ca="1" si="70"/>
        <v>0</v>
      </c>
      <c r="AN115" s="50">
        <f ca="1">IF(B115=0,0,AT115*(_rpm1+(1+_emr1)*VLOOKUP(E115,Tab_Mort_Charge,IF(Input!$C$12="M",2,3),0))*(0.001*0.0833)*Flag_Mort_Rider_Charge*(AT115&gt;0))</f>
        <v>0</v>
      </c>
      <c r="AO115" s="50">
        <f t="shared" ca="1" si="91"/>
        <v>0</v>
      </c>
      <c r="AP115" s="50">
        <f t="shared" ca="1" si="99"/>
        <v>0</v>
      </c>
      <c r="AQ115" s="50">
        <f t="shared" ca="1" si="71"/>
        <v>0</v>
      </c>
      <c r="AR115" s="50">
        <f t="shared" ca="1" si="72"/>
        <v>0</v>
      </c>
      <c r="AS115" s="50">
        <f t="shared" si="73"/>
        <v>0</v>
      </c>
      <c r="AT115" s="50">
        <f ca="1">(MAX((MAX(AS115,105%*SUM($AJ$7:AJ115))-AM115*Flag_UL_Type),0)*B115)</f>
        <v>0</v>
      </c>
      <c r="AU115" s="50">
        <f ca="1">(MAX(AS115,AR115,105%*SUM($AJ$7:AJ115))*B115)</f>
        <v>0</v>
      </c>
      <c r="AV115" s="125"/>
      <c r="AW115" s="13"/>
      <c r="AX115" s="13"/>
      <c r="AY115" s="13"/>
      <c r="AZ115" s="13"/>
      <c r="BA115" s="13"/>
      <c r="BG115" s="51">
        <f t="shared" si="74"/>
        <v>1080</v>
      </c>
      <c r="BH115" s="51">
        <f t="shared" ca="1" si="75"/>
        <v>86.152741906591501</v>
      </c>
      <c r="BI115" s="51">
        <f t="shared" ca="1" si="76"/>
        <v>0</v>
      </c>
      <c r="BJ115" s="51">
        <f t="shared" ca="1" si="77"/>
        <v>0</v>
      </c>
      <c r="BK115" s="51">
        <f t="shared" si="78"/>
        <v>90</v>
      </c>
      <c r="BL115" s="51">
        <f t="shared" ca="1" si="79"/>
        <v>585.7464388069003</v>
      </c>
      <c r="BM115" s="51">
        <f t="shared" si="80"/>
        <v>0</v>
      </c>
      <c r="BN115" s="51">
        <f t="shared" ca="1" si="81"/>
        <v>0</v>
      </c>
      <c r="BO115" s="51">
        <f t="shared" ca="1" si="82"/>
        <v>0</v>
      </c>
      <c r="BP115" s="51">
        <f t="shared" ca="1" si="83"/>
        <v>1841.8991807134917</v>
      </c>
      <c r="BQ115" s="120"/>
      <c r="BR115" s="32"/>
      <c r="BS115" s="126"/>
      <c r="BT115" s="16"/>
      <c r="BU115" s="58"/>
      <c r="BW115" s="51">
        <f>VLOOKUP(H115,Charges!$AT$4:$AU$33,2,FALSE)*I115</f>
        <v>1500</v>
      </c>
      <c r="BX115" s="51">
        <f t="shared" si="84"/>
        <v>0</v>
      </c>
      <c r="BY115" s="51">
        <f t="shared" si="93"/>
        <v>1500</v>
      </c>
      <c r="BZ115" s="151"/>
      <c r="CA115" s="151"/>
      <c r="CB115" s="32"/>
      <c r="CC115" s="16">
        <f ca="1">SUM($N$7:$N115)</f>
        <v>0</v>
      </c>
      <c r="CD115" s="16">
        <f t="shared" ca="1" si="85"/>
        <v>0</v>
      </c>
      <c r="CE115" s="16">
        <f t="shared" ca="1" si="86"/>
        <v>0</v>
      </c>
      <c r="CF115" s="7">
        <f t="shared" ca="1" si="94"/>
        <v>0</v>
      </c>
    </row>
    <row r="116" spans="1:84" s="7" customFormat="1" x14ac:dyDescent="0.2">
      <c r="A116" s="149"/>
      <c r="B116" s="14">
        <f t="shared" si="55"/>
        <v>1</v>
      </c>
      <c r="C116" s="12">
        <f t="shared" si="56"/>
        <v>1</v>
      </c>
      <c r="D116" s="17">
        <f t="shared" si="95"/>
        <v>110</v>
      </c>
      <c r="E116" s="17">
        <f t="shared" ca="1" si="57"/>
        <v>69</v>
      </c>
      <c r="F116" s="12">
        <f t="shared" si="97"/>
        <v>1</v>
      </c>
      <c r="G116" s="12">
        <f t="shared" si="96"/>
        <v>19</v>
      </c>
      <c r="H116" s="17">
        <f t="shared" si="98"/>
        <v>10</v>
      </c>
      <c r="I116" s="29">
        <f t="shared" si="58"/>
        <v>0</v>
      </c>
      <c r="J116" s="211">
        <f>IFERROR(VLOOKUP(H116,Charges!$T$6:$U$35,2,0)*C116,0)</f>
        <v>0.98</v>
      </c>
      <c r="K116" s="29">
        <f t="shared" si="59"/>
        <v>0</v>
      </c>
      <c r="L116" s="29">
        <f t="shared" si="60"/>
        <v>0</v>
      </c>
      <c r="M116" s="147">
        <f t="shared" ca="1" si="61"/>
        <v>0</v>
      </c>
      <c r="N116" s="148">
        <f ca="1">IF(AND(Option_SPW="Y",H116&gt;=Lock_In_Period,Z115&gt;SPW_Amount_pa+IF(option="Single",1/5*pr,2*pr),H116&gt;=SPW_Start_Year,H116&lt;=SPW_Start_Year+SPW_Duration-1,age+H116&gt;=Legal_Age),IF(AND(F116=0,SPW_Payout_Freq=1),SPW_Amount_pa,IF(AND(SPW_Payout_Freq=2,MOD(F116,6)=0),SPW_Amount_pa/SPW_Payout_Freq,IF(AND(SPW_Payout_Freq=4,MOD(F116,3)=0),SPW_Amount_pa/SPW_Payout_Freq,IF(SPW_Payout_Freq=12,SPW_Amount_pa/SPW_Payout_Freq,0)))),0)+IFERROR(VLOOKUP(H116,Input!$B$68:$C$74,2,0),0)*(F116=0)*(Option_PW="Y")*(Option_SPW="N")*(age+H116&gt;=Legal_Age)</f>
        <v>0</v>
      </c>
      <c r="O116" s="148">
        <f t="shared" ca="1" si="87"/>
        <v>0</v>
      </c>
      <c r="P116" s="14">
        <f ca="1">(MAX(MAX(sa-CF115*Flag_UL_Type,105%*SUM($I$7:I116))-(AD115+L116-N116)*Flag_UL_Type,0)*B116)</f>
        <v>262838.199359491</v>
      </c>
      <c r="Q116" s="213">
        <f t="shared" ca="1" si="62"/>
        <v>470.67750550300826</v>
      </c>
      <c r="R116" s="14">
        <f t="shared" ca="1" si="63"/>
        <v>0</v>
      </c>
      <c r="S116" s="14">
        <f t="shared" ca="1" si="64"/>
        <v>0</v>
      </c>
      <c r="T116" s="14">
        <f>IFERROR(IF(WoP_Flag="Y",IF(fq=1,VLOOKUP(ppt*fq-H116,Charges!$AN$41:$AO$59,2,FALSE),IF(fq=2,VLOOKUP(ppt*fq-G116,Charges!$AP$41:$AQ$79,2,FALSE),VLOOKUP(ppt*fq-D116,Charges!$AR$41:$AS$279,2,FALSE)))*pr/fq,0),0)</f>
        <v>0</v>
      </c>
      <c r="U116" s="14">
        <f ca="1">IFERROR(((T116*(VLOOKUP(Input!$D$18+H116-1,Tab_Mort_Charge,IF(Gender_2="M",2,3),FALSE)*(1+_emr2)+_rpm2)/IF(Model_Type="LA_PQIS",1000/0.0833,(12*1000))))*Flag_Mort_Rider_Charge*(T116&gt;0),0)</f>
        <v>0</v>
      </c>
      <c r="V116" s="34">
        <f>ROUND(MIN(IF(H116&gt;=7,Charges!$C$12*(1+Charges!$C$14)^((H116-7+1)),VLOOKUP(H116,Charges!$B$7:$C$12,2,0))*pr,Charges!$C$13)*B116,Round)</f>
        <v>500</v>
      </c>
      <c r="W116" s="14">
        <f t="shared" ca="1" si="65"/>
        <v>2886016.4011840154</v>
      </c>
      <c r="X116" s="14">
        <f t="shared" ca="1" si="66"/>
        <v>2895464.46788865</v>
      </c>
      <c r="Y116" s="213">
        <f t="shared" ca="1" si="88"/>
        <v>3259.1702352012881</v>
      </c>
      <c r="Z116" s="14">
        <f t="shared" ca="1" si="67"/>
        <v>2891618.6470111124</v>
      </c>
      <c r="AA116" s="14">
        <f>IF(AND($H116=pt,$F116=11),SUM($K$7:K116)*VLOOKUP(pt,ROC,2,FALSE),0)</f>
        <v>0</v>
      </c>
      <c r="AB116" s="14">
        <f>IF(AND($H116=pt,$F116=11),SUM($V$7:V116)*VLOOKUP(pt,ROC,2,FALSE),0)</f>
        <v>0</v>
      </c>
      <c r="AC116" s="14">
        <f>IF(AND($H116=pt,$F116=11),SUM($Q$7:Q116)*VLOOKUP(pt,ROC,2,FALSE),0)</f>
        <v>0</v>
      </c>
      <c r="AD116" s="14">
        <f t="shared" ca="1" si="89"/>
        <v>2891618.6470111124</v>
      </c>
      <c r="AE116" s="14">
        <f ca="1">(MAX(sa-CF115*Flag_UL_Type,105%*SUM($I$7:I116),Z116)+AU116)*B116</f>
        <v>3150000</v>
      </c>
      <c r="AF116" s="136"/>
      <c r="AG116" s="18">
        <v>110</v>
      </c>
      <c r="AH116" s="30">
        <f t="shared" ca="1" si="68"/>
        <v>0</v>
      </c>
      <c r="AI116" s="58"/>
      <c r="AJ116" s="50">
        <f>IF(AND(Option_Sys_TopUp&gt;="Y",H116&gt;=sytp,H116&lt;=(dtp+sytp-1),F116=0,H116&lt;=ppt+1),atp,0)+IFERROR(VLOOKUP(H116,Input!$B$55:$C$61,2,0),0)*(F116=0)*(Option_TopUP="Y")*(Option_Sys_TopUp="N")*B116*(pt&gt;=H116+5)</f>
        <v>0</v>
      </c>
      <c r="AK116" s="50">
        <f t="shared" si="69"/>
        <v>0</v>
      </c>
      <c r="AL116" s="50">
        <f t="shared" si="90"/>
        <v>0</v>
      </c>
      <c r="AM116" s="50">
        <f t="shared" ca="1" si="70"/>
        <v>0</v>
      </c>
      <c r="AN116" s="50">
        <f ca="1">IF(B116=0,0,AT116*(_rpm1+(1+_emr1)*VLOOKUP(E116,Tab_Mort_Charge,IF(Input!$C$12="M",2,3),0))*(0.001*0.0833)*Flag_Mort_Rider_Charge*(AT116&gt;0))</f>
        <v>0</v>
      </c>
      <c r="AO116" s="50">
        <f t="shared" ca="1" si="91"/>
        <v>0</v>
      </c>
      <c r="AP116" s="50">
        <f t="shared" ca="1" si="99"/>
        <v>0</v>
      </c>
      <c r="AQ116" s="50">
        <f t="shared" ca="1" si="71"/>
        <v>0</v>
      </c>
      <c r="AR116" s="50">
        <f t="shared" ca="1" si="72"/>
        <v>0</v>
      </c>
      <c r="AS116" s="50">
        <f t="shared" si="73"/>
        <v>0</v>
      </c>
      <c r="AT116" s="50">
        <f ca="1">(MAX((MAX(AS116,105%*SUM($AJ$7:AJ116))-AM116*Flag_UL_Type),0)*B116)</f>
        <v>0</v>
      </c>
      <c r="AU116" s="50">
        <f ca="1">(MAX(AS116,AR116,105%*SUM($AJ$7:AJ116))*B116)</f>
        <v>0</v>
      </c>
      <c r="AV116" s="125"/>
      <c r="AW116" s="13"/>
      <c r="AX116" s="13"/>
      <c r="AY116" s="13"/>
      <c r="AZ116" s="13"/>
      <c r="BA116" s="13"/>
      <c r="BG116" s="51">
        <f t="shared" si="74"/>
        <v>0</v>
      </c>
      <c r="BH116" s="51">
        <f t="shared" ca="1" si="75"/>
        <v>84.721950990541501</v>
      </c>
      <c r="BI116" s="51">
        <f t="shared" ca="1" si="76"/>
        <v>0</v>
      </c>
      <c r="BJ116" s="51">
        <f t="shared" ca="1" si="77"/>
        <v>0</v>
      </c>
      <c r="BK116" s="51">
        <f t="shared" si="78"/>
        <v>90</v>
      </c>
      <c r="BL116" s="51">
        <f t="shared" ca="1" si="79"/>
        <v>586.65064233623184</v>
      </c>
      <c r="BM116" s="51">
        <f t="shared" si="80"/>
        <v>0</v>
      </c>
      <c r="BN116" s="51">
        <f t="shared" ca="1" si="81"/>
        <v>0</v>
      </c>
      <c r="BO116" s="51">
        <f t="shared" ca="1" si="82"/>
        <v>0</v>
      </c>
      <c r="BP116" s="51">
        <f t="shared" ca="1" si="83"/>
        <v>761.37259332677331</v>
      </c>
      <c r="BQ116" s="120"/>
      <c r="BR116" s="32"/>
      <c r="BS116" s="126"/>
      <c r="BT116" s="16"/>
      <c r="BU116" s="58"/>
      <c r="BW116" s="51">
        <f>VLOOKUP(H116,Charges!$AT$4:$AU$33,2,FALSE)*I116</f>
        <v>0</v>
      </c>
      <c r="BX116" s="51">
        <f t="shared" si="84"/>
        <v>0</v>
      </c>
      <c r="BY116" s="51">
        <f t="shared" si="93"/>
        <v>0</v>
      </c>
      <c r="BZ116" s="151"/>
      <c r="CA116" s="151"/>
      <c r="CB116" s="32"/>
      <c r="CC116" s="16">
        <f ca="1">SUM($N$7:$N116)</f>
        <v>0</v>
      </c>
      <c r="CD116" s="16">
        <f t="shared" ca="1" si="85"/>
        <v>0</v>
      </c>
      <c r="CE116" s="16">
        <f t="shared" ca="1" si="86"/>
        <v>0</v>
      </c>
      <c r="CF116" s="7">
        <f t="shared" ca="1" si="94"/>
        <v>0</v>
      </c>
    </row>
    <row r="117" spans="1:84" s="7" customFormat="1" x14ac:dyDescent="0.2">
      <c r="A117" s="149"/>
      <c r="B117" s="14">
        <f t="shared" si="55"/>
        <v>1</v>
      </c>
      <c r="C117" s="12">
        <f t="shared" si="56"/>
        <v>1</v>
      </c>
      <c r="D117" s="17">
        <f t="shared" si="95"/>
        <v>111</v>
      </c>
      <c r="E117" s="17">
        <f t="shared" ca="1" si="57"/>
        <v>69</v>
      </c>
      <c r="F117" s="12">
        <f t="shared" si="97"/>
        <v>2</v>
      </c>
      <c r="G117" s="12">
        <f t="shared" si="96"/>
        <v>19</v>
      </c>
      <c r="H117" s="17">
        <f t="shared" si="98"/>
        <v>10</v>
      </c>
      <c r="I117" s="29">
        <f t="shared" si="58"/>
        <v>0</v>
      </c>
      <c r="J117" s="211">
        <f>IFERROR(VLOOKUP(H117,Charges!$T$6:$U$35,2,0)*C117,0)</f>
        <v>0.98</v>
      </c>
      <c r="K117" s="29">
        <f t="shared" si="59"/>
        <v>0</v>
      </c>
      <c r="L117" s="29">
        <f t="shared" si="60"/>
        <v>0</v>
      </c>
      <c r="M117" s="147">
        <f t="shared" ca="1" si="61"/>
        <v>0</v>
      </c>
      <c r="N117" s="148">
        <f ca="1">IF(AND(Option_SPW="Y",H117&gt;=Lock_In_Period,Z116&gt;SPW_Amount_pa+IF(option="Single",1/5*pr,2*pr),H117&gt;=SPW_Start_Year,H117&lt;=SPW_Start_Year+SPW_Duration-1,age+H117&gt;=Legal_Age),IF(AND(F117=0,SPW_Payout_Freq=1),SPW_Amount_pa,IF(AND(SPW_Payout_Freq=2,MOD(F117,6)=0),SPW_Amount_pa/SPW_Payout_Freq,IF(AND(SPW_Payout_Freq=4,MOD(F117,3)=0),SPW_Amount_pa/SPW_Payout_Freq,IF(SPW_Payout_Freq=12,SPW_Amount_pa/SPW_Payout_Freq,0)))),0)+IFERROR(VLOOKUP(H117,Input!$B$68:$C$74,2,0),0)*(F117=0)*(Option_PW="Y")*(Option_SPW="N")*(age+H117&gt;=Legal_Age)</f>
        <v>0</v>
      </c>
      <c r="O117" s="148">
        <f t="shared" ca="1" si="87"/>
        <v>0</v>
      </c>
      <c r="P117" s="14">
        <f ca="1">(MAX(MAX(sa-CF116*Flag_UL_Type,105%*SUM($I$7:I117))-(AD116+L117-N117)*Flag_UL_Type,0)*B117)</f>
        <v>258381.35298888758</v>
      </c>
      <c r="Q117" s="213">
        <f t="shared" ca="1" si="62"/>
        <v>462.69640786485087</v>
      </c>
      <c r="R117" s="14">
        <f t="shared" ca="1" si="63"/>
        <v>0</v>
      </c>
      <c r="S117" s="14">
        <f t="shared" ca="1" si="64"/>
        <v>0</v>
      </c>
      <c r="T117" s="14">
        <f>IFERROR(IF(WoP_Flag="Y",IF(fq=1,VLOOKUP(ppt*fq-H117,Charges!$AN$41:$AO$59,2,FALSE),IF(fq=2,VLOOKUP(ppt*fq-G117,Charges!$AP$41:$AQ$79,2,FALSE),VLOOKUP(ppt*fq-D117,Charges!$AR$41:$AS$279,2,FALSE)))*pr/fq,0),0)</f>
        <v>0</v>
      </c>
      <c r="U117" s="14">
        <f ca="1">IFERROR(((T117*(VLOOKUP(Input!$D$18+H117-1,Tab_Mort_Charge,IF(Gender_2="M",2,3),FALSE)*(1+_emr2)+_rpm2)/IF(Model_Type="LA_PQIS",1000/0.0833,(12*1000))))*Flag_Mort_Rider_Charge*(T117&gt;0),0)</f>
        <v>0</v>
      </c>
      <c r="V117" s="34">
        <f>ROUND(MIN(IF(H117&gt;=7,Charges!$C$12*(1+Charges!$C$14)^((H117-7+1)),VLOOKUP(H117,Charges!$B$7:$C$12,2,0))*pr,Charges!$C$13)*B117,Round)</f>
        <v>500</v>
      </c>
      <c r="W117" s="14">
        <f t="shared" ca="1" si="65"/>
        <v>2890482.665249832</v>
      </c>
      <c r="X117" s="14">
        <f t="shared" ca="1" si="66"/>
        <v>2899945.3533408167</v>
      </c>
      <c r="Y117" s="213">
        <f t="shared" ca="1" si="88"/>
        <v>3264.2139746962844</v>
      </c>
      <c r="Z117" s="14">
        <f t="shared" ca="1" si="67"/>
        <v>2896093.5808506752</v>
      </c>
      <c r="AA117" s="14">
        <f>IF(AND($H117=pt,$F117=11),SUM($K$7:K117)*VLOOKUP(pt,ROC,2,FALSE),0)</f>
        <v>0</v>
      </c>
      <c r="AB117" s="14">
        <f>IF(AND($H117=pt,$F117=11),SUM($V$7:V117)*VLOOKUP(pt,ROC,2,FALSE),0)</f>
        <v>0</v>
      </c>
      <c r="AC117" s="14">
        <f>IF(AND($H117=pt,$F117=11),SUM($Q$7:Q117)*VLOOKUP(pt,ROC,2,FALSE),0)</f>
        <v>0</v>
      </c>
      <c r="AD117" s="14">
        <f t="shared" ca="1" si="89"/>
        <v>2896093.5808506752</v>
      </c>
      <c r="AE117" s="14">
        <f ca="1">(MAX(sa-CF116*Flag_UL_Type,105%*SUM($I$7:I117),Z117)+AU117)*B117</f>
        <v>3150000</v>
      </c>
      <c r="AF117" s="136"/>
      <c r="AG117" s="18">
        <v>111</v>
      </c>
      <c r="AH117" s="30">
        <f t="shared" ca="1" si="68"/>
        <v>0</v>
      </c>
      <c r="AI117" s="58"/>
      <c r="AJ117" s="50">
        <f>IF(AND(Option_Sys_TopUp&gt;="Y",H117&gt;=sytp,H117&lt;=(dtp+sytp-1),F117=0,H117&lt;=ppt+1),atp,0)+IFERROR(VLOOKUP(H117,Input!$B$55:$C$61,2,0),0)*(F117=0)*(Option_TopUP="Y")*(Option_Sys_TopUp="N")*B117*(pt&gt;=H117+5)</f>
        <v>0</v>
      </c>
      <c r="AK117" s="50">
        <f t="shared" si="69"/>
        <v>0</v>
      </c>
      <c r="AL117" s="50">
        <f t="shared" si="90"/>
        <v>0</v>
      </c>
      <c r="AM117" s="50">
        <f t="shared" ca="1" si="70"/>
        <v>0</v>
      </c>
      <c r="AN117" s="50">
        <f ca="1">IF(B117=0,0,AT117*(_rpm1+(1+_emr1)*VLOOKUP(E117,Tab_Mort_Charge,IF(Input!$C$12="M",2,3),0))*(0.001*0.0833)*Flag_Mort_Rider_Charge*(AT117&gt;0))</f>
        <v>0</v>
      </c>
      <c r="AO117" s="50">
        <f t="shared" ca="1" si="91"/>
        <v>0</v>
      </c>
      <c r="AP117" s="50">
        <f t="shared" ca="1" si="99"/>
        <v>0</v>
      </c>
      <c r="AQ117" s="50">
        <f t="shared" ca="1" si="71"/>
        <v>0</v>
      </c>
      <c r="AR117" s="50">
        <f t="shared" ca="1" si="72"/>
        <v>0</v>
      </c>
      <c r="AS117" s="50">
        <f t="shared" si="73"/>
        <v>0</v>
      </c>
      <c r="AT117" s="50">
        <f ca="1">(MAX((MAX(AS117,105%*SUM($AJ$7:AJ117))-AM117*Flag_UL_Type),0)*B117)</f>
        <v>0</v>
      </c>
      <c r="AU117" s="50">
        <f ca="1">(MAX(AS117,AR117,105%*SUM($AJ$7:AJ117))*B117)</f>
        <v>0</v>
      </c>
      <c r="AV117" s="125"/>
      <c r="AW117" s="13"/>
      <c r="AX117" s="13"/>
      <c r="AY117" s="13"/>
      <c r="AZ117" s="13"/>
      <c r="BA117" s="13"/>
      <c r="BG117" s="51">
        <f t="shared" si="74"/>
        <v>0</v>
      </c>
      <c r="BH117" s="51">
        <f t="shared" ca="1" si="75"/>
        <v>83.2853534156732</v>
      </c>
      <c r="BI117" s="51">
        <f t="shared" ca="1" si="76"/>
        <v>0</v>
      </c>
      <c r="BJ117" s="51">
        <f t="shared" ca="1" si="77"/>
        <v>0</v>
      </c>
      <c r="BK117" s="51">
        <f t="shared" si="78"/>
        <v>90</v>
      </c>
      <c r="BL117" s="51">
        <f t="shared" ca="1" si="79"/>
        <v>587.55851544533118</v>
      </c>
      <c r="BM117" s="51">
        <f t="shared" si="80"/>
        <v>0</v>
      </c>
      <c r="BN117" s="51">
        <f t="shared" ca="1" si="81"/>
        <v>0</v>
      </c>
      <c r="BO117" s="51">
        <f t="shared" ca="1" si="82"/>
        <v>0</v>
      </c>
      <c r="BP117" s="51">
        <f t="shared" ca="1" si="83"/>
        <v>760.84386886100435</v>
      </c>
      <c r="BQ117" s="120"/>
      <c r="BR117" s="32"/>
      <c r="BS117" s="126"/>
      <c r="BT117" s="16"/>
      <c r="BU117" s="58"/>
      <c r="BW117" s="51">
        <f>VLOOKUP(H117,Charges!$AT$4:$AU$33,2,FALSE)*I117</f>
        <v>0</v>
      </c>
      <c r="BX117" s="51">
        <f t="shared" si="84"/>
        <v>0</v>
      </c>
      <c r="BY117" s="51">
        <f t="shared" si="93"/>
        <v>0</v>
      </c>
      <c r="BZ117" s="151"/>
      <c r="CA117" s="151"/>
      <c r="CB117" s="32"/>
      <c r="CC117" s="16">
        <f ca="1">SUM($N$7:$N117)</f>
        <v>0</v>
      </c>
      <c r="CD117" s="16">
        <f t="shared" ca="1" si="85"/>
        <v>0</v>
      </c>
      <c r="CE117" s="16">
        <f t="shared" ca="1" si="86"/>
        <v>0</v>
      </c>
      <c r="CF117" s="7">
        <f t="shared" ca="1" si="94"/>
        <v>0</v>
      </c>
    </row>
    <row r="118" spans="1:84" s="7" customFormat="1" x14ac:dyDescent="0.2">
      <c r="A118" s="149"/>
      <c r="B118" s="14">
        <f t="shared" si="55"/>
        <v>1</v>
      </c>
      <c r="C118" s="12">
        <f t="shared" si="56"/>
        <v>1</v>
      </c>
      <c r="D118" s="17">
        <f t="shared" si="95"/>
        <v>112</v>
      </c>
      <c r="E118" s="17">
        <f t="shared" ca="1" si="57"/>
        <v>69</v>
      </c>
      <c r="F118" s="12">
        <f t="shared" si="97"/>
        <v>3</v>
      </c>
      <c r="G118" s="12">
        <f t="shared" si="96"/>
        <v>19</v>
      </c>
      <c r="H118" s="17">
        <f t="shared" si="98"/>
        <v>10</v>
      </c>
      <c r="I118" s="29">
        <f t="shared" si="58"/>
        <v>0</v>
      </c>
      <c r="J118" s="211">
        <f>IFERROR(VLOOKUP(H118,Charges!$T$6:$U$35,2,0)*C118,0)</f>
        <v>0.98</v>
      </c>
      <c r="K118" s="29">
        <f t="shared" si="59"/>
        <v>0</v>
      </c>
      <c r="L118" s="29">
        <f t="shared" si="60"/>
        <v>0</v>
      </c>
      <c r="M118" s="147">
        <f t="shared" ca="1" si="61"/>
        <v>0</v>
      </c>
      <c r="N118" s="148">
        <f ca="1">IF(AND(Option_SPW="Y",H118&gt;=Lock_In_Period,Z117&gt;SPW_Amount_pa+IF(option="Single",1/5*pr,2*pr),H118&gt;=SPW_Start_Year,H118&lt;=SPW_Start_Year+SPW_Duration-1,age+H118&gt;=Legal_Age),IF(AND(F118=0,SPW_Payout_Freq=1),SPW_Amount_pa,IF(AND(SPW_Payout_Freq=2,MOD(F118,6)=0),SPW_Amount_pa/SPW_Payout_Freq,IF(AND(SPW_Payout_Freq=4,MOD(F118,3)=0),SPW_Amount_pa/SPW_Payout_Freq,IF(SPW_Payout_Freq=12,SPW_Amount_pa/SPW_Payout_Freq,0)))),0)+IFERROR(VLOOKUP(H118,Input!$B$68:$C$74,2,0),0)*(F118=0)*(Option_PW="Y")*(Option_SPW="N")*(age+H118&gt;=Legal_Age)</f>
        <v>0</v>
      </c>
      <c r="O118" s="148">
        <f t="shared" ca="1" si="87"/>
        <v>0</v>
      </c>
      <c r="P118" s="14">
        <f ca="1">(MAX(MAX(sa-CF117*Flag_UL_Type,105%*SUM($I$7:I118))-(AD117+L118-N118)*Flag_UL_Type,0)*B118)</f>
        <v>253906.41914932476</v>
      </c>
      <c r="Q118" s="213">
        <f t="shared" ca="1" si="62"/>
        <v>454.68292009165333</v>
      </c>
      <c r="R118" s="14">
        <f t="shared" ca="1" si="63"/>
        <v>0</v>
      </c>
      <c r="S118" s="14">
        <f t="shared" ca="1" si="64"/>
        <v>0</v>
      </c>
      <c r="T118" s="14">
        <f>IFERROR(IF(WoP_Flag="Y",IF(fq=1,VLOOKUP(ppt*fq-H118,Charges!$AN$41:$AO$59,2,FALSE),IF(fq=2,VLOOKUP(ppt*fq-G118,Charges!$AP$41:$AQ$79,2,FALSE),VLOOKUP(ppt*fq-D118,Charges!$AR$41:$AS$279,2,FALSE)))*pr/fq,0),0)</f>
        <v>0</v>
      </c>
      <c r="U118" s="14">
        <f ca="1">IFERROR(((T118*(VLOOKUP(Input!$D$18+H118-1,Tab_Mort_Charge,IF(Gender_2="M",2,3),FALSE)*(1+_emr2)+_rpm2)/IF(Model_Type="LA_PQIS",1000/0.0833,(12*1000))))*Flag_Mort_Rider_Charge*(T118&gt;0),0)</f>
        <v>0</v>
      </c>
      <c r="V118" s="34">
        <f>ROUND(MIN(IF(H118&gt;=7,Charges!$C$12*(1+Charges!$C$14)^((H118-7+1)),VLOOKUP(H118,Charges!$B$7:$C$12,2,0))*pr,Charges!$C$13)*B118,Round)</f>
        <v>500</v>
      </c>
      <c r="W118" s="14">
        <f t="shared" ca="1" si="65"/>
        <v>2894967.0550049669</v>
      </c>
      <c r="X118" s="14">
        <f t="shared" ca="1" si="66"/>
        <v>2904444.4238210921</v>
      </c>
      <c r="Y118" s="213">
        <f t="shared" ca="1" si="88"/>
        <v>3269.2781834814396</v>
      </c>
      <c r="Z118" s="14">
        <f t="shared" ca="1" si="67"/>
        <v>2900586.6755645839</v>
      </c>
      <c r="AA118" s="14">
        <f>IF(AND($H118=pt,$F118=11),SUM($K$7:K118)*VLOOKUP(pt,ROC,2,FALSE),0)</f>
        <v>0</v>
      </c>
      <c r="AB118" s="14">
        <f>IF(AND($H118=pt,$F118=11),SUM($V$7:V118)*VLOOKUP(pt,ROC,2,FALSE),0)</f>
        <v>0</v>
      </c>
      <c r="AC118" s="14">
        <f>IF(AND($H118=pt,$F118=11),SUM($Q$7:Q118)*VLOOKUP(pt,ROC,2,FALSE),0)</f>
        <v>0</v>
      </c>
      <c r="AD118" s="14">
        <f t="shared" ca="1" si="89"/>
        <v>2900586.6755645839</v>
      </c>
      <c r="AE118" s="14">
        <f ca="1">(MAX(sa-CF117*Flag_UL_Type,105%*SUM($I$7:I118),Z118)+AU118)*B118</f>
        <v>3150000</v>
      </c>
      <c r="AF118" s="136"/>
      <c r="AG118" s="18">
        <v>112</v>
      </c>
      <c r="AH118" s="30">
        <f t="shared" ca="1" si="68"/>
        <v>0</v>
      </c>
      <c r="AI118" s="58"/>
      <c r="AJ118" s="50">
        <f>IF(AND(Option_Sys_TopUp&gt;="Y",H118&gt;=sytp,H118&lt;=(dtp+sytp-1),F118=0,H118&lt;=ppt+1),atp,0)+IFERROR(VLOOKUP(H118,Input!$B$55:$C$61,2,0),0)*(F118=0)*(Option_TopUP="Y")*(Option_Sys_TopUp="N")*B118*(pt&gt;=H118+5)</f>
        <v>0</v>
      </c>
      <c r="AK118" s="50">
        <f t="shared" si="69"/>
        <v>0</v>
      </c>
      <c r="AL118" s="50">
        <f t="shared" si="90"/>
        <v>0</v>
      </c>
      <c r="AM118" s="50">
        <f t="shared" ca="1" si="70"/>
        <v>0</v>
      </c>
      <c r="AN118" s="50">
        <f ca="1">IF(B118=0,0,AT118*(_rpm1+(1+_emr1)*VLOOKUP(E118,Tab_Mort_Charge,IF(Input!$C$12="M",2,3),0))*(0.001*0.0833)*Flag_Mort_Rider_Charge*(AT118&gt;0))</f>
        <v>0</v>
      </c>
      <c r="AO118" s="50">
        <f t="shared" ca="1" si="91"/>
        <v>0</v>
      </c>
      <c r="AP118" s="50">
        <f t="shared" ca="1" si="99"/>
        <v>0</v>
      </c>
      <c r="AQ118" s="50">
        <f t="shared" ca="1" si="71"/>
        <v>0</v>
      </c>
      <c r="AR118" s="50">
        <f t="shared" ca="1" si="72"/>
        <v>0</v>
      </c>
      <c r="AS118" s="50">
        <f t="shared" si="73"/>
        <v>0</v>
      </c>
      <c r="AT118" s="50">
        <f ca="1">(MAX((MAX(AS118,105%*SUM($AJ$7:AJ118))-AM118*Flag_UL_Type),0)*B118)</f>
        <v>0</v>
      </c>
      <c r="AU118" s="50">
        <f ca="1">(MAX(AS118,AR118,105%*SUM($AJ$7:AJ118))*B118)</f>
        <v>0</v>
      </c>
      <c r="AV118" s="125"/>
      <c r="AW118" s="13"/>
      <c r="AX118" s="13"/>
      <c r="AY118" s="13"/>
      <c r="AZ118" s="13"/>
      <c r="BA118" s="13"/>
      <c r="BG118" s="51">
        <f t="shared" si="74"/>
        <v>0</v>
      </c>
      <c r="BH118" s="51">
        <f t="shared" ca="1" si="75"/>
        <v>81.842925616497595</v>
      </c>
      <c r="BI118" s="51">
        <f t="shared" ca="1" si="76"/>
        <v>0</v>
      </c>
      <c r="BJ118" s="51">
        <f t="shared" ca="1" si="77"/>
        <v>0</v>
      </c>
      <c r="BK118" s="51">
        <f t="shared" si="78"/>
        <v>90</v>
      </c>
      <c r="BL118" s="51">
        <f t="shared" ca="1" si="79"/>
        <v>588.47007302665907</v>
      </c>
      <c r="BM118" s="51">
        <f t="shared" si="80"/>
        <v>0</v>
      </c>
      <c r="BN118" s="51">
        <f t="shared" ca="1" si="81"/>
        <v>0</v>
      </c>
      <c r="BO118" s="51">
        <f t="shared" ca="1" si="82"/>
        <v>0</v>
      </c>
      <c r="BP118" s="51">
        <f t="shared" ca="1" si="83"/>
        <v>760.31299864315667</v>
      </c>
      <c r="BQ118" s="120"/>
      <c r="BR118" s="32"/>
      <c r="BS118" s="126"/>
      <c r="BT118" s="16"/>
      <c r="BU118" s="58"/>
      <c r="BW118" s="51">
        <f>VLOOKUP(H118,Charges!$AT$4:$AU$33,2,FALSE)*I118</f>
        <v>0</v>
      </c>
      <c r="BX118" s="51">
        <f t="shared" si="84"/>
        <v>0</v>
      </c>
      <c r="BY118" s="51">
        <f t="shared" si="93"/>
        <v>0</v>
      </c>
      <c r="BZ118" s="151"/>
      <c r="CA118" s="151"/>
      <c r="CB118" s="32"/>
      <c r="CC118" s="16">
        <f ca="1">SUM($N$7:$N118)</f>
        <v>0</v>
      </c>
      <c r="CD118" s="16">
        <f t="shared" ca="1" si="85"/>
        <v>0</v>
      </c>
      <c r="CE118" s="16">
        <f t="shared" ca="1" si="86"/>
        <v>0</v>
      </c>
      <c r="CF118" s="7">
        <f t="shared" ca="1" si="94"/>
        <v>0</v>
      </c>
    </row>
    <row r="119" spans="1:84" s="7" customFormat="1" x14ac:dyDescent="0.2">
      <c r="A119" s="149"/>
      <c r="B119" s="14">
        <f t="shared" si="55"/>
        <v>1</v>
      </c>
      <c r="C119" s="12">
        <f t="shared" si="56"/>
        <v>1</v>
      </c>
      <c r="D119" s="17">
        <f t="shared" si="95"/>
        <v>113</v>
      </c>
      <c r="E119" s="17">
        <f t="shared" ca="1" si="57"/>
        <v>69</v>
      </c>
      <c r="F119" s="12">
        <f t="shared" si="97"/>
        <v>4</v>
      </c>
      <c r="G119" s="12">
        <f t="shared" si="96"/>
        <v>19</v>
      </c>
      <c r="H119" s="17">
        <f t="shared" si="98"/>
        <v>10</v>
      </c>
      <c r="I119" s="29">
        <f t="shared" si="58"/>
        <v>0</v>
      </c>
      <c r="J119" s="211">
        <f>IFERROR(VLOOKUP(H119,Charges!$T$6:$U$35,2,0)*C119,0)</f>
        <v>0.98</v>
      </c>
      <c r="K119" s="29">
        <f t="shared" si="59"/>
        <v>0</v>
      </c>
      <c r="L119" s="29">
        <f t="shared" si="60"/>
        <v>0</v>
      </c>
      <c r="M119" s="147">
        <f t="shared" ca="1" si="61"/>
        <v>0</v>
      </c>
      <c r="N119" s="148">
        <f ca="1">IF(AND(Option_SPW="Y",H119&gt;=Lock_In_Period,Z118&gt;SPW_Amount_pa+IF(option="Single",1/5*pr,2*pr),H119&gt;=SPW_Start_Year,H119&lt;=SPW_Start_Year+SPW_Duration-1,age+H119&gt;=Legal_Age),IF(AND(F119=0,SPW_Payout_Freq=1),SPW_Amount_pa,IF(AND(SPW_Payout_Freq=2,MOD(F119,6)=0),SPW_Amount_pa/SPW_Payout_Freq,IF(AND(SPW_Payout_Freq=4,MOD(F119,3)=0),SPW_Amount_pa/SPW_Payout_Freq,IF(SPW_Payout_Freq=12,SPW_Amount_pa/SPW_Payout_Freq,0)))),0)+IFERROR(VLOOKUP(H119,Input!$B$68:$C$74,2,0),0)*(F119=0)*(Option_PW="Y")*(Option_SPW="N")*(age+H119&gt;=Legal_Age)</f>
        <v>0</v>
      </c>
      <c r="O119" s="148">
        <f t="shared" ca="1" si="87"/>
        <v>0</v>
      </c>
      <c r="P119" s="14">
        <f ca="1">(MAX(MAX(sa-CF118*Flag_UL_Type,105%*SUM($I$7:I119))-(AD118+L119-N119)*Flag_UL_Type,0)*B119)</f>
        <v>249413.32443541614</v>
      </c>
      <c r="Q119" s="213">
        <f t="shared" ca="1" si="62"/>
        <v>446.63691073272167</v>
      </c>
      <c r="R119" s="14">
        <f t="shared" ca="1" si="63"/>
        <v>0</v>
      </c>
      <c r="S119" s="14">
        <f t="shared" ca="1" si="64"/>
        <v>0</v>
      </c>
      <c r="T119" s="14">
        <f>IFERROR(IF(WoP_Flag="Y",IF(fq=1,VLOOKUP(ppt*fq-H119,Charges!$AN$41:$AO$59,2,FALSE),IF(fq=2,VLOOKUP(ppt*fq-G119,Charges!$AP$41:$AQ$79,2,FALSE),VLOOKUP(ppt*fq-D119,Charges!$AR$41:$AS$279,2,FALSE)))*pr/fq,0),0)</f>
        <v>0</v>
      </c>
      <c r="U119" s="14">
        <f ca="1">IFERROR(((T119*(VLOOKUP(Input!$D$18+H119-1,Tab_Mort_Charge,IF(Gender_2="M",2,3),FALSE)*(1+_emr2)+_rpm2)/IF(Model_Type="LA_PQIS",1000/0.0833,(12*1000))))*Flag_Mort_Rider_Charge*(T119&gt;0),0)</f>
        <v>0</v>
      </c>
      <c r="V119" s="34">
        <f>ROUND(MIN(IF(H119&gt;=7,Charges!$C$12*(1+Charges!$C$14)^((H119-7+1)),VLOOKUP(H119,Charges!$B$7:$C$12,2,0))*pr,Charges!$C$13)*B119,Round)</f>
        <v>500</v>
      </c>
      <c r="W119" s="14">
        <f t="shared" ca="1" si="65"/>
        <v>2899469.6440099194</v>
      </c>
      <c r="X119" s="14">
        <f t="shared" ca="1" si="66"/>
        <v>2908961.7531307926</v>
      </c>
      <c r="Y119" s="213">
        <f t="shared" ca="1" si="88"/>
        <v>3274.3629446284185</v>
      </c>
      <c r="Z119" s="14">
        <f t="shared" ca="1" si="67"/>
        <v>2905098.004856131</v>
      </c>
      <c r="AA119" s="14">
        <f>IF(AND($H119=pt,$F119=11),SUM($K$7:K119)*VLOOKUP(pt,ROC,2,FALSE),0)</f>
        <v>0</v>
      </c>
      <c r="AB119" s="14">
        <f>IF(AND($H119=pt,$F119=11),SUM($V$7:V119)*VLOOKUP(pt,ROC,2,FALSE),0)</f>
        <v>0</v>
      </c>
      <c r="AC119" s="14">
        <f>IF(AND($H119=pt,$F119=11),SUM($Q$7:Q119)*VLOOKUP(pt,ROC,2,FALSE),0)</f>
        <v>0</v>
      </c>
      <c r="AD119" s="14">
        <f t="shared" ca="1" si="89"/>
        <v>2905098.004856131</v>
      </c>
      <c r="AE119" s="14">
        <f ca="1">(MAX(sa-CF118*Flag_UL_Type,105%*SUM($I$7:I119),Z119)+AU119)*B119</f>
        <v>3150000</v>
      </c>
      <c r="AF119" s="136"/>
      <c r="AG119" s="18">
        <v>113</v>
      </c>
      <c r="AH119" s="30">
        <f t="shared" ca="1" si="68"/>
        <v>0</v>
      </c>
      <c r="AI119" s="58"/>
      <c r="AJ119" s="50">
        <f>IF(AND(Option_Sys_TopUp&gt;="Y",H119&gt;=sytp,H119&lt;=(dtp+sytp-1),F119=0,H119&lt;=ppt+1),atp,0)+IFERROR(VLOOKUP(H119,Input!$B$55:$C$61,2,0),0)*(F119=0)*(Option_TopUP="Y")*(Option_Sys_TopUp="N")*B119*(pt&gt;=H119+5)</f>
        <v>0</v>
      </c>
      <c r="AK119" s="50">
        <f t="shared" si="69"/>
        <v>0</v>
      </c>
      <c r="AL119" s="50">
        <f t="shared" si="90"/>
        <v>0</v>
      </c>
      <c r="AM119" s="50">
        <f t="shared" ca="1" si="70"/>
        <v>0</v>
      </c>
      <c r="AN119" s="50">
        <f ca="1">IF(B119=0,0,AT119*(_rpm1+(1+_emr1)*VLOOKUP(E119,Tab_Mort_Charge,IF(Input!$C$12="M",2,3),0))*(0.001*0.0833)*Flag_Mort_Rider_Charge*(AT119&gt;0))</f>
        <v>0</v>
      </c>
      <c r="AO119" s="50">
        <f t="shared" ca="1" si="91"/>
        <v>0</v>
      </c>
      <c r="AP119" s="50">
        <f t="shared" ca="1" si="99"/>
        <v>0</v>
      </c>
      <c r="AQ119" s="50">
        <f t="shared" ca="1" si="71"/>
        <v>0</v>
      </c>
      <c r="AR119" s="50">
        <f t="shared" ca="1" si="72"/>
        <v>0</v>
      </c>
      <c r="AS119" s="50">
        <f t="shared" si="73"/>
        <v>0</v>
      </c>
      <c r="AT119" s="50">
        <f ca="1">(MAX((MAX(AS119,105%*SUM($AJ$7:AJ119))-AM119*Flag_UL_Type),0)*B119)</f>
        <v>0</v>
      </c>
      <c r="AU119" s="50">
        <f ca="1">(MAX(AS119,AR119,105%*SUM($AJ$7:AJ119))*B119)</f>
        <v>0</v>
      </c>
      <c r="AV119" s="125"/>
      <c r="AW119" s="13"/>
      <c r="AX119" s="13"/>
      <c r="AY119" s="13"/>
      <c r="AZ119" s="13"/>
      <c r="BA119" s="13"/>
      <c r="BG119" s="51">
        <f t="shared" si="74"/>
        <v>0</v>
      </c>
      <c r="BH119" s="51">
        <f t="shared" ca="1" si="75"/>
        <v>80.394643931889902</v>
      </c>
      <c r="BI119" s="51">
        <f t="shared" ca="1" si="76"/>
        <v>0</v>
      </c>
      <c r="BJ119" s="51">
        <f t="shared" ca="1" si="77"/>
        <v>0</v>
      </c>
      <c r="BK119" s="51">
        <f t="shared" si="78"/>
        <v>90</v>
      </c>
      <c r="BL119" s="51">
        <f t="shared" ca="1" si="79"/>
        <v>589.38533003311534</v>
      </c>
      <c r="BM119" s="51">
        <f t="shared" si="80"/>
        <v>0</v>
      </c>
      <c r="BN119" s="51">
        <f t="shared" ca="1" si="81"/>
        <v>0</v>
      </c>
      <c r="BO119" s="51">
        <f t="shared" ca="1" si="82"/>
        <v>0</v>
      </c>
      <c r="BP119" s="51">
        <f t="shared" ca="1" si="83"/>
        <v>759.77997396500518</v>
      </c>
      <c r="BQ119" s="120"/>
      <c r="BR119" s="32"/>
      <c r="BS119" s="126"/>
      <c r="BT119" s="16"/>
      <c r="BU119" s="58"/>
      <c r="BW119" s="51">
        <f>VLOOKUP(H119,Charges!$AT$4:$AU$33,2,FALSE)*I119</f>
        <v>0</v>
      </c>
      <c r="BX119" s="51">
        <f t="shared" si="84"/>
        <v>0</v>
      </c>
      <c r="BY119" s="51">
        <f t="shared" si="93"/>
        <v>0</v>
      </c>
      <c r="BZ119" s="151"/>
      <c r="CA119" s="151"/>
      <c r="CB119" s="32"/>
      <c r="CC119" s="16">
        <f ca="1">SUM($N$7:$N119)</f>
        <v>0</v>
      </c>
      <c r="CD119" s="16">
        <f t="shared" ca="1" si="85"/>
        <v>0</v>
      </c>
      <c r="CE119" s="16">
        <f t="shared" ca="1" si="86"/>
        <v>0</v>
      </c>
      <c r="CF119" s="7">
        <f t="shared" ca="1" si="94"/>
        <v>0</v>
      </c>
    </row>
    <row r="120" spans="1:84" s="7" customFormat="1" x14ac:dyDescent="0.2">
      <c r="A120" s="149"/>
      <c r="B120" s="14">
        <f t="shared" si="55"/>
        <v>1</v>
      </c>
      <c r="C120" s="12">
        <f t="shared" si="56"/>
        <v>1</v>
      </c>
      <c r="D120" s="17">
        <f t="shared" si="95"/>
        <v>114</v>
      </c>
      <c r="E120" s="17">
        <f t="shared" ca="1" si="57"/>
        <v>69</v>
      </c>
      <c r="F120" s="12">
        <f t="shared" si="97"/>
        <v>5</v>
      </c>
      <c r="G120" s="12">
        <f t="shared" si="96"/>
        <v>19</v>
      </c>
      <c r="H120" s="17">
        <f t="shared" si="98"/>
        <v>10</v>
      </c>
      <c r="I120" s="29">
        <f t="shared" si="58"/>
        <v>0</v>
      </c>
      <c r="J120" s="211">
        <f>IFERROR(VLOOKUP(H120,Charges!$T$6:$U$35,2,0)*C120,0)</f>
        <v>0.98</v>
      </c>
      <c r="K120" s="29">
        <f t="shared" si="59"/>
        <v>0</v>
      </c>
      <c r="L120" s="29">
        <f t="shared" si="60"/>
        <v>0</v>
      </c>
      <c r="M120" s="147">
        <f t="shared" ca="1" si="61"/>
        <v>0</v>
      </c>
      <c r="N120" s="148">
        <f ca="1">IF(AND(Option_SPW="Y",H120&gt;=Lock_In_Period,Z119&gt;SPW_Amount_pa+IF(option="Single",1/5*pr,2*pr),H120&gt;=SPW_Start_Year,H120&lt;=SPW_Start_Year+SPW_Duration-1,age+H120&gt;=Legal_Age),IF(AND(F120=0,SPW_Payout_Freq=1),SPW_Amount_pa,IF(AND(SPW_Payout_Freq=2,MOD(F120,6)=0),SPW_Amount_pa/SPW_Payout_Freq,IF(AND(SPW_Payout_Freq=4,MOD(F120,3)=0),SPW_Amount_pa/SPW_Payout_Freq,IF(SPW_Payout_Freq=12,SPW_Amount_pa/SPW_Payout_Freq,0)))),0)+IFERROR(VLOOKUP(H120,Input!$B$68:$C$74,2,0),0)*(F120=0)*(Option_PW="Y")*(Option_SPW="N")*(age+H120&gt;=Legal_Age)</f>
        <v>0</v>
      </c>
      <c r="O120" s="148">
        <f t="shared" ca="1" si="87"/>
        <v>0</v>
      </c>
      <c r="P120" s="14">
        <f ca="1">(MAX(MAX(sa-CF119*Flag_UL_Type,105%*SUM($I$7:I120))-(AD119+L120-N120)*Flag_UL_Type,0)*B120)</f>
        <v>244901.99514386896</v>
      </c>
      <c r="Q120" s="213">
        <f t="shared" ca="1" si="62"/>
        <v>438.55824780388332</v>
      </c>
      <c r="R120" s="14">
        <f t="shared" ca="1" si="63"/>
        <v>0</v>
      </c>
      <c r="S120" s="14">
        <f t="shared" ca="1" si="64"/>
        <v>0</v>
      </c>
      <c r="T120" s="14">
        <f>IFERROR(IF(WoP_Flag="Y",IF(fq=1,VLOOKUP(ppt*fq-H120,Charges!$AN$41:$AO$59,2,FALSE),IF(fq=2,VLOOKUP(ppt*fq-G120,Charges!$AP$41:$AQ$79,2,FALSE),VLOOKUP(ppt*fq-D120,Charges!$AR$41:$AS$279,2,FALSE)))*pr/fq,0),0)</f>
        <v>0</v>
      </c>
      <c r="U120" s="14">
        <f ca="1">IFERROR(((T120*(VLOOKUP(Input!$D$18+H120-1,Tab_Mort_Charge,IF(Gender_2="M",2,3),FALSE)*(1+_emr2)+_rpm2)/IF(Model_Type="LA_PQIS",1000/0.0833,(12*1000))))*Flag_Mort_Rider_Charge*(T120&gt;0),0)</f>
        <v>0</v>
      </c>
      <c r="V120" s="34">
        <f>ROUND(MIN(IF(H120&gt;=7,Charges!$C$12*(1+Charges!$C$14)^((H120-7+1)),VLOOKUP(H120,Charges!$B$7:$C$12,2,0))*pr,Charges!$C$13)*B120,Round)</f>
        <v>500</v>
      </c>
      <c r="W120" s="14">
        <f t="shared" ca="1" si="65"/>
        <v>2903990.5061237225</v>
      </c>
      <c r="X120" s="14">
        <f t="shared" ca="1" si="66"/>
        <v>2913497.4153707479</v>
      </c>
      <c r="Y120" s="213">
        <f t="shared" ca="1" si="88"/>
        <v>3279.4683415460217</v>
      </c>
      <c r="Z120" s="14">
        <f t="shared" ca="1" si="67"/>
        <v>2909627.6427277238</v>
      </c>
      <c r="AA120" s="14">
        <f>IF(AND($H120=pt,$F120=11),SUM($K$7:K120)*VLOOKUP(pt,ROC,2,FALSE),0)</f>
        <v>0</v>
      </c>
      <c r="AB120" s="14">
        <f>IF(AND($H120=pt,$F120=11),SUM($V$7:V120)*VLOOKUP(pt,ROC,2,FALSE),0)</f>
        <v>0</v>
      </c>
      <c r="AC120" s="14">
        <f>IF(AND($H120=pt,$F120=11),SUM($Q$7:Q120)*VLOOKUP(pt,ROC,2,FALSE),0)</f>
        <v>0</v>
      </c>
      <c r="AD120" s="14">
        <f t="shared" ca="1" si="89"/>
        <v>2909627.6427277238</v>
      </c>
      <c r="AE120" s="14">
        <f ca="1">(MAX(sa-CF119*Flag_UL_Type,105%*SUM($I$7:I120),Z120)+AU120)*B120</f>
        <v>3150000</v>
      </c>
      <c r="AF120" s="136"/>
      <c r="AG120" s="18">
        <v>114</v>
      </c>
      <c r="AH120" s="30">
        <f t="shared" ca="1" si="68"/>
        <v>0</v>
      </c>
      <c r="AI120" s="58"/>
      <c r="AJ120" s="50">
        <f>IF(AND(Option_Sys_TopUp&gt;="Y",H120&gt;=sytp,H120&lt;=(dtp+sytp-1),F120=0,H120&lt;=ppt+1),atp,0)+IFERROR(VLOOKUP(H120,Input!$B$55:$C$61,2,0),0)*(F120=0)*(Option_TopUP="Y")*(Option_Sys_TopUp="N")*B120*(pt&gt;=H120+5)</f>
        <v>0</v>
      </c>
      <c r="AK120" s="50">
        <f t="shared" si="69"/>
        <v>0</v>
      </c>
      <c r="AL120" s="50">
        <f t="shared" si="90"/>
        <v>0</v>
      </c>
      <c r="AM120" s="50">
        <f t="shared" ca="1" si="70"/>
        <v>0</v>
      </c>
      <c r="AN120" s="50">
        <f ca="1">IF(B120=0,0,AT120*(_rpm1+(1+_emr1)*VLOOKUP(E120,Tab_Mort_Charge,IF(Input!$C$12="M",2,3),0))*(0.001*0.0833)*Flag_Mort_Rider_Charge*(AT120&gt;0))</f>
        <v>0</v>
      </c>
      <c r="AO120" s="50">
        <f t="shared" ca="1" si="91"/>
        <v>0</v>
      </c>
      <c r="AP120" s="50">
        <f t="shared" ca="1" si="99"/>
        <v>0</v>
      </c>
      <c r="AQ120" s="50">
        <f t="shared" ca="1" si="71"/>
        <v>0</v>
      </c>
      <c r="AR120" s="50">
        <f t="shared" ca="1" si="72"/>
        <v>0</v>
      </c>
      <c r="AS120" s="50">
        <f t="shared" si="73"/>
        <v>0</v>
      </c>
      <c r="AT120" s="50">
        <f ca="1">(MAX((MAX(AS120,105%*SUM($AJ$7:AJ120))-AM120*Flag_UL_Type),0)*B120)</f>
        <v>0</v>
      </c>
      <c r="AU120" s="50">
        <f ca="1">(MAX(AS120,AR120,105%*SUM($AJ$7:AJ120))*B120)</f>
        <v>0</v>
      </c>
      <c r="AV120" s="125"/>
      <c r="AW120" s="13"/>
      <c r="AX120" s="13"/>
      <c r="AY120" s="13"/>
      <c r="AZ120" s="13"/>
      <c r="BA120" s="13"/>
      <c r="BG120" s="51">
        <f t="shared" si="74"/>
        <v>0</v>
      </c>
      <c r="BH120" s="51">
        <f t="shared" ca="1" si="75"/>
        <v>78.940484604698995</v>
      </c>
      <c r="BI120" s="51">
        <f t="shared" ca="1" si="76"/>
        <v>0</v>
      </c>
      <c r="BJ120" s="51">
        <f t="shared" ca="1" si="77"/>
        <v>0</v>
      </c>
      <c r="BK120" s="51">
        <f t="shared" si="78"/>
        <v>90</v>
      </c>
      <c r="BL120" s="51">
        <f t="shared" ca="1" si="79"/>
        <v>590.30430147828395</v>
      </c>
      <c r="BM120" s="51">
        <f t="shared" si="80"/>
        <v>0</v>
      </c>
      <c r="BN120" s="51">
        <f t="shared" ca="1" si="81"/>
        <v>0</v>
      </c>
      <c r="BO120" s="51">
        <f t="shared" ca="1" si="82"/>
        <v>0</v>
      </c>
      <c r="BP120" s="51">
        <f t="shared" ca="1" si="83"/>
        <v>759.24478608298296</v>
      </c>
      <c r="BQ120" s="120"/>
      <c r="BR120" s="32"/>
      <c r="BS120" s="126"/>
      <c r="BT120" s="16"/>
      <c r="BU120" s="58"/>
      <c r="BW120" s="51">
        <f>VLOOKUP(H120,Charges!$AT$4:$AU$33,2,FALSE)*I120</f>
        <v>0</v>
      </c>
      <c r="BX120" s="51">
        <f t="shared" si="84"/>
        <v>0</v>
      </c>
      <c r="BY120" s="51">
        <f t="shared" si="93"/>
        <v>0</v>
      </c>
      <c r="BZ120" s="151"/>
      <c r="CA120" s="151"/>
      <c r="CB120" s="32"/>
      <c r="CC120" s="16">
        <f ca="1">SUM($N$7:$N120)</f>
        <v>0</v>
      </c>
      <c r="CD120" s="16">
        <f t="shared" ca="1" si="85"/>
        <v>0</v>
      </c>
      <c r="CE120" s="16">
        <f t="shared" ca="1" si="86"/>
        <v>0</v>
      </c>
      <c r="CF120" s="7">
        <f t="shared" ca="1" si="94"/>
        <v>0</v>
      </c>
    </row>
    <row r="121" spans="1:84" s="7" customFormat="1" x14ac:dyDescent="0.2">
      <c r="A121" s="149"/>
      <c r="B121" s="14">
        <f t="shared" si="55"/>
        <v>1</v>
      </c>
      <c r="C121" s="12">
        <f t="shared" si="56"/>
        <v>1</v>
      </c>
      <c r="D121" s="17">
        <f t="shared" si="95"/>
        <v>115</v>
      </c>
      <c r="E121" s="17">
        <f t="shared" ca="1" si="57"/>
        <v>69</v>
      </c>
      <c r="F121" s="12">
        <f t="shared" si="97"/>
        <v>6</v>
      </c>
      <c r="G121" s="12">
        <f t="shared" si="96"/>
        <v>20</v>
      </c>
      <c r="H121" s="17">
        <f t="shared" si="98"/>
        <v>10</v>
      </c>
      <c r="I121" s="29">
        <f t="shared" si="58"/>
        <v>0</v>
      </c>
      <c r="J121" s="211">
        <f>IFERROR(VLOOKUP(H121,Charges!$T$6:$U$35,2,0)*C121,0)</f>
        <v>0.98</v>
      </c>
      <c r="K121" s="29">
        <f t="shared" si="59"/>
        <v>0</v>
      </c>
      <c r="L121" s="29">
        <f t="shared" si="60"/>
        <v>0</v>
      </c>
      <c r="M121" s="147">
        <f t="shared" ca="1" si="61"/>
        <v>0</v>
      </c>
      <c r="N121" s="148">
        <f ca="1">IF(AND(Option_SPW="Y",H121&gt;=Lock_In_Period,Z120&gt;SPW_Amount_pa+IF(option="Single",1/5*pr,2*pr),H121&gt;=SPW_Start_Year,H121&lt;=SPW_Start_Year+SPW_Duration-1,age+H121&gt;=Legal_Age),IF(AND(F121=0,SPW_Payout_Freq=1),SPW_Amount_pa,IF(AND(SPW_Payout_Freq=2,MOD(F121,6)=0),SPW_Amount_pa/SPW_Payout_Freq,IF(AND(SPW_Payout_Freq=4,MOD(F121,3)=0),SPW_Amount_pa/SPW_Payout_Freq,IF(SPW_Payout_Freq=12,SPW_Amount_pa/SPW_Payout_Freq,0)))),0)+IFERROR(VLOOKUP(H121,Input!$B$68:$C$74,2,0),0)*(F121=0)*(Option_PW="Y")*(Option_SPW="N")*(age+H121&gt;=Legal_Age)</f>
        <v>0</v>
      </c>
      <c r="O121" s="148">
        <f t="shared" ca="1" si="87"/>
        <v>0</v>
      </c>
      <c r="P121" s="14">
        <f ca="1">(MAX(MAX(sa-CF120*Flag_UL_Type,105%*SUM($I$7:I121))-(AD120+L121-N121)*Flag_UL_Type,0)*B121)</f>
        <v>240372.35727227619</v>
      </c>
      <c r="Q121" s="213">
        <f t="shared" ca="1" si="62"/>
        <v>430.44679878532833</v>
      </c>
      <c r="R121" s="14">
        <f t="shared" ca="1" si="63"/>
        <v>0</v>
      </c>
      <c r="S121" s="14">
        <f t="shared" ca="1" si="64"/>
        <v>0</v>
      </c>
      <c r="T121" s="14">
        <f>IFERROR(IF(WoP_Flag="Y",IF(fq=1,VLOOKUP(ppt*fq-H121,Charges!$AN$41:$AO$59,2,FALSE),IF(fq=2,VLOOKUP(ppt*fq-G121,Charges!$AP$41:$AQ$79,2,FALSE),VLOOKUP(ppt*fq-D121,Charges!$AR$41:$AS$279,2,FALSE)))*pr/fq,0),0)</f>
        <v>0</v>
      </c>
      <c r="U121" s="14">
        <f ca="1">IFERROR(((T121*(VLOOKUP(Input!$D$18+H121-1,Tab_Mort_Charge,IF(Gender_2="M",2,3),FALSE)*(1+_emr2)+_rpm2)/IF(Model_Type="LA_PQIS",1000/0.0833,(12*1000))))*Flag_Mort_Rider_Charge*(T121&gt;0),0)</f>
        <v>0</v>
      </c>
      <c r="V121" s="34">
        <f>ROUND(MIN(IF(H121&gt;=7,Charges!$C$12*(1+Charges!$C$14)^((H121-7+1)),VLOOKUP(H121,Charges!$B$7:$C$12,2,0))*pr,Charges!$C$13)*B121,Round)</f>
        <v>500</v>
      </c>
      <c r="W121" s="14">
        <f t="shared" ca="1" si="65"/>
        <v>2908529.7155051571</v>
      </c>
      <c r="X121" s="14">
        <f t="shared" ca="1" si="66"/>
        <v>2918051.484942514</v>
      </c>
      <c r="Y121" s="213">
        <f t="shared" ca="1" si="88"/>
        <v>3284.5944579815514</v>
      </c>
      <c r="Z121" s="14">
        <f t="shared" ca="1" si="67"/>
        <v>2914175.6634820956</v>
      </c>
      <c r="AA121" s="14">
        <f>IF(AND($H121=pt,$F121=11),SUM($K$7:K121)*VLOOKUP(pt,ROC,2,FALSE),0)</f>
        <v>0</v>
      </c>
      <c r="AB121" s="14">
        <f>IF(AND($H121=pt,$F121=11),SUM($V$7:V121)*VLOOKUP(pt,ROC,2,FALSE),0)</f>
        <v>0</v>
      </c>
      <c r="AC121" s="14">
        <f>IF(AND($H121=pt,$F121=11),SUM($Q$7:Q121)*VLOOKUP(pt,ROC,2,FALSE),0)</f>
        <v>0</v>
      </c>
      <c r="AD121" s="14">
        <f t="shared" ca="1" si="89"/>
        <v>2914175.6634820956</v>
      </c>
      <c r="AE121" s="14">
        <f ca="1">(MAX(sa-CF120*Flag_UL_Type,105%*SUM($I$7:I121),Z121)+AU121)*B121</f>
        <v>3150000</v>
      </c>
      <c r="AF121" s="136"/>
      <c r="AG121" s="18">
        <v>115</v>
      </c>
      <c r="AH121" s="30">
        <f t="shared" ca="1" si="68"/>
        <v>0</v>
      </c>
      <c r="AI121" s="58"/>
      <c r="AJ121" s="50">
        <f>IF(AND(Option_Sys_TopUp&gt;="Y",H121&gt;=sytp,H121&lt;=(dtp+sytp-1),F121=0,H121&lt;=ppt+1),atp,0)+IFERROR(VLOOKUP(H121,Input!$B$55:$C$61,2,0),0)*(F121=0)*(Option_TopUP="Y")*(Option_Sys_TopUp="N")*B121*(pt&gt;=H121+5)</f>
        <v>0</v>
      </c>
      <c r="AK121" s="50">
        <f t="shared" si="69"/>
        <v>0</v>
      </c>
      <c r="AL121" s="50">
        <f t="shared" si="90"/>
        <v>0</v>
      </c>
      <c r="AM121" s="50">
        <f t="shared" ca="1" si="70"/>
        <v>0</v>
      </c>
      <c r="AN121" s="50">
        <f ca="1">IF(B121=0,0,AT121*(_rpm1+(1+_emr1)*VLOOKUP(E121,Tab_Mort_Charge,IF(Input!$C$12="M",2,3),0))*(0.001*0.0833)*Flag_Mort_Rider_Charge*(AT121&gt;0))</f>
        <v>0</v>
      </c>
      <c r="AO121" s="50">
        <f t="shared" ca="1" si="91"/>
        <v>0</v>
      </c>
      <c r="AP121" s="50">
        <f t="shared" ca="1" si="99"/>
        <v>0</v>
      </c>
      <c r="AQ121" s="50">
        <f t="shared" ca="1" si="71"/>
        <v>0</v>
      </c>
      <c r="AR121" s="50">
        <f t="shared" ca="1" si="72"/>
        <v>0</v>
      </c>
      <c r="AS121" s="50">
        <f t="shared" si="73"/>
        <v>0</v>
      </c>
      <c r="AT121" s="50">
        <f ca="1">(MAX((MAX(AS121,105%*SUM($AJ$7:AJ121))-AM121*Flag_UL_Type),0)*B121)</f>
        <v>0</v>
      </c>
      <c r="AU121" s="50">
        <f ca="1">(MAX(AS121,AR121,105%*SUM($AJ$7:AJ121))*B121)</f>
        <v>0</v>
      </c>
      <c r="AV121" s="125"/>
      <c r="AW121" s="13"/>
      <c r="AX121" s="13"/>
      <c r="AY121" s="13"/>
      <c r="AZ121" s="13"/>
      <c r="BA121" s="13"/>
      <c r="BG121" s="51">
        <f t="shared" si="74"/>
        <v>0</v>
      </c>
      <c r="BH121" s="51">
        <f t="shared" ca="1" si="75"/>
        <v>77.480423781359093</v>
      </c>
      <c r="BI121" s="51">
        <f t="shared" ca="1" si="76"/>
        <v>0</v>
      </c>
      <c r="BJ121" s="51">
        <f t="shared" ca="1" si="77"/>
        <v>0</v>
      </c>
      <c r="BK121" s="51">
        <f t="shared" si="78"/>
        <v>90</v>
      </c>
      <c r="BL121" s="51">
        <f t="shared" ca="1" si="79"/>
        <v>591.22700243667919</v>
      </c>
      <c r="BM121" s="51">
        <f t="shared" si="80"/>
        <v>0</v>
      </c>
      <c r="BN121" s="51">
        <f t="shared" ca="1" si="81"/>
        <v>0</v>
      </c>
      <c r="BO121" s="51">
        <f t="shared" ca="1" si="82"/>
        <v>0</v>
      </c>
      <c r="BP121" s="51">
        <f t="shared" ca="1" si="83"/>
        <v>758.70742621803834</v>
      </c>
      <c r="BQ121" s="120"/>
      <c r="BR121" s="32"/>
      <c r="BS121" s="126"/>
      <c r="BT121" s="16"/>
      <c r="BU121" s="58"/>
      <c r="BW121" s="51">
        <f>VLOOKUP(H121,Charges!$AT$4:$AU$33,2,FALSE)*I121</f>
        <v>0</v>
      </c>
      <c r="BX121" s="51">
        <f t="shared" si="84"/>
        <v>0</v>
      </c>
      <c r="BY121" s="51">
        <f t="shared" si="93"/>
        <v>0</v>
      </c>
      <c r="BZ121" s="151"/>
      <c r="CA121" s="151"/>
      <c r="CB121" s="32"/>
      <c r="CC121" s="16">
        <f ca="1">SUM($N$7:$N121)</f>
        <v>0</v>
      </c>
      <c r="CD121" s="16">
        <f t="shared" ca="1" si="85"/>
        <v>0</v>
      </c>
      <c r="CE121" s="16">
        <f t="shared" ca="1" si="86"/>
        <v>0</v>
      </c>
      <c r="CF121" s="7">
        <f t="shared" ca="1" si="94"/>
        <v>0</v>
      </c>
    </row>
    <row r="122" spans="1:84" s="7" customFormat="1" x14ac:dyDescent="0.2">
      <c r="A122" s="149"/>
      <c r="B122" s="14">
        <f t="shared" si="55"/>
        <v>1</v>
      </c>
      <c r="C122" s="12">
        <f t="shared" si="56"/>
        <v>1</v>
      </c>
      <c r="D122" s="17">
        <f t="shared" si="95"/>
        <v>116</v>
      </c>
      <c r="E122" s="17">
        <f t="shared" ca="1" si="57"/>
        <v>69</v>
      </c>
      <c r="F122" s="12">
        <f t="shared" si="97"/>
        <v>7</v>
      </c>
      <c r="G122" s="12">
        <f t="shared" si="96"/>
        <v>20</v>
      </c>
      <c r="H122" s="17">
        <f t="shared" si="98"/>
        <v>10</v>
      </c>
      <c r="I122" s="29">
        <f t="shared" si="58"/>
        <v>0</v>
      </c>
      <c r="J122" s="211">
        <f>IFERROR(VLOOKUP(H122,Charges!$T$6:$U$35,2,0)*C122,0)</f>
        <v>0.98</v>
      </c>
      <c r="K122" s="29">
        <f t="shared" si="59"/>
        <v>0</v>
      </c>
      <c r="L122" s="29">
        <f t="shared" si="60"/>
        <v>0</v>
      </c>
      <c r="M122" s="147">
        <f t="shared" ca="1" si="61"/>
        <v>0</v>
      </c>
      <c r="N122" s="148">
        <f ca="1">IF(AND(Option_SPW="Y",H122&gt;=Lock_In_Period,Z121&gt;SPW_Amount_pa+IF(option="Single",1/5*pr,2*pr),H122&gt;=SPW_Start_Year,H122&lt;=SPW_Start_Year+SPW_Duration-1,age+H122&gt;=Legal_Age),IF(AND(F122=0,SPW_Payout_Freq=1),SPW_Amount_pa,IF(AND(SPW_Payout_Freq=2,MOD(F122,6)=0),SPW_Amount_pa/SPW_Payout_Freq,IF(AND(SPW_Payout_Freq=4,MOD(F122,3)=0),SPW_Amount_pa/SPW_Payout_Freq,IF(SPW_Payout_Freq=12,SPW_Amount_pa/SPW_Payout_Freq,0)))),0)+IFERROR(VLOOKUP(H122,Input!$B$68:$C$74,2,0),0)*(F122=0)*(Option_PW="Y")*(Option_SPW="N")*(age+H122&gt;=Legal_Age)</f>
        <v>0</v>
      </c>
      <c r="O122" s="148">
        <f t="shared" ca="1" si="87"/>
        <v>0</v>
      </c>
      <c r="P122" s="14">
        <f ca="1">(MAX(MAX(sa-CF121*Flag_UL_Type,105%*SUM($I$7:I122))-(AD121+L122-N122)*Flag_UL_Type,0)*B122)</f>
        <v>235824.33651790442</v>
      </c>
      <c r="Q122" s="213">
        <f t="shared" ca="1" si="62"/>
        <v>422.30243061943747</v>
      </c>
      <c r="R122" s="14">
        <f t="shared" ca="1" si="63"/>
        <v>0</v>
      </c>
      <c r="S122" s="14">
        <f t="shared" ca="1" si="64"/>
        <v>0</v>
      </c>
      <c r="T122" s="14">
        <f>IFERROR(IF(WoP_Flag="Y",IF(fq=1,VLOOKUP(ppt*fq-H122,Charges!$AN$41:$AO$59,2,FALSE),IF(fq=2,VLOOKUP(ppt*fq-G122,Charges!$AP$41:$AQ$79,2,FALSE),VLOOKUP(ppt*fq-D122,Charges!$AR$41:$AS$279,2,FALSE)))*pr/fq,0),0)</f>
        <v>0</v>
      </c>
      <c r="U122" s="14">
        <f ca="1">IFERROR(((T122*(VLOOKUP(Input!$D$18+H122-1,Tab_Mort_Charge,IF(Gender_2="M",2,3),FALSE)*(1+_emr2)+_rpm2)/IF(Model_Type="LA_PQIS",1000/0.0833,(12*1000))))*Flag_Mort_Rider_Charge*(T122&gt;0),0)</f>
        <v>0</v>
      </c>
      <c r="V122" s="34">
        <f>ROUND(MIN(IF(H122&gt;=7,Charges!$C$12*(1+Charges!$C$14)^((H122-7+1)),VLOOKUP(H122,Charges!$B$7:$C$12,2,0))*pr,Charges!$C$13)*B122,Round)</f>
        <v>500</v>
      </c>
      <c r="W122" s="14">
        <f t="shared" ca="1" si="65"/>
        <v>2913087.3466139645</v>
      </c>
      <c r="X122" s="14">
        <f t="shared" ca="1" si="66"/>
        <v>2922624.0365495947</v>
      </c>
      <c r="Y122" s="213">
        <f t="shared" ca="1" si="88"/>
        <v>3289.7413780221855</v>
      </c>
      <c r="Z122" s="14">
        <f t="shared" ca="1" si="67"/>
        <v>2918742.1417235285</v>
      </c>
      <c r="AA122" s="14">
        <f>IF(AND($H122=pt,$F122=11),SUM($K$7:K122)*VLOOKUP(pt,ROC,2,FALSE),0)</f>
        <v>0</v>
      </c>
      <c r="AB122" s="14">
        <f>IF(AND($H122=pt,$F122=11),SUM($V$7:V122)*VLOOKUP(pt,ROC,2,FALSE),0)</f>
        <v>0</v>
      </c>
      <c r="AC122" s="14">
        <f>IF(AND($H122=pt,$F122=11),SUM($Q$7:Q122)*VLOOKUP(pt,ROC,2,FALSE),0)</f>
        <v>0</v>
      </c>
      <c r="AD122" s="14">
        <f t="shared" ca="1" si="89"/>
        <v>2918742.1417235285</v>
      </c>
      <c r="AE122" s="14">
        <f ca="1">(MAX(sa-CF121*Flag_UL_Type,105%*SUM($I$7:I122),Z122)+AU122)*B122</f>
        <v>3150000</v>
      </c>
      <c r="AF122" s="136"/>
      <c r="AG122" s="18">
        <v>116</v>
      </c>
      <c r="AH122" s="30">
        <f t="shared" ca="1" si="68"/>
        <v>0</v>
      </c>
      <c r="AI122" s="58"/>
      <c r="AJ122" s="50">
        <f>IF(AND(Option_Sys_TopUp&gt;="Y",H122&gt;=sytp,H122&lt;=(dtp+sytp-1),F122=0,H122&lt;=ppt+1),atp,0)+IFERROR(VLOOKUP(H122,Input!$B$55:$C$61,2,0),0)*(F122=0)*(Option_TopUP="Y")*(Option_Sys_TopUp="N")*B122*(pt&gt;=H122+5)</f>
        <v>0</v>
      </c>
      <c r="AK122" s="50">
        <f t="shared" si="69"/>
        <v>0</v>
      </c>
      <c r="AL122" s="50">
        <f t="shared" si="90"/>
        <v>0</v>
      </c>
      <c r="AM122" s="50">
        <f t="shared" ca="1" si="70"/>
        <v>0</v>
      </c>
      <c r="AN122" s="50">
        <f ca="1">IF(B122=0,0,AT122*(_rpm1+(1+_emr1)*VLOOKUP(E122,Tab_Mort_Charge,IF(Input!$C$12="M",2,3),0))*(0.001*0.0833)*Flag_Mort_Rider_Charge*(AT122&gt;0))</f>
        <v>0</v>
      </c>
      <c r="AO122" s="50">
        <f t="shared" ca="1" si="91"/>
        <v>0</v>
      </c>
      <c r="AP122" s="50">
        <f t="shared" ca="1" si="99"/>
        <v>0</v>
      </c>
      <c r="AQ122" s="50">
        <f t="shared" ca="1" si="71"/>
        <v>0</v>
      </c>
      <c r="AR122" s="50">
        <f t="shared" ca="1" si="72"/>
        <v>0</v>
      </c>
      <c r="AS122" s="50">
        <f t="shared" si="73"/>
        <v>0</v>
      </c>
      <c r="AT122" s="50">
        <f ca="1">(MAX((MAX(AS122,105%*SUM($AJ$7:AJ122))-AM122*Flag_UL_Type),0)*B122)</f>
        <v>0</v>
      </c>
      <c r="AU122" s="50">
        <f ca="1">(MAX(AS122,AR122,105%*SUM($AJ$7:AJ122))*B122)</f>
        <v>0</v>
      </c>
      <c r="AV122" s="125"/>
      <c r="AW122" s="13"/>
      <c r="AX122" s="13"/>
      <c r="AY122" s="13"/>
      <c r="AZ122" s="13"/>
      <c r="BA122" s="13"/>
      <c r="BG122" s="51">
        <f t="shared" si="74"/>
        <v>0</v>
      </c>
      <c r="BH122" s="51">
        <f t="shared" ca="1" si="75"/>
        <v>76.014437511498699</v>
      </c>
      <c r="BI122" s="51">
        <f t="shared" ca="1" si="76"/>
        <v>0</v>
      </c>
      <c r="BJ122" s="51">
        <f t="shared" ca="1" si="77"/>
        <v>0</v>
      </c>
      <c r="BK122" s="51">
        <f t="shared" si="78"/>
        <v>90</v>
      </c>
      <c r="BL122" s="51">
        <f t="shared" ca="1" si="79"/>
        <v>592.15344804399331</v>
      </c>
      <c r="BM122" s="51">
        <f t="shared" si="80"/>
        <v>0</v>
      </c>
      <c r="BN122" s="51">
        <f t="shared" ca="1" si="81"/>
        <v>0</v>
      </c>
      <c r="BO122" s="51">
        <f t="shared" ca="1" si="82"/>
        <v>0</v>
      </c>
      <c r="BP122" s="51">
        <f t="shared" ca="1" si="83"/>
        <v>758.16788555549203</v>
      </c>
      <c r="BQ122" s="120"/>
      <c r="BR122" s="32"/>
      <c r="BS122" s="126"/>
      <c r="BT122" s="16"/>
      <c r="BU122" s="58"/>
      <c r="BW122" s="51">
        <f>VLOOKUP(H122,Charges!$AT$4:$AU$33,2,FALSE)*I122</f>
        <v>0</v>
      </c>
      <c r="BX122" s="51">
        <f t="shared" si="84"/>
        <v>0</v>
      </c>
      <c r="BY122" s="51">
        <f t="shared" si="93"/>
        <v>0</v>
      </c>
      <c r="BZ122" s="151"/>
      <c r="CA122" s="151"/>
      <c r="CB122" s="32"/>
      <c r="CC122" s="16">
        <f ca="1">SUM($N$7:$N122)</f>
        <v>0</v>
      </c>
      <c r="CD122" s="16">
        <f t="shared" ca="1" si="85"/>
        <v>0</v>
      </c>
      <c r="CE122" s="16">
        <f t="shared" ca="1" si="86"/>
        <v>0</v>
      </c>
      <c r="CF122" s="7">
        <f t="shared" ca="1" si="94"/>
        <v>0</v>
      </c>
    </row>
    <row r="123" spans="1:84" s="7" customFormat="1" ht="12.75" customHeight="1" x14ac:dyDescent="0.2">
      <c r="A123" s="149"/>
      <c r="B123" s="14">
        <f t="shared" si="55"/>
        <v>1</v>
      </c>
      <c r="C123" s="12">
        <f t="shared" si="56"/>
        <v>1</v>
      </c>
      <c r="D123" s="17">
        <f t="shared" si="95"/>
        <v>117</v>
      </c>
      <c r="E123" s="17">
        <f t="shared" ca="1" si="57"/>
        <v>69</v>
      </c>
      <c r="F123" s="12">
        <f t="shared" si="97"/>
        <v>8</v>
      </c>
      <c r="G123" s="12">
        <f t="shared" si="96"/>
        <v>20</v>
      </c>
      <c r="H123" s="17">
        <f t="shared" si="98"/>
        <v>10</v>
      </c>
      <c r="I123" s="29">
        <f t="shared" si="58"/>
        <v>0</v>
      </c>
      <c r="J123" s="211">
        <f>IFERROR(VLOOKUP(H123,Charges!$T$6:$U$35,2,0)*C123,0)</f>
        <v>0.98</v>
      </c>
      <c r="K123" s="29">
        <f t="shared" si="59"/>
        <v>0</v>
      </c>
      <c r="L123" s="29">
        <f t="shared" si="60"/>
        <v>0</v>
      </c>
      <c r="M123" s="147">
        <f t="shared" ca="1" si="61"/>
        <v>0</v>
      </c>
      <c r="N123" s="148">
        <f ca="1">IF(AND(Option_SPW="Y",H123&gt;=Lock_In_Period,Z122&gt;SPW_Amount_pa+IF(option="Single",1/5*pr,2*pr),H123&gt;=SPW_Start_Year,H123&lt;=SPW_Start_Year+SPW_Duration-1,age+H123&gt;=Legal_Age),IF(AND(F123=0,SPW_Payout_Freq=1),SPW_Amount_pa,IF(AND(SPW_Payout_Freq=2,MOD(F123,6)=0),SPW_Amount_pa/SPW_Payout_Freq,IF(AND(SPW_Payout_Freq=4,MOD(F123,3)=0),SPW_Amount_pa/SPW_Payout_Freq,IF(SPW_Payout_Freq=12,SPW_Amount_pa/SPW_Payout_Freq,0)))),0)+IFERROR(VLOOKUP(H123,Input!$B$68:$C$74,2,0),0)*(F123=0)*(Option_PW="Y")*(Option_SPW="N")*(age+H123&gt;=Legal_Age)</f>
        <v>0</v>
      </c>
      <c r="O123" s="148">
        <f t="shared" ca="1" si="87"/>
        <v>0</v>
      </c>
      <c r="P123" s="14">
        <f ca="1">(MAX(MAX(sa-CF122*Flag_UL_Type,105%*SUM($I$7:I123))-(AD122+L123-N123)*Flag_UL_Type,0)*B123)</f>
        <v>231257.8582764715</v>
      </c>
      <c r="Q123" s="213">
        <f t="shared" ca="1" si="62"/>
        <v>414.12500970859162</v>
      </c>
      <c r="R123" s="14">
        <f t="shared" ca="1" si="63"/>
        <v>0</v>
      </c>
      <c r="S123" s="14">
        <f t="shared" ca="1" si="64"/>
        <v>0</v>
      </c>
      <c r="T123" s="14">
        <f>IFERROR(IF(WoP_Flag="Y",IF(fq=1,VLOOKUP(ppt*fq-H123,Charges!$AN$41:$AO$59,2,FALSE),IF(fq=2,VLOOKUP(ppt*fq-G123,Charges!$AP$41:$AQ$79,2,FALSE),VLOOKUP(ppt*fq-D123,Charges!$AR$41:$AS$279,2,FALSE)))*pr/fq,0),0)</f>
        <v>0</v>
      </c>
      <c r="U123" s="14">
        <f ca="1">IFERROR(((T123*(VLOOKUP(Input!$D$18+H123-1,Tab_Mort_Charge,IF(Gender_2="M",2,3),FALSE)*(1+_emr2)+_rpm2)/IF(Model_Type="LA_PQIS",1000/0.0833,(12*1000))))*Flag_Mort_Rider_Charge*(T123&gt;0),0)</f>
        <v>0</v>
      </c>
      <c r="V123" s="34">
        <f>ROUND(MIN(IF(H123&gt;=7,Charges!$C$12*(1+Charges!$C$14)^((H123-7+1)),VLOOKUP(H123,Charges!$B$7:$C$12,2,0))*pr,Charges!$C$13)*B123,Round)</f>
        <v>500</v>
      </c>
      <c r="W123" s="14">
        <f t="shared" ca="1" si="65"/>
        <v>2917663.4742120723</v>
      </c>
      <c r="X123" s="14">
        <f t="shared" ca="1" si="66"/>
        <v>2927215.1451986693</v>
      </c>
      <c r="Y123" s="213">
        <f t="shared" ca="1" si="88"/>
        <v>3294.9091860963595</v>
      </c>
      <c r="Z123" s="14">
        <f t="shared" ca="1" si="67"/>
        <v>2923327.1523590754</v>
      </c>
      <c r="AA123" s="14">
        <f>IF(AND($H123=pt,$F123=11),SUM($K$7:K123)*VLOOKUP(pt,ROC,2,FALSE),0)</f>
        <v>0</v>
      </c>
      <c r="AB123" s="14">
        <f>IF(AND($H123=pt,$F123=11),SUM($V$7:V123)*VLOOKUP(pt,ROC,2,FALSE),0)</f>
        <v>0</v>
      </c>
      <c r="AC123" s="14">
        <f>IF(AND($H123=pt,$F123=11),SUM($Q$7:Q123)*VLOOKUP(pt,ROC,2,FALSE),0)</f>
        <v>0</v>
      </c>
      <c r="AD123" s="14">
        <f t="shared" ca="1" si="89"/>
        <v>2923327.1523590754</v>
      </c>
      <c r="AE123" s="14">
        <f ca="1">(MAX(sa-CF122*Flag_UL_Type,105%*SUM($I$7:I123),Z123)+AU123)*B123</f>
        <v>3150000</v>
      </c>
      <c r="AF123" s="136"/>
      <c r="AG123" s="18">
        <v>117</v>
      </c>
      <c r="AH123" s="30">
        <f t="shared" ca="1" si="68"/>
        <v>0</v>
      </c>
      <c r="AI123" s="58"/>
      <c r="AJ123" s="50">
        <f>IF(AND(Option_Sys_TopUp&gt;="Y",H123&gt;=sytp,H123&lt;=(dtp+sytp-1),F123=0,H123&lt;=ppt+1),atp,0)+IFERROR(VLOOKUP(H123,Input!$B$55:$C$61,2,0),0)*(F123=0)*(Option_TopUP="Y")*(Option_Sys_TopUp="N")*B123*(pt&gt;=H123+5)</f>
        <v>0</v>
      </c>
      <c r="AK123" s="50">
        <f t="shared" si="69"/>
        <v>0</v>
      </c>
      <c r="AL123" s="50">
        <f t="shared" si="90"/>
        <v>0</v>
      </c>
      <c r="AM123" s="50">
        <f t="shared" ca="1" si="70"/>
        <v>0</v>
      </c>
      <c r="AN123" s="50">
        <f ca="1">IF(B123=0,0,AT123*(_rpm1+(1+_emr1)*VLOOKUP(E123,Tab_Mort_Charge,IF(Input!$C$12="M",2,3),0))*(0.001*0.0833)*Flag_Mort_Rider_Charge*(AT123&gt;0))</f>
        <v>0</v>
      </c>
      <c r="AO123" s="50">
        <f t="shared" ca="1" si="91"/>
        <v>0</v>
      </c>
      <c r="AP123" s="50">
        <f t="shared" ca="1" si="99"/>
        <v>0</v>
      </c>
      <c r="AQ123" s="50">
        <f t="shared" ca="1" si="71"/>
        <v>0</v>
      </c>
      <c r="AR123" s="50">
        <f t="shared" ca="1" si="72"/>
        <v>0</v>
      </c>
      <c r="AS123" s="50">
        <f t="shared" si="73"/>
        <v>0</v>
      </c>
      <c r="AT123" s="50">
        <f ca="1">(MAX((MAX(AS123,105%*SUM($AJ$7:AJ123))-AM123*Flag_UL_Type),0)*B123)</f>
        <v>0</v>
      </c>
      <c r="AU123" s="50">
        <f ca="1">(MAX(AS123,AR123,105%*SUM($AJ$7:AJ123))*B123)</f>
        <v>0</v>
      </c>
      <c r="AV123" s="125"/>
      <c r="AW123" s="13"/>
      <c r="AX123" s="13"/>
      <c r="AY123" s="13"/>
      <c r="AZ123" s="13"/>
      <c r="BA123" s="13"/>
      <c r="BG123" s="51">
        <f t="shared" si="74"/>
        <v>0</v>
      </c>
      <c r="BH123" s="51">
        <f t="shared" ca="1" si="75"/>
        <v>74.542501747546495</v>
      </c>
      <c r="BI123" s="51">
        <f t="shared" ca="1" si="76"/>
        <v>0</v>
      </c>
      <c r="BJ123" s="51">
        <f t="shared" ca="1" si="77"/>
        <v>0</v>
      </c>
      <c r="BK123" s="51">
        <f t="shared" si="78"/>
        <v>90</v>
      </c>
      <c r="BL123" s="51">
        <f t="shared" ca="1" si="79"/>
        <v>593.0836534973447</v>
      </c>
      <c r="BM123" s="51">
        <f t="shared" si="80"/>
        <v>0</v>
      </c>
      <c r="BN123" s="51">
        <f t="shared" ca="1" si="81"/>
        <v>0</v>
      </c>
      <c r="BO123" s="51">
        <f t="shared" ca="1" si="82"/>
        <v>0</v>
      </c>
      <c r="BP123" s="51">
        <f t="shared" ca="1" si="83"/>
        <v>757.62615524489115</v>
      </c>
      <c r="BQ123" s="120"/>
      <c r="BR123" s="32"/>
      <c r="BS123" s="126"/>
      <c r="BT123" s="16"/>
      <c r="BU123" s="58"/>
      <c r="BW123" s="51">
        <f>VLOOKUP(H123,Charges!$AT$4:$AU$33,2,FALSE)*I123</f>
        <v>0</v>
      </c>
      <c r="BX123" s="51">
        <f t="shared" si="84"/>
        <v>0</v>
      </c>
      <c r="BY123" s="51">
        <f t="shared" si="93"/>
        <v>0</v>
      </c>
      <c r="BZ123" s="151"/>
      <c r="CA123" s="151"/>
      <c r="CB123" s="32"/>
      <c r="CC123" s="16">
        <f ca="1">SUM($N$7:$N123)</f>
        <v>0</v>
      </c>
      <c r="CD123" s="16">
        <f t="shared" ca="1" si="85"/>
        <v>0</v>
      </c>
      <c r="CE123" s="16">
        <f t="shared" ca="1" si="86"/>
        <v>0</v>
      </c>
      <c r="CF123" s="7">
        <f t="shared" ca="1" si="94"/>
        <v>0</v>
      </c>
    </row>
    <row r="124" spans="1:84" s="7" customFormat="1" x14ac:dyDescent="0.2">
      <c r="A124" s="149"/>
      <c r="B124" s="14">
        <f t="shared" si="55"/>
        <v>1</v>
      </c>
      <c r="C124" s="12">
        <f t="shared" si="56"/>
        <v>1</v>
      </c>
      <c r="D124" s="17">
        <f t="shared" si="95"/>
        <v>118</v>
      </c>
      <c r="E124" s="17">
        <f t="shared" ca="1" si="57"/>
        <v>69</v>
      </c>
      <c r="F124" s="12">
        <f t="shared" si="97"/>
        <v>9</v>
      </c>
      <c r="G124" s="12">
        <f t="shared" si="96"/>
        <v>20</v>
      </c>
      <c r="H124" s="17">
        <f t="shared" si="98"/>
        <v>10</v>
      </c>
      <c r="I124" s="29">
        <f t="shared" si="58"/>
        <v>0</v>
      </c>
      <c r="J124" s="211">
        <f>IFERROR(VLOOKUP(H124,Charges!$T$6:$U$35,2,0)*C124,0)</f>
        <v>0.98</v>
      </c>
      <c r="K124" s="29">
        <f t="shared" si="59"/>
        <v>0</v>
      </c>
      <c r="L124" s="29">
        <f t="shared" si="60"/>
        <v>0</v>
      </c>
      <c r="M124" s="147">
        <f t="shared" ca="1" si="61"/>
        <v>0</v>
      </c>
      <c r="N124" s="148">
        <f ca="1">IF(AND(Option_SPW="Y",H124&gt;=Lock_In_Period,Z123&gt;SPW_Amount_pa+IF(option="Single",1/5*pr,2*pr),H124&gt;=SPW_Start_Year,H124&lt;=SPW_Start_Year+SPW_Duration-1,age+H124&gt;=Legal_Age),IF(AND(F124=0,SPW_Payout_Freq=1),SPW_Amount_pa,IF(AND(SPW_Payout_Freq=2,MOD(F124,6)=0),SPW_Amount_pa/SPW_Payout_Freq,IF(AND(SPW_Payout_Freq=4,MOD(F124,3)=0),SPW_Amount_pa/SPW_Payout_Freq,IF(SPW_Payout_Freq=12,SPW_Amount_pa/SPW_Payout_Freq,0)))),0)+IFERROR(VLOOKUP(H124,Input!$B$68:$C$74,2,0),0)*(F124=0)*(Option_PW="Y")*(Option_SPW="N")*(age+H124&gt;=Legal_Age)</f>
        <v>0</v>
      </c>
      <c r="O124" s="148">
        <f t="shared" ca="1" si="87"/>
        <v>0</v>
      </c>
      <c r="P124" s="14">
        <f ca="1">(MAX(MAX(sa-CF123*Flag_UL_Type,105%*SUM($I$7:I124))-(AD123+L124-N124)*Flag_UL_Type,0)*B124)</f>
        <v>226672.84764092462</v>
      </c>
      <c r="Q124" s="213">
        <f t="shared" ca="1" si="62"/>
        <v>405.9144019129858</v>
      </c>
      <c r="R124" s="14">
        <f t="shared" ca="1" si="63"/>
        <v>0</v>
      </c>
      <c r="S124" s="14">
        <f t="shared" ca="1" si="64"/>
        <v>0</v>
      </c>
      <c r="T124" s="14">
        <f>IFERROR(IF(WoP_Flag="Y",IF(fq=1,VLOOKUP(ppt*fq-H124,Charges!$AN$41:$AO$59,2,FALSE),IF(fq=2,VLOOKUP(ppt*fq-G124,Charges!$AP$41:$AQ$79,2,FALSE),VLOOKUP(ppt*fq-D124,Charges!$AR$41:$AS$279,2,FALSE)))*pr/fq,0),0)</f>
        <v>0</v>
      </c>
      <c r="U124" s="14">
        <f ca="1">IFERROR(((T124*(VLOOKUP(Input!$D$18+H124-1,Tab_Mort_Charge,IF(Gender_2="M",2,3),FALSE)*(1+_emr2)+_rpm2)/IF(Model_Type="LA_PQIS",1000/0.0833,(12*1000))))*Flag_Mort_Rider_Charge*(T124&gt;0),0)</f>
        <v>0</v>
      </c>
      <c r="V124" s="34">
        <f>ROUND(MIN(IF(H124&gt;=7,Charges!$C$12*(1+Charges!$C$14)^((H124-7+1)),VLOOKUP(H124,Charges!$B$7:$C$12,2,0))*pr,Charges!$C$13)*B124,Round)</f>
        <v>500</v>
      </c>
      <c r="W124" s="14">
        <f t="shared" ca="1" si="65"/>
        <v>2922258.1733648181</v>
      </c>
      <c r="X124" s="14">
        <f t="shared" ca="1" si="66"/>
        <v>2931824.8862008182</v>
      </c>
      <c r="Y124" s="213">
        <f t="shared" ca="1" si="88"/>
        <v>3300.0979669751473</v>
      </c>
      <c r="Z124" s="14">
        <f t="shared" ca="1" si="67"/>
        <v>2927930.7705997876</v>
      </c>
      <c r="AA124" s="14">
        <f>IF(AND($H124=pt,$F124=11),SUM($K$7:K124)*VLOOKUP(pt,ROC,2,FALSE),0)</f>
        <v>0</v>
      </c>
      <c r="AB124" s="14">
        <f>IF(AND($H124=pt,$F124=11),SUM($V$7:V124)*VLOOKUP(pt,ROC,2,FALSE),0)</f>
        <v>0</v>
      </c>
      <c r="AC124" s="14">
        <f>IF(AND($H124=pt,$F124=11),SUM($Q$7:Q124)*VLOOKUP(pt,ROC,2,FALSE),0)</f>
        <v>0</v>
      </c>
      <c r="AD124" s="14">
        <f t="shared" ca="1" si="89"/>
        <v>2927930.7705997876</v>
      </c>
      <c r="AE124" s="14">
        <f ca="1">(MAX(sa-CF123*Flag_UL_Type,105%*SUM($I$7:I124),Z124)+AU124)*B124</f>
        <v>3150000</v>
      </c>
      <c r="AF124" s="136"/>
      <c r="AG124" s="18">
        <v>118</v>
      </c>
      <c r="AH124" s="30">
        <f t="shared" ca="1" si="68"/>
        <v>0</v>
      </c>
      <c r="AI124" s="58"/>
      <c r="AJ124" s="50">
        <f>IF(AND(Option_Sys_TopUp&gt;="Y",H124&gt;=sytp,H124&lt;=(dtp+sytp-1),F124=0,H124&lt;=ppt+1),atp,0)+IFERROR(VLOOKUP(H124,Input!$B$55:$C$61,2,0),0)*(F124=0)*(Option_TopUP="Y")*(Option_Sys_TopUp="N")*B124*(pt&gt;=H124+5)</f>
        <v>0</v>
      </c>
      <c r="AK124" s="50">
        <f t="shared" si="69"/>
        <v>0</v>
      </c>
      <c r="AL124" s="50">
        <f t="shared" si="90"/>
        <v>0</v>
      </c>
      <c r="AM124" s="50">
        <f t="shared" ca="1" si="70"/>
        <v>0</v>
      </c>
      <c r="AN124" s="50">
        <f ca="1">IF(B124=0,0,AT124*(_rpm1+(1+_emr1)*VLOOKUP(E124,Tab_Mort_Charge,IF(Input!$C$12="M",2,3),0))*(0.001*0.0833)*Flag_Mort_Rider_Charge*(AT124&gt;0))</f>
        <v>0</v>
      </c>
      <c r="AO124" s="50">
        <f t="shared" ca="1" si="91"/>
        <v>0</v>
      </c>
      <c r="AP124" s="50">
        <f t="shared" ca="1" si="99"/>
        <v>0</v>
      </c>
      <c r="AQ124" s="50">
        <f t="shared" ca="1" si="71"/>
        <v>0</v>
      </c>
      <c r="AR124" s="50">
        <f t="shared" ca="1" si="72"/>
        <v>0</v>
      </c>
      <c r="AS124" s="50">
        <f t="shared" si="73"/>
        <v>0</v>
      </c>
      <c r="AT124" s="50">
        <f ca="1">(MAX((MAX(AS124,105%*SUM($AJ$7:AJ124))-AM124*Flag_UL_Type),0)*B124)</f>
        <v>0</v>
      </c>
      <c r="AU124" s="50">
        <f ca="1">(MAX(AS124,AR124,105%*SUM($AJ$7:AJ124))*B124)</f>
        <v>0</v>
      </c>
      <c r="AV124" s="125"/>
      <c r="AW124" s="13"/>
      <c r="AX124" s="13"/>
      <c r="AY124" s="13"/>
      <c r="AZ124" s="13"/>
      <c r="BA124" s="13"/>
      <c r="BG124" s="51">
        <f t="shared" si="74"/>
        <v>0</v>
      </c>
      <c r="BH124" s="51">
        <f t="shared" ca="1" si="75"/>
        <v>73.064592344337399</v>
      </c>
      <c r="BI124" s="51">
        <f t="shared" ca="1" si="76"/>
        <v>0</v>
      </c>
      <c r="BJ124" s="51">
        <f t="shared" ca="1" si="77"/>
        <v>0</v>
      </c>
      <c r="BK124" s="51">
        <f t="shared" si="78"/>
        <v>90</v>
      </c>
      <c r="BL124" s="51">
        <f t="shared" ca="1" si="79"/>
        <v>594.01763405552651</v>
      </c>
      <c r="BM124" s="51">
        <f t="shared" si="80"/>
        <v>0</v>
      </c>
      <c r="BN124" s="51">
        <f t="shared" ca="1" si="81"/>
        <v>0</v>
      </c>
      <c r="BO124" s="51">
        <f t="shared" ca="1" si="82"/>
        <v>0</v>
      </c>
      <c r="BP124" s="51">
        <f t="shared" ca="1" si="83"/>
        <v>757.08222639986388</v>
      </c>
      <c r="BQ124" s="120"/>
      <c r="BR124" s="32"/>
      <c r="BS124" s="126"/>
      <c r="BT124" s="16"/>
      <c r="BU124" s="58"/>
      <c r="BW124" s="51">
        <f>VLOOKUP(H124,Charges!$AT$4:$AU$33,2,FALSE)*I124</f>
        <v>0</v>
      </c>
      <c r="BX124" s="51">
        <f t="shared" si="84"/>
        <v>0</v>
      </c>
      <c r="BY124" s="51">
        <f t="shared" si="93"/>
        <v>0</v>
      </c>
      <c r="BZ124" s="151"/>
      <c r="CA124" s="151"/>
      <c r="CB124" s="32"/>
      <c r="CC124" s="16">
        <f ca="1">SUM($N$7:$N124)</f>
        <v>0</v>
      </c>
      <c r="CD124" s="16">
        <f t="shared" ca="1" si="85"/>
        <v>0</v>
      </c>
      <c r="CE124" s="16">
        <f t="shared" ca="1" si="86"/>
        <v>0</v>
      </c>
      <c r="CF124" s="7">
        <f t="shared" ca="1" si="94"/>
        <v>0</v>
      </c>
    </row>
    <row r="125" spans="1:84" s="7" customFormat="1" x14ac:dyDescent="0.2">
      <c r="A125" s="149"/>
      <c r="B125" s="14">
        <f t="shared" si="55"/>
        <v>1</v>
      </c>
      <c r="C125" s="12">
        <f t="shared" si="56"/>
        <v>1</v>
      </c>
      <c r="D125" s="17">
        <f t="shared" si="95"/>
        <v>119</v>
      </c>
      <c r="E125" s="17">
        <f t="shared" ca="1" si="57"/>
        <v>69</v>
      </c>
      <c r="F125" s="12">
        <f t="shared" si="97"/>
        <v>10</v>
      </c>
      <c r="G125" s="12">
        <f t="shared" si="96"/>
        <v>20</v>
      </c>
      <c r="H125" s="17">
        <f t="shared" si="98"/>
        <v>10</v>
      </c>
      <c r="I125" s="29">
        <f t="shared" si="58"/>
        <v>0</v>
      </c>
      <c r="J125" s="211">
        <f>IFERROR(VLOOKUP(H125,Charges!$T$6:$U$35,2,0)*C125,0)</f>
        <v>0.98</v>
      </c>
      <c r="K125" s="29">
        <f t="shared" si="59"/>
        <v>0</v>
      </c>
      <c r="L125" s="29">
        <f t="shared" si="60"/>
        <v>0</v>
      </c>
      <c r="M125" s="147">
        <f t="shared" ca="1" si="61"/>
        <v>0</v>
      </c>
      <c r="N125" s="148">
        <f ca="1">IF(AND(Option_SPW="Y",H125&gt;=Lock_In_Period,Z124&gt;SPW_Amount_pa+IF(option="Single",1/5*pr,2*pr),H125&gt;=SPW_Start_Year,H125&lt;=SPW_Start_Year+SPW_Duration-1,age+H125&gt;=Legal_Age),IF(AND(F125=0,SPW_Payout_Freq=1),SPW_Amount_pa,IF(AND(SPW_Payout_Freq=2,MOD(F125,6)=0),SPW_Amount_pa/SPW_Payout_Freq,IF(AND(SPW_Payout_Freq=4,MOD(F125,3)=0),SPW_Amount_pa/SPW_Payout_Freq,IF(SPW_Payout_Freq=12,SPW_Amount_pa/SPW_Payout_Freq,0)))),0)+IFERROR(VLOOKUP(H125,Input!$B$68:$C$74,2,0),0)*(F125=0)*(Option_PW="Y")*(Option_SPW="N")*(age+H125&gt;=Legal_Age)</f>
        <v>0</v>
      </c>
      <c r="O125" s="148">
        <f t="shared" ca="1" si="87"/>
        <v>0</v>
      </c>
      <c r="P125" s="14">
        <f ca="1">(MAX(MAX(sa-CF124*Flag_UL_Type,105%*SUM($I$7:I125))-(AD124+L125-N125)*Flag_UL_Type,0)*B125)</f>
        <v>222069.22940021241</v>
      </c>
      <c r="Q125" s="213">
        <f t="shared" ca="1" si="62"/>
        <v>397.67047254842998</v>
      </c>
      <c r="R125" s="14">
        <f t="shared" ca="1" si="63"/>
        <v>0</v>
      </c>
      <c r="S125" s="14">
        <f t="shared" ca="1" si="64"/>
        <v>0</v>
      </c>
      <c r="T125" s="14">
        <f>IFERROR(IF(WoP_Flag="Y",IF(fq=1,VLOOKUP(ppt*fq-H125,Charges!$AN$41:$AO$59,2,FALSE),IF(fq=2,VLOOKUP(ppt*fq-G125,Charges!$AP$41:$AQ$79,2,FALSE),VLOOKUP(ppt*fq-D125,Charges!$AR$41:$AS$279,2,FALSE)))*pr/fq,0),0)</f>
        <v>0</v>
      </c>
      <c r="U125" s="14">
        <f ca="1">IFERROR(((T125*(VLOOKUP(Input!$D$18+H125-1,Tab_Mort_Charge,IF(Gender_2="M",2,3),FALSE)*(1+_emr2)+_rpm2)/IF(Model_Type="LA_PQIS",1000/0.0833,(12*1000))))*Flag_Mort_Rider_Charge*(T125&gt;0),0)</f>
        <v>0</v>
      </c>
      <c r="V125" s="34">
        <f>ROUND(MIN(IF(H125&gt;=7,Charges!$C$12*(1+Charges!$C$14)^((H125-7+1)),VLOOKUP(H125,Charges!$B$7:$C$12,2,0))*pr,Charges!$C$13)*B125,Round)</f>
        <v>500</v>
      </c>
      <c r="W125" s="14">
        <f t="shared" ca="1" si="65"/>
        <v>2926871.5194421806</v>
      </c>
      <c r="X125" s="14">
        <f t="shared" ca="1" si="66"/>
        <v>2936453.3351727636</v>
      </c>
      <c r="Y125" s="213">
        <f t="shared" ca="1" si="88"/>
        <v>3305.307805773657</v>
      </c>
      <c r="Z125" s="14">
        <f t="shared" ca="1" si="67"/>
        <v>2932553.0719619505</v>
      </c>
      <c r="AA125" s="14">
        <f>IF(AND($H125=pt,$F125=11),SUM($K$7:K125)*VLOOKUP(pt,ROC,2,FALSE),0)</f>
        <v>0</v>
      </c>
      <c r="AB125" s="14">
        <f>IF(AND($H125=pt,$F125=11),SUM($V$7:V125)*VLOOKUP(pt,ROC,2,FALSE),0)</f>
        <v>0</v>
      </c>
      <c r="AC125" s="14">
        <f>IF(AND($H125=pt,$F125=11),SUM($Q$7:Q125)*VLOOKUP(pt,ROC,2,FALSE),0)</f>
        <v>0</v>
      </c>
      <c r="AD125" s="14">
        <f t="shared" ca="1" si="89"/>
        <v>2932553.0719619505</v>
      </c>
      <c r="AE125" s="14">
        <f ca="1">(MAX(sa-CF124*Flag_UL_Type,105%*SUM($I$7:I125),Z125)+AU125)*B125</f>
        <v>3150000</v>
      </c>
      <c r="AF125" s="136"/>
      <c r="AG125" s="18">
        <v>119</v>
      </c>
      <c r="AH125" s="30">
        <f t="shared" ca="1" si="68"/>
        <v>0</v>
      </c>
      <c r="AI125" s="58"/>
      <c r="AJ125" s="50">
        <f>IF(AND(Option_Sys_TopUp&gt;="Y",H125&gt;=sytp,H125&lt;=(dtp+sytp-1),F125=0,H125&lt;=ppt+1),atp,0)+IFERROR(VLOOKUP(H125,Input!$B$55:$C$61,2,0),0)*(F125=0)*(Option_TopUP="Y")*(Option_Sys_TopUp="N")*B125*(pt&gt;=H125+5)</f>
        <v>0</v>
      </c>
      <c r="AK125" s="50">
        <f t="shared" si="69"/>
        <v>0</v>
      </c>
      <c r="AL125" s="50">
        <f t="shared" si="90"/>
        <v>0</v>
      </c>
      <c r="AM125" s="50">
        <f t="shared" ca="1" si="70"/>
        <v>0</v>
      </c>
      <c r="AN125" s="50">
        <f ca="1">IF(B125=0,0,AT125*(_rpm1+(1+_emr1)*VLOOKUP(E125,Tab_Mort_Charge,IF(Input!$C$12="M",2,3),0))*(0.001*0.0833)*Flag_Mort_Rider_Charge*(AT125&gt;0))</f>
        <v>0</v>
      </c>
      <c r="AO125" s="50">
        <f t="shared" ca="1" si="91"/>
        <v>0</v>
      </c>
      <c r="AP125" s="50">
        <f t="shared" ca="1" si="99"/>
        <v>0</v>
      </c>
      <c r="AQ125" s="50">
        <f t="shared" ca="1" si="71"/>
        <v>0</v>
      </c>
      <c r="AR125" s="50">
        <f t="shared" ca="1" si="72"/>
        <v>0</v>
      </c>
      <c r="AS125" s="50">
        <f t="shared" si="73"/>
        <v>0</v>
      </c>
      <c r="AT125" s="50">
        <f ca="1">(MAX((MAX(AS125,105%*SUM($AJ$7:AJ125))-AM125*Flag_UL_Type),0)*B125)</f>
        <v>0</v>
      </c>
      <c r="AU125" s="50">
        <f ca="1">(MAX(AS125,AR125,105%*SUM($AJ$7:AJ125))*B125)</f>
        <v>0</v>
      </c>
      <c r="AV125" s="125"/>
      <c r="AW125" s="13"/>
      <c r="AX125" s="13"/>
      <c r="AY125" s="13"/>
      <c r="AZ125" s="13"/>
      <c r="BA125" s="13"/>
      <c r="BG125" s="51">
        <f t="shared" si="74"/>
        <v>0</v>
      </c>
      <c r="BH125" s="51">
        <f t="shared" ca="1" si="75"/>
        <v>71.580685058717407</v>
      </c>
      <c r="BI125" s="51">
        <f t="shared" ca="1" si="76"/>
        <v>0</v>
      </c>
      <c r="BJ125" s="51">
        <f t="shared" ca="1" si="77"/>
        <v>0</v>
      </c>
      <c r="BK125" s="51">
        <f t="shared" si="78"/>
        <v>90</v>
      </c>
      <c r="BL125" s="51">
        <f t="shared" ca="1" si="79"/>
        <v>594.95540503925827</v>
      </c>
      <c r="BM125" s="51">
        <f t="shared" si="80"/>
        <v>0</v>
      </c>
      <c r="BN125" s="51">
        <f t="shared" ca="1" si="81"/>
        <v>0</v>
      </c>
      <c r="BO125" s="51">
        <f t="shared" ca="1" si="82"/>
        <v>0</v>
      </c>
      <c r="BP125" s="51">
        <f t="shared" ca="1" si="83"/>
        <v>756.5360900979756</v>
      </c>
      <c r="BQ125" s="120"/>
      <c r="BR125" s="32"/>
      <c r="BS125" s="126"/>
      <c r="BT125" s="16"/>
      <c r="BU125" s="58"/>
      <c r="BW125" s="51">
        <f>VLOOKUP(H125,Charges!$AT$4:$AU$33,2,FALSE)*I125</f>
        <v>0</v>
      </c>
      <c r="BX125" s="51">
        <f t="shared" si="84"/>
        <v>0</v>
      </c>
      <c r="BY125" s="51">
        <f t="shared" si="93"/>
        <v>0</v>
      </c>
      <c r="BZ125" s="151"/>
      <c r="CA125" s="151"/>
      <c r="CB125" s="32"/>
      <c r="CC125" s="16">
        <f ca="1">SUM($N$7:$N125)</f>
        <v>0</v>
      </c>
      <c r="CD125" s="16">
        <f t="shared" ca="1" si="85"/>
        <v>0</v>
      </c>
      <c r="CE125" s="16">
        <f t="shared" ca="1" si="86"/>
        <v>0</v>
      </c>
      <c r="CF125" s="7">
        <f t="shared" ca="1" si="94"/>
        <v>0</v>
      </c>
    </row>
    <row r="126" spans="1:84" s="7" customFormat="1" x14ac:dyDescent="0.2">
      <c r="A126" s="149"/>
      <c r="B126" s="14">
        <f t="shared" si="55"/>
        <v>1</v>
      </c>
      <c r="C126" s="12">
        <f t="shared" si="56"/>
        <v>1</v>
      </c>
      <c r="D126" s="17">
        <f t="shared" si="95"/>
        <v>120</v>
      </c>
      <c r="E126" s="17">
        <f t="shared" ca="1" si="57"/>
        <v>69</v>
      </c>
      <c r="F126" s="12">
        <f t="shared" si="97"/>
        <v>11</v>
      </c>
      <c r="G126" s="12">
        <f t="shared" si="96"/>
        <v>20</v>
      </c>
      <c r="H126" s="17">
        <f t="shared" si="98"/>
        <v>10</v>
      </c>
      <c r="I126" s="29">
        <f t="shared" si="58"/>
        <v>0</v>
      </c>
      <c r="J126" s="211">
        <f>IFERROR(VLOOKUP(H126,Charges!$T$6:$U$35,2,0)*C126,0)</f>
        <v>0.98</v>
      </c>
      <c r="K126" s="29">
        <f t="shared" si="59"/>
        <v>0</v>
      </c>
      <c r="L126" s="29">
        <f t="shared" si="60"/>
        <v>0</v>
      </c>
      <c r="M126" s="147">
        <f t="shared" ca="1" si="61"/>
        <v>0</v>
      </c>
      <c r="N126" s="148">
        <f ca="1">IF(AND(Option_SPW="Y",H126&gt;=Lock_In_Period,Z125&gt;SPW_Amount_pa+IF(option="Single",1/5*pr,2*pr),H126&gt;=SPW_Start_Year,H126&lt;=SPW_Start_Year+SPW_Duration-1,age+H126&gt;=Legal_Age),IF(AND(F126=0,SPW_Payout_Freq=1),SPW_Amount_pa,IF(AND(SPW_Payout_Freq=2,MOD(F126,6)=0),SPW_Amount_pa/SPW_Payout_Freq,IF(AND(SPW_Payout_Freq=4,MOD(F126,3)=0),SPW_Amount_pa/SPW_Payout_Freq,IF(SPW_Payout_Freq=12,SPW_Amount_pa/SPW_Payout_Freq,0)))),0)+IFERROR(VLOOKUP(H126,Input!$B$68:$C$74,2,0),0)*(F126=0)*(Option_PW="Y")*(Option_SPW="N")*(age+H126&gt;=Legal_Age)</f>
        <v>0</v>
      </c>
      <c r="O126" s="148">
        <f t="shared" ca="1" si="87"/>
        <v>0</v>
      </c>
      <c r="P126" s="14">
        <f ca="1">(MAX(MAX(sa-CF125*Flag_UL_Type,105%*SUM($I$7:I126))-(AD125+L126-N126)*Flag_UL_Type,0)*B126)</f>
        <v>217446.92803804949</v>
      </c>
      <c r="Q126" s="213">
        <f t="shared" ca="1" si="62"/>
        <v>389.39308638413746</v>
      </c>
      <c r="R126" s="14">
        <f t="shared" ca="1" si="63"/>
        <v>0</v>
      </c>
      <c r="S126" s="14">
        <f t="shared" ca="1" si="64"/>
        <v>0</v>
      </c>
      <c r="T126" s="14">
        <f>IFERROR(IF(WoP_Flag="Y",IF(fq=1,VLOOKUP(ppt*fq-H126,Charges!$AN$41:$AO$59,2,FALSE),IF(fq=2,VLOOKUP(ppt*fq-G126,Charges!$AP$41:$AQ$79,2,FALSE),VLOOKUP(ppt*fq-D126,Charges!$AR$41:$AS$279,2,FALSE)))*pr/fq,0),0)</f>
        <v>0</v>
      </c>
      <c r="U126" s="14">
        <f ca="1">IFERROR(((T126*(VLOOKUP(Input!$D$18+H126-1,Tab_Mort_Charge,IF(Gender_2="M",2,3),FALSE)*(1+_emr2)+_rpm2)/IF(Model_Type="LA_PQIS",1000/0.0833,(12*1000))))*Flag_Mort_Rider_Charge*(T126&gt;0),0)</f>
        <v>0</v>
      </c>
      <c r="V126" s="34">
        <f>ROUND(MIN(IF(H126&gt;=7,Charges!$C$12*(1+Charges!$C$14)^((H126-7+1)),VLOOKUP(H126,Charges!$B$7:$C$12,2,0))*pr,Charges!$C$13)*B126,Round)</f>
        <v>500</v>
      </c>
      <c r="W126" s="14">
        <f t="shared" ca="1" si="65"/>
        <v>2931503.5881200172</v>
      </c>
      <c r="X126" s="14">
        <f t="shared" ca="1" si="66"/>
        <v>2941100.5680381046</v>
      </c>
      <c r="Y126" s="213">
        <f t="shared" ca="1" si="88"/>
        <v>3310.5387879524205</v>
      </c>
      <c r="Z126" s="14">
        <f t="shared" ca="1" si="67"/>
        <v>2937194.1322683208</v>
      </c>
      <c r="AA126" s="14">
        <f>IF(AND($H126=pt,$F126=11),SUM($K$7:K126)*VLOOKUP(pt,ROC,2,FALSE),0)</f>
        <v>0</v>
      </c>
      <c r="AB126" s="14">
        <f>IF(AND($H126=pt,$F126=11),SUM($V$7:V126)*VLOOKUP(pt,ROC,2,FALSE),0)</f>
        <v>0</v>
      </c>
      <c r="AC126" s="14">
        <f>IF(AND($H126=pt,$F126=11),SUM($Q$7:Q126)*VLOOKUP(pt,ROC,2,FALSE),0)</f>
        <v>0</v>
      </c>
      <c r="AD126" s="14">
        <f t="shared" ca="1" si="89"/>
        <v>2937194.1322683208</v>
      </c>
      <c r="AE126" s="14">
        <f ca="1">(MAX(sa-CF125*Flag_UL_Type,105%*SUM($I$7:I126),Z126)+AU126)*B126</f>
        <v>3150000</v>
      </c>
      <c r="AF126" s="136"/>
      <c r="AG126" s="18">
        <v>120</v>
      </c>
      <c r="AH126" s="30">
        <f t="shared" ca="1" si="68"/>
        <v>0</v>
      </c>
      <c r="AI126" s="58"/>
      <c r="AJ126" s="50">
        <f>IF(AND(Option_Sys_TopUp&gt;="Y",H126&gt;=sytp,H126&lt;=(dtp+sytp-1),F126=0,H126&lt;=ppt+1),atp,0)+IFERROR(VLOOKUP(H126,Input!$B$55:$C$61,2,0),0)*(F126=0)*(Option_TopUP="Y")*(Option_Sys_TopUp="N")*B126*(pt&gt;=H126+5)</f>
        <v>0</v>
      </c>
      <c r="AK126" s="50">
        <f t="shared" si="69"/>
        <v>0</v>
      </c>
      <c r="AL126" s="50">
        <f t="shared" si="90"/>
        <v>0</v>
      </c>
      <c r="AM126" s="50">
        <f t="shared" ca="1" si="70"/>
        <v>0</v>
      </c>
      <c r="AN126" s="50">
        <f ca="1">IF(B126=0,0,AT126*(_rpm1+(1+_emr1)*VLOOKUP(E126,Tab_Mort_Charge,IF(Input!$C$12="M",2,3),0))*(0.001*0.0833)*Flag_Mort_Rider_Charge*(AT126&gt;0))</f>
        <v>0</v>
      </c>
      <c r="AO126" s="50">
        <f t="shared" ca="1" si="91"/>
        <v>0</v>
      </c>
      <c r="AP126" s="50">
        <f t="shared" ca="1" si="99"/>
        <v>0</v>
      </c>
      <c r="AQ126" s="50">
        <f t="shared" ca="1" si="71"/>
        <v>0</v>
      </c>
      <c r="AR126" s="50">
        <f t="shared" ca="1" si="72"/>
        <v>0</v>
      </c>
      <c r="AS126" s="50">
        <f t="shared" si="73"/>
        <v>0</v>
      </c>
      <c r="AT126" s="50">
        <f ca="1">(MAX((MAX(AS126,105%*SUM($AJ$7:AJ126))-AM126*Flag_UL_Type),0)*B126)</f>
        <v>0</v>
      </c>
      <c r="AU126" s="50">
        <f ca="1">(MAX(AS126,AR126,105%*SUM($AJ$7:AJ126))*B126)</f>
        <v>0</v>
      </c>
      <c r="AV126" s="125"/>
      <c r="AW126" s="13"/>
      <c r="AX126" s="13"/>
      <c r="AY126" s="13"/>
      <c r="AZ126" s="13"/>
      <c r="BA126" s="13"/>
      <c r="BG126" s="51">
        <f t="shared" si="74"/>
        <v>0</v>
      </c>
      <c r="BH126" s="51">
        <f t="shared" ca="1" si="75"/>
        <v>70.090755549144703</v>
      </c>
      <c r="BI126" s="51">
        <f t="shared" ca="1" si="76"/>
        <v>0</v>
      </c>
      <c r="BJ126" s="51">
        <f t="shared" ca="1" si="77"/>
        <v>0</v>
      </c>
      <c r="BK126" s="51">
        <f t="shared" si="78"/>
        <v>90</v>
      </c>
      <c r="BL126" s="51">
        <f t="shared" ca="1" si="79"/>
        <v>595.89698183143571</v>
      </c>
      <c r="BM126" s="51">
        <f t="shared" si="80"/>
        <v>0</v>
      </c>
      <c r="BN126" s="51">
        <f t="shared" ca="1" si="81"/>
        <v>0</v>
      </c>
      <c r="BO126" s="51">
        <f t="shared" ca="1" si="82"/>
        <v>0</v>
      </c>
      <c r="BP126" s="51">
        <f t="shared" ca="1" si="83"/>
        <v>755.98773738058048</v>
      </c>
      <c r="BQ126" s="120"/>
      <c r="BR126" s="32"/>
      <c r="BS126" s="126"/>
      <c r="BT126" s="16"/>
      <c r="BU126" s="58"/>
      <c r="BW126" s="51">
        <f>VLOOKUP(H126,Charges!$AT$4:$AU$33,2,FALSE)*I126</f>
        <v>0</v>
      </c>
      <c r="BX126" s="51">
        <f t="shared" si="84"/>
        <v>0</v>
      </c>
      <c r="BY126" s="51">
        <f t="shared" si="93"/>
        <v>0</v>
      </c>
      <c r="BZ126" s="151"/>
      <c r="CA126" s="151"/>
      <c r="CB126" s="32"/>
      <c r="CC126" s="16">
        <f ca="1">SUM($N$7:$N126)</f>
        <v>0</v>
      </c>
      <c r="CD126" s="16">
        <f t="shared" ca="1" si="85"/>
        <v>0</v>
      </c>
      <c r="CE126" s="16">
        <f t="shared" ca="1" si="86"/>
        <v>0</v>
      </c>
      <c r="CF126" s="7">
        <f t="shared" ca="1" si="94"/>
        <v>0</v>
      </c>
    </row>
    <row r="127" spans="1:84" s="7" customFormat="1" x14ac:dyDescent="0.2">
      <c r="A127" s="149"/>
      <c r="B127" s="14">
        <f t="shared" si="55"/>
        <v>1</v>
      </c>
      <c r="C127" s="12">
        <f t="shared" si="56"/>
        <v>1</v>
      </c>
      <c r="D127" s="17">
        <f t="shared" si="95"/>
        <v>121</v>
      </c>
      <c r="E127" s="17">
        <f t="shared" ca="1" si="57"/>
        <v>70</v>
      </c>
      <c r="F127" s="12">
        <f t="shared" si="97"/>
        <v>0</v>
      </c>
      <c r="G127" s="12">
        <f t="shared" si="96"/>
        <v>21</v>
      </c>
      <c r="H127" s="17">
        <f t="shared" si="98"/>
        <v>11</v>
      </c>
      <c r="I127" s="29">
        <f t="shared" si="58"/>
        <v>300000</v>
      </c>
      <c r="J127" s="211">
        <f>IFERROR(VLOOKUP(H127,Charges!$T$6:$U$35,2,0)*C127,0)</f>
        <v>1</v>
      </c>
      <c r="K127" s="29">
        <f t="shared" si="59"/>
        <v>0</v>
      </c>
      <c r="L127" s="29">
        <f t="shared" si="60"/>
        <v>300000</v>
      </c>
      <c r="M127" s="147">
        <f t="shared" ca="1" si="61"/>
        <v>0</v>
      </c>
      <c r="N127" s="148">
        <f ca="1">IF(AND(Option_SPW="Y",H127&gt;=Lock_In_Period,Z126&gt;SPW_Amount_pa+IF(option="Single",1/5*pr,2*pr),H127&gt;=SPW_Start_Year,H127&lt;=SPW_Start_Year+SPW_Duration-1,age+H127&gt;=Legal_Age),IF(AND(F127=0,SPW_Payout_Freq=1),SPW_Amount_pa,IF(AND(SPW_Payout_Freq=2,MOD(F127,6)=0),SPW_Amount_pa/SPW_Payout_Freq,IF(AND(SPW_Payout_Freq=4,MOD(F127,3)=0),SPW_Amount_pa/SPW_Payout_Freq,IF(SPW_Payout_Freq=12,SPW_Amount_pa/SPW_Payout_Freq,0)))),0)+IFERROR(VLOOKUP(H127,Input!$B$68:$C$74,2,0),0)*(F127=0)*(Option_PW="Y")*(Option_SPW="N")*(age+H127&gt;=Legal_Age)</f>
        <v>0</v>
      </c>
      <c r="O127" s="148">
        <f t="shared" ca="1" si="87"/>
        <v>0</v>
      </c>
      <c r="P127" s="14">
        <f ca="1">(MAX(MAX(sa-CF126*Flag_UL_Type,105%*SUM($I$7:I127))-(AD126+L127-N127)*Flag_UL_Type,0)*B127)</f>
        <v>227805.86773167923</v>
      </c>
      <c r="Q127" s="213">
        <f t="shared" ca="1" si="62"/>
        <v>445.29592641957584</v>
      </c>
      <c r="R127" s="14">
        <f t="shared" ca="1" si="63"/>
        <v>0</v>
      </c>
      <c r="S127" s="14">
        <f t="shared" ca="1" si="64"/>
        <v>0</v>
      </c>
      <c r="T127" s="14">
        <f>IFERROR(IF(WoP_Flag="Y",IF(fq=1,VLOOKUP(ppt*fq-H127,Charges!$AN$41:$AO$59,2,FALSE),IF(fq=2,VLOOKUP(ppt*fq-G127,Charges!$AP$41:$AQ$79,2,FALSE),VLOOKUP(ppt*fq-D127,Charges!$AR$41:$AS$279,2,FALSE)))*pr/fq,0),0)</f>
        <v>0</v>
      </c>
      <c r="U127" s="14">
        <f ca="1">IFERROR(((T127*(VLOOKUP(Input!$D$18+H127-1,Tab_Mort_Charge,IF(Gender_2="M",2,3),FALSE)*(1+_emr2)+_rpm2)/IF(Model_Type="LA_PQIS",1000/0.0833,(12*1000))))*Flag_Mort_Rider_Charge*(T127&gt;0),0)</f>
        <v>0</v>
      </c>
      <c r="V127" s="34">
        <f>ROUND(MIN(IF(H127&gt;=7,Charges!$C$12*(1+Charges!$C$14)^((H127-7+1)),VLOOKUP(H127,Charges!$B$7:$C$12,2,0))*pr,Charges!$C$13)*B127,Round)</f>
        <v>500</v>
      </c>
      <c r="W127" s="14">
        <f t="shared" ca="1" si="65"/>
        <v>3236078.6830751458</v>
      </c>
      <c r="X127" s="14">
        <f t="shared" ca="1" si="66"/>
        <v>3246672.7625982547</v>
      </c>
      <c r="Y127" s="213">
        <f t="shared" ca="1" si="88"/>
        <v>3654.4945892618352</v>
      </c>
      <c r="Z127" s="14">
        <f t="shared" ca="1" si="67"/>
        <v>3242360.4589829259</v>
      </c>
      <c r="AA127" s="14">
        <f>IF(AND($H127=pt,$F127=11),SUM($K$7:K127)*VLOOKUP(pt,ROC,2,FALSE),0)</f>
        <v>0</v>
      </c>
      <c r="AB127" s="14">
        <f>IF(AND($H127=pt,$F127=11),SUM($V$7:V127)*VLOOKUP(pt,ROC,2,FALSE),0)</f>
        <v>0</v>
      </c>
      <c r="AC127" s="14">
        <f>IF(AND($H127=pt,$F127=11),SUM($Q$7:Q127)*VLOOKUP(pt,ROC,2,FALSE),0)</f>
        <v>0</v>
      </c>
      <c r="AD127" s="14">
        <f t="shared" ca="1" si="89"/>
        <v>3242360.4589829259</v>
      </c>
      <c r="AE127" s="14">
        <f ca="1">(MAX(sa-CF126*Flag_UL_Type,105%*SUM($I$7:I127),Z127)+AU127)*B127</f>
        <v>3465000</v>
      </c>
      <c r="AF127" s="136"/>
      <c r="AG127" s="18">
        <v>121</v>
      </c>
      <c r="AH127" s="30">
        <f t="shared" ca="1" si="68"/>
        <v>300000</v>
      </c>
      <c r="AI127" s="58"/>
      <c r="AJ127" s="50">
        <f>IF(AND(Option_Sys_TopUp&gt;="Y",H127&gt;=sytp,H127&lt;=(dtp+sytp-1),F127=0,H127&lt;=ppt+1),atp,0)+IFERROR(VLOOKUP(H127,Input!$B$55:$C$61,2,0),0)*(F127=0)*(Option_TopUP="Y")*(Option_Sys_TopUp="N")*B127*(pt&gt;=H127+5)</f>
        <v>0</v>
      </c>
      <c r="AK127" s="50">
        <f t="shared" si="69"/>
        <v>0</v>
      </c>
      <c r="AL127" s="50">
        <f t="shared" si="90"/>
        <v>0</v>
      </c>
      <c r="AM127" s="50">
        <f t="shared" ca="1" si="70"/>
        <v>0</v>
      </c>
      <c r="AN127" s="50">
        <f ca="1">IF(B127=0,0,AT127*(_rpm1+(1+_emr1)*VLOOKUP(E127,Tab_Mort_Charge,IF(Input!$C$12="M",2,3),0))*(0.001*0.0833)*Flag_Mort_Rider_Charge*(AT127&gt;0))</f>
        <v>0</v>
      </c>
      <c r="AO127" s="50">
        <f t="shared" ca="1" si="91"/>
        <v>0</v>
      </c>
      <c r="AP127" s="50">
        <f t="shared" ca="1" si="99"/>
        <v>0</v>
      </c>
      <c r="AQ127" s="50">
        <f t="shared" ca="1" si="71"/>
        <v>0</v>
      </c>
      <c r="AR127" s="50">
        <f t="shared" ca="1" si="72"/>
        <v>0</v>
      </c>
      <c r="AS127" s="50">
        <f t="shared" si="73"/>
        <v>0</v>
      </c>
      <c r="AT127" s="50">
        <f ca="1">(MAX((MAX(AS127,105%*SUM($AJ$7:AJ127))-AM127*Flag_UL_Type),0)*B127)</f>
        <v>0</v>
      </c>
      <c r="AU127" s="50">
        <f ca="1">(MAX(AS127,AR127,105%*SUM($AJ$7:AJ127))*B127)</f>
        <v>0</v>
      </c>
      <c r="AV127" s="125"/>
      <c r="AW127" s="13"/>
      <c r="AX127" s="13"/>
      <c r="AY127" s="13"/>
      <c r="AZ127" s="13"/>
      <c r="BA127" s="13"/>
      <c r="BG127" s="51">
        <f t="shared" si="74"/>
        <v>0</v>
      </c>
      <c r="BH127" s="51">
        <f t="shared" ca="1" si="75"/>
        <v>80.153266755523603</v>
      </c>
      <c r="BI127" s="51">
        <f t="shared" ca="1" si="76"/>
        <v>0</v>
      </c>
      <c r="BJ127" s="51">
        <f t="shared" ca="1" si="77"/>
        <v>0</v>
      </c>
      <c r="BK127" s="51">
        <f t="shared" si="78"/>
        <v>90</v>
      </c>
      <c r="BL127" s="51">
        <f t="shared" ca="1" si="79"/>
        <v>657.80902606713028</v>
      </c>
      <c r="BM127" s="51">
        <f t="shared" si="80"/>
        <v>0</v>
      </c>
      <c r="BN127" s="51">
        <f t="shared" ca="1" si="81"/>
        <v>0</v>
      </c>
      <c r="BO127" s="51">
        <f t="shared" ca="1" si="82"/>
        <v>0</v>
      </c>
      <c r="BP127" s="51">
        <f t="shared" ca="1" si="83"/>
        <v>827.96229282265381</v>
      </c>
      <c r="BQ127" s="120"/>
      <c r="BR127" s="32"/>
      <c r="BS127" s="126"/>
      <c r="BT127" s="16"/>
      <c r="BU127" s="58"/>
      <c r="BW127" s="51">
        <f>VLOOKUP(H127,Charges!$AT$4:$AU$33,2,FALSE)*I127</f>
        <v>0</v>
      </c>
      <c r="BX127" s="51">
        <f t="shared" si="84"/>
        <v>0</v>
      </c>
      <c r="BY127" s="51">
        <f t="shared" si="93"/>
        <v>0</v>
      </c>
      <c r="BZ127" s="151"/>
      <c r="CA127" s="151"/>
      <c r="CB127" s="32"/>
      <c r="CC127" s="16">
        <f ca="1">SUM($N$7:$N127)</f>
        <v>0</v>
      </c>
      <c r="CD127" s="16">
        <f t="shared" ca="1" si="85"/>
        <v>0</v>
      </c>
      <c r="CE127" s="16">
        <f t="shared" ca="1" si="86"/>
        <v>0</v>
      </c>
      <c r="CF127" s="7">
        <f t="shared" ca="1" si="94"/>
        <v>0</v>
      </c>
    </row>
    <row r="128" spans="1:84" s="7" customFormat="1" x14ac:dyDescent="0.2">
      <c r="A128" s="149"/>
      <c r="B128" s="14">
        <f t="shared" si="55"/>
        <v>1</v>
      </c>
      <c r="C128" s="12">
        <f t="shared" si="56"/>
        <v>1</v>
      </c>
      <c r="D128" s="17">
        <f t="shared" si="95"/>
        <v>122</v>
      </c>
      <c r="E128" s="17">
        <f t="shared" ca="1" si="57"/>
        <v>70</v>
      </c>
      <c r="F128" s="12">
        <f t="shared" si="97"/>
        <v>1</v>
      </c>
      <c r="G128" s="12">
        <f t="shared" si="96"/>
        <v>21</v>
      </c>
      <c r="H128" s="17">
        <f t="shared" si="98"/>
        <v>11</v>
      </c>
      <c r="I128" s="29">
        <f t="shared" si="58"/>
        <v>0</v>
      </c>
      <c r="J128" s="211">
        <f>IFERROR(VLOOKUP(H128,Charges!$T$6:$U$35,2,0)*C128,0)</f>
        <v>1</v>
      </c>
      <c r="K128" s="29">
        <f t="shared" si="59"/>
        <v>0</v>
      </c>
      <c r="L128" s="29">
        <f t="shared" si="60"/>
        <v>0</v>
      </c>
      <c r="M128" s="147">
        <f t="shared" ca="1" si="61"/>
        <v>0</v>
      </c>
      <c r="N128" s="148">
        <f ca="1">IF(AND(Option_SPW="Y",H128&gt;=Lock_In_Period,Z127&gt;SPW_Amount_pa+IF(option="Single",1/5*pr,2*pr),H128&gt;=SPW_Start_Year,H128&lt;=SPW_Start_Year+SPW_Duration-1,age+H128&gt;=Legal_Age),IF(AND(F128=0,SPW_Payout_Freq=1),SPW_Amount_pa,IF(AND(SPW_Payout_Freq=2,MOD(F128,6)=0),SPW_Amount_pa/SPW_Payout_Freq,IF(AND(SPW_Payout_Freq=4,MOD(F128,3)=0),SPW_Amount_pa/SPW_Payout_Freq,IF(SPW_Payout_Freq=12,SPW_Amount_pa/SPW_Payout_Freq,0)))),0)+IFERROR(VLOOKUP(H128,Input!$B$68:$C$74,2,0),0)*(F128=0)*(Option_PW="Y")*(Option_SPW="N")*(age+H128&gt;=Legal_Age)</f>
        <v>0</v>
      </c>
      <c r="O128" s="148">
        <f t="shared" ca="1" si="87"/>
        <v>0</v>
      </c>
      <c r="P128" s="14">
        <f ca="1">(MAX(MAX(sa-CF127*Flag_UL_Type,105%*SUM($I$7:I128))-(AD127+L128-N128)*Flag_UL_Type,0)*B128)</f>
        <v>222639.54101707414</v>
      </c>
      <c r="Q128" s="213">
        <f t="shared" ca="1" si="62"/>
        <v>435.19722148509169</v>
      </c>
      <c r="R128" s="14">
        <f t="shared" ca="1" si="63"/>
        <v>0</v>
      </c>
      <c r="S128" s="14">
        <f t="shared" ca="1" si="64"/>
        <v>0</v>
      </c>
      <c r="T128" s="14">
        <f>IFERROR(IF(WoP_Flag="Y",IF(fq=1,VLOOKUP(ppt*fq-H128,Charges!$AN$41:$AO$59,2,FALSE),IF(fq=2,VLOOKUP(ppt*fq-G128,Charges!$AP$41:$AQ$79,2,FALSE),VLOOKUP(ppt*fq-D128,Charges!$AR$41:$AS$279,2,FALSE)))*pr/fq,0),0)</f>
        <v>0</v>
      </c>
      <c r="U128" s="14">
        <f ca="1">IFERROR(((T128*(VLOOKUP(Input!$D$18+H128-1,Tab_Mort_Charge,IF(Gender_2="M",2,3),FALSE)*(1+_emr2)+_rpm2)/IF(Model_Type="LA_PQIS",1000/0.0833,(12*1000))))*Flag_Mort_Rider_Charge*(T128&gt;0),0)</f>
        <v>0</v>
      </c>
      <c r="V128" s="34">
        <f>ROUND(MIN(IF(H128&gt;=7,Charges!$C$12*(1+Charges!$C$14)^((H128-7+1)),VLOOKUP(H128,Charges!$B$7:$C$12,2,0))*pr,Charges!$C$13)*B128,Round)</f>
        <v>500</v>
      </c>
      <c r="W128" s="14">
        <f t="shared" ca="1" si="65"/>
        <v>3241256.9262615736</v>
      </c>
      <c r="X128" s="14">
        <f t="shared" ca="1" si="66"/>
        <v>3251867.9580054036</v>
      </c>
      <c r="Y128" s="213">
        <f t="shared" ca="1" si="88"/>
        <v>3660.3423647827626</v>
      </c>
      <c r="Z128" s="14">
        <f t="shared" ca="1" si="67"/>
        <v>3247548.75401496</v>
      </c>
      <c r="AA128" s="14">
        <f>IF(AND($H128=pt,$F128=11),SUM($K$7:K128)*VLOOKUP(pt,ROC,2,FALSE),0)</f>
        <v>0</v>
      </c>
      <c r="AB128" s="14">
        <f>IF(AND($H128=pt,$F128=11),SUM($V$7:V128)*VLOOKUP(pt,ROC,2,FALSE),0)</f>
        <v>0</v>
      </c>
      <c r="AC128" s="14">
        <f>IF(AND($H128=pt,$F128=11),SUM($Q$7:Q128)*VLOOKUP(pt,ROC,2,FALSE),0)</f>
        <v>0</v>
      </c>
      <c r="AD128" s="14">
        <f t="shared" ca="1" si="89"/>
        <v>3247548.75401496</v>
      </c>
      <c r="AE128" s="14">
        <f ca="1">(MAX(sa-CF127*Flag_UL_Type,105%*SUM($I$7:I128),Z128)+AU128)*B128</f>
        <v>3465000</v>
      </c>
      <c r="AF128" s="136"/>
      <c r="AG128" s="18">
        <v>122</v>
      </c>
      <c r="AH128" s="30">
        <f ca="1">(I128+AJ128)-IF(AG128=pt*12+1,AD127,0)-IF(AG128=pt*12+1,AR127,0)-N128</f>
        <v>0</v>
      </c>
      <c r="AI128" s="58"/>
      <c r="AJ128" s="50">
        <f>IF(AND(Option_Sys_TopUp&gt;="Y",H128&gt;=sytp,H128&lt;=(dtp+sytp-1),F128=0,H128&lt;=ppt+1),atp,0)+IFERROR(VLOOKUP(H128,Input!$B$55:$C$61,2,0),0)*(F128=0)*(Option_TopUP="Y")*(Option_Sys_TopUp="N")*B128*(pt&gt;=H128+5)</f>
        <v>0</v>
      </c>
      <c r="AK128" s="50">
        <f t="shared" si="69"/>
        <v>0</v>
      </c>
      <c r="AL128" s="50">
        <f t="shared" si="90"/>
        <v>0</v>
      </c>
      <c r="AM128" s="50">
        <f t="shared" ca="1" si="70"/>
        <v>0</v>
      </c>
      <c r="AN128" s="50">
        <f ca="1">IF(B128=0,0,AT128*(_rpm1+(1+_emr1)*VLOOKUP(E128,Tab_Mort_Charge,IF(Input!$C$12="M",2,3),0))*(0.001*0.0833)*Flag_Mort_Rider_Charge*(AT128&gt;0))</f>
        <v>0</v>
      </c>
      <c r="AO128" s="50">
        <f t="shared" ca="1" si="91"/>
        <v>0</v>
      </c>
      <c r="AP128" s="50">
        <f t="shared" ca="1" si="99"/>
        <v>0</v>
      </c>
      <c r="AQ128" s="50">
        <f t="shared" ca="1" si="71"/>
        <v>0</v>
      </c>
      <c r="AR128" s="50">
        <f t="shared" ca="1" si="72"/>
        <v>0</v>
      </c>
      <c r="AS128" s="50">
        <f t="shared" si="73"/>
        <v>0</v>
      </c>
      <c r="AT128" s="50">
        <f ca="1">(MAX((MAX(AS128,105%*SUM($AJ$7:AJ128))-AM128*Flag_UL_Type),0)*B128)</f>
        <v>0</v>
      </c>
      <c r="AU128" s="50">
        <f ca="1">(MAX(AS128,AR128,105%*SUM($AJ$7:AJ128))*B128)</f>
        <v>0</v>
      </c>
      <c r="AV128" s="125"/>
      <c r="AW128" s="13"/>
      <c r="AX128" s="13"/>
      <c r="AY128" s="13"/>
      <c r="AZ128" s="13"/>
      <c r="BA128" s="13"/>
      <c r="BG128" s="51">
        <f t="shared" si="74"/>
        <v>0</v>
      </c>
      <c r="BH128" s="51">
        <f t="shared" ca="1" si="75"/>
        <v>78.3354998673165</v>
      </c>
      <c r="BI128" s="51">
        <f t="shared" ca="1" si="76"/>
        <v>0</v>
      </c>
      <c r="BJ128" s="51">
        <f t="shared" ca="1" si="77"/>
        <v>0</v>
      </c>
      <c r="BK128" s="51">
        <f t="shared" si="78"/>
        <v>90</v>
      </c>
      <c r="BL128" s="51">
        <f t="shared" ca="1" si="79"/>
        <v>658.86162566089729</v>
      </c>
      <c r="BM128" s="51">
        <f t="shared" si="80"/>
        <v>0</v>
      </c>
      <c r="BN128" s="51">
        <f t="shared" ca="1" si="81"/>
        <v>0</v>
      </c>
      <c r="BO128" s="51">
        <f t="shared" ca="1" si="82"/>
        <v>0</v>
      </c>
      <c r="BP128" s="51">
        <f t="shared" ca="1" si="83"/>
        <v>827.19712552821375</v>
      </c>
      <c r="BQ128" s="120"/>
      <c r="BR128" s="32"/>
      <c r="BS128" s="126"/>
      <c r="BT128" s="16"/>
      <c r="BU128" s="58"/>
      <c r="BW128" s="51">
        <f>VLOOKUP(H128,Charges!$AT$4:$AU$33,2,FALSE)*I128</f>
        <v>0</v>
      </c>
      <c r="BX128" s="51">
        <f t="shared" si="84"/>
        <v>0</v>
      </c>
      <c r="BY128" s="51">
        <f t="shared" si="93"/>
        <v>0</v>
      </c>
      <c r="BZ128" s="151"/>
      <c r="CA128" s="151"/>
      <c r="CB128" s="32"/>
      <c r="CC128" s="16">
        <f ca="1">SUM($N$7:$N128)</f>
        <v>0</v>
      </c>
      <c r="CD128" s="16">
        <f t="shared" ca="1" si="85"/>
        <v>0</v>
      </c>
      <c r="CE128" s="16">
        <f t="shared" ca="1" si="86"/>
        <v>0</v>
      </c>
      <c r="CF128" s="7">
        <f t="shared" ca="1" si="94"/>
        <v>0</v>
      </c>
    </row>
    <row r="129" spans="1:84" s="7" customFormat="1" x14ac:dyDescent="0.2">
      <c r="A129" s="149"/>
      <c r="B129" s="14">
        <f t="shared" si="55"/>
        <v>1</v>
      </c>
      <c r="C129" s="12">
        <f t="shared" si="56"/>
        <v>1</v>
      </c>
      <c r="D129" s="17">
        <f t="shared" si="95"/>
        <v>123</v>
      </c>
      <c r="E129" s="17">
        <f t="shared" ca="1" si="57"/>
        <v>70</v>
      </c>
      <c r="F129" s="12">
        <f t="shared" si="97"/>
        <v>2</v>
      </c>
      <c r="G129" s="12">
        <f t="shared" si="96"/>
        <v>21</v>
      </c>
      <c r="H129" s="17">
        <f t="shared" si="98"/>
        <v>11</v>
      </c>
      <c r="I129" s="29">
        <f t="shared" si="58"/>
        <v>0</v>
      </c>
      <c r="J129" s="211">
        <f>IFERROR(VLOOKUP(H129,Charges!$T$6:$U$35,2,0)*C129,0)</f>
        <v>1</v>
      </c>
      <c r="K129" s="29">
        <f t="shared" si="59"/>
        <v>0</v>
      </c>
      <c r="L129" s="29">
        <f t="shared" si="60"/>
        <v>0</v>
      </c>
      <c r="M129" s="147">
        <f t="shared" ca="1" si="61"/>
        <v>0</v>
      </c>
      <c r="N129" s="148">
        <f ca="1">IF(AND(Option_SPW="Y",H129&gt;=Lock_In_Period,Z128&gt;SPW_Amount_pa+IF(option="Single",1/5*pr,2*pr),H129&gt;=SPW_Start_Year,H129&lt;=SPW_Start_Year+SPW_Duration-1,age+H129&gt;=Legal_Age),IF(AND(F129=0,SPW_Payout_Freq=1),SPW_Amount_pa,IF(AND(SPW_Payout_Freq=2,MOD(F129,6)=0),SPW_Amount_pa/SPW_Payout_Freq,IF(AND(SPW_Payout_Freq=4,MOD(F129,3)=0),SPW_Amount_pa/SPW_Payout_Freq,IF(SPW_Payout_Freq=12,SPW_Amount_pa/SPW_Payout_Freq,0)))),0)+IFERROR(VLOOKUP(H129,Input!$B$68:$C$74,2,0),0)*(F129=0)*(Option_PW="Y")*(Option_SPW="N")*(age+H129&gt;=Legal_Age)</f>
        <v>0</v>
      </c>
      <c r="O129" s="148">
        <f t="shared" ca="1" si="87"/>
        <v>0</v>
      </c>
      <c r="P129" s="14">
        <f ca="1">(MAX(MAX(sa-CF128*Flag_UL_Type,105%*SUM($I$7:I129))-(AD128+L129-N129)*Flag_UL_Type,0)*B129)</f>
        <v>217451.24598503998</v>
      </c>
      <c r="Q129" s="213">
        <f t="shared" ca="1" si="62"/>
        <v>425.05557471439084</v>
      </c>
      <c r="R129" s="14">
        <f t="shared" ca="1" si="63"/>
        <v>0</v>
      </c>
      <c r="S129" s="14">
        <f t="shared" ca="1" si="64"/>
        <v>0</v>
      </c>
      <c r="T129" s="14">
        <f>IFERROR(IF(WoP_Flag="Y",IF(fq=1,VLOOKUP(ppt*fq-H129,Charges!$AN$41:$AO$59,2,FALSE),IF(fq=2,VLOOKUP(ppt*fq-G129,Charges!$AP$41:$AQ$79,2,FALSE),VLOOKUP(ppt*fq-D129,Charges!$AR$41:$AS$279,2,FALSE)))*pr/fq,0),0)</f>
        <v>0</v>
      </c>
      <c r="U129" s="14">
        <f ca="1">IFERROR(((T129*(VLOOKUP(Input!$D$18+H129-1,Tab_Mort_Charge,IF(Gender_2="M",2,3),FALSE)*(1+_emr2)+_rpm2)/IF(Model_Type="LA_PQIS",1000/0.0833,(12*1000))))*Flag_Mort_Rider_Charge*(T129&gt;0),0)</f>
        <v>0</v>
      </c>
      <c r="V129" s="34">
        <f>ROUND(MIN(IF(H129&gt;=7,Charges!$C$12*(1+Charges!$C$14)^((H129-7+1)),VLOOKUP(H129,Charges!$B$7:$C$12,2,0))*pr,Charges!$C$13)*B129,Round)</f>
        <v>500</v>
      </c>
      <c r="W129" s="14">
        <f t="shared" ca="1" si="65"/>
        <v>3246457.1884367969</v>
      </c>
      <c r="X129" s="14">
        <f t="shared" ca="1" si="66"/>
        <v>3257085.244485788</v>
      </c>
      <c r="Y129" s="213">
        <f t="shared" ca="1" si="88"/>
        <v>3666.2150062860396</v>
      </c>
      <c r="Z129" s="14">
        <f t="shared" ca="1" si="67"/>
        <v>3252759.1107783704</v>
      </c>
      <c r="AA129" s="14">
        <f>IF(AND($H129=pt,$F129=11),SUM($K$7:K129)*VLOOKUP(pt,ROC,2,FALSE),0)</f>
        <v>0</v>
      </c>
      <c r="AB129" s="14">
        <f>IF(AND($H129=pt,$F129=11),SUM($V$7:V129)*VLOOKUP(pt,ROC,2,FALSE),0)</f>
        <v>0</v>
      </c>
      <c r="AC129" s="14">
        <f>IF(AND($H129=pt,$F129=11),SUM($Q$7:Q129)*VLOOKUP(pt,ROC,2,FALSE),0)</f>
        <v>0</v>
      </c>
      <c r="AD129" s="14">
        <f t="shared" ca="1" si="89"/>
        <v>3252759.1107783704</v>
      </c>
      <c r="AE129" s="14">
        <f ca="1">(MAX(sa-CF128*Flag_UL_Type,105%*SUM($I$7:I129),Z129)+AU129)*B129</f>
        <v>3465000</v>
      </c>
      <c r="AF129" s="136"/>
      <c r="AG129" s="18">
        <v>123</v>
      </c>
      <c r="AH129" s="30">
        <f t="shared" ca="1" si="68"/>
        <v>0</v>
      </c>
      <c r="AI129" s="58"/>
      <c r="AJ129" s="50">
        <f>IF(AND(Option_Sys_TopUp&gt;="Y",H129&gt;=sytp,H129&lt;=(dtp+sytp-1),F129=0,H129&lt;=ppt+1),atp,0)+IFERROR(VLOOKUP(H129,Input!$B$55:$C$61,2,0),0)*(F129=0)*(Option_TopUP="Y")*(Option_Sys_TopUp="N")*B129*(pt&gt;=H129+5)</f>
        <v>0</v>
      </c>
      <c r="AK129" s="50">
        <f t="shared" si="69"/>
        <v>0</v>
      </c>
      <c r="AL129" s="50">
        <f t="shared" si="90"/>
        <v>0</v>
      </c>
      <c r="AM129" s="50">
        <f t="shared" ca="1" si="70"/>
        <v>0</v>
      </c>
      <c r="AN129" s="50">
        <f ca="1">IF(B129=0,0,AT129*(_rpm1+(1+_emr1)*VLOOKUP(E129,Tab_Mort_Charge,IF(Input!$C$12="M",2,3),0))*(0.001*0.0833)*Flag_Mort_Rider_Charge*(AT129&gt;0))</f>
        <v>0</v>
      </c>
      <c r="AO129" s="50">
        <f t="shared" ca="1" si="91"/>
        <v>0</v>
      </c>
      <c r="AP129" s="50">
        <f t="shared" ca="1" si="99"/>
        <v>0</v>
      </c>
      <c r="AQ129" s="50">
        <f t="shared" ca="1" si="71"/>
        <v>0</v>
      </c>
      <c r="AR129" s="50">
        <f t="shared" ca="1" si="72"/>
        <v>0</v>
      </c>
      <c r="AS129" s="50">
        <f t="shared" si="73"/>
        <v>0</v>
      </c>
      <c r="AT129" s="50">
        <f ca="1">(MAX((MAX(AS129,105%*SUM($AJ$7:AJ129))-AM129*Flag_UL_Type),0)*B129)</f>
        <v>0</v>
      </c>
      <c r="AU129" s="50">
        <f ca="1">(MAX(AS129,AR129,105%*SUM($AJ$7:AJ129))*B129)</f>
        <v>0</v>
      </c>
      <c r="AV129" s="125"/>
      <c r="AW129" s="13"/>
      <c r="AX129" s="13"/>
      <c r="AY129" s="13"/>
      <c r="AZ129" s="13"/>
      <c r="BA129" s="13"/>
      <c r="BG129" s="51">
        <f t="shared" si="74"/>
        <v>0</v>
      </c>
      <c r="BH129" s="51">
        <f t="shared" ca="1" si="75"/>
        <v>76.510003448590396</v>
      </c>
      <c r="BI129" s="51">
        <f t="shared" ca="1" si="76"/>
        <v>0</v>
      </c>
      <c r="BJ129" s="51">
        <f t="shared" ca="1" si="77"/>
        <v>0</v>
      </c>
      <c r="BK129" s="51">
        <f t="shared" si="78"/>
        <v>90</v>
      </c>
      <c r="BL129" s="51">
        <f t="shared" ca="1" si="79"/>
        <v>659.91870113148707</v>
      </c>
      <c r="BM129" s="51">
        <f t="shared" si="80"/>
        <v>0</v>
      </c>
      <c r="BN129" s="51">
        <f t="shared" ca="1" si="81"/>
        <v>0</v>
      </c>
      <c r="BO129" s="51">
        <f t="shared" ca="1" si="82"/>
        <v>0</v>
      </c>
      <c r="BP129" s="51">
        <f t="shared" ca="1" si="83"/>
        <v>826.42870458007746</v>
      </c>
      <c r="BQ129" s="120"/>
      <c r="BR129" s="32"/>
      <c r="BS129" s="126"/>
      <c r="BT129" s="16"/>
      <c r="BU129" s="58"/>
      <c r="BW129" s="51">
        <f>VLOOKUP(H129,Charges!$AT$4:$AU$33,2,FALSE)*I129</f>
        <v>0</v>
      </c>
      <c r="BX129" s="51">
        <f t="shared" si="84"/>
        <v>0</v>
      </c>
      <c r="BY129" s="51">
        <f t="shared" si="93"/>
        <v>0</v>
      </c>
      <c r="BZ129" s="151"/>
      <c r="CA129" s="151"/>
      <c r="CB129" s="32"/>
      <c r="CC129" s="16">
        <f ca="1">SUM($N$7:$N129)</f>
        <v>0</v>
      </c>
      <c r="CD129" s="16">
        <f t="shared" ca="1" si="85"/>
        <v>0</v>
      </c>
      <c r="CE129" s="16">
        <f t="shared" ca="1" si="86"/>
        <v>0</v>
      </c>
      <c r="CF129" s="7">
        <f t="shared" ca="1" si="94"/>
        <v>0</v>
      </c>
    </row>
    <row r="130" spans="1:84" s="7" customFormat="1" x14ac:dyDescent="0.2">
      <c r="A130" s="149"/>
      <c r="B130" s="14">
        <f t="shared" si="55"/>
        <v>1</v>
      </c>
      <c r="C130" s="12">
        <f t="shared" si="56"/>
        <v>1</v>
      </c>
      <c r="D130" s="17">
        <f t="shared" si="95"/>
        <v>124</v>
      </c>
      <c r="E130" s="17">
        <f t="shared" ca="1" si="57"/>
        <v>70</v>
      </c>
      <c r="F130" s="12">
        <f t="shared" si="97"/>
        <v>3</v>
      </c>
      <c r="G130" s="12">
        <f t="shared" si="96"/>
        <v>21</v>
      </c>
      <c r="H130" s="17">
        <f t="shared" si="98"/>
        <v>11</v>
      </c>
      <c r="I130" s="29">
        <f t="shared" si="58"/>
        <v>0</v>
      </c>
      <c r="J130" s="211">
        <f>IFERROR(VLOOKUP(H130,Charges!$T$6:$U$35,2,0)*C130,0)</f>
        <v>1</v>
      </c>
      <c r="K130" s="29">
        <f t="shared" si="59"/>
        <v>0</v>
      </c>
      <c r="L130" s="29">
        <f t="shared" si="60"/>
        <v>0</v>
      </c>
      <c r="M130" s="147">
        <f t="shared" ca="1" si="61"/>
        <v>0</v>
      </c>
      <c r="N130" s="148">
        <f ca="1">IF(AND(Option_SPW="Y",H130&gt;=Lock_In_Period,Z129&gt;SPW_Amount_pa+IF(option="Single",1/5*pr,2*pr),H130&gt;=SPW_Start_Year,H130&lt;=SPW_Start_Year+SPW_Duration-1,age+H130&gt;=Legal_Age),IF(AND(F130=0,SPW_Payout_Freq=1),SPW_Amount_pa,IF(AND(SPW_Payout_Freq=2,MOD(F130,6)=0),SPW_Amount_pa/SPW_Payout_Freq,IF(AND(SPW_Payout_Freq=4,MOD(F130,3)=0),SPW_Amount_pa/SPW_Payout_Freq,IF(SPW_Payout_Freq=12,SPW_Amount_pa/SPW_Payout_Freq,0)))),0)+IFERROR(VLOOKUP(H130,Input!$B$68:$C$74,2,0),0)*(F130=0)*(Option_PW="Y")*(Option_SPW="N")*(age+H130&gt;=Legal_Age)</f>
        <v>0</v>
      </c>
      <c r="O130" s="148">
        <f t="shared" ca="1" si="87"/>
        <v>0</v>
      </c>
      <c r="P130" s="14">
        <f ca="1">(MAX(MAX(sa-CF129*Flag_UL_Type,105%*SUM($I$7:I130))-(AD129+L130-N130)*Flag_UL_Type,0)*B130)</f>
        <v>212240.88922162959</v>
      </c>
      <c r="Q130" s="213">
        <f t="shared" ca="1" si="62"/>
        <v>414.87080350967335</v>
      </c>
      <c r="R130" s="14">
        <f t="shared" ca="1" si="63"/>
        <v>0</v>
      </c>
      <c r="S130" s="14">
        <f t="shared" ca="1" si="64"/>
        <v>0</v>
      </c>
      <c r="T130" s="14">
        <f>IFERROR(IF(WoP_Flag="Y",IF(fq=1,VLOOKUP(ppt*fq-H130,Charges!$AN$41:$AO$59,2,FALSE),IF(fq=2,VLOOKUP(ppt*fq-G130,Charges!$AP$41:$AQ$79,2,FALSE),VLOOKUP(ppt*fq-D130,Charges!$AR$41:$AS$279,2,FALSE)))*pr/fq,0),0)</f>
        <v>0</v>
      </c>
      <c r="U130" s="14">
        <f ca="1">IFERROR(((T130*(VLOOKUP(Input!$D$18+H130-1,Tab_Mort_Charge,IF(Gender_2="M",2,3),FALSE)*(1+_emr2)+_rpm2)/IF(Model_Type="LA_PQIS",1000/0.0833,(12*1000))))*Flag_Mort_Rider_Charge*(T130&gt;0),0)</f>
        <v>0</v>
      </c>
      <c r="V130" s="34">
        <f>ROUND(MIN(IF(H130&gt;=7,Charges!$C$12*(1+Charges!$C$14)^((H130-7+1)),VLOOKUP(H130,Charges!$B$7:$C$12,2,0))*pr,Charges!$C$13)*B130,Round)</f>
        <v>500</v>
      </c>
      <c r="W130" s="14">
        <f t="shared" ca="1" si="65"/>
        <v>3251679.5632302291</v>
      </c>
      <c r="X130" s="14">
        <f t="shared" ca="1" si="66"/>
        <v>3262324.7159753391</v>
      </c>
      <c r="Y130" s="213">
        <f t="shared" ca="1" si="88"/>
        <v>3672.1126195070997</v>
      </c>
      <c r="Z130" s="14">
        <f t="shared" ca="1" si="67"/>
        <v>3257991.6230843207</v>
      </c>
      <c r="AA130" s="14">
        <f>IF(AND($H130=pt,$F130=11),SUM($K$7:K130)*VLOOKUP(pt,ROC,2,FALSE),0)</f>
        <v>0</v>
      </c>
      <c r="AB130" s="14">
        <f>IF(AND($H130=pt,$F130=11),SUM($V$7:V130)*VLOOKUP(pt,ROC,2,FALSE),0)</f>
        <v>0</v>
      </c>
      <c r="AC130" s="14">
        <f>IF(AND($H130=pt,$F130=11),SUM($Q$7:Q130)*VLOOKUP(pt,ROC,2,FALSE),0)</f>
        <v>0</v>
      </c>
      <c r="AD130" s="14">
        <f t="shared" ca="1" si="89"/>
        <v>3257991.6230843207</v>
      </c>
      <c r="AE130" s="14">
        <f ca="1">(MAX(sa-CF129*Flag_UL_Type,105%*SUM($I$7:I130),Z130)+AU130)*B130</f>
        <v>3465000</v>
      </c>
      <c r="AF130" s="136"/>
      <c r="AG130" s="18">
        <v>124</v>
      </c>
      <c r="AH130" s="30">
        <f t="shared" ca="1" si="68"/>
        <v>0</v>
      </c>
      <c r="AI130" s="58"/>
      <c r="AJ130" s="50">
        <f>IF(AND(Option_Sys_TopUp&gt;="Y",H130&gt;=sytp,H130&lt;=(dtp+sytp-1),F130=0,H130&lt;=ppt+1),atp,0)+IFERROR(VLOOKUP(H130,Input!$B$55:$C$61,2,0),0)*(F130=0)*(Option_TopUP="Y")*(Option_Sys_TopUp="N")*B130*(pt&gt;=H130+5)</f>
        <v>0</v>
      </c>
      <c r="AK130" s="50">
        <f t="shared" si="69"/>
        <v>0</v>
      </c>
      <c r="AL130" s="50">
        <f t="shared" si="90"/>
        <v>0</v>
      </c>
      <c r="AM130" s="50">
        <f t="shared" ca="1" si="70"/>
        <v>0</v>
      </c>
      <c r="AN130" s="50">
        <f ca="1">IF(B130=0,0,AT130*(_rpm1+(1+_emr1)*VLOOKUP(E130,Tab_Mort_Charge,IF(Input!$C$12="M",2,3),0))*(0.001*0.0833)*Flag_Mort_Rider_Charge*(AT130&gt;0))</f>
        <v>0</v>
      </c>
      <c r="AO130" s="50">
        <f t="shared" ca="1" si="91"/>
        <v>0</v>
      </c>
      <c r="AP130" s="50">
        <f t="shared" ca="1" si="99"/>
        <v>0</v>
      </c>
      <c r="AQ130" s="50">
        <f t="shared" ca="1" si="71"/>
        <v>0</v>
      </c>
      <c r="AR130" s="50">
        <f t="shared" ca="1" si="72"/>
        <v>0</v>
      </c>
      <c r="AS130" s="50">
        <f t="shared" si="73"/>
        <v>0</v>
      </c>
      <c r="AT130" s="50">
        <f ca="1">(MAX((MAX(AS130,105%*SUM($AJ$7:AJ130))-AM130*Flag_UL_Type),0)*B130)</f>
        <v>0</v>
      </c>
      <c r="AU130" s="50">
        <f ca="1">(MAX(AS130,AR130,105%*SUM($AJ$7:AJ130))*B130)</f>
        <v>0</v>
      </c>
      <c r="AV130" s="125"/>
      <c r="AW130" s="13"/>
      <c r="AX130" s="13"/>
      <c r="AY130" s="13"/>
      <c r="AZ130" s="13"/>
      <c r="BA130" s="13"/>
      <c r="BG130" s="51">
        <f t="shared" si="74"/>
        <v>0</v>
      </c>
      <c r="BH130" s="51">
        <f t="shared" ca="1" si="75"/>
        <v>74.676744631741201</v>
      </c>
      <c r="BI130" s="51">
        <f t="shared" ca="1" si="76"/>
        <v>0</v>
      </c>
      <c r="BJ130" s="51">
        <f t="shared" ca="1" si="77"/>
        <v>0</v>
      </c>
      <c r="BK130" s="51">
        <f t="shared" si="78"/>
        <v>90</v>
      </c>
      <c r="BL130" s="51">
        <f t="shared" ca="1" si="79"/>
        <v>660.98027151127792</v>
      </c>
      <c r="BM130" s="51">
        <f t="shared" si="80"/>
        <v>0</v>
      </c>
      <c r="BN130" s="51">
        <f t="shared" ca="1" si="81"/>
        <v>0</v>
      </c>
      <c r="BO130" s="51">
        <f t="shared" ca="1" si="82"/>
        <v>0</v>
      </c>
      <c r="BP130" s="51">
        <f t="shared" ca="1" si="83"/>
        <v>825.65701614301906</v>
      </c>
      <c r="BQ130" s="120"/>
      <c r="BR130" s="32"/>
      <c r="BS130" s="126"/>
      <c r="BT130" s="16"/>
      <c r="BU130" s="58"/>
      <c r="BW130" s="51">
        <f>VLOOKUP(H130,Charges!$AT$4:$AU$33,2,FALSE)*I130</f>
        <v>0</v>
      </c>
      <c r="BX130" s="51">
        <f t="shared" si="84"/>
        <v>0</v>
      </c>
      <c r="BY130" s="51">
        <f t="shared" si="93"/>
        <v>0</v>
      </c>
      <c r="BZ130" s="151"/>
      <c r="CA130" s="151"/>
      <c r="CB130" s="32"/>
      <c r="CC130" s="16">
        <f ca="1">SUM($N$7:$N130)</f>
        <v>0</v>
      </c>
      <c r="CD130" s="16">
        <f t="shared" ca="1" si="85"/>
        <v>0</v>
      </c>
      <c r="CE130" s="16">
        <f t="shared" ca="1" si="86"/>
        <v>0</v>
      </c>
      <c r="CF130" s="7">
        <f t="shared" ca="1" si="94"/>
        <v>0</v>
      </c>
    </row>
    <row r="131" spans="1:84" s="7" customFormat="1" x14ac:dyDescent="0.2">
      <c r="A131" s="149"/>
      <c r="B131" s="14">
        <f t="shared" si="55"/>
        <v>1</v>
      </c>
      <c r="C131" s="12">
        <f t="shared" si="56"/>
        <v>1</v>
      </c>
      <c r="D131" s="17">
        <f t="shared" si="95"/>
        <v>125</v>
      </c>
      <c r="E131" s="17">
        <f t="shared" ca="1" si="57"/>
        <v>70</v>
      </c>
      <c r="F131" s="12">
        <f t="shared" si="97"/>
        <v>4</v>
      </c>
      <c r="G131" s="12">
        <f t="shared" si="96"/>
        <v>21</v>
      </c>
      <c r="H131" s="17">
        <f t="shared" si="98"/>
        <v>11</v>
      </c>
      <c r="I131" s="29">
        <f t="shared" si="58"/>
        <v>0</v>
      </c>
      <c r="J131" s="211">
        <f>IFERROR(VLOOKUP(H131,Charges!$T$6:$U$35,2,0)*C131,0)</f>
        <v>1</v>
      </c>
      <c r="K131" s="29">
        <f t="shared" si="59"/>
        <v>0</v>
      </c>
      <c r="L131" s="29">
        <f t="shared" si="60"/>
        <v>0</v>
      </c>
      <c r="M131" s="147">
        <f t="shared" ca="1" si="61"/>
        <v>0</v>
      </c>
      <c r="N131" s="148">
        <f ca="1">IF(AND(Option_SPW="Y",H131&gt;=Lock_In_Period,Z130&gt;SPW_Amount_pa+IF(option="Single",1/5*pr,2*pr),H131&gt;=SPW_Start_Year,H131&lt;=SPW_Start_Year+SPW_Duration-1,age+H131&gt;=Legal_Age),IF(AND(F131=0,SPW_Payout_Freq=1),SPW_Amount_pa,IF(AND(SPW_Payout_Freq=2,MOD(F131,6)=0),SPW_Amount_pa/SPW_Payout_Freq,IF(AND(SPW_Payout_Freq=4,MOD(F131,3)=0),SPW_Amount_pa/SPW_Payout_Freq,IF(SPW_Payout_Freq=12,SPW_Amount_pa/SPW_Payout_Freq,0)))),0)+IFERROR(VLOOKUP(H131,Input!$B$68:$C$74,2,0),0)*(F131=0)*(Option_PW="Y")*(Option_SPW="N")*(age+H131&gt;=Legal_Age)</f>
        <v>0</v>
      </c>
      <c r="O131" s="148">
        <f t="shared" ca="1" si="87"/>
        <v>0</v>
      </c>
      <c r="P131" s="14">
        <f ca="1">(MAX(MAX(sa-CF130*Flag_UL_Type,105%*SUM($I$7:I131))-(AD130+L131-N131)*Flag_UL_Type,0)*B131)</f>
        <v>207008.37691567931</v>
      </c>
      <c r="Q131" s="213">
        <f t="shared" ca="1" si="62"/>
        <v>404.64272449669335</v>
      </c>
      <c r="R131" s="14">
        <f t="shared" ca="1" si="63"/>
        <v>0</v>
      </c>
      <c r="S131" s="14">
        <f t="shared" ca="1" si="64"/>
        <v>0</v>
      </c>
      <c r="T131" s="14">
        <f>IFERROR(IF(WoP_Flag="Y",IF(fq=1,VLOOKUP(ppt*fq-H131,Charges!$AN$41:$AO$59,2,FALSE),IF(fq=2,VLOOKUP(ppt*fq-G131,Charges!$AP$41:$AQ$79,2,FALSE),VLOOKUP(ppt*fq-D131,Charges!$AR$41:$AS$279,2,FALSE)))*pr/fq,0),0)</f>
        <v>0</v>
      </c>
      <c r="U131" s="14">
        <f ca="1">IFERROR(((T131*(VLOOKUP(Input!$D$18+H131-1,Tab_Mort_Charge,IF(Gender_2="M",2,3),FALSE)*(1+_emr2)+_rpm2)/IF(Model_Type="LA_PQIS",1000/0.0833,(12*1000))))*Flag_Mort_Rider_Charge*(T131&gt;0),0)</f>
        <v>0</v>
      </c>
      <c r="V131" s="34">
        <f>ROUND(MIN(IF(H131&gt;=7,Charges!$C$12*(1+Charges!$C$14)^((H131-7+1)),VLOOKUP(H131,Charges!$B$7:$C$12,2,0))*pr,Charges!$C$13)*B131,Round)</f>
        <v>500</v>
      </c>
      <c r="W131" s="14">
        <f t="shared" ca="1" si="65"/>
        <v>3256924.1446694145</v>
      </c>
      <c r="X131" s="14">
        <f t="shared" ca="1" si="66"/>
        <v>3267586.4668094227</v>
      </c>
      <c r="Y131" s="213">
        <f t="shared" ca="1" si="88"/>
        <v>3678.0353106309858</v>
      </c>
      <c r="Z131" s="14">
        <f t="shared" ca="1" si="67"/>
        <v>3263246.3851428782</v>
      </c>
      <c r="AA131" s="14">
        <f>IF(AND($H131=pt,$F131=11),SUM($K$7:K131)*VLOOKUP(pt,ROC,2,FALSE),0)</f>
        <v>0</v>
      </c>
      <c r="AB131" s="14">
        <f>IF(AND($H131=pt,$F131=11),SUM($V$7:V131)*VLOOKUP(pt,ROC,2,FALSE),0)</f>
        <v>0</v>
      </c>
      <c r="AC131" s="14">
        <f>IF(AND($H131=pt,$F131=11),SUM($Q$7:Q131)*VLOOKUP(pt,ROC,2,FALSE),0)</f>
        <v>0</v>
      </c>
      <c r="AD131" s="14">
        <f t="shared" ca="1" si="89"/>
        <v>3263246.3851428782</v>
      </c>
      <c r="AE131" s="14">
        <f ca="1">(MAX(sa-CF130*Flag_UL_Type,105%*SUM($I$7:I131),Z131)+AU131)*B131</f>
        <v>3465000</v>
      </c>
      <c r="AF131" s="136"/>
      <c r="AG131" s="18">
        <v>125</v>
      </c>
      <c r="AH131" s="30">
        <f t="shared" ca="1" si="68"/>
        <v>0</v>
      </c>
      <c r="AI131" s="58"/>
      <c r="AJ131" s="50">
        <f>IF(AND(Option_Sys_TopUp&gt;="Y",H131&gt;=sytp,H131&lt;=(dtp+sytp-1),F131=0,H131&lt;=ppt+1),atp,0)+IFERROR(VLOOKUP(H131,Input!$B$55:$C$61,2,0),0)*(F131=0)*(Option_TopUP="Y")*(Option_Sys_TopUp="N")*B131*(pt&gt;=H131+5)</f>
        <v>0</v>
      </c>
      <c r="AK131" s="50">
        <f t="shared" si="69"/>
        <v>0</v>
      </c>
      <c r="AL131" s="50">
        <f t="shared" si="90"/>
        <v>0</v>
      </c>
      <c r="AM131" s="50">
        <f t="shared" ca="1" si="70"/>
        <v>0</v>
      </c>
      <c r="AN131" s="50">
        <f ca="1">IF(B131=0,0,AT131*(_rpm1+(1+_emr1)*VLOOKUP(E131,Tab_Mort_Charge,IF(Input!$C$12="M",2,3),0))*(0.001*0.0833)*Flag_Mort_Rider_Charge*(AT131&gt;0))</f>
        <v>0</v>
      </c>
      <c r="AO131" s="50">
        <f t="shared" ca="1" si="91"/>
        <v>0</v>
      </c>
      <c r="AP131" s="50">
        <f t="shared" ca="1" si="99"/>
        <v>0</v>
      </c>
      <c r="AQ131" s="50">
        <f t="shared" ca="1" si="71"/>
        <v>0</v>
      </c>
      <c r="AR131" s="50">
        <f t="shared" ca="1" si="72"/>
        <v>0</v>
      </c>
      <c r="AS131" s="50">
        <f t="shared" si="73"/>
        <v>0</v>
      </c>
      <c r="AT131" s="50">
        <f ca="1">(MAX((MAX(AS131,105%*SUM($AJ$7:AJ131))-AM131*Flag_UL_Type),0)*B131)</f>
        <v>0</v>
      </c>
      <c r="AU131" s="50">
        <f ca="1">(MAX(AS131,AR131,105%*SUM($AJ$7:AJ131))*B131)</f>
        <v>0</v>
      </c>
      <c r="AV131" s="125"/>
      <c r="AW131" s="13"/>
      <c r="AX131" s="13"/>
      <c r="AY131" s="13"/>
      <c r="AZ131" s="13"/>
      <c r="BA131" s="13"/>
      <c r="BG131" s="51">
        <f t="shared" si="74"/>
        <v>0</v>
      </c>
      <c r="BH131" s="51">
        <f t="shared" ca="1" si="75"/>
        <v>72.835690409404805</v>
      </c>
      <c r="BI131" s="51">
        <f t="shared" ca="1" si="76"/>
        <v>0</v>
      </c>
      <c r="BJ131" s="51">
        <f t="shared" ca="1" si="77"/>
        <v>0</v>
      </c>
      <c r="BK131" s="51">
        <f t="shared" si="78"/>
        <v>90</v>
      </c>
      <c r="BL131" s="51">
        <f t="shared" ca="1" si="79"/>
        <v>662.04635591357737</v>
      </c>
      <c r="BM131" s="51">
        <f t="shared" si="80"/>
        <v>0</v>
      </c>
      <c r="BN131" s="51">
        <f t="shared" ca="1" si="81"/>
        <v>0</v>
      </c>
      <c r="BO131" s="51">
        <f t="shared" ca="1" si="82"/>
        <v>0</v>
      </c>
      <c r="BP131" s="51">
        <f t="shared" ca="1" si="83"/>
        <v>824.88204632298221</v>
      </c>
      <c r="BQ131" s="120"/>
      <c r="BR131" s="32"/>
      <c r="BS131" s="126"/>
      <c r="BT131" s="16"/>
      <c r="BU131" s="58"/>
      <c r="BW131" s="51">
        <f>VLOOKUP(H131,Charges!$AT$4:$AU$33,2,FALSE)*I131</f>
        <v>0</v>
      </c>
      <c r="BX131" s="51">
        <f t="shared" si="84"/>
        <v>0</v>
      </c>
      <c r="BY131" s="51">
        <f t="shared" si="93"/>
        <v>0</v>
      </c>
      <c r="BZ131" s="151"/>
      <c r="CA131" s="151"/>
      <c r="CB131" s="32"/>
      <c r="CC131" s="16">
        <f ca="1">SUM($N$7:$N131)</f>
        <v>0</v>
      </c>
      <c r="CD131" s="16">
        <f t="shared" ca="1" si="85"/>
        <v>0</v>
      </c>
      <c r="CE131" s="16">
        <f t="shared" ca="1" si="86"/>
        <v>0</v>
      </c>
      <c r="CF131" s="7">
        <f t="shared" ca="1" si="94"/>
        <v>0</v>
      </c>
    </row>
    <row r="132" spans="1:84" s="7" customFormat="1" x14ac:dyDescent="0.2">
      <c r="A132" s="149"/>
      <c r="B132" s="14">
        <f t="shared" si="55"/>
        <v>1</v>
      </c>
      <c r="C132" s="12">
        <f t="shared" si="56"/>
        <v>1</v>
      </c>
      <c r="D132" s="17">
        <f t="shared" si="95"/>
        <v>126</v>
      </c>
      <c r="E132" s="17">
        <f t="shared" ca="1" si="57"/>
        <v>70</v>
      </c>
      <c r="F132" s="12">
        <f t="shared" si="97"/>
        <v>5</v>
      </c>
      <c r="G132" s="12">
        <f t="shared" si="96"/>
        <v>21</v>
      </c>
      <c r="H132" s="17">
        <f t="shared" si="98"/>
        <v>11</v>
      </c>
      <c r="I132" s="29">
        <f t="shared" si="58"/>
        <v>0</v>
      </c>
      <c r="J132" s="211">
        <f>IFERROR(VLOOKUP(H132,Charges!$T$6:$U$35,2,0)*C132,0)</f>
        <v>1</v>
      </c>
      <c r="K132" s="29">
        <f t="shared" si="59"/>
        <v>0</v>
      </c>
      <c r="L132" s="29">
        <f t="shared" si="60"/>
        <v>0</v>
      </c>
      <c r="M132" s="147">
        <f t="shared" ca="1" si="61"/>
        <v>0</v>
      </c>
      <c r="N132" s="148">
        <f ca="1">IF(AND(Option_SPW="Y",H132&gt;=Lock_In_Period,Z131&gt;SPW_Amount_pa+IF(option="Single",1/5*pr,2*pr),H132&gt;=SPW_Start_Year,H132&lt;=SPW_Start_Year+SPW_Duration-1,age+H132&gt;=Legal_Age),IF(AND(F132=0,SPW_Payout_Freq=1),SPW_Amount_pa,IF(AND(SPW_Payout_Freq=2,MOD(F132,6)=0),SPW_Amount_pa/SPW_Payout_Freq,IF(AND(SPW_Payout_Freq=4,MOD(F132,3)=0),SPW_Amount_pa/SPW_Payout_Freq,IF(SPW_Payout_Freq=12,SPW_Amount_pa/SPW_Payout_Freq,0)))),0)+IFERROR(VLOOKUP(H132,Input!$B$68:$C$74,2,0),0)*(F132=0)*(Option_PW="Y")*(Option_SPW="N")*(age+H132&gt;=Legal_Age)</f>
        <v>0</v>
      </c>
      <c r="O132" s="148">
        <f t="shared" ca="1" si="87"/>
        <v>0</v>
      </c>
      <c r="P132" s="14">
        <f ca="1">(MAX(MAX(sa-CF131*Flag_UL_Type,105%*SUM($I$7:I132))-(AD131+L132-N132)*Flag_UL_Type,0)*B132)</f>
        <v>201753.61485712184</v>
      </c>
      <c r="Q132" s="213">
        <f t="shared" ca="1" si="62"/>
        <v>394.37115352146333</v>
      </c>
      <c r="R132" s="14">
        <f t="shared" ca="1" si="63"/>
        <v>0</v>
      </c>
      <c r="S132" s="14">
        <f t="shared" ca="1" si="64"/>
        <v>0</v>
      </c>
      <c r="T132" s="14">
        <f>IFERROR(IF(WoP_Flag="Y",IF(fq=1,VLOOKUP(ppt*fq-H132,Charges!$AN$41:$AO$59,2,FALSE),IF(fq=2,VLOOKUP(ppt*fq-G132,Charges!$AP$41:$AQ$79,2,FALSE),VLOOKUP(ppt*fq-D132,Charges!$AR$41:$AS$279,2,FALSE)))*pr/fq,0),0)</f>
        <v>0</v>
      </c>
      <c r="U132" s="14">
        <f ca="1">IFERROR(((T132*(VLOOKUP(Input!$D$18+H132-1,Tab_Mort_Charge,IF(Gender_2="M",2,3),FALSE)*(1+_emr2)+_rpm2)/IF(Model_Type="LA_PQIS",1000/0.0833,(12*1000))))*Flag_Mort_Rider_Charge*(T132&gt;0),0)</f>
        <v>0</v>
      </c>
      <c r="V132" s="34">
        <f>ROUND(MIN(IF(H132&gt;=7,Charges!$C$12*(1+Charges!$C$14)^((H132-7+1)),VLOOKUP(H132,Charges!$B$7:$C$12,2,0))*pr,Charges!$C$13)*B132,Round)</f>
        <v>500</v>
      </c>
      <c r="W132" s="14">
        <f t="shared" ca="1" si="65"/>
        <v>3262191.0271817227</v>
      </c>
      <c r="X132" s="14">
        <f t="shared" ca="1" si="66"/>
        <v>3272870.5917245396</v>
      </c>
      <c r="Y132" s="213">
        <f t="shared" ca="1" si="88"/>
        <v>3683.9831862942615</v>
      </c>
      <c r="Z132" s="14">
        <f t="shared" ca="1" si="67"/>
        <v>3268523.4915647125</v>
      </c>
      <c r="AA132" s="14">
        <f>IF(AND($H132=pt,$F132=11),SUM($K$7:K132)*VLOOKUP(pt,ROC,2,FALSE),0)</f>
        <v>0</v>
      </c>
      <c r="AB132" s="14">
        <f>IF(AND($H132=pt,$F132=11),SUM($V$7:V132)*VLOOKUP(pt,ROC,2,FALSE),0)</f>
        <v>0</v>
      </c>
      <c r="AC132" s="14">
        <f>IF(AND($H132=pt,$F132=11),SUM($Q$7:Q132)*VLOOKUP(pt,ROC,2,FALSE),0)</f>
        <v>0</v>
      </c>
      <c r="AD132" s="14">
        <f t="shared" ca="1" si="89"/>
        <v>3268523.4915647125</v>
      </c>
      <c r="AE132" s="14">
        <f ca="1">(MAX(sa-CF131*Flag_UL_Type,105%*SUM($I$7:I132),Z132)+AU132)*B132</f>
        <v>3465000</v>
      </c>
      <c r="AF132" s="136"/>
      <c r="AG132" s="18">
        <v>126</v>
      </c>
      <c r="AH132" s="30">
        <f t="shared" ca="1" si="68"/>
        <v>0</v>
      </c>
      <c r="AI132" s="58"/>
      <c r="AJ132" s="50">
        <f>IF(AND(Option_Sys_TopUp&gt;="Y",H132&gt;=sytp,H132&lt;=(dtp+sytp-1),F132=0,H132&lt;=ppt+1),atp,0)+IFERROR(VLOOKUP(H132,Input!$B$55:$C$61,2,0),0)*(F132=0)*(Option_TopUP="Y")*(Option_Sys_TopUp="N")*B132*(pt&gt;=H132+5)</f>
        <v>0</v>
      </c>
      <c r="AK132" s="50">
        <f t="shared" si="69"/>
        <v>0</v>
      </c>
      <c r="AL132" s="50">
        <f t="shared" si="90"/>
        <v>0</v>
      </c>
      <c r="AM132" s="50">
        <f t="shared" ca="1" si="70"/>
        <v>0</v>
      </c>
      <c r="AN132" s="50">
        <f ca="1">IF(B132=0,0,AT132*(_rpm1+(1+_emr1)*VLOOKUP(E132,Tab_Mort_Charge,IF(Input!$C$12="M",2,3),0))*(0.001*0.0833)*Flag_Mort_Rider_Charge*(AT132&gt;0))</f>
        <v>0</v>
      </c>
      <c r="AO132" s="50">
        <f t="shared" ca="1" si="91"/>
        <v>0</v>
      </c>
      <c r="AP132" s="50">
        <f t="shared" ca="1" si="99"/>
        <v>0</v>
      </c>
      <c r="AQ132" s="50">
        <f t="shared" ca="1" si="71"/>
        <v>0</v>
      </c>
      <c r="AR132" s="50">
        <f t="shared" ca="1" si="72"/>
        <v>0</v>
      </c>
      <c r="AS132" s="50">
        <f t="shared" si="73"/>
        <v>0</v>
      </c>
      <c r="AT132" s="50">
        <f ca="1">(MAX((MAX(AS132,105%*SUM($AJ$7:AJ132))-AM132*Flag_UL_Type),0)*B132)</f>
        <v>0</v>
      </c>
      <c r="AU132" s="50">
        <f ca="1">(MAX(AS132,AR132,105%*SUM($AJ$7:AJ132))*B132)</f>
        <v>0</v>
      </c>
      <c r="AV132" s="125"/>
      <c r="AW132" s="13"/>
      <c r="AX132" s="13"/>
      <c r="AY132" s="13"/>
      <c r="AZ132" s="13"/>
      <c r="BA132" s="13"/>
      <c r="BG132" s="51">
        <f t="shared" si="74"/>
        <v>0</v>
      </c>
      <c r="BH132" s="51">
        <f t="shared" ca="1" si="75"/>
        <v>70.986807633863407</v>
      </c>
      <c r="BI132" s="51">
        <f t="shared" ca="1" si="76"/>
        <v>0</v>
      </c>
      <c r="BJ132" s="51">
        <f t="shared" ca="1" si="77"/>
        <v>0</v>
      </c>
      <c r="BK132" s="51">
        <f t="shared" si="78"/>
        <v>90</v>
      </c>
      <c r="BL132" s="51">
        <f t="shared" ca="1" si="79"/>
        <v>663.11697353296699</v>
      </c>
      <c r="BM132" s="51">
        <f t="shared" si="80"/>
        <v>0</v>
      </c>
      <c r="BN132" s="51">
        <f t="shared" ca="1" si="81"/>
        <v>0</v>
      </c>
      <c r="BO132" s="51">
        <f t="shared" ca="1" si="82"/>
        <v>0</v>
      </c>
      <c r="BP132" s="51">
        <f t="shared" ca="1" si="83"/>
        <v>824.10378116683046</v>
      </c>
      <c r="BQ132" s="120"/>
      <c r="BR132" s="32"/>
      <c r="BS132" s="126"/>
      <c r="BT132" s="16"/>
      <c r="BU132" s="58"/>
      <c r="BW132" s="51">
        <f>VLOOKUP(H132,Charges!$AT$4:$AU$33,2,FALSE)*I132</f>
        <v>0</v>
      </c>
      <c r="BX132" s="51">
        <f t="shared" si="84"/>
        <v>0</v>
      </c>
      <c r="BY132" s="51">
        <f t="shared" si="93"/>
        <v>0</v>
      </c>
      <c r="BZ132" s="151"/>
      <c r="CA132" s="151"/>
      <c r="CB132" s="32"/>
      <c r="CC132" s="16">
        <f ca="1">SUM($N$7:$N132)</f>
        <v>0</v>
      </c>
      <c r="CD132" s="16">
        <f t="shared" ca="1" si="85"/>
        <v>0</v>
      </c>
      <c r="CE132" s="16">
        <f t="shared" ca="1" si="86"/>
        <v>0</v>
      </c>
      <c r="CF132" s="7">
        <f t="shared" ca="1" si="94"/>
        <v>0</v>
      </c>
    </row>
    <row r="133" spans="1:84" s="7" customFormat="1" x14ac:dyDescent="0.2">
      <c r="A133" s="149"/>
      <c r="B133" s="14">
        <f t="shared" si="55"/>
        <v>1</v>
      </c>
      <c r="C133" s="12">
        <f t="shared" si="56"/>
        <v>1</v>
      </c>
      <c r="D133" s="17">
        <f t="shared" si="95"/>
        <v>127</v>
      </c>
      <c r="E133" s="17">
        <f t="shared" ca="1" si="57"/>
        <v>70</v>
      </c>
      <c r="F133" s="12">
        <f t="shared" si="97"/>
        <v>6</v>
      </c>
      <c r="G133" s="12">
        <f t="shared" si="96"/>
        <v>22</v>
      </c>
      <c r="H133" s="17">
        <f t="shared" si="98"/>
        <v>11</v>
      </c>
      <c r="I133" s="29">
        <f t="shared" si="58"/>
        <v>0</v>
      </c>
      <c r="J133" s="211">
        <f>IFERROR(VLOOKUP(H133,Charges!$T$6:$U$35,2,0)*C133,0)</f>
        <v>1</v>
      </c>
      <c r="K133" s="29">
        <f t="shared" si="59"/>
        <v>0</v>
      </c>
      <c r="L133" s="29">
        <f t="shared" si="60"/>
        <v>0</v>
      </c>
      <c r="M133" s="147">
        <f t="shared" ca="1" si="61"/>
        <v>0</v>
      </c>
      <c r="N133" s="148">
        <f ca="1">IF(AND(Option_SPW="Y",H133&gt;=Lock_In_Period,Z132&gt;SPW_Amount_pa+IF(option="Single",1/5*pr,2*pr),H133&gt;=SPW_Start_Year,H133&lt;=SPW_Start_Year+SPW_Duration-1,age+H133&gt;=Legal_Age),IF(AND(F133=0,SPW_Payout_Freq=1),SPW_Amount_pa,IF(AND(SPW_Payout_Freq=2,MOD(F133,6)=0),SPW_Amount_pa/SPW_Payout_Freq,IF(AND(SPW_Payout_Freq=4,MOD(F133,3)=0),SPW_Amount_pa/SPW_Payout_Freq,IF(SPW_Payout_Freq=12,SPW_Amount_pa/SPW_Payout_Freq,0)))),0)+IFERROR(VLOOKUP(H133,Input!$B$68:$C$74,2,0),0)*(F133=0)*(Option_PW="Y")*(Option_SPW="N")*(age+H133&gt;=Legal_Age)</f>
        <v>0</v>
      </c>
      <c r="O133" s="148">
        <f t="shared" ca="1" si="87"/>
        <v>0</v>
      </c>
      <c r="P133" s="14">
        <f ca="1">(MAX(MAX(sa-CF132*Flag_UL_Type,105%*SUM($I$7:I133))-(AD132+L133-N133)*Flag_UL_Type,0)*B133)</f>
        <v>196476.50843528751</v>
      </c>
      <c r="Q133" s="213">
        <f t="shared" ca="1" si="62"/>
        <v>384.0559056469308</v>
      </c>
      <c r="R133" s="14">
        <f t="shared" ca="1" si="63"/>
        <v>0</v>
      </c>
      <c r="S133" s="14">
        <f t="shared" ca="1" si="64"/>
        <v>0</v>
      </c>
      <c r="T133" s="14">
        <f>IFERROR(IF(WoP_Flag="Y",IF(fq=1,VLOOKUP(ppt*fq-H133,Charges!$AN$41:$AO$59,2,FALSE),IF(fq=2,VLOOKUP(ppt*fq-G133,Charges!$AP$41:$AQ$79,2,FALSE),VLOOKUP(ppt*fq-D133,Charges!$AR$41:$AS$279,2,FALSE)))*pr/fq,0),0)</f>
        <v>0</v>
      </c>
      <c r="U133" s="14">
        <f ca="1">IFERROR(((T133*(VLOOKUP(Input!$D$18+H133-1,Tab_Mort_Charge,IF(Gender_2="M",2,3),FALSE)*(1+_emr2)+_rpm2)/IF(Model_Type="LA_PQIS",1000/0.0833,(12*1000))))*Flag_Mort_Rider_Charge*(T133&gt;0),0)</f>
        <v>0</v>
      </c>
      <c r="V133" s="34">
        <f>ROUND(MIN(IF(H133&gt;=7,Charges!$C$12*(1+Charges!$C$14)^((H133-7+1)),VLOOKUP(H133,Charges!$B$7:$C$12,2,0))*pr,Charges!$C$13)*B133,Round)</f>
        <v>500</v>
      </c>
      <c r="W133" s="14">
        <f t="shared" ca="1" si="65"/>
        <v>3267480.3055960489</v>
      </c>
      <c r="X133" s="14">
        <f t="shared" ca="1" si="66"/>
        <v>3278177.1858600304</v>
      </c>
      <c r="Y133" s="213">
        <f t="shared" ca="1" si="88"/>
        <v>3689.9563535869329</v>
      </c>
      <c r="Z133" s="14">
        <f t="shared" ca="1" si="67"/>
        <v>3273823.0373627977</v>
      </c>
      <c r="AA133" s="14">
        <f>IF(AND($H133=pt,$F133=11),SUM($K$7:K133)*VLOOKUP(pt,ROC,2,FALSE),0)</f>
        <v>0</v>
      </c>
      <c r="AB133" s="14">
        <f>IF(AND($H133=pt,$F133=11),SUM($V$7:V133)*VLOOKUP(pt,ROC,2,FALSE),0)</f>
        <v>0</v>
      </c>
      <c r="AC133" s="14">
        <f>IF(AND($H133=pt,$F133=11),SUM($Q$7:Q133)*VLOOKUP(pt,ROC,2,FALSE),0)</f>
        <v>0</v>
      </c>
      <c r="AD133" s="14">
        <f t="shared" ca="1" si="89"/>
        <v>3273823.0373627977</v>
      </c>
      <c r="AE133" s="14">
        <f ca="1">(MAX(sa-CF132*Flag_UL_Type,105%*SUM($I$7:I133),Z133)+AU133)*B133</f>
        <v>3465000</v>
      </c>
      <c r="AF133" s="136"/>
      <c r="AG133" s="18">
        <v>127</v>
      </c>
      <c r="AH133" s="30">
        <f t="shared" ca="1" si="68"/>
        <v>0</v>
      </c>
      <c r="AI133" s="58"/>
      <c r="AJ133" s="50">
        <f>IF(AND(Option_Sys_TopUp&gt;="Y",H133&gt;=sytp,H133&lt;=(dtp+sytp-1),F133=0,H133&lt;=ppt+1),atp,0)+IFERROR(VLOOKUP(H133,Input!$B$55:$C$61,2,0),0)*(F133=0)*(Option_TopUP="Y")*(Option_Sys_TopUp="N")*B133*(pt&gt;=H133+5)</f>
        <v>0</v>
      </c>
      <c r="AK133" s="50">
        <f t="shared" si="69"/>
        <v>0</v>
      </c>
      <c r="AL133" s="50">
        <f t="shared" si="90"/>
        <v>0</v>
      </c>
      <c r="AM133" s="50">
        <f t="shared" ca="1" si="70"/>
        <v>0</v>
      </c>
      <c r="AN133" s="50">
        <f ca="1">IF(B133=0,0,AT133*(_rpm1+(1+_emr1)*VLOOKUP(E133,Tab_Mort_Charge,IF(Input!$C$12="M",2,3),0))*(0.001*0.0833)*Flag_Mort_Rider_Charge*(AT133&gt;0))</f>
        <v>0</v>
      </c>
      <c r="AO133" s="50">
        <f t="shared" ca="1" si="91"/>
        <v>0</v>
      </c>
      <c r="AP133" s="50">
        <f t="shared" ca="1" si="99"/>
        <v>0</v>
      </c>
      <c r="AQ133" s="50">
        <f t="shared" ca="1" si="71"/>
        <v>0</v>
      </c>
      <c r="AR133" s="50">
        <f t="shared" ca="1" si="72"/>
        <v>0</v>
      </c>
      <c r="AS133" s="50">
        <f t="shared" si="73"/>
        <v>0</v>
      </c>
      <c r="AT133" s="50">
        <f ca="1">(MAX((MAX(AS133,105%*SUM($AJ$7:AJ133))-AM133*Flag_UL_Type),0)*B133)</f>
        <v>0</v>
      </c>
      <c r="AU133" s="50">
        <f ca="1">(MAX(AS133,AR133,105%*SUM($AJ$7:AJ133))*B133)</f>
        <v>0</v>
      </c>
      <c r="AV133" s="125"/>
      <c r="AW133" s="13"/>
      <c r="AX133" s="13"/>
      <c r="AY133" s="13"/>
      <c r="AZ133" s="13"/>
      <c r="BA133" s="13"/>
      <c r="BG133" s="51">
        <f t="shared" si="74"/>
        <v>0</v>
      </c>
      <c r="BH133" s="51">
        <f t="shared" ca="1" si="75"/>
        <v>69.130063016447494</v>
      </c>
      <c r="BI133" s="51">
        <f t="shared" ca="1" si="76"/>
        <v>0</v>
      </c>
      <c r="BJ133" s="51">
        <f t="shared" ca="1" si="77"/>
        <v>0</v>
      </c>
      <c r="BK133" s="51">
        <f t="shared" si="78"/>
        <v>90</v>
      </c>
      <c r="BL133" s="51">
        <f t="shared" ca="1" si="79"/>
        <v>664.19214364564789</v>
      </c>
      <c r="BM133" s="51">
        <f t="shared" si="80"/>
        <v>0</v>
      </c>
      <c r="BN133" s="51">
        <f t="shared" ca="1" si="81"/>
        <v>0</v>
      </c>
      <c r="BO133" s="51">
        <f t="shared" ca="1" si="82"/>
        <v>0</v>
      </c>
      <c r="BP133" s="51">
        <f t="shared" ca="1" si="83"/>
        <v>823.32220666209537</v>
      </c>
      <c r="BQ133" s="120"/>
      <c r="BR133" s="32"/>
      <c r="BS133" s="126"/>
      <c r="BT133" s="16"/>
      <c r="BU133" s="58"/>
      <c r="BW133" s="51">
        <f>VLOOKUP(H133,Charges!$AT$4:$AU$33,2,FALSE)*I133</f>
        <v>0</v>
      </c>
      <c r="BX133" s="51">
        <f t="shared" si="84"/>
        <v>0</v>
      </c>
      <c r="BY133" s="51">
        <f t="shared" si="93"/>
        <v>0</v>
      </c>
      <c r="BZ133" s="151"/>
      <c r="CA133" s="151"/>
      <c r="CB133" s="32"/>
      <c r="CC133" s="16">
        <f ca="1">SUM($N$7:$N133)</f>
        <v>0</v>
      </c>
      <c r="CD133" s="16">
        <f t="shared" ca="1" si="85"/>
        <v>0</v>
      </c>
      <c r="CE133" s="16">
        <f t="shared" ca="1" si="86"/>
        <v>0</v>
      </c>
      <c r="CF133" s="7">
        <f t="shared" ca="1" si="94"/>
        <v>0</v>
      </c>
    </row>
    <row r="134" spans="1:84" s="7" customFormat="1" x14ac:dyDescent="0.2">
      <c r="A134" s="149"/>
      <c r="B134" s="14">
        <f t="shared" si="55"/>
        <v>1</v>
      </c>
      <c r="C134" s="12">
        <f t="shared" si="56"/>
        <v>1</v>
      </c>
      <c r="D134" s="17">
        <f t="shared" si="95"/>
        <v>128</v>
      </c>
      <c r="E134" s="17">
        <f t="shared" ca="1" si="57"/>
        <v>70</v>
      </c>
      <c r="F134" s="12">
        <f t="shared" si="97"/>
        <v>7</v>
      </c>
      <c r="G134" s="12">
        <f t="shared" si="96"/>
        <v>22</v>
      </c>
      <c r="H134" s="17">
        <f t="shared" si="98"/>
        <v>11</v>
      </c>
      <c r="I134" s="29">
        <f t="shared" si="58"/>
        <v>0</v>
      </c>
      <c r="J134" s="211">
        <f>IFERROR(VLOOKUP(H134,Charges!$T$6:$U$35,2,0)*C134,0)</f>
        <v>1</v>
      </c>
      <c r="K134" s="29">
        <f t="shared" si="59"/>
        <v>0</v>
      </c>
      <c r="L134" s="29">
        <f t="shared" si="60"/>
        <v>0</v>
      </c>
      <c r="M134" s="147">
        <f t="shared" ca="1" si="61"/>
        <v>0</v>
      </c>
      <c r="N134" s="148">
        <f ca="1">IF(AND(Option_SPW="Y",H134&gt;=Lock_In_Period,Z133&gt;SPW_Amount_pa+IF(option="Single",1/5*pr,2*pr),H134&gt;=SPW_Start_Year,H134&lt;=SPW_Start_Year+SPW_Duration-1,age+H134&gt;=Legal_Age),IF(AND(F134=0,SPW_Payout_Freq=1),SPW_Amount_pa,IF(AND(SPW_Payout_Freq=2,MOD(F134,6)=0),SPW_Amount_pa/SPW_Payout_Freq,IF(AND(SPW_Payout_Freq=4,MOD(F134,3)=0),SPW_Amount_pa/SPW_Payout_Freq,IF(SPW_Payout_Freq=12,SPW_Amount_pa/SPW_Payout_Freq,0)))),0)+IFERROR(VLOOKUP(H134,Input!$B$68:$C$74,2,0),0)*(F134=0)*(Option_PW="Y")*(Option_SPW="N")*(age+H134&gt;=Legal_Age)</f>
        <v>0</v>
      </c>
      <c r="O134" s="148">
        <f t="shared" ca="1" si="87"/>
        <v>0</v>
      </c>
      <c r="P134" s="14">
        <f ca="1">(MAX(MAX(sa-CF133*Flag_UL_Type,105%*SUM($I$7:I134))-(AD133+L134-N134)*Flag_UL_Type,0)*B134)</f>
        <v>191176.96263720235</v>
      </c>
      <c r="Q134" s="213">
        <f t="shared" ca="1" si="62"/>
        <v>373.69679514965003</v>
      </c>
      <c r="R134" s="14">
        <f t="shared" ca="1" si="63"/>
        <v>0</v>
      </c>
      <c r="S134" s="14">
        <f t="shared" ca="1" si="64"/>
        <v>0</v>
      </c>
      <c r="T134" s="14">
        <f>IFERROR(IF(WoP_Flag="Y",IF(fq=1,VLOOKUP(ppt*fq-H134,Charges!$AN$41:$AO$59,2,FALSE),IF(fq=2,VLOOKUP(ppt*fq-G134,Charges!$AP$41:$AQ$79,2,FALSE),VLOOKUP(ppt*fq-D134,Charges!$AR$41:$AS$279,2,FALSE)))*pr/fq,0),0)</f>
        <v>0</v>
      </c>
      <c r="U134" s="14">
        <f ca="1">IFERROR(((T134*(VLOOKUP(Input!$D$18+H134-1,Tab_Mort_Charge,IF(Gender_2="M",2,3),FALSE)*(1+_emr2)+_rpm2)/IF(Model_Type="LA_PQIS",1000/0.0833,(12*1000))))*Flag_Mort_Rider_Charge*(T134&gt;0),0)</f>
        <v>0</v>
      </c>
      <c r="V134" s="34">
        <f>ROUND(MIN(IF(H134&gt;=7,Charges!$C$12*(1+Charges!$C$14)^((H134-7+1)),VLOOKUP(H134,Charges!$B$7:$C$12,2,0))*pr,Charges!$C$13)*B134,Round)</f>
        <v>500</v>
      </c>
      <c r="W134" s="14">
        <f t="shared" ca="1" si="65"/>
        <v>3272792.075144521</v>
      </c>
      <c r="X134" s="14">
        <f t="shared" ca="1" si="66"/>
        <v>3283506.344759787</v>
      </c>
      <c r="Y134" s="213">
        <f t="shared" ca="1" si="88"/>
        <v>3695.9549200543743</v>
      </c>
      <c r="Z134" s="14">
        <f t="shared" ca="1" si="67"/>
        <v>3279145.1179541228</v>
      </c>
      <c r="AA134" s="14">
        <f>IF(AND($H134=pt,$F134=11),SUM($K$7:K134)*VLOOKUP(pt,ROC,2,FALSE),0)</f>
        <v>0</v>
      </c>
      <c r="AB134" s="14">
        <f>IF(AND($H134=pt,$F134=11),SUM($V$7:V134)*VLOOKUP(pt,ROC,2,FALSE),0)</f>
        <v>0</v>
      </c>
      <c r="AC134" s="14">
        <f>IF(AND($H134=pt,$F134=11),SUM($Q$7:Q134)*VLOOKUP(pt,ROC,2,FALSE),0)</f>
        <v>0</v>
      </c>
      <c r="AD134" s="14">
        <f t="shared" ca="1" si="89"/>
        <v>3279145.1179541228</v>
      </c>
      <c r="AE134" s="14">
        <f ca="1">(MAX(sa-CF133*Flag_UL_Type,105%*SUM($I$7:I134),Z134)+AU134)*B134</f>
        <v>3465000</v>
      </c>
      <c r="AF134" s="136"/>
      <c r="AG134" s="18">
        <v>128</v>
      </c>
      <c r="AH134" s="30">
        <f t="shared" ca="1" si="68"/>
        <v>0</v>
      </c>
      <c r="AI134" s="58"/>
      <c r="AJ134" s="50">
        <f>IF(AND(Option_Sys_TopUp&gt;="Y",H134&gt;=sytp,H134&lt;=(dtp+sytp-1),F134=0,H134&lt;=ppt+1),atp,0)+IFERROR(VLOOKUP(H134,Input!$B$55:$C$61,2,0),0)*(F134=0)*(Option_TopUP="Y")*(Option_Sys_TopUp="N")*B134*(pt&gt;=H134+5)</f>
        <v>0</v>
      </c>
      <c r="AK134" s="50">
        <f t="shared" si="69"/>
        <v>0</v>
      </c>
      <c r="AL134" s="50">
        <f t="shared" si="90"/>
        <v>0</v>
      </c>
      <c r="AM134" s="50">
        <f t="shared" ca="1" si="70"/>
        <v>0</v>
      </c>
      <c r="AN134" s="50">
        <f ca="1">IF(B134=0,0,AT134*(_rpm1+(1+_emr1)*VLOOKUP(E134,Tab_Mort_Charge,IF(Input!$C$12="M",2,3),0))*(0.001*0.0833)*Flag_Mort_Rider_Charge*(AT134&gt;0))</f>
        <v>0</v>
      </c>
      <c r="AO134" s="50">
        <f t="shared" ca="1" si="91"/>
        <v>0</v>
      </c>
      <c r="AP134" s="50">
        <f t="shared" ca="1" si="99"/>
        <v>0</v>
      </c>
      <c r="AQ134" s="50">
        <f t="shared" ca="1" si="71"/>
        <v>0</v>
      </c>
      <c r="AR134" s="50">
        <f t="shared" ca="1" si="72"/>
        <v>0</v>
      </c>
      <c r="AS134" s="50">
        <f t="shared" si="73"/>
        <v>0</v>
      </c>
      <c r="AT134" s="50">
        <f ca="1">(MAX((MAX(AS134,105%*SUM($AJ$7:AJ134))-AM134*Flag_UL_Type),0)*B134)</f>
        <v>0</v>
      </c>
      <c r="AU134" s="50">
        <f ca="1">(MAX(AS134,AR134,105%*SUM($AJ$7:AJ134))*B134)</f>
        <v>0</v>
      </c>
      <c r="AV134" s="125"/>
      <c r="AW134" s="13"/>
      <c r="AX134" s="13"/>
      <c r="AY134" s="13"/>
      <c r="AZ134" s="13"/>
      <c r="BA134" s="13"/>
      <c r="BG134" s="51">
        <f t="shared" si="74"/>
        <v>0</v>
      </c>
      <c r="BH134" s="51">
        <f t="shared" ca="1" si="75"/>
        <v>67.265423126936994</v>
      </c>
      <c r="BI134" s="51">
        <f t="shared" ca="1" si="76"/>
        <v>0</v>
      </c>
      <c r="BJ134" s="51">
        <f t="shared" ca="1" si="77"/>
        <v>0</v>
      </c>
      <c r="BK134" s="51">
        <f t="shared" si="78"/>
        <v>90</v>
      </c>
      <c r="BL134" s="51">
        <f t="shared" ca="1" si="79"/>
        <v>665.27188560978732</v>
      </c>
      <c r="BM134" s="51">
        <f t="shared" si="80"/>
        <v>0</v>
      </c>
      <c r="BN134" s="51">
        <f t="shared" ca="1" si="81"/>
        <v>0</v>
      </c>
      <c r="BO134" s="51">
        <f t="shared" ca="1" si="82"/>
        <v>0</v>
      </c>
      <c r="BP134" s="51">
        <f t="shared" ca="1" si="83"/>
        <v>822.5373087367243</v>
      </c>
      <c r="BQ134" s="120"/>
      <c r="BR134" s="32"/>
      <c r="BS134" s="126"/>
      <c r="BT134" s="16"/>
      <c r="BU134" s="58"/>
      <c r="BW134" s="51">
        <f>VLOOKUP(H134,Charges!$AT$4:$AU$33,2,FALSE)*I134</f>
        <v>0</v>
      </c>
      <c r="BX134" s="51">
        <f t="shared" si="84"/>
        <v>0</v>
      </c>
      <c r="BY134" s="51">
        <f t="shared" si="93"/>
        <v>0</v>
      </c>
      <c r="BZ134" s="151"/>
      <c r="CA134" s="151"/>
      <c r="CB134" s="32"/>
      <c r="CC134" s="16">
        <f ca="1">SUM($N$7:$N134)</f>
        <v>0</v>
      </c>
      <c r="CD134" s="16">
        <f t="shared" ca="1" si="85"/>
        <v>0</v>
      </c>
      <c r="CE134" s="16">
        <f t="shared" ca="1" si="86"/>
        <v>0</v>
      </c>
      <c r="CF134" s="7">
        <f t="shared" ca="1" si="94"/>
        <v>0</v>
      </c>
    </row>
    <row r="135" spans="1:84" s="7" customFormat="1" x14ac:dyDescent="0.2">
      <c r="A135" s="149"/>
      <c r="B135" s="14">
        <f t="shared" ref="B135:B198" si="100">IF(H135&lt;=pt,1,0)</f>
        <v>1</v>
      </c>
      <c r="C135" s="12">
        <f t="shared" ref="C135:C198" si="101">IF(H135&lt;=ppt,1,0)</f>
        <v>1</v>
      </c>
      <c r="D135" s="17">
        <f t="shared" si="95"/>
        <v>129</v>
      </c>
      <c r="E135" s="17">
        <f t="shared" ref="E135:E198" ca="1" si="102">(age+(H135-1))</f>
        <v>70</v>
      </c>
      <c r="F135" s="12">
        <f t="shared" si="97"/>
        <v>8</v>
      </c>
      <c r="G135" s="12">
        <f t="shared" si="96"/>
        <v>22</v>
      </c>
      <c r="H135" s="17">
        <f t="shared" si="98"/>
        <v>11</v>
      </c>
      <c r="I135" s="29">
        <f t="shared" ref="I135:I198" si="103">IF(AND(H135&lt;=pt,H135&lt;=ppt,F135=0,fq=1),pr,IF(AND(H135&lt;=pt,H135&lt;=ppt,fq=2,MOD(F135,6)=0),pr/fq,IF(AND(H135&lt;=pt,H135&lt;=ppt,fq=12),pr/fq,0)))</f>
        <v>0</v>
      </c>
      <c r="J135" s="211">
        <f>IFERROR(VLOOKUP(H135,Charges!$T$6:$U$35,2,0)*C135,0)</f>
        <v>1</v>
      </c>
      <c r="K135" s="29">
        <f t="shared" ref="K135:K198" si="104">ROUND((100%-J135)*I135,Round)</f>
        <v>0</v>
      </c>
      <c r="L135" s="29">
        <f t="shared" ref="L135:L198" si="105">(I135-(K135+BG135*IF(Model_Type="Pricing_Unit",1,0)))*C135</f>
        <v>0</v>
      </c>
      <c r="M135" s="147">
        <f t="shared" ref="M135:M198" ca="1" si="106">IF(AND(OR(Option_PW="Y",Option_SPW="Y"),H135&gt;Lock_In_Period,H135&lt;=pt,(W135-IF(option="Single",1/5*pr,2*pr))&gt;0,(age+H135)&gt;=Legal_Age),(W134+L135-IF(option="Single",1/5*pr,2*pr)),0)</f>
        <v>0</v>
      </c>
      <c r="N135" s="148">
        <f ca="1">IF(AND(Option_SPW="Y",H135&gt;=Lock_In_Period,Z134&gt;SPW_Amount_pa+IF(option="Single",1/5*pr,2*pr),H135&gt;=SPW_Start_Year,H135&lt;=SPW_Start_Year+SPW_Duration-1,age+H135&gt;=Legal_Age),IF(AND(F135=0,SPW_Payout_Freq=1),SPW_Amount_pa,IF(AND(SPW_Payout_Freq=2,MOD(F135,6)=0),SPW_Amount_pa/SPW_Payout_Freq,IF(AND(SPW_Payout_Freq=4,MOD(F135,3)=0),SPW_Amount_pa/SPW_Payout_Freq,IF(SPW_Payout_Freq=12,SPW_Amount_pa/SPW_Payout_Freq,0)))),0)+IFERROR(VLOOKUP(H135,Input!$B$68:$C$74,2,0),0)*(F135=0)*(Option_PW="Y")*(Option_SPW="N")*(age+H135&gt;=Legal_Age)</f>
        <v>0</v>
      </c>
      <c r="O135" s="148">
        <f t="shared" ca="1" si="87"/>
        <v>0</v>
      </c>
      <c r="P135" s="14">
        <f ca="1">(MAX(MAX(sa-CF134*Flag_UL_Type,105%*SUM($I$7:I135))-(AD134+L135-N135)*Flag_UL_Type,0)*B135)</f>
        <v>185854.88204587717</v>
      </c>
      <c r="Q135" s="213">
        <f t="shared" ref="Q135:Q198" ca="1" si="107">IF(B135=0,0,ROUND(P135*(_rpm1+(1+_emr1)*VLOOKUP(E135,Tab_Mort_Charge,IF(Gender="M",2,3),0))*Flag_Mort_Rider_Charge*(P135&gt;0),Round))*(0.001*IF(Model_Type="LA_PQIS",0.0833,(1/12)))</f>
        <v>363.29363551644337</v>
      </c>
      <c r="R135" s="14">
        <f t="shared" ref="R135:R198" ca="1" si="108">IF(AND(B135,ADB_Flag="Y",age&lt;=ADB_MAX_AGE,age&gt;=ADB_MIN_AGE,E135&lt;=age+pt),sa_adb,0)</f>
        <v>0</v>
      </c>
      <c r="S135" s="14">
        <f t="shared" ref="S135:S198" ca="1" si="109">ROUND((adb_rate*(1+adb_emr)+adb_rpm)*R135*(0.001*IF(Model_Type="LA_PQIS",0.0833,(1/12)))*Flag_Mort_Rider_Charge*IF(age+H135-1&lt;Max_Maturity_Age,1,0),Round)</f>
        <v>0</v>
      </c>
      <c r="T135" s="14">
        <f>IFERROR(IF(WoP_Flag="Y",IF(fq=1,VLOOKUP(ppt*fq-H135,Charges!$AN$41:$AO$59,2,FALSE),IF(fq=2,VLOOKUP(ppt*fq-G135,Charges!$AP$41:$AQ$79,2,FALSE),VLOOKUP(ppt*fq-D135,Charges!$AR$41:$AS$279,2,FALSE)))*pr/fq,0),0)</f>
        <v>0</v>
      </c>
      <c r="U135" s="14">
        <f ca="1">IFERROR(((T135*(VLOOKUP(Input!$D$18+H135-1,Tab_Mort_Charge,IF(Gender_2="M",2,3),FALSE)*(1+_emr2)+_rpm2)/IF(Model_Type="LA_PQIS",1000/0.0833,(12*1000))))*Flag_Mort_Rider_Charge*(T135&gt;0),0)</f>
        <v>0</v>
      </c>
      <c r="V135" s="34">
        <f>ROUND(MIN(IF(H135&gt;=7,Charges!$C$12*(1+Charges!$C$14)^((H135-7+1)),VLOOKUP(H135,Charges!$B$7:$C$12,2,0))*pr,Charges!$C$13)*B135,Round)</f>
        <v>500</v>
      </c>
      <c r="W135" s="14">
        <f t="shared" ref="W135:W198" ca="1" si="110">+(AD134+L135-(N135+Q135+S135+U135+V135+BG135*IF(Model_Type="La_PQIS",1,0)+BH135+BK135+BI135+BJ135+BM135*IF(Model_Type="La_PQIS",1,0)))*B135</f>
        <v>3278126.4314642134</v>
      </c>
      <c r="X135" s="14">
        <f t="shared" ref="X135:X198" ca="1" si="111">W135*(1+$F$3)</f>
        <v>3288858.1643739757</v>
      </c>
      <c r="Y135" s="213">
        <f t="shared" ca="1" si="88"/>
        <v>3701.9789936992665</v>
      </c>
      <c r="Z135" s="14">
        <f t="shared" ref="Z135:Z198" ca="1" si="112">X135-(Y135+BL135)</f>
        <v>3284489.8291614107</v>
      </c>
      <c r="AA135" s="14">
        <f>IF(AND($H135=pt,$F135=11),SUM($K$7:K135)*VLOOKUP(pt,ROC,2,FALSE),0)</f>
        <v>0</v>
      </c>
      <c r="AB135" s="14">
        <f>IF(AND($H135=pt,$F135=11),SUM($V$7:V135)*VLOOKUP(pt,ROC,2,FALSE),0)</f>
        <v>0</v>
      </c>
      <c r="AC135" s="14">
        <f>IF(AND($H135=pt,$F135=11),SUM($Q$7:Q135)*VLOOKUP(pt,ROC,2,FALSE),0)</f>
        <v>0</v>
      </c>
      <c r="AD135" s="14">
        <f t="shared" ca="1" si="89"/>
        <v>3284489.8291614107</v>
      </c>
      <c r="AE135" s="14">
        <f ca="1">(MAX(sa-CF134*Flag_UL_Type,105%*SUM($I$7:I135),Z135)+AU135)*B135</f>
        <v>3465000</v>
      </c>
      <c r="AF135" s="136"/>
      <c r="AG135" s="18">
        <v>129</v>
      </c>
      <c r="AH135" s="30">
        <f t="shared" ref="AH135:AH198" ca="1" si="113">(I135+AJ135)-IF(AG135=pt*12+1,AD134,0)-IF(AG135=pt*12+1,AR134,0)-N135</f>
        <v>0</v>
      </c>
      <c r="AI135" s="58"/>
      <c r="AJ135" s="50">
        <f>IF(AND(Option_Sys_TopUp&gt;="Y",H135&gt;=sytp,H135&lt;=(dtp+sytp-1),F135=0,H135&lt;=ppt+1),atp,0)+IFERROR(VLOOKUP(H135,Input!$B$55:$C$61,2,0),0)*(F135=0)*(Option_TopUP="Y")*(Option_Sys_TopUp="N")*B135*(pt&gt;=H135+5)</f>
        <v>0</v>
      </c>
      <c r="AK135" s="50">
        <f t="shared" ref="AK135:AK198" si="114">ROUND(allctp*AJ135,0)</f>
        <v>0</v>
      </c>
      <c r="AL135" s="50">
        <f t="shared" si="90"/>
        <v>0</v>
      </c>
      <c r="AM135" s="50">
        <f t="shared" ref="AM135:AM198" ca="1" si="115">AR134+AL135</f>
        <v>0</v>
      </c>
      <c r="AN135" s="50">
        <f ca="1">IF(B135=0,0,AT135*(_rpm1+(1+_emr1)*VLOOKUP(E135,Tab_Mort_Charge,IF(Input!$C$12="M",2,3),0))*(0.001*0.0833)*Flag_Mort_Rider_Charge*(AT135&gt;0))</f>
        <v>0</v>
      </c>
      <c r="AO135" s="50">
        <f t="shared" ca="1" si="91"/>
        <v>0</v>
      </c>
      <c r="AP135" s="50">
        <f t="shared" ca="1" si="99"/>
        <v>0</v>
      </c>
      <c r="AQ135" s="50">
        <f t="shared" ref="AQ135:AQ198" ca="1" si="116">AP135*$Y$2</f>
        <v>0</v>
      </c>
      <c r="AR135" s="50">
        <f t="shared" ref="AR135:AR198" ca="1" si="117">AP135-(AQ135+BO135)</f>
        <v>0</v>
      </c>
      <c r="AS135" s="50">
        <f t="shared" ref="AS135:AS198" si="118">(AJ135*TOPUP_Cover_Level+AS134)*B135</f>
        <v>0</v>
      </c>
      <c r="AT135" s="50">
        <f ca="1">(MAX((MAX(AS135,105%*SUM($AJ$7:AJ135))-AM135*Flag_UL_Type),0)*B135)</f>
        <v>0</v>
      </c>
      <c r="AU135" s="50">
        <f ca="1">(MAX(AS135,AR135,105%*SUM($AJ$7:AJ135))*B135)</f>
        <v>0</v>
      </c>
      <c r="AV135" s="125"/>
      <c r="AW135" s="13"/>
      <c r="AX135" s="13"/>
      <c r="AY135" s="13"/>
      <c r="AZ135" s="13"/>
      <c r="BA135" s="13"/>
      <c r="BG135" s="51">
        <f t="shared" ref="BG135:BG198" si="119">ROUND(K135*Service_Tax_Rate*Flag_Service_Tax,Round)+ROUND(K135*Cess1_Rate*Flag_Service_Tax,Round)+ROUND(K135*Cess2_Rate*Flag_Service_Tax,Round)</f>
        <v>0</v>
      </c>
      <c r="BH135" s="51">
        <f t="shared" ref="BH135:BH198" ca="1" si="120">ROUND(Q135*Service_Tax_Rate*Flag_Service_Tax,Round)+ROUND(Q135*Cess1_Rate*Flag_Service_Tax,Round)+ROUND(Q135*Cess2_Rate*Flag_Service_Tax,Round)</f>
        <v>65.392854392959805</v>
      </c>
      <c r="BI135" s="51">
        <f t="shared" ref="BI135:BI198" ca="1" si="121">ROUND(S135*Service_Tax_Rate*Flag_Service_Tax,Round)+ROUND(S135*Cess1_Rate*Flag_Service_Tax,Round)+ROUND(S135*Cess2_Rate*Flag_Service_Tax,Round)</f>
        <v>0</v>
      </c>
      <c r="BJ135" s="51">
        <f t="shared" ref="BJ135:BJ198" ca="1" si="122">ROUND(U135*Service_Tax_Rate*Flag_Service_Tax,Round)+ROUND(U135*Cess1_Rate*Flag_Service_Tax,Round)+ROUND(U135*Cess2_Rate*Flag_Service_Tax,Round)</f>
        <v>0</v>
      </c>
      <c r="BK135" s="51">
        <f t="shared" ref="BK135:BK198" si="123">ROUND(V135*Service_Tax_Rate*Flag_Service_Tax,Round)+ROUND(V135*Cess1_Rate*Flag_Service_Tax,Round)+ROUND(V135*Cess2_Rate*Flag_Service_Tax,Round)</f>
        <v>90</v>
      </c>
      <c r="BL135" s="51">
        <f t="shared" ref="BL135:BL198" ca="1" si="124">Y135*Service_Tax_Rate*Flag_Service_Tax+Y135*Cess1_Rate*Flag_Service_Tax+Y135*Cess2_Rate*Flag_Service_Tax</f>
        <v>666.35621886586796</v>
      </c>
      <c r="BM135" s="51">
        <f t="shared" ref="BM135:BM198" si="125">ROUND(AK135*Service_Tax_Rate*Flag_Service_Tax,Round)+ROUND(AK135*Cess1_Rate*Flag_Service_Tax,Round)+ROUND(AK135*Cess2_Rate*Flag_Service_Tax,Round)</f>
        <v>0</v>
      </c>
      <c r="BN135" s="51">
        <f t="shared" ref="BN135:BN198" ca="1" si="126">ROUND(AN135*Service_Tax_Rate*Flag_Service_Tax,Round)+ROUND(AN135*Cess1_Rate*Flag_Service_Tax,Round)+ROUND(AN135*Cess2_Rate*Flag_Service_Tax,Round)</f>
        <v>0</v>
      </c>
      <c r="BO135" s="51">
        <f t="shared" ref="BO135:BO198" ca="1" si="127">AQ135*Service_Tax_Rate*Flag_Service_Tax+AQ135*Cess1_Rate*Flag_Service_Tax+AQ135*Cess2_Rate*Flag_Service_Tax</f>
        <v>0</v>
      </c>
      <c r="BP135" s="51">
        <f t="shared" ref="BP135:BP198" ca="1" si="128">SUM(BG135:BO135)</f>
        <v>821.74907325882782</v>
      </c>
      <c r="BQ135" s="120"/>
      <c r="BR135" s="32"/>
      <c r="BS135" s="126"/>
      <c r="BT135" s="16"/>
      <c r="BU135" s="58"/>
      <c r="BW135" s="51">
        <f>VLOOKUP(H135,Charges!$AT$4:$AU$33,2,FALSE)*I135</f>
        <v>0</v>
      </c>
      <c r="BX135" s="51">
        <f t="shared" ref="BX135:BX198" si="129">AJ135*Commission_TOPUP</f>
        <v>0</v>
      </c>
      <c r="BY135" s="51">
        <f t="shared" si="93"/>
        <v>0</v>
      </c>
      <c r="BZ135" s="151"/>
      <c r="CA135" s="151"/>
      <c r="CB135" s="32"/>
      <c r="CC135" s="16">
        <f ca="1">SUM($N$7:$N135)</f>
        <v>0</v>
      </c>
      <c r="CD135" s="16">
        <f t="shared" ref="CD135:CD198" ca="1" si="130">IF(AND((B135=1)*(H135&gt;Lock_In_Period)),CC135-INDEX($CC$7:$CC$367,D135-24,1),0)*(E135&lt;60)</f>
        <v>0</v>
      </c>
      <c r="CE135" s="16">
        <f t="shared" ref="CE135:CE198" ca="1" si="131">(B135=1)*(H135&gt;Lock_In_Period)*(E135&gt;=60)*IFERROR((CC135-INDEX($CC$7:$CC$367,D135-24,1)),0)</f>
        <v>0</v>
      </c>
      <c r="CF135" s="7">
        <f t="shared" ca="1" si="94"/>
        <v>0</v>
      </c>
    </row>
    <row r="136" spans="1:84" s="7" customFormat="1" x14ac:dyDescent="0.2">
      <c r="A136" s="149"/>
      <c r="B136" s="14">
        <f t="shared" si="100"/>
        <v>1</v>
      </c>
      <c r="C136" s="12">
        <f t="shared" si="101"/>
        <v>1</v>
      </c>
      <c r="D136" s="17">
        <f t="shared" si="95"/>
        <v>130</v>
      </c>
      <c r="E136" s="17">
        <f t="shared" ca="1" si="102"/>
        <v>70</v>
      </c>
      <c r="F136" s="12">
        <f t="shared" si="97"/>
        <v>9</v>
      </c>
      <c r="G136" s="12">
        <f t="shared" si="96"/>
        <v>22</v>
      </c>
      <c r="H136" s="17">
        <f t="shared" si="98"/>
        <v>11</v>
      </c>
      <c r="I136" s="29">
        <f t="shared" si="103"/>
        <v>0</v>
      </c>
      <c r="J136" s="211">
        <f>IFERROR(VLOOKUP(H136,Charges!$T$6:$U$35,2,0)*C136,0)</f>
        <v>1</v>
      </c>
      <c r="K136" s="29">
        <f t="shared" si="104"/>
        <v>0</v>
      </c>
      <c r="L136" s="29">
        <f t="shared" si="105"/>
        <v>0</v>
      </c>
      <c r="M136" s="147">
        <f t="shared" ca="1" si="106"/>
        <v>0</v>
      </c>
      <c r="N136" s="148">
        <f ca="1">IF(AND(Option_SPW="Y",H136&gt;=Lock_In_Period,Z135&gt;SPW_Amount_pa+IF(option="Single",1/5*pr,2*pr),H136&gt;=SPW_Start_Year,H136&lt;=SPW_Start_Year+SPW_Duration-1,age+H136&gt;=Legal_Age),IF(AND(F136=0,SPW_Payout_Freq=1),SPW_Amount_pa,IF(AND(SPW_Payout_Freq=2,MOD(F136,6)=0),SPW_Amount_pa/SPW_Payout_Freq,IF(AND(SPW_Payout_Freq=4,MOD(F136,3)=0),SPW_Amount_pa/SPW_Payout_Freq,IF(SPW_Payout_Freq=12,SPW_Amount_pa/SPW_Payout_Freq,0)))),0)+IFERROR(VLOOKUP(H136,Input!$B$68:$C$74,2,0),0)*(F136=0)*(Option_PW="Y")*(Option_SPW="N")*(age+H136&gt;=Legal_Age)</f>
        <v>0</v>
      </c>
      <c r="O136" s="148">
        <f t="shared" ref="O136:O199" ca="1" si="132">IF(N136&lt;=M136,0,1)</f>
        <v>0</v>
      </c>
      <c r="P136" s="14">
        <f ca="1">(MAX(MAX(sa-CF135*Flag_UL_Type,105%*SUM($I$7:I136))-(AD135+L136-N136)*Flag_UL_Type,0)*B136)</f>
        <v>180510.17083858931</v>
      </c>
      <c r="Q136" s="213">
        <f t="shared" ca="1" si="107"/>
        <v>352.84623944103748</v>
      </c>
      <c r="R136" s="14">
        <f t="shared" ca="1" si="108"/>
        <v>0</v>
      </c>
      <c r="S136" s="14">
        <f t="shared" ca="1" si="109"/>
        <v>0</v>
      </c>
      <c r="T136" s="14">
        <f>IFERROR(IF(WoP_Flag="Y",IF(fq=1,VLOOKUP(ppt*fq-H136,Charges!$AN$41:$AO$59,2,FALSE),IF(fq=2,VLOOKUP(ppt*fq-G136,Charges!$AP$41:$AQ$79,2,FALSE),VLOOKUP(ppt*fq-D136,Charges!$AR$41:$AS$279,2,FALSE)))*pr/fq,0),0)</f>
        <v>0</v>
      </c>
      <c r="U136" s="14">
        <f ca="1">IFERROR(((T136*(VLOOKUP(Input!$D$18+H136-1,Tab_Mort_Charge,IF(Gender_2="M",2,3),FALSE)*(1+_emr2)+_rpm2)/IF(Model_Type="LA_PQIS",1000/0.0833,(12*1000))))*Flag_Mort_Rider_Charge*(T136&gt;0),0)</f>
        <v>0</v>
      </c>
      <c r="V136" s="34">
        <f>ROUND(MIN(IF(H136&gt;=7,Charges!$C$12*(1+Charges!$C$14)^((H136-7+1)),VLOOKUP(H136,Charges!$B$7:$C$12,2,0))*pr,Charges!$C$13)*B136,Round)</f>
        <v>500</v>
      </c>
      <c r="W136" s="14">
        <f t="shared" ca="1" si="110"/>
        <v>3283483.4705988704</v>
      </c>
      <c r="X136" s="14">
        <f t="shared" ca="1" si="111"/>
        <v>3294232.7410607627</v>
      </c>
      <c r="Y136" s="213">
        <f t="shared" ref="Y136:Y199" ca="1" si="133">X136*$Y$2</f>
        <v>3708.0286829835409</v>
      </c>
      <c r="Z136" s="14">
        <f t="shared" ca="1" si="112"/>
        <v>3289857.2672148421</v>
      </c>
      <c r="AA136" s="14">
        <f>IF(AND($H136=pt,$F136=11),SUM($K$7:K136)*VLOOKUP(pt,ROC,2,FALSE),0)</f>
        <v>0</v>
      </c>
      <c r="AB136" s="14">
        <f>IF(AND($H136=pt,$F136=11),SUM($V$7:V136)*VLOOKUP(pt,ROC,2,FALSE),0)</f>
        <v>0</v>
      </c>
      <c r="AC136" s="14">
        <f>IF(AND($H136=pt,$F136=11),SUM($Q$7:Q136)*VLOOKUP(pt,ROC,2,FALSE),0)</f>
        <v>0</v>
      </c>
      <c r="AD136" s="14">
        <f t="shared" ref="AD136:AD199" ca="1" si="134">Z136+AA136+AB136+AC136</f>
        <v>3289857.2672148421</v>
      </c>
      <c r="AE136" s="14">
        <f ca="1">(MAX(sa-CF135*Flag_UL_Type,105%*SUM($I$7:I136),Z136)+AU136)*B136</f>
        <v>3465000</v>
      </c>
      <c r="AF136" s="136"/>
      <c r="AG136" s="18">
        <v>130</v>
      </c>
      <c r="AH136" s="30">
        <f t="shared" ca="1" si="113"/>
        <v>0</v>
      </c>
      <c r="AI136" s="58"/>
      <c r="AJ136" s="50">
        <f>IF(AND(Option_Sys_TopUp&gt;="Y",H136&gt;=sytp,H136&lt;=(dtp+sytp-1),F136=0,H136&lt;=ppt+1),atp,0)+IFERROR(VLOOKUP(H136,Input!$B$55:$C$61,2,0),0)*(F136=0)*(Option_TopUP="Y")*(Option_Sys_TopUp="N")*B136*(pt&gt;=H136+5)</f>
        <v>0</v>
      </c>
      <c r="AK136" s="50">
        <f t="shared" si="114"/>
        <v>0</v>
      </c>
      <c r="AL136" s="50">
        <f t="shared" ref="AL136:AL199" si="135">AJ136-(AK136+BM136*0)</f>
        <v>0</v>
      </c>
      <c r="AM136" s="50">
        <f t="shared" ca="1" si="115"/>
        <v>0</v>
      </c>
      <c r="AN136" s="50">
        <f ca="1">IF(B136=0,0,AT136*(_rpm1+(1+_emr1)*VLOOKUP(E136,Tab_Mort_Charge,IF(Input!$C$12="M",2,3),0))*(0.001*0.0833)*Flag_Mort_Rider_Charge*(AT136&gt;0))</f>
        <v>0</v>
      </c>
      <c r="AO136" s="50">
        <f t="shared" ref="AO136:AO199" ca="1" si="136">AM136-AN136-BM136*1-BN136*1</f>
        <v>0</v>
      </c>
      <c r="AP136" s="50">
        <f t="shared" ca="1" si="99"/>
        <v>0</v>
      </c>
      <c r="AQ136" s="50">
        <f t="shared" ca="1" si="116"/>
        <v>0</v>
      </c>
      <c r="AR136" s="50">
        <f t="shared" ca="1" si="117"/>
        <v>0</v>
      </c>
      <c r="AS136" s="50">
        <f t="shared" si="118"/>
        <v>0</v>
      </c>
      <c r="AT136" s="50">
        <f ca="1">(MAX((MAX(AS136,105%*SUM($AJ$7:AJ136))-AM136*Flag_UL_Type),0)*B136)</f>
        <v>0</v>
      </c>
      <c r="AU136" s="50">
        <f ca="1">(MAX(AS136,AR136,105%*SUM($AJ$7:AJ136))*B136)</f>
        <v>0</v>
      </c>
      <c r="AV136" s="125"/>
      <c r="AW136" s="13"/>
      <c r="AX136" s="13"/>
      <c r="AY136" s="13"/>
      <c r="AZ136" s="13"/>
      <c r="BA136" s="13"/>
      <c r="BG136" s="51">
        <f t="shared" si="119"/>
        <v>0</v>
      </c>
      <c r="BH136" s="51">
        <f t="shared" ca="1" si="120"/>
        <v>63.512323099386698</v>
      </c>
      <c r="BI136" s="51">
        <f t="shared" ca="1" si="121"/>
        <v>0</v>
      </c>
      <c r="BJ136" s="51">
        <f t="shared" ca="1" si="122"/>
        <v>0</v>
      </c>
      <c r="BK136" s="51">
        <f t="shared" si="123"/>
        <v>90</v>
      </c>
      <c r="BL136" s="51">
        <f t="shared" ca="1" si="124"/>
        <v>667.44516293703737</v>
      </c>
      <c r="BM136" s="51">
        <f t="shared" si="125"/>
        <v>0</v>
      </c>
      <c r="BN136" s="51">
        <f t="shared" ca="1" si="126"/>
        <v>0</v>
      </c>
      <c r="BO136" s="51">
        <f t="shared" ca="1" si="127"/>
        <v>0</v>
      </c>
      <c r="BP136" s="51">
        <f t="shared" ca="1" si="128"/>
        <v>820.95748603642403</v>
      </c>
      <c r="BQ136" s="120"/>
      <c r="BR136" s="32"/>
      <c r="BS136" s="126"/>
      <c r="BT136" s="16"/>
      <c r="BU136" s="58"/>
      <c r="BW136" s="51">
        <f>VLOOKUP(H136,Charges!$AT$4:$AU$33,2,FALSE)*I136</f>
        <v>0</v>
      </c>
      <c r="BX136" s="51">
        <f t="shared" si="129"/>
        <v>0</v>
      </c>
      <c r="BY136" s="51">
        <f t="shared" ref="BY136:BY199" si="137">SUM(BW136:BX136)</f>
        <v>0</v>
      </c>
      <c r="BZ136" s="151"/>
      <c r="CA136" s="151"/>
      <c r="CB136" s="32"/>
      <c r="CC136" s="16">
        <f ca="1">SUM($N$7:$N136)</f>
        <v>0</v>
      </c>
      <c r="CD136" s="16">
        <f t="shared" ca="1" si="130"/>
        <v>0</v>
      </c>
      <c r="CE136" s="16">
        <f t="shared" ca="1" si="131"/>
        <v>0</v>
      </c>
      <c r="CF136" s="7">
        <f t="shared" ref="CF136:CF199" ca="1" si="138">IF(E136&lt;60,CD136,CE136)</f>
        <v>0</v>
      </c>
    </row>
    <row r="137" spans="1:84" s="7" customFormat="1" x14ac:dyDescent="0.2">
      <c r="A137" s="149"/>
      <c r="B137" s="14">
        <f t="shared" si="100"/>
        <v>1</v>
      </c>
      <c r="C137" s="12">
        <f t="shared" si="101"/>
        <v>1</v>
      </c>
      <c r="D137" s="17">
        <f t="shared" ref="D137:D200" si="139">D136+1</f>
        <v>131</v>
      </c>
      <c r="E137" s="17">
        <f t="shared" ca="1" si="102"/>
        <v>70</v>
      </c>
      <c r="F137" s="12">
        <f t="shared" si="97"/>
        <v>10</v>
      </c>
      <c r="G137" s="12">
        <f t="shared" si="96"/>
        <v>22</v>
      </c>
      <c r="H137" s="17">
        <f t="shared" si="98"/>
        <v>11</v>
      </c>
      <c r="I137" s="29">
        <f t="shared" si="103"/>
        <v>0</v>
      </c>
      <c r="J137" s="211">
        <f>IFERROR(VLOOKUP(H137,Charges!$T$6:$U$35,2,0)*C137,0)</f>
        <v>1</v>
      </c>
      <c r="K137" s="29">
        <f t="shared" si="104"/>
        <v>0</v>
      </c>
      <c r="L137" s="29">
        <f t="shared" si="105"/>
        <v>0</v>
      </c>
      <c r="M137" s="147">
        <f t="shared" ca="1" si="106"/>
        <v>0</v>
      </c>
      <c r="N137" s="148">
        <f ca="1">IF(AND(Option_SPW="Y",H137&gt;=Lock_In_Period,Z136&gt;SPW_Amount_pa+IF(option="Single",1/5*pr,2*pr),H137&gt;=SPW_Start_Year,H137&lt;=SPW_Start_Year+SPW_Duration-1,age+H137&gt;=Legal_Age),IF(AND(F137=0,SPW_Payout_Freq=1),SPW_Amount_pa,IF(AND(SPW_Payout_Freq=2,MOD(F137,6)=0),SPW_Amount_pa/SPW_Payout_Freq,IF(AND(SPW_Payout_Freq=4,MOD(F137,3)=0),SPW_Amount_pa/SPW_Payout_Freq,IF(SPW_Payout_Freq=12,SPW_Amount_pa/SPW_Payout_Freq,0)))),0)+IFERROR(VLOOKUP(H137,Input!$B$68:$C$74,2,0),0)*(F137=0)*(Option_PW="Y")*(Option_SPW="N")*(age+H137&gt;=Legal_Age)</f>
        <v>0</v>
      </c>
      <c r="O137" s="148">
        <f t="shared" ca="1" si="132"/>
        <v>0</v>
      </c>
      <c r="P137" s="14">
        <f ca="1">(MAX(MAX(sa-CF136*Flag_UL_Type,105%*SUM($I$7:I137))-(AD136+L137-N137)*Flag_UL_Type,0)*B137)</f>
        <v>175142.73278515786</v>
      </c>
      <c r="Q137" s="213">
        <f t="shared" ca="1" si="107"/>
        <v>342.35441882069415</v>
      </c>
      <c r="R137" s="14">
        <f t="shared" ca="1" si="108"/>
        <v>0</v>
      </c>
      <c r="S137" s="14">
        <f t="shared" ca="1" si="109"/>
        <v>0</v>
      </c>
      <c r="T137" s="14">
        <f>IFERROR(IF(WoP_Flag="Y",IF(fq=1,VLOOKUP(ppt*fq-H137,Charges!$AN$41:$AO$59,2,FALSE),IF(fq=2,VLOOKUP(ppt*fq-G137,Charges!$AP$41:$AQ$79,2,FALSE),VLOOKUP(ppt*fq-D137,Charges!$AR$41:$AS$279,2,FALSE)))*pr/fq,0),0)</f>
        <v>0</v>
      </c>
      <c r="U137" s="14">
        <f ca="1">IFERROR(((T137*(VLOOKUP(Input!$D$18+H137-1,Tab_Mort_Charge,IF(Gender_2="M",2,3),FALSE)*(1+_emr2)+_rpm2)/IF(Model_Type="LA_PQIS",1000/0.0833,(12*1000))))*Flag_Mort_Rider_Charge*(T137&gt;0),0)</f>
        <v>0</v>
      </c>
      <c r="V137" s="34">
        <f>ROUND(MIN(IF(H137&gt;=7,Charges!$C$12*(1+Charges!$C$14)^((H137-7+1)),VLOOKUP(H137,Charges!$B$7:$C$12,2,0))*pr,Charges!$C$13)*B137,Round)</f>
        <v>500</v>
      </c>
      <c r="W137" s="14">
        <f t="shared" ca="1" si="110"/>
        <v>3288863.2890006336</v>
      </c>
      <c r="X137" s="14">
        <f t="shared" ca="1" si="111"/>
        <v>3299630.1715880488</v>
      </c>
      <c r="Y137" s="213">
        <f t="shared" ca="1" si="133"/>
        <v>3714.1040968303305</v>
      </c>
      <c r="Z137" s="14">
        <f t="shared" ca="1" si="112"/>
        <v>3295247.5287537891</v>
      </c>
      <c r="AA137" s="14">
        <f>IF(AND($H137=pt,$F137=11),SUM($K$7:K137)*VLOOKUP(pt,ROC,2,FALSE),0)</f>
        <v>0</v>
      </c>
      <c r="AB137" s="14">
        <f>IF(AND($H137=pt,$F137=11),SUM($V$7:V137)*VLOOKUP(pt,ROC,2,FALSE),0)</f>
        <v>0</v>
      </c>
      <c r="AC137" s="14">
        <f>IF(AND($H137=pt,$F137=11),SUM($Q$7:Q137)*VLOOKUP(pt,ROC,2,FALSE),0)</f>
        <v>0</v>
      </c>
      <c r="AD137" s="14">
        <f t="shared" ca="1" si="134"/>
        <v>3295247.5287537891</v>
      </c>
      <c r="AE137" s="14">
        <f ca="1">(MAX(sa-CF136*Flag_UL_Type,105%*SUM($I$7:I137),Z137)+AU137)*B137</f>
        <v>3465000</v>
      </c>
      <c r="AF137" s="136"/>
      <c r="AG137" s="18">
        <v>131</v>
      </c>
      <c r="AH137" s="30">
        <f t="shared" ca="1" si="113"/>
        <v>0</v>
      </c>
      <c r="AI137" s="58"/>
      <c r="AJ137" s="50">
        <f>IF(AND(Option_Sys_TopUp&gt;="Y",H137&gt;=sytp,H137&lt;=(dtp+sytp-1),F137=0,H137&lt;=ppt+1),atp,0)+IFERROR(VLOOKUP(H137,Input!$B$55:$C$61,2,0),0)*(F137=0)*(Option_TopUP="Y")*(Option_Sys_TopUp="N")*B137*(pt&gt;=H137+5)</f>
        <v>0</v>
      </c>
      <c r="AK137" s="50">
        <f t="shared" si="114"/>
        <v>0</v>
      </c>
      <c r="AL137" s="50">
        <f t="shared" si="135"/>
        <v>0</v>
      </c>
      <c r="AM137" s="50">
        <f t="shared" ca="1" si="115"/>
        <v>0</v>
      </c>
      <c r="AN137" s="50">
        <f ca="1">IF(B137=0,0,AT137*(_rpm1+(1+_emr1)*VLOOKUP(E137,Tab_Mort_Charge,IF(Input!$C$12="M",2,3),0))*(0.001*0.0833)*Flag_Mort_Rider_Charge*(AT137&gt;0))</f>
        <v>0</v>
      </c>
      <c r="AO137" s="50">
        <f t="shared" ca="1" si="136"/>
        <v>0</v>
      </c>
      <c r="AP137" s="50">
        <f t="shared" ca="1" si="99"/>
        <v>0</v>
      </c>
      <c r="AQ137" s="50">
        <f t="shared" ca="1" si="116"/>
        <v>0</v>
      </c>
      <c r="AR137" s="50">
        <f t="shared" ca="1" si="117"/>
        <v>0</v>
      </c>
      <c r="AS137" s="50">
        <f t="shared" si="118"/>
        <v>0</v>
      </c>
      <c r="AT137" s="50">
        <f ca="1">(MAX((MAX(AS137,105%*SUM($AJ$7:AJ137))-AM137*Flag_UL_Type),0)*B137)</f>
        <v>0</v>
      </c>
      <c r="AU137" s="50">
        <f ca="1">(MAX(AS137,AR137,105%*SUM($AJ$7:AJ137))*B137)</f>
        <v>0</v>
      </c>
      <c r="AV137" s="125"/>
      <c r="AW137" s="13"/>
      <c r="AX137" s="13"/>
      <c r="AY137" s="13"/>
      <c r="AZ137" s="13"/>
      <c r="BA137" s="13"/>
      <c r="BG137" s="51">
        <f t="shared" si="119"/>
        <v>0</v>
      </c>
      <c r="BH137" s="51">
        <f t="shared" ca="1" si="120"/>
        <v>61.623795387724897</v>
      </c>
      <c r="BI137" s="51">
        <f t="shared" ca="1" si="121"/>
        <v>0</v>
      </c>
      <c r="BJ137" s="51">
        <f t="shared" ca="1" si="122"/>
        <v>0</v>
      </c>
      <c r="BK137" s="51">
        <f t="shared" si="123"/>
        <v>90</v>
      </c>
      <c r="BL137" s="51">
        <f t="shared" ca="1" si="124"/>
        <v>668.5387374294595</v>
      </c>
      <c r="BM137" s="51">
        <f t="shared" si="125"/>
        <v>0</v>
      </c>
      <c r="BN137" s="51">
        <f t="shared" ca="1" si="126"/>
        <v>0</v>
      </c>
      <c r="BO137" s="51">
        <f t="shared" ca="1" si="127"/>
        <v>0</v>
      </c>
      <c r="BP137" s="51">
        <f t="shared" ca="1" si="128"/>
        <v>820.16253281718446</v>
      </c>
      <c r="BQ137" s="120"/>
      <c r="BR137" s="32"/>
      <c r="BS137" s="126"/>
      <c r="BT137" s="16"/>
      <c r="BU137" s="58"/>
      <c r="BW137" s="51">
        <f>VLOOKUP(H137,Charges!$AT$4:$AU$33,2,FALSE)*I137</f>
        <v>0</v>
      </c>
      <c r="BX137" s="51">
        <f t="shared" si="129"/>
        <v>0</v>
      </c>
      <c r="BY137" s="51">
        <f t="shared" si="137"/>
        <v>0</v>
      </c>
      <c r="BZ137" s="151"/>
      <c r="CA137" s="151"/>
      <c r="CB137" s="32"/>
      <c r="CC137" s="16">
        <f ca="1">SUM($N$7:$N137)</f>
        <v>0</v>
      </c>
      <c r="CD137" s="16">
        <f t="shared" ca="1" si="130"/>
        <v>0</v>
      </c>
      <c r="CE137" s="16">
        <f t="shared" ca="1" si="131"/>
        <v>0</v>
      </c>
      <c r="CF137" s="7">
        <f t="shared" ca="1" si="138"/>
        <v>0</v>
      </c>
    </row>
    <row r="138" spans="1:84" s="7" customFormat="1" x14ac:dyDescent="0.2">
      <c r="A138" s="149"/>
      <c r="B138" s="14">
        <f t="shared" si="100"/>
        <v>1</v>
      </c>
      <c r="C138" s="12">
        <f t="shared" si="101"/>
        <v>1</v>
      </c>
      <c r="D138" s="17">
        <f t="shared" si="139"/>
        <v>132</v>
      </c>
      <c r="E138" s="17">
        <f t="shared" ca="1" si="102"/>
        <v>70</v>
      </c>
      <c r="F138" s="12">
        <f t="shared" si="97"/>
        <v>11</v>
      </c>
      <c r="G138" s="12">
        <f t="shared" si="96"/>
        <v>22</v>
      </c>
      <c r="H138" s="17">
        <f t="shared" si="98"/>
        <v>11</v>
      </c>
      <c r="I138" s="29">
        <f t="shared" si="103"/>
        <v>0</v>
      </c>
      <c r="J138" s="211">
        <f>IFERROR(VLOOKUP(H138,Charges!$T$6:$U$35,2,0)*C138,0)</f>
        <v>1</v>
      </c>
      <c r="K138" s="29">
        <f t="shared" si="104"/>
        <v>0</v>
      </c>
      <c r="L138" s="29">
        <f t="shared" si="105"/>
        <v>0</v>
      </c>
      <c r="M138" s="147">
        <f t="shared" ca="1" si="106"/>
        <v>0</v>
      </c>
      <c r="N138" s="148">
        <f ca="1">IF(AND(Option_SPW="Y",H138&gt;=Lock_In_Period,Z137&gt;SPW_Amount_pa+IF(option="Single",1/5*pr,2*pr),H138&gt;=SPW_Start_Year,H138&lt;=SPW_Start_Year+SPW_Duration-1,age+H138&gt;=Legal_Age),IF(AND(F138=0,SPW_Payout_Freq=1),SPW_Amount_pa,IF(AND(SPW_Payout_Freq=2,MOD(F138,6)=0),SPW_Amount_pa/SPW_Payout_Freq,IF(AND(SPW_Payout_Freq=4,MOD(F138,3)=0),SPW_Amount_pa/SPW_Payout_Freq,IF(SPW_Payout_Freq=12,SPW_Amount_pa/SPW_Payout_Freq,0)))),0)+IFERROR(VLOOKUP(H138,Input!$B$68:$C$74,2,0),0)*(F138=0)*(Option_PW="Y")*(Option_SPW="N")*(age+H138&gt;=Legal_Age)</f>
        <v>0</v>
      </c>
      <c r="O138" s="148">
        <f t="shared" ca="1" si="132"/>
        <v>0</v>
      </c>
      <c r="P138" s="14">
        <f ca="1">(MAX(MAX(sa-CF137*Flag_UL_Type,105%*SUM($I$7:I138))-(AD137+L138-N138)*Flag_UL_Type,0)*B138)</f>
        <v>169752.47124621086</v>
      </c>
      <c r="Q138" s="213">
        <f t="shared" ca="1" si="107"/>
        <v>331.8179847528225</v>
      </c>
      <c r="R138" s="14">
        <f t="shared" ca="1" si="108"/>
        <v>0</v>
      </c>
      <c r="S138" s="14">
        <f t="shared" ca="1" si="109"/>
        <v>0</v>
      </c>
      <c r="T138" s="14">
        <f>IFERROR(IF(WoP_Flag="Y",IF(fq=1,VLOOKUP(ppt*fq-H138,Charges!$AN$41:$AO$59,2,FALSE),IF(fq=2,VLOOKUP(ppt*fq-G138,Charges!$AP$41:$AQ$79,2,FALSE),VLOOKUP(ppt*fq-D138,Charges!$AR$41:$AS$279,2,FALSE)))*pr/fq,0),0)</f>
        <v>0</v>
      </c>
      <c r="U138" s="14">
        <f ca="1">IFERROR(((T138*(VLOOKUP(Input!$D$18+H138-1,Tab_Mort_Charge,IF(Gender_2="M",2,3),FALSE)*(1+_emr2)+_rpm2)/IF(Model_Type="LA_PQIS",1000/0.0833,(12*1000))))*Flag_Mort_Rider_Charge*(T138&gt;0),0)</f>
        <v>0</v>
      </c>
      <c r="V138" s="34">
        <f>ROUND(MIN(IF(H138&gt;=7,Charges!$C$12*(1+Charges!$C$14)^((H138-7+1)),VLOOKUP(H138,Charges!$B$7:$C$12,2,0))*pr,Charges!$C$13)*B138,Round)</f>
        <v>500</v>
      </c>
      <c r="W138" s="14">
        <f t="shared" ca="1" si="110"/>
        <v>3294265.983531781</v>
      </c>
      <c r="X138" s="14">
        <f t="shared" ca="1" si="111"/>
        <v>3305050.5531352134</v>
      </c>
      <c r="Y138" s="213">
        <f t="shared" ca="1" si="133"/>
        <v>3720.2053446259338</v>
      </c>
      <c r="Z138" s="14">
        <f t="shared" ca="1" si="112"/>
        <v>3300660.7108285548</v>
      </c>
      <c r="AA138" s="14">
        <f>IF(AND($H138=pt,$F138=11),SUM($K$7:K138)*VLOOKUP(pt,ROC,2,FALSE),0)</f>
        <v>0</v>
      </c>
      <c r="AB138" s="14">
        <f>IF(AND($H138=pt,$F138=11),SUM($V$7:V138)*VLOOKUP(pt,ROC,2,FALSE),0)</f>
        <v>0</v>
      </c>
      <c r="AC138" s="14">
        <f>IF(AND($H138=pt,$F138=11),SUM($Q$7:Q138)*VLOOKUP(pt,ROC,2,FALSE),0)</f>
        <v>0</v>
      </c>
      <c r="AD138" s="14">
        <f ca="1">Z138+AA138+AB138+AC138</f>
        <v>3300660.7108285548</v>
      </c>
      <c r="AE138" s="14">
        <f ca="1">(MAX(sa-CF137*Flag_UL_Type,105%*SUM($I$7:I138),Z138)+AU138)*B138</f>
        <v>3465000</v>
      </c>
      <c r="AF138" s="136"/>
      <c r="AG138" s="18">
        <v>132</v>
      </c>
      <c r="AH138" s="30">
        <f t="shared" ca="1" si="113"/>
        <v>0</v>
      </c>
      <c r="AI138" s="58"/>
      <c r="AJ138" s="50">
        <f>IF(AND(Option_Sys_TopUp&gt;="Y",H138&gt;=sytp,H138&lt;=(dtp+sytp-1),F138=0,H138&lt;=ppt+1),atp,0)+IFERROR(VLOOKUP(H138,Input!$B$55:$C$61,2,0),0)*(F138=0)*(Option_TopUP="Y")*(Option_Sys_TopUp="N")*B138*(pt&gt;=H138+5)</f>
        <v>0</v>
      </c>
      <c r="AK138" s="50">
        <f t="shared" si="114"/>
        <v>0</v>
      </c>
      <c r="AL138" s="50">
        <f t="shared" si="135"/>
        <v>0</v>
      </c>
      <c r="AM138" s="50">
        <f t="shared" ca="1" si="115"/>
        <v>0</v>
      </c>
      <c r="AN138" s="50">
        <f ca="1">IF(B138=0,0,AT138*(_rpm1+(1+_emr1)*VLOOKUP(E138,Tab_Mort_Charge,IF(Input!$C$12="M",2,3),0))*(0.001*0.0833)*Flag_Mort_Rider_Charge*(AT138&gt;0))</f>
        <v>0</v>
      </c>
      <c r="AO138" s="50">
        <f t="shared" ca="1" si="136"/>
        <v>0</v>
      </c>
      <c r="AP138" s="50">
        <f t="shared" ca="1" si="99"/>
        <v>0</v>
      </c>
      <c r="AQ138" s="50">
        <f t="shared" ca="1" si="116"/>
        <v>0</v>
      </c>
      <c r="AR138" s="50">
        <f t="shared" ca="1" si="117"/>
        <v>0</v>
      </c>
      <c r="AS138" s="50">
        <f t="shared" si="118"/>
        <v>0</v>
      </c>
      <c r="AT138" s="50">
        <f ca="1">(MAX((MAX(AS138,105%*SUM($AJ$7:AJ138))-AM138*Flag_UL_Type),0)*B138)</f>
        <v>0</v>
      </c>
      <c r="AU138" s="50">
        <f ca="1">(MAX(AS138,AR138,105%*SUM($AJ$7:AJ138))*B138)</f>
        <v>0</v>
      </c>
      <c r="AV138" s="125"/>
      <c r="AW138" s="13"/>
      <c r="AX138" s="13"/>
      <c r="AY138" s="13"/>
      <c r="AZ138" s="13"/>
      <c r="BA138" s="13"/>
      <c r="BG138" s="51">
        <f t="shared" si="119"/>
        <v>0</v>
      </c>
      <c r="BH138" s="51">
        <f t="shared" ca="1" si="120"/>
        <v>59.727237255508001</v>
      </c>
      <c r="BI138" s="51">
        <f t="shared" ca="1" si="121"/>
        <v>0</v>
      </c>
      <c r="BJ138" s="51">
        <f t="shared" ca="1" si="122"/>
        <v>0</v>
      </c>
      <c r="BK138" s="51">
        <f t="shared" si="123"/>
        <v>90</v>
      </c>
      <c r="BL138" s="51">
        <f t="shared" ca="1" si="124"/>
        <v>669.63696203266807</v>
      </c>
      <c r="BM138" s="51">
        <f t="shared" si="125"/>
        <v>0</v>
      </c>
      <c r="BN138" s="51">
        <f t="shared" ca="1" si="126"/>
        <v>0</v>
      </c>
      <c r="BO138" s="51">
        <f t="shared" ca="1" si="127"/>
        <v>0</v>
      </c>
      <c r="BP138" s="51">
        <f t="shared" ca="1" si="128"/>
        <v>819.364199288176</v>
      </c>
      <c r="BQ138" s="120"/>
      <c r="BR138" s="32"/>
      <c r="BS138" s="126"/>
      <c r="BT138" s="16"/>
      <c r="BU138" s="58"/>
      <c r="BW138" s="51">
        <f>VLOOKUP(H138,Charges!$AT$4:$AU$33,2,FALSE)*I138</f>
        <v>0</v>
      </c>
      <c r="BX138" s="51">
        <f t="shared" si="129"/>
        <v>0</v>
      </c>
      <c r="BY138" s="51">
        <f t="shared" si="137"/>
        <v>0</v>
      </c>
      <c r="BZ138" s="151"/>
      <c r="CA138" s="151"/>
      <c r="CB138" s="32"/>
      <c r="CC138" s="16">
        <f ca="1">SUM($N$7:$N138)</f>
        <v>0</v>
      </c>
      <c r="CD138" s="16">
        <f t="shared" ca="1" si="130"/>
        <v>0</v>
      </c>
      <c r="CE138" s="16">
        <f t="shared" ca="1" si="131"/>
        <v>0</v>
      </c>
      <c r="CF138" s="7">
        <f t="shared" ca="1" si="138"/>
        <v>0</v>
      </c>
    </row>
    <row r="139" spans="1:84" s="7" customFormat="1" x14ac:dyDescent="0.2">
      <c r="A139" s="149"/>
      <c r="B139" s="14">
        <f t="shared" si="100"/>
        <v>1</v>
      </c>
      <c r="C139" s="12">
        <f t="shared" si="101"/>
        <v>1</v>
      </c>
      <c r="D139" s="17">
        <f t="shared" si="139"/>
        <v>133</v>
      </c>
      <c r="E139" s="17">
        <f t="shared" ca="1" si="102"/>
        <v>71</v>
      </c>
      <c r="F139" s="12">
        <f t="shared" si="97"/>
        <v>0</v>
      </c>
      <c r="G139" s="12">
        <f t="shared" si="96"/>
        <v>23</v>
      </c>
      <c r="H139" s="17">
        <f t="shared" si="98"/>
        <v>12</v>
      </c>
      <c r="I139" s="29">
        <f t="shared" si="103"/>
        <v>300000</v>
      </c>
      <c r="J139" s="211">
        <f>IFERROR(VLOOKUP(H139,Charges!$T$6:$U$35,2,0)*C139,0)</f>
        <v>1</v>
      </c>
      <c r="K139" s="29">
        <f t="shared" si="104"/>
        <v>0</v>
      </c>
      <c r="L139" s="29">
        <f t="shared" si="105"/>
        <v>300000</v>
      </c>
      <c r="M139" s="147">
        <f t="shared" ca="1" si="106"/>
        <v>0</v>
      </c>
      <c r="N139" s="148">
        <f ca="1">IF(AND(Option_SPW="Y",H139&gt;=Lock_In_Period,Z138&gt;SPW_Amount_pa+IF(option="Single",1/5*pr,2*pr),H139&gt;=SPW_Start_Year,H139&lt;=SPW_Start_Year+SPW_Duration-1,age+H139&gt;=Legal_Age),IF(AND(F139=0,SPW_Payout_Freq=1),SPW_Amount_pa,IF(AND(SPW_Payout_Freq=2,MOD(F139,6)=0),SPW_Amount_pa/SPW_Payout_Freq,IF(AND(SPW_Payout_Freq=4,MOD(F139,3)=0),SPW_Amount_pa/SPW_Payout_Freq,IF(SPW_Payout_Freq=12,SPW_Amount_pa/SPW_Payout_Freq,0)))),0)+IFERROR(VLOOKUP(H139,Input!$B$68:$C$74,2,0),0)*(F139=0)*(Option_PW="Y")*(Option_SPW="N")*(age+H139&gt;=Legal_Age)</f>
        <v>0</v>
      </c>
      <c r="O139" s="148">
        <f t="shared" ca="1" si="132"/>
        <v>0</v>
      </c>
      <c r="P139" s="14">
        <f ca="1">(MAX(MAX(sa-CF138*Flag_UL_Type,105%*SUM($I$7:I139))-(AD138+L139-N139)*Flag_UL_Type,0)*B139)</f>
        <v>179339.28917144518</v>
      </c>
      <c r="Q139" s="213">
        <f t="shared" ca="1" si="107"/>
        <v>383.43038923670247</v>
      </c>
      <c r="R139" s="14">
        <f t="shared" ca="1" si="108"/>
        <v>0</v>
      </c>
      <c r="S139" s="14">
        <f t="shared" ca="1" si="109"/>
        <v>0</v>
      </c>
      <c r="T139" s="14">
        <f>IFERROR(IF(WoP_Flag="Y",IF(fq=1,VLOOKUP(ppt*fq-H139,Charges!$AN$41:$AO$59,2,FALSE),IF(fq=2,VLOOKUP(ppt*fq-G139,Charges!$AP$41:$AQ$79,2,FALSE),VLOOKUP(ppt*fq-D139,Charges!$AR$41:$AS$279,2,FALSE)))*pr/fq,0),0)</f>
        <v>0</v>
      </c>
      <c r="U139" s="14">
        <f ca="1">IFERROR(((T139*(VLOOKUP(Input!$D$18+H139-1,Tab_Mort_Charge,IF(Gender_2="M",2,3),FALSE)*(1+_emr2)+_rpm2)/IF(Model_Type="LA_PQIS",1000/0.0833,(12*1000))))*Flag_Mort_Rider_Charge*(T139&gt;0),0)</f>
        <v>0</v>
      </c>
      <c r="V139" s="34">
        <f>ROUND(MIN(IF(H139&gt;=7,Charges!$C$12*(1+Charges!$C$14)^((H139-7+1)),VLOOKUP(H139,Charges!$B$7:$C$12,2,0))*pr,Charges!$C$13)*B139,Round)</f>
        <v>500</v>
      </c>
      <c r="W139" s="14">
        <f t="shared" ca="1" si="110"/>
        <v>3599618.2629692554</v>
      </c>
      <c r="X139" s="14">
        <f t="shared" ca="1" si="111"/>
        <v>3611402.4764774675</v>
      </c>
      <c r="Y139" s="213">
        <f t="shared" ca="1" si="133"/>
        <v>4065.0388181935805</v>
      </c>
      <c r="Z139" s="14">
        <f t="shared" ca="1" si="112"/>
        <v>3606605.730671999</v>
      </c>
      <c r="AA139" s="14">
        <f>IF(AND($H139=pt,$F139=11),SUM($K$7:K139)*VLOOKUP(pt,ROC,2,FALSE),0)</f>
        <v>0</v>
      </c>
      <c r="AB139" s="14">
        <f>IF(AND($H139=pt,$F139=11),SUM($V$7:V139)*VLOOKUP(pt,ROC,2,FALSE),0)</f>
        <v>0</v>
      </c>
      <c r="AC139" s="14">
        <f>IF(AND($H139=pt,$F139=11),SUM($Q$7:Q139)*VLOOKUP(pt,ROC,2,FALSE),0)</f>
        <v>0</v>
      </c>
      <c r="AD139" s="14">
        <f t="shared" ca="1" si="134"/>
        <v>3606605.730671999</v>
      </c>
      <c r="AE139" s="14">
        <f ca="1">(MAX(sa-CF138*Flag_UL_Type,105%*SUM($I$7:I139),Z139)+AU139)*B139</f>
        <v>3780000</v>
      </c>
      <c r="AF139" s="136"/>
      <c r="AG139" s="18">
        <v>133</v>
      </c>
      <c r="AH139" s="30">
        <f t="shared" ca="1" si="113"/>
        <v>300000</v>
      </c>
      <c r="AI139" s="58"/>
      <c r="AJ139" s="50">
        <f>IF(AND(Option_Sys_TopUp&gt;="Y",H139&gt;=sytp,H139&lt;=(dtp+sytp-1),F139=0,H139&lt;=ppt+1),atp,0)+IFERROR(VLOOKUP(H139,Input!$B$55:$C$61,2,0),0)*(F139=0)*(Option_TopUP="Y")*(Option_Sys_TopUp="N")*B139*(pt&gt;=H139+5)</f>
        <v>0</v>
      </c>
      <c r="AK139" s="50">
        <f t="shared" si="114"/>
        <v>0</v>
      </c>
      <c r="AL139" s="50">
        <f t="shared" si="135"/>
        <v>0</v>
      </c>
      <c r="AM139" s="50">
        <f t="shared" ca="1" si="115"/>
        <v>0</v>
      </c>
      <c r="AN139" s="50">
        <f ca="1">IF(B139=0,0,AT139*(_rpm1+(1+_emr1)*VLOOKUP(E139,Tab_Mort_Charge,IF(Input!$C$12="M",2,3),0))*(0.001*0.0833)*Flag_Mort_Rider_Charge*(AT139&gt;0))</f>
        <v>0</v>
      </c>
      <c r="AO139" s="50">
        <f t="shared" ca="1" si="136"/>
        <v>0</v>
      </c>
      <c r="AP139" s="50">
        <f t="shared" ca="1" si="99"/>
        <v>0</v>
      </c>
      <c r="AQ139" s="50">
        <f t="shared" ca="1" si="116"/>
        <v>0</v>
      </c>
      <c r="AR139" s="50">
        <f t="shared" ca="1" si="117"/>
        <v>0</v>
      </c>
      <c r="AS139" s="50">
        <f t="shared" si="118"/>
        <v>0</v>
      </c>
      <c r="AT139" s="50">
        <f ca="1">(MAX((MAX(AS139,105%*SUM($AJ$7:AJ139))-AM139*Flag_UL_Type),0)*B139)</f>
        <v>0</v>
      </c>
      <c r="AU139" s="50">
        <f ca="1">(MAX(AS139,AR139,105%*SUM($AJ$7:AJ139))*B139)</f>
        <v>0</v>
      </c>
      <c r="AV139" s="125"/>
      <c r="AW139" s="13"/>
      <c r="AX139" s="13"/>
      <c r="AY139" s="13"/>
      <c r="AZ139" s="13"/>
      <c r="BA139" s="13"/>
      <c r="BG139" s="51">
        <f t="shared" si="119"/>
        <v>0</v>
      </c>
      <c r="BH139" s="51">
        <f t="shared" ca="1" si="120"/>
        <v>69.017470062606407</v>
      </c>
      <c r="BI139" s="51">
        <f t="shared" ca="1" si="121"/>
        <v>0</v>
      </c>
      <c r="BJ139" s="51">
        <f t="shared" ca="1" si="122"/>
        <v>0</v>
      </c>
      <c r="BK139" s="51">
        <f t="shared" si="123"/>
        <v>90</v>
      </c>
      <c r="BL139" s="51">
        <f t="shared" ca="1" si="124"/>
        <v>731.70698727484444</v>
      </c>
      <c r="BM139" s="51">
        <f t="shared" si="125"/>
        <v>0</v>
      </c>
      <c r="BN139" s="51">
        <f t="shared" ca="1" si="126"/>
        <v>0</v>
      </c>
      <c r="BO139" s="51">
        <f t="shared" ca="1" si="127"/>
        <v>0</v>
      </c>
      <c r="BP139" s="51">
        <f t="shared" ca="1" si="128"/>
        <v>890.72445733745087</v>
      </c>
      <c r="BQ139" s="120"/>
      <c r="BR139" s="32"/>
      <c r="BS139" s="126"/>
      <c r="BT139" s="16"/>
      <c r="BU139" s="58"/>
      <c r="BW139" s="51">
        <f>VLOOKUP(H139,Charges!$AT$4:$AU$33,2,FALSE)*I139</f>
        <v>0</v>
      </c>
      <c r="BX139" s="51">
        <f t="shared" si="129"/>
        <v>0</v>
      </c>
      <c r="BY139" s="51">
        <f t="shared" si="137"/>
        <v>0</v>
      </c>
      <c r="BZ139" s="151"/>
      <c r="CA139" s="151"/>
      <c r="CB139" s="32"/>
      <c r="CC139" s="16">
        <f ca="1">SUM($N$7:$N139)</f>
        <v>0</v>
      </c>
      <c r="CD139" s="16">
        <f t="shared" ca="1" si="130"/>
        <v>0</v>
      </c>
      <c r="CE139" s="16">
        <f t="shared" ca="1" si="131"/>
        <v>0</v>
      </c>
      <c r="CF139" s="7">
        <f t="shared" ca="1" si="138"/>
        <v>0</v>
      </c>
    </row>
    <row r="140" spans="1:84" s="7" customFormat="1" x14ac:dyDescent="0.2">
      <c r="A140" s="149"/>
      <c r="B140" s="14">
        <f t="shared" si="100"/>
        <v>1</v>
      </c>
      <c r="C140" s="12">
        <f t="shared" si="101"/>
        <v>1</v>
      </c>
      <c r="D140" s="17">
        <f t="shared" si="139"/>
        <v>134</v>
      </c>
      <c r="E140" s="17">
        <f t="shared" ca="1" si="102"/>
        <v>71</v>
      </c>
      <c r="F140" s="12">
        <f t="shared" si="97"/>
        <v>1</v>
      </c>
      <c r="G140" s="12">
        <f t="shared" si="96"/>
        <v>23</v>
      </c>
      <c r="H140" s="17">
        <f t="shared" si="98"/>
        <v>12</v>
      </c>
      <c r="I140" s="29">
        <f t="shared" si="103"/>
        <v>0</v>
      </c>
      <c r="J140" s="211">
        <f>IFERROR(VLOOKUP(H140,Charges!$T$6:$U$35,2,0)*C140,0)</f>
        <v>1</v>
      </c>
      <c r="K140" s="29">
        <f t="shared" si="104"/>
        <v>0</v>
      </c>
      <c r="L140" s="29">
        <f t="shared" si="105"/>
        <v>0</v>
      </c>
      <c r="M140" s="147">
        <f t="shared" ca="1" si="106"/>
        <v>0</v>
      </c>
      <c r="N140" s="148">
        <f ca="1">IF(AND(Option_SPW="Y",H140&gt;=Lock_In_Period,Z139&gt;SPW_Amount_pa+IF(option="Single",1/5*pr,2*pr),H140&gt;=SPW_Start_Year,H140&lt;=SPW_Start_Year+SPW_Duration-1,age+H140&gt;=Legal_Age),IF(AND(F140=0,SPW_Payout_Freq=1),SPW_Amount_pa,IF(AND(SPW_Payout_Freq=2,MOD(F140,6)=0),SPW_Amount_pa/SPW_Payout_Freq,IF(AND(SPW_Payout_Freq=4,MOD(F140,3)=0),SPW_Amount_pa/SPW_Payout_Freq,IF(SPW_Payout_Freq=12,SPW_Amount_pa/SPW_Payout_Freq,0)))),0)+IFERROR(VLOOKUP(H140,Input!$B$68:$C$74,2,0),0)*(F140=0)*(Option_PW="Y")*(Option_SPW="N")*(age+H140&gt;=Legal_Age)</f>
        <v>0</v>
      </c>
      <c r="O140" s="148">
        <f t="shared" ca="1" si="132"/>
        <v>0</v>
      </c>
      <c r="P140" s="14">
        <f ca="1">(MAX(MAX(sa-CF139*Flag_UL_Type,105%*SUM($I$7:I140))-(AD139+L140-N140)*Flag_UL_Type,0)*B140)</f>
        <v>173394.26932800096</v>
      </c>
      <c r="Q140" s="213">
        <f t="shared" ca="1" si="107"/>
        <v>370.71983772775496</v>
      </c>
      <c r="R140" s="14">
        <f t="shared" ca="1" si="108"/>
        <v>0</v>
      </c>
      <c r="S140" s="14">
        <f t="shared" ca="1" si="109"/>
        <v>0</v>
      </c>
      <c r="T140" s="14">
        <f>IFERROR(IF(WoP_Flag="Y",IF(fq=1,VLOOKUP(ppt*fq-H140,Charges!$AN$41:$AO$59,2,FALSE),IF(fq=2,VLOOKUP(ppt*fq-G140,Charges!$AP$41:$AQ$79,2,FALSE),VLOOKUP(ppt*fq-D140,Charges!$AR$41:$AS$279,2,FALSE)))*pr/fq,0),0)</f>
        <v>0</v>
      </c>
      <c r="U140" s="14">
        <f ca="1">IFERROR(((T140*(VLOOKUP(Input!$D$18+H140-1,Tab_Mort_Charge,IF(Gender_2="M",2,3),FALSE)*(1+_emr2)+_rpm2)/IF(Model_Type="LA_PQIS",1000/0.0833,(12*1000))))*Flag_Mort_Rider_Charge*(T140&gt;0),0)</f>
        <v>0</v>
      </c>
      <c r="V140" s="34">
        <f>ROUND(MIN(IF(H140&gt;=7,Charges!$C$12*(1+Charges!$C$14)^((H140-7+1)),VLOOKUP(H140,Charges!$B$7:$C$12,2,0))*pr,Charges!$C$13)*B140,Round)</f>
        <v>500</v>
      </c>
      <c r="W140" s="14">
        <f t="shared" ca="1" si="110"/>
        <v>3605578.2812634804</v>
      </c>
      <c r="X140" s="14">
        <f t="shared" ca="1" si="111"/>
        <v>3617382.0063206851</v>
      </c>
      <c r="Y140" s="213">
        <f t="shared" ca="1" si="133"/>
        <v>4071.7694501531996</v>
      </c>
      <c r="Z140" s="14">
        <f t="shared" ca="1" si="112"/>
        <v>3612577.3183695045</v>
      </c>
      <c r="AA140" s="14">
        <f>IF(AND($H140=pt,$F140=11),SUM($K$7:K140)*VLOOKUP(pt,ROC,2,FALSE),0)</f>
        <v>0</v>
      </c>
      <c r="AB140" s="14">
        <f>IF(AND($H140=pt,$F140=11),SUM($V$7:V140)*VLOOKUP(pt,ROC,2,FALSE),0)</f>
        <v>0</v>
      </c>
      <c r="AC140" s="14">
        <f>IF(AND($H140=pt,$F140=11),SUM($Q$7:Q140)*VLOOKUP(pt,ROC,2,FALSE),0)</f>
        <v>0</v>
      </c>
      <c r="AD140" s="14">
        <f t="shared" ca="1" si="134"/>
        <v>3612577.3183695045</v>
      </c>
      <c r="AE140" s="14">
        <f ca="1">(MAX(sa-CF139*Flag_UL_Type,105%*SUM($I$7:I140),Z140)+AU140)*B140</f>
        <v>3780000</v>
      </c>
      <c r="AF140" s="136"/>
      <c r="AG140" s="18">
        <v>134</v>
      </c>
      <c r="AH140" s="30">
        <f t="shared" ca="1" si="113"/>
        <v>0</v>
      </c>
      <c r="AI140" s="58"/>
      <c r="AJ140" s="50">
        <f>IF(AND(Option_Sys_TopUp&gt;="Y",H140&gt;=sytp,H140&lt;=(dtp+sytp-1),F140=0,H140&lt;=ppt+1),atp,0)+IFERROR(VLOOKUP(H140,Input!$B$55:$C$61,2,0),0)*(F140=0)*(Option_TopUP="Y")*(Option_Sys_TopUp="N")*B140*(pt&gt;=H140+5)</f>
        <v>0</v>
      </c>
      <c r="AK140" s="50">
        <f t="shared" si="114"/>
        <v>0</v>
      </c>
      <c r="AL140" s="50">
        <f t="shared" si="135"/>
        <v>0</v>
      </c>
      <c r="AM140" s="50">
        <f t="shared" ca="1" si="115"/>
        <v>0</v>
      </c>
      <c r="AN140" s="50">
        <f ca="1">IF(B140=0,0,AT140*(_rpm1+(1+_emr1)*VLOOKUP(E140,Tab_Mort_Charge,IF(Input!$C$12="M",2,3),0))*(0.001*0.0833)*Flag_Mort_Rider_Charge*(AT140&gt;0))</f>
        <v>0</v>
      </c>
      <c r="AO140" s="50">
        <f t="shared" ca="1" si="136"/>
        <v>0</v>
      </c>
      <c r="AP140" s="50">
        <f t="shared" ca="1" si="99"/>
        <v>0</v>
      </c>
      <c r="AQ140" s="50">
        <f t="shared" ca="1" si="116"/>
        <v>0</v>
      </c>
      <c r="AR140" s="50">
        <f t="shared" ca="1" si="117"/>
        <v>0</v>
      </c>
      <c r="AS140" s="50">
        <f t="shared" si="118"/>
        <v>0</v>
      </c>
      <c r="AT140" s="50">
        <f ca="1">(MAX((MAX(AS140,105%*SUM($AJ$7:AJ140))-AM140*Flag_UL_Type),0)*B140)</f>
        <v>0</v>
      </c>
      <c r="AU140" s="50">
        <f ca="1">(MAX(AS140,AR140,105%*SUM($AJ$7:AJ140))*B140)</f>
        <v>0</v>
      </c>
      <c r="AV140" s="125"/>
      <c r="AW140" s="13"/>
      <c r="AX140" s="13"/>
      <c r="AY140" s="13"/>
      <c r="AZ140" s="13"/>
      <c r="BA140" s="13"/>
      <c r="BG140" s="51">
        <f t="shared" si="119"/>
        <v>0</v>
      </c>
      <c r="BH140" s="51">
        <f t="shared" ca="1" si="120"/>
        <v>66.729570790995894</v>
      </c>
      <c r="BI140" s="51">
        <f t="shared" ca="1" si="121"/>
        <v>0</v>
      </c>
      <c r="BJ140" s="51">
        <f t="shared" ca="1" si="122"/>
        <v>0</v>
      </c>
      <c r="BK140" s="51">
        <f t="shared" si="123"/>
        <v>90</v>
      </c>
      <c r="BL140" s="51">
        <f t="shared" ca="1" si="124"/>
        <v>732.91850102757587</v>
      </c>
      <c r="BM140" s="51">
        <f t="shared" si="125"/>
        <v>0</v>
      </c>
      <c r="BN140" s="51">
        <f t="shared" ca="1" si="126"/>
        <v>0</v>
      </c>
      <c r="BO140" s="51">
        <f t="shared" ca="1" si="127"/>
        <v>0</v>
      </c>
      <c r="BP140" s="51">
        <f t="shared" ca="1" si="128"/>
        <v>889.64807181857179</v>
      </c>
      <c r="BQ140" s="120"/>
      <c r="BR140" s="32"/>
      <c r="BS140" s="126"/>
      <c r="BT140" s="16"/>
      <c r="BU140" s="58"/>
      <c r="BW140" s="51">
        <f>VLOOKUP(H140,Charges!$AT$4:$AU$33,2,FALSE)*I140</f>
        <v>0</v>
      </c>
      <c r="BX140" s="51">
        <f t="shared" si="129"/>
        <v>0</v>
      </c>
      <c r="BY140" s="51">
        <f t="shared" si="137"/>
        <v>0</v>
      </c>
      <c r="BZ140" s="151"/>
      <c r="CA140" s="151"/>
      <c r="CB140" s="32"/>
      <c r="CC140" s="16">
        <f ca="1">SUM($N$7:$N140)</f>
        <v>0</v>
      </c>
      <c r="CD140" s="16">
        <f t="shared" ca="1" si="130"/>
        <v>0</v>
      </c>
      <c r="CE140" s="16">
        <f t="shared" ca="1" si="131"/>
        <v>0</v>
      </c>
      <c r="CF140" s="7">
        <f t="shared" ca="1" si="138"/>
        <v>0</v>
      </c>
    </row>
    <row r="141" spans="1:84" s="7" customFormat="1" x14ac:dyDescent="0.2">
      <c r="A141" s="149"/>
      <c r="B141" s="14">
        <f t="shared" si="100"/>
        <v>1</v>
      </c>
      <c r="C141" s="12">
        <f t="shared" si="101"/>
        <v>1</v>
      </c>
      <c r="D141" s="17">
        <f t="shared" si="139"/>
        <v>135</v>
      </c>
      <c r="E141" s="17">
        <f t="shared" ca="1" si="102"/>
        <v>71</v>
      </c>
      <c r="F141" s="12">
        <f t="shared" si="97"/>
        <v>2</v>
      </c>
      <c r="G141" s="12">
        <f t="shared" si="96"/>
        <v>23</v>
      </c>
      <c r="H141" s="17">
        <f t="shared" si="98"/>
        <v>12</v>
      </c>
      <c r="I141" s="29">
        <f t="shared" si="103"/>
        <v>0</v>
      </c>
      <c r="J141" s="211">
        <f>IFERROR(VLOOKUP(H141,Charges!$T$6:$U$35,2,0)*C141,0)</f>
        <v>1</v>
      </c>
      <c r="K141" s="29">
        <f t="shared" si="104"/>
        <v>0</v>
      </c>
      <c r="L141" s="29">
        <f t="shared" si="105"/>
        <v>0</v>
      </c>
      <c r="M141" s="147">
        <f t="shared" ca="1" si="106"/>
        <v>0</v>
      </c>
      <c r="N141" s="148">
        <f ca="1">IF(AND(Option_SPW="Y",H141&gt;=Lock_In_Period,Z140&gt;SPW_Amount_pa+IF(option="Single",1/5*pr,2*pr),H141&gt;=SPW_Start_Year,H141&lt;=SPW_Start_Year+SPW_Duration-1,age+H141&gt;=Legal_Age),IF(AND(F141=0,SPW_Payout_Freq=1),SPW_Amount_pa,IF(AND(SPW_Payout_Freq=2,MOD(F141,6)=0),SPW_Amount_pa/SPW_Payout_Freq,IF(AND(SPW_Payout_Freq=4,MOD(F141,3)=0),SPW_Amount_pa/SPW_Payout_Freq,IF(SPW_Payout_Freq=12,SPW_Amount_pa/SPW_Payout_Freq,0)))),0)+IFERROR(VLOOKUP(H141,Input!$B$68:$C$74,2,0),0)*(F141=0)*(Option_PW="Y")*(Option_SPW="N")*(age+H141&gt;=Legal_Age)</f>
        <v>0</v>
      </c>
      <c r="O141" s="148">
        <f t="shared" ca="1" si="132"/>
        <v>0</v>
      </c>
      <c r="P141" s="14">
        <f ca="1">(MAX(MAX(sa-CF140*Flag_UL_Type,105%*SUM($I$7:I141))-(AD140+L141-N141)*Flag_UL_Type,0)*B141)</f>
        <v>167422.68163049547</v>
      </c>
      <c r="Q141" s="213">
        <f t="shared" ca="1" si="107"/>
        <v>357.95248370402663</v>
      </c>
      <c r="R141" s="14">
        <f t="shared" ca="1" si="108"/>
        <v>0</v>
      </c>
      <c r="S141" s="14">
        <f t="shared" ca="1" si="109"/>
        <v>0</v>
      </c>
      <c r="T141" s="14">
        <f>IFERROR(IF(WoP_Flag="Y",IF(fq=1,VLOOKUP(ppt*fq-H141,Charges!$AN$41:$AO$59,2,FALSE),IF(fq=2,VLOOKUP(ppt*fq-G141,Charges!$AP$41:$AQ$79,2,FALSE),VLOOKUP(ppt*fq-D141,Charges!$AR$41:$AS$279,2,FALSE)))*pr/fq,0),0)</f>
        <v>0</v>
      </c>
      <c r="U141" s="14">
        <f ca="1">IFERROR(((T141*(VLOOKUP(Input!$D$18+H141-1,Tab_Mort_Charge,IF(Gender_2="M",2,3),FALSE)*(1+_emr2)+_rpm2)/IF(Model_Type="LA_PQIS",1000/0.0833,(12*1000))))*Flag_Mort_Rider_Charge*(T141&gt;0),0)</f>
        <v>0</v>
      </c>
      <c r="V141" s="34">
        <f>ROUND(MIN(IF(H141&gt;=7,Charges!$C$12*(1+Charges!$C$14)^((H141-7+1)),VLOOKUP(H141,Charges!$B$7:$C$12,2,0))*pr,Charges!$C$13)*B141,Round)</f>
        <v>500</v>
      </c>
      <c r="W141" s="14">
        <f t="shared" ca="1" si="110"/>
        <v>3611564.9344387338</v>
      </c>
      <c r="X141" s="14">
        <f t="shared" ca="1" si="111"/>
        <v>3623388.2582406006</v>
      </c>
      <c r="Y141" s="213">
        <f t="shared" ca="1" si="133"/>
        <v>4078.5301608093323</v>
      </c>
      <c r="Z141" s="14">
        <f t="shared" ca="1" si="112"/>
        <v>3618575.5926508456</v>
      </c>
      <c r="AA141" s="14">
        <f>IF(AND($H141=pt,$F141=11),SUM($K$7:K141)*VLOOKUP(pt,ROC,2,FALSE),0)</f>
        <v>0</v>
      </c>
      <c r="AB141" s="14">
        <f>IF(AND($H141=pt,$F141=11),SUM($V$7:V141)*VLOOKUP(pt,ROC,2,FALSE),0)</f>
        <v>0</v>
      </c>
      <c r="AC141" s="14">
        <f>IF(AND($H141=pt,$F141=11),SUM($Q$7:Q141)*VLOOKUP(pt,ROC,2,FALSE),0)</f>
        <v>0</v>
      </c>
      <c r="AD141" s="14">
        <f t="shared" ca="1" si="134"/>
        <v>3618575.5926508456</v>
      </c>
      <c r="AE141" s="14">
        <f ca="1">(MAX(sa-CF140*Flag_UL_Type,105%*SUM($I$7:I141),Z141)+AU141)*B141</f>
        <v>3780000</v>
      </c>
      <c r="AF141" s="136"/>
      <c r="AG141" s="18">
        <v>135</v>
      </c>
      <c r="AH141" s="30">
        <f t="shared" ca="1" si="113"/>
        <v>0</v>
      </c>
      <c r="AI141" s="58"/>
      <c r="AJ141" s="50">
        <f>IF(AND(Option_Sys_TopUp&gt;="Y",H141&gt;=sytp,H141&lt;=(dtp+sytp-1),F141=0,H141&lt;=ppt+1),atp,0)+IFERROR(VLOOKUP(H141,Input!$B$55:$C$61,2,0),0)*(F141=0)*(Option_TopUP="Y")*(Option_Sys_TopUp="N")*B141*(pt&gt;=H141+5)</f>
        <v>0</v>
      </c>
      <c r="AK141" s="50">
        <f t="shared" si="114"/>
        <v>0</v>
      </c>
      <c r="AL141" s="50">
        <f t="shared" si="135"/>
        <v>0</v>
      </c>
      <c r="AM141" s="50">
        <f t="shared" ca="1" si="115"/>
        <v>0</v>
      </c>
      <c r="AN141" s="50">
        <f ca="1">IF(B141=0,0,AT141*(_rpm1+(1+_emr1)*VLOOKUP(E141,Tab_Mort_Charge,IF(Input!$C$12="M",2,3),0))*(0.001*0.0833)*Flag_Mort_Rider_Charge*(AT141&gt;0))</f>
        <v>0</v>
      </c>
      <c r="AO141" s="50">
        <f t="shared" ca="1" si="136"/>
        <v>0</v>
      </c>
      <c r="AP141" s="50">
        <f t="shared" ca="1" si="99"/>
        <v>0</v>
      </c>
      <c r="AQ141" s="50">
        <f t="shared" ca="1" si="116"/>
        <v>0</v>
      </c>
      <c r="AR141" s="50">
        <f t="shared" ca="1" si="117"/>
        <v>0</v>
      </c>
      <c r="AS141" s="50">
        <f t="shared" si="118"/>
        <v>0</v>
      </c>
      <c r="AT141" s="50">
        <f ca="1">(MAX((MAX(AS141,105%*SUM($AJ$7:AJ141))-AM141*Flag_UL_Type),0)*B141)</f>
        <v>0</v>
      </c>
      <c r="AU141" s="50">
        <f ca="1">(MAX(AS141,AR141,105%*SUM($AJ$7:AJ141))*B141)</f>
        <v>0</v>
      </c>
      <c r="AV141" s="125"/>
      <c r="AW141" s="13"/>
      <c r="AX141" s="13"/>
      <c r="AY141" s="13"/>
      <c r="AZ141" s="13"/>
      <c r="BA141" s="13"/>
      <c r="BG141" s="51">
        <f t="shared" si="119"/>
        <v>0</v>
      </c>
      <c r="BH141" s="51">
        <f t="shared" ca="1" si="120"/>
        <v>64.4314470667248</v>
      </c>
      <c r="BI141" s="51">
        <f t="shared" ca="1" si="121"/>
        <v>0</v>
      </c>
      <c r="BJ141" s="51">
        <f t="shared" ca="1" si="122"/>
        <v>0</v>
      </c>
      <c r="BK141" s="51">
        <f t="shared" si="123"/>
        <v>90</v>
      </c>
      <c r="BL141" s="51">
        <f t="shared" ca="1" si="124"/>
        <v>734.13542894567979</v>
      </c>
      <c r="BM141" s="51">
        <f t="shared" si="125"/>
        <v>0</v>
      </c>
      <c r="BN141" s="51">
        <f t="shared" ca="1" si="126"/>
        <v>0</v>
      </c>
      <c r="BO141" s="51">
        <f t="shared" ca="1" si="127"/>
        <v>0</v>
      </c>
      <c r="BP141" s="51">
        <f t="shared" ca="1" si="128"/>
        <v>888.56687601240458</v>
      </c>
      <c r="BQ141" s="120"/>
      <c r="BR141" s="32"/>
      <c r="BS141" s="126"/>
      <c r="BT141" s="16"/>
      <c r="BU141" s="58"/>
      <c r="BW141" s="51">
        <f>VLOOKUP(H141,Charges!$AT$4:$AU$33,2,FALSE)*I141</f>
        <v>0</v>
      </c>
      <c r="BX141" s="51">
        <f t="shared" si="129"/>
        <v>0</v>
      </c>
      <c r="BY141" s="51">
        <f t="shared" si="137"/>
        <v>0</v>
      </c>
      <c r="BZ141" s="151"/>
      <c r="CA141" s="151"/>
      <c r="CB141" s="32"/>
      <c r="CC141" s="16">
        <f ca="1">SUM($N$7:$N141)</f>
        <v>0</v>
      </c>
      <c r="CD141" s="16">
        <f t="shared" ca="1" si="130"/>
        <v>0</v>
      </c>
      <c r="CE141" s="16">
        <f t="shared" ca="1" si="131"/>
        <v>0</v>
      </c>
      <c r="CF141" s="7">
        <f t="shared" ca="1" si="138"/>
        <v>0</v>
      </c>
    </row>
    <row r="142" spans="1:84" s="7" customFormat="1" x14ac:dyDescent="0.2">
      <c r="A142" s="149"/>
      <c r="B142" s="14">
        <f t="shared" si="100"/>
        <v>1</v>
      </c>
      <c r="C142" s="12">
        <f t="shared" si="101"/>
        <v>1</v>
      </c>
      <c r="D142" s="17">
        <f t="shared" si="139"/>
        <v>136</v>
      </c>
      <c r="E142" s="17">
        <f t="shared" ca="1" si="102"/>
        <v>71</v>
      </c>
      <c r="F142" s="12">
        <f t="shared" si="97"/>
        <v>3</v>
      </c>
      <c r="G142" s="12">
        <f t="shared" ref="G142:G205" si="140">G136+1</f>
        <v>23</v>
      </c>
      <c r="H142" s="17">
        <f t="shared" si="98"/>
        <v>12</v>
      </c>
      <c r="I142" s="29">
        <f t="shared" si="103"/>
        <v>0</v>
      </c>
      <c r="J142" s="211">
        <f>IFERROR(VLOOKUP(H142,Charges!$T$6:$U$35,2,0)*C142,0)</f>
        <v>1</v>
      </c>
      <c r="K142" s="29">
        <f t="shared" si="104"/>
        <v>0</v>
      </c>
      <c r="L142" s="29">
        <f t="shared" si="105"/>
        <v>0</v>
      </c>
      <c r="M142" s="147">
        <f t="shared" ca="1" si="106"/>
        <v>0</v>
      </c>
      <c r="N142" s="148">
        <f ca="1">IF(AND(Option_SPW="Y",H142&gt;=Lock_In_Period,Z141&gt;SPW_Amount_pa+IF(option="Single",1/5*pr,2*pr),H142&gt;=SPW_Start_Year,H142&lt;=SPW_Start_Year+SPW_Duration-1,age+H142&gt;=Legal_Age),IF(AND(F142=0,SPW_Payout_Freq=1),SPW_Amount_pa,IF(AND(SPW_Payout_Freq=2,MOD(F142,6)=0),SPW_Amount_pa/SPW_Payout_Freq,IF(AND(SPW_Payout_Freq=4,MOD(F142,3)=0),SPW_Amount_pa/SPW_Payout_Freq,IF(SPW_Payout_Freq=12,SPW_Amount_pa/SPW_Payout_Freq,0)))),0)+IFERROR(VLOOKUP(H142,Input!$B$68:$C$74,2,0),0)*(F142=0)*(Option_PW="Y")*(Option_SPW="N")*(age+H142&gt;=Legal_Age)</f>
        <v>0</v>
      </c>
      <c r="O142" s="148">
        <f t="shared" ca="1" si="132"/>
        <v>0</v>
      </c>
      <c r="P142" s="14">
        <f ca="1">(MAX(MAX(sa-CF141*Flag_UL_Type,105%*SUM($I$7:I142))-(AD141+L142-N142)*Flag_UL_Type,0)*B142)</f>
        <v>161424.40734915435</v>
      </c>
      <c r="Q142" s="213">
        <f t="shared" ca="1" si="107"/>
        <v>345.12807331928082</v>
      </c>
      <c r="R142" s="14">
        <f t="shared" ca="1" si="108"/>
        <v>0</v>
      </c>
      <c r="S142" s="14">
        <f t="shared" ca="1" si="109"/>
        <v>0</v>
      </c>
      <c r="T142" s="14">
        <f>IFERROR(IF(WoP_Flag="Y",IF(fq=1,VLOOKUP(ppt*fq-H142,Charges!$AN$41:$AO$59,2,FALSE),IF(fq=2,VLOOKUP(ppt*fq-G142,Charges!$AP$41:$AQ$79,2,FALSE),VLOOKUP(ppt*fq-D142,Charges!$AR$41:$AS$279,2,FALSE)))*pr/fq,0),0)</f>
        <v>0</v>
      </c>
      <c r="U142" s="14">
        <f ca="1">IFERROR(((T142*(VLOOKUP(Input!$D$18+H142-1,Tab_Mort_Charge,IF(Gender_2="M",2,3),FALSE)*(1+_emr2)+_rpm2)/IF(Model_Type="LA_PQIS",1000/0.0833,(12*1000))))*Flag_Mort_Rider_Charge*(T142&gt;0),0)</f>
        <v>0</v>
      </c>
      <c r="V142" s="34">
        <f>ROUND(MIN(IF(H142&gt;=7,Charges!$C$12*(1+Charges!$C$14)^((H142-7+1)),VLOOKUP(H142,Charges!$B$7:$C$12,2,0))*pr,Charges!$C$13)*B142,Round)</f>
        <v>500</v>
      </c>
      <c r="W142" s="14">
        <f t="shared" ca="1" si="110"/>
        <v>3617578.341524329</v>
      </c>
      <c r="X142" s="14">
        <f t="shared" ca="1" si="111"/>
        <v>3629421.3516561985</v>
      </c>
      <c r="Y142" s="213">
        <f t="shared" ca="1" si="133"/>
        <v>4085.3210845814497</v>
      </c>
      <c r="Z142" s="14">
        <f t="shared" ca="1" si="112"/>
        <v>3624600.6727763922</v>
      </c>
      <c r="AA142" s="14">
        <f>IF(AND($H142=pt,$F142=11),SUM($K$7:K142)*VLOOKUP(pt,ROC,2,FALSE),0)</f>
        <v>0</v>
      </c>
      <c r="AB142" s="14">
        <f>IF(AND($H142=pt,$F142=11),SUM($V$7:V142)*VLOOKUP(pt,ROC,2,FALSE),0)</f>
        <v>0</v>
      </c>
      <c r="AC142" s="14">
        <f>IF(AND($H142=pt,$F142=11),SUM($Q$7:Q142)*VLOOKUP(pt,ROC,2,FALSE),0)</f>
        <v>0</v>
      </c>
      <c r="AD142" s="14">
        <f t="shared" ca="1" si="134"/>
        <v>3624600.6727763922</v>
      </c>
      <c r="AE142" s="14">
        <f ca="1">(MAX(sa-CF141*Flag_UL_Type,105%*SUM($I$7:I142),Z142)+AU142)*B142</f>
        <v>3780000</v>
      </c>
      <c r="AF142" s="136"/>
      <c r="AG142" s="18">
        <v>136</v>
      </c>
      <c r="AH142" s="30">
        <f t="shared" ca="1" si="113"/>
        <v>0</v>
      </c>
      <c r="AI142" s="58"/>
      <c r="AJ142" s="50">
        <f>IF(AND(Option_Sys_TopUp&gt;="Y",H142&gt;=sytp,H142&lt;=(dtp+sytp-1),F142=0,H142&lt;=ppt+1),atp,0)+IFERROR(VLOOKUP(H142,Input!$B$55:$C$61,2,0),0)*(F142=0)*(Option_TopUP="Y")*(Option_Sys_TopUp="N")*B142*(pt&gt;=H142+5)</f>
        <v>0</v>
      </c>
      <c r="AK142" s="50">
        <f t="shared" si="114"/>
        <v>0</v>
      </c>
      <c r="AL142" s="50">
        <f t="shared" si="135"/>
        <v>0</v>
      </c>
      <c r="AM142" s="50">
        <f t="shared" ca="1" si="115"/>
        <v>0</v>
      </c>
      <c r="AN142" s="50">
        <f ca="1">IF(B142=0,0,AT142*(_rpm1+(1+_emr1)*VLOOKUP(E142,Tab_Mort_Charge,IF(Input!$C$12="M",2,3),0))*(0.001*0.0833)*Flag_Mort_Rider_Charge*(AT142&gt;0))</f>
        <v>0</v>
      </c>
      <c r="AO142" s="50">
        <f t="shared" ca="1" si="136"/>
        <v>0</v>
      </c>
      <c r="AP142" s="50">
        <f t="shared" ca="1" si="99"/>
        <v>0</v>
      </c>
      <c r="AQ142" s="50">
        <f t="shared" ca="1" si="116"/>
        <v>0</v>
      </c>
      <c r="AR142" s="50">
        <f t="shared" ca="1" si="117"/>
        <v>0</v>
      </c>
      <c r="AS142" s="50">
        <f t="shared" si="118"/>
        <v>0</v>
      </c>
      <c r="AT142" s="50">
        <f ca="1">(MAX((MAX(AS142,105%*SUM($AJ$7:AJ142))-AM142*Flag_UL_Type),0)*B142)</f>
        <v>0</v>
      </c>
      <c r="AU142" s="50">
        <f ca="1">(MAX(AS142,AR142,105%*SUM($AJ$7:AJ142))*B142)</f>
        <v>0</v>
      </c>
      <c r="AV142" s="125"/>
      <c r="AW142" s="13"/>
      <c r="AX142" s="13"/>
      <c r="AY142" s="13"/>
      <c r="AZ142" s="13"/>
      <c r="BA142" s="13"/>
      <c r="BG142" s="51">
        <f t="shared" si="119"/>
        <v>0</v>
      </c>
      <c r="BH142" s="51">
        <f t="shared" ca="1" si="120"/>
        <v>62.123053197470497</v>
      </c>
      <c r="BI142" s="51">
        <f t="shared" ca="1" si="121"/>
        <v>0</v>
      </c>
      <c r="BJ142" s="51">
        <f t="shared" ca="1" si="122"/>
        <v>0</v>
      </c>
      <c r="BK142" s="51">
        <f t="shared" si="123"/>
        <v>90</v>
      </c>
      <c r="BL142" s="51">
        <f t="shared" ca="1" si="124"/>
        <v>735.35779522466089</v>
      </c>
      <c r="BM142" s="51">
        <f t="shared" si="125"/>
        <v>0</v>
      </c>
      <c r="BN142" s="51">
        <f t="shared" ca="1" si="126"/>
        <v>0</v>
      </c>
      <c r="BO142" s="51">
        <f t="shared" ca="1" si="127"/>
        <v>0</v>
      </c>
      <c r="BP142" s="51">
        <f t="shared" ca="1" si="128"/>
        <v>887.48084842213143</v>
      </c>
      <c r="BQ142" s="120"/>
      <c r="BR142" s="32"/>
      <c r="BS142" s="126"/>
      <c r="BT142" s="16"/>
      <c r="BU142" s="58"/>
      <c r="BW142" s="51">
        <f>VLOOKUP(H142,Charges!$AT$4:$AU$33,2,FALSE)*I142</f>
        <v>0</v>
      </c>
      <c r="BX142" s="51">
        <f t="shared" si="129"/>
        <v>0</v>
      </c>
      <c r="BY142" s="51">
        <f t="shared" si="137"/>
        <v>0</v>
      </c>
      <c r="BZ142" s="151"/>
      <c r="CA142" s="151"/>
      <c r="CB142" s="32"/>
      <c r="CC142" s="16">
        <f ca="1">SUM($N$7:$N142)</f>
        <v>0</v>
      </c>
      <c r="CD142" s="16">
        <f t="shared" ca="1" si="130"/>
        <v>0</v>
      </c>
      <c r="CE142" s="16">
        <f t="shared" ca="1" si="131"/>
        <v>0</v>
      </c>
      <c r="CF142" s="7">
        <f t="shared" ca="1" si="138"/>
        <v>0</v>
      </c>
    </row>
    <row r="143" spans="1:84" s="7" customFormat="1" x14ac:dyDescent="0.2">
      <c r="A143" s="149"/>
      <c r="B143" s="14">
        <f t="shared" si="100"/>
        <v>1</v>
      </c>
      <c r="C143" s="12">
        <f t="shared" si="101"/>
        <v>1</v>
      </c>
      <c r="D143" s="17">
        <f t="shared" si="139"/>
        <v>137</v>
      </c>
      <c r="E143" s="17">
        <f t="shared" ca="1" si="102"/>
        <v>71</v>
      </c>
      <c r="F143" s="12">
        <f t="shared" si="97"/>
        <v>4</v>
      </c>
      <c r="G143" s="12">
        <f t="shared" si="140"/>
        <v>23</v>
      </c>
      <c r="H143" s="17">
        <f t="shared" si="98"/>
        <v>12</v>
      </c>
      <c r="I143" s="29">
        <f t="shared" si="103"/>
        <v>0</v>
      </c>
      <c r="J143" s="211">
        <f>IFERROR(VLOOKUP(H143,Charges!$T$6:$U$35,2,0)*C143,0)</f>
        <v>1</v>
      </c>
      <c r="K143" s="29">
        <f t="shared" si="104"/>
        <v>0</v>
      </c>
      <c r="L143" s="29">
        <f t="shared" si="105"/>
        <v>0</v>
      </c>
      <c r="M143" s="147">
        <f t="shared" ca="1" si="106"/>
        <v>0</v>
      </c>
      <c r="N143" s="148">
        <f ca="1">IF(AND(Option_SPW="Y",H143&gt;=Lock_In_Period,Z142&gt;SPW_Amount_pa+IF(option="Single",1/5*pr,2*pr),H143&gt;=SPW_Start_Year,H143&lt;=SPW_Start_Year+SPW_Duration-1,age+H143&gt;=Legal_Age),IF(AND(F143=0,SPW_Payout_Freq=1),SPW_Amount_pa,IF(AND(SPW_Payout_Freq=2,MOD(F143,6)=0),SPW_Amount_pa/SPW_Payout_Freq,IF(AND(SPW_Payout_Freq=4,MOD(F143,3)=0),SPW_Amount_pa/SPW_Payout_Freq,IF(SPW_Payout_Freq=12,SPW_Amount_pa/SPW_Payout_Freq,0)))),0)+IFERROR(VLOOKUP(H143,Input!$B$68:$C$74,2,0),0)*(F143=0)*(Option_PW="Y")*(Option_SPW="N")*(age+H143&gt;=Legal_Age)</f>
        <v>0</v>
      </c>
      <c r="O143" s="148">
        <f t="shared" ca="1" si="132"/>
        <v>0</v>
      </c>
      <c r="P143" s="14">
        <f ca="1">(MAX(MAX(sa-CF142*Flag_UL_Type,105%*SUM($I$7:I143))-(AD142+L143-N143)*Flag_UL_Type,0)*B143)</f>
        <v>155399.3272236078</v>
      </c>
      <c r="Q143" s="213">
        <f t="shared" ca="1" si="107"/>
        <v>332.24635159286083</v>
      </c>
      <c r="R143" s="14">
        <f t="shared" ca="1" si="108"/>
        <v>0</v>
      </c>
      <c r="S143" s="14">
        <f t="shared" ca="1" si="109"/>
        <v>0</v>
      </c>
      <c r="T143" s="14">
        <f>IFERROR(IF(WoP_Flag="Y",IF(fq=1,VLOOKUP(ppt*fq-H143,Charges!$AN$41:$AO$59,2,FALSE),IF(fq=2,VLOOKUP(ppt*fq-G143,Charges!$AP$41:$AQ$79,2,FALSE),VLOOKUP(ppt*fq-D143,Charges!$AR$41:$AS$279,2,FALSE)))*pr/fq,0),0)</f>
        <v>0</v>
      </c>
      <c r="U143" s="14">
        <f ca="1">IFERROR(((T143*(VLOOKUP(Input!$D$18+H143-1,Tab_Mort_Charge,IF(Gender_2="M",2,3),FALSE)*(1+_emr2)+_rpm2)/IF(Model_Type="LA_PQIS",1000/0.0833,(12*1000))))*Flag_Mort_Rider_Charge*(T143&gt;0),0)</f>
        <v>0</v>
      </c>
      <c r="V143" s="34">
        <f>ROUND(MIN(IF(H143&gt;=7,Charges!$C$12*(1+Charges!$C$14)^((H143-7+1)),VLOOKUP(H143,Charges!$B$7:$C$12,2,0))*pr,Charges!$C$13)*B143,Round)</f>
        <v>500</v>
      </c>
      <c r="W143" s="14">
        <f t="shared" ca="1" si="110"/>
        <v>3623618.6220815126</v>
      </c>
      <c r="X143" s="14">
        <f t="shared" ca="1" si="111"/>
        <v>3635481.4065201376</v>
      </c>
      <c r="Y143" s="213">
        <f t="shared" ca="1" si="133"/>
        <v>4092.1423564897314</v>
      </c>
      <c r="Z143" s="14">
        <f t="shared" ca="1" si="112"/>
        <v>3630652.6785394796</v>
      </c>
      <c r="AA143" s="14">
        <f>IF(AND($H143=pt,$F143=11),SUM($K$7:K143)*VLOOKUP(pt,ROC,2,FALSE),0)</f>
        <v>0</v>
      </c>
      <c r="AB143" s="14">
        <f>IF(AND($H143=pt,$F143=11),SUM($V$7:V143)*VLOOKUP(pt,ROC,2,FALSE),0)</f>
        <v>0</v>
      </c>
      <c r="AC143" s="14">
        <f>IF(AND($H143=pt,$F143=11),SUM($Q$7:Q143)*VLOOKUP(pt,ROC,2,FALSE),0)</f>
        <v>0</v>
      </c>
      <c r="AD143" s="14">
        <f t="shared" ca="1" si="134"/>
        <v>3630652.6785394796</v>
      </c>
      <c r="AE143" s="14">
        <f ca="1">(MAX(sa-CF142*Flag_UL_Type,105%*SUM($I$7:I143),Z143)+AU143)*B143</f>
        <v>3780000</v>
      </c>
      <c r="AF143" s="136"/>
      <c r="AG143" s="18">
        <v>137</v>
      </c>
      <c r="AH143" s="30">
        <f t="shared" ca="1" si="113"/>
        <v>0</v>
      </c>
      <c r="AI143" s="58"/>
      <c r="AJ143" s="50">
        <f>IF(AND(Option_Sys_TopUp&gt;="Y",H143&gt;=sytp,H143&lt;=(dtp+sytp-1),F143=0,H143&lt;=ppt+1),atp,0)+IFERROR(VLOOKUP(H143,Input!$B$55:$C$61,2,0),0)*(F143=0)*(Option_TopUP="Y")*(Option_Sys_TopUp="N")*B143*(pt&gt;=H143+5)</f>
        <v>0</v>
      </c>
      <c r="AK143" s="50">
        <f t="shared" si="114"/>
        <v>0</v>
      </c>
      <c r="AL143" s="50">
        <f t="shared" si="135"/>
        <v>0</v>
      </c>
      <c r="AM143" s="50">
        <f t="shared" ca="1" si="115"/>
        <v>0</v>
      </c>
      <c r="AN143" s="50">
        <f ca="1">IF(B143=0,0,AT143*(_rpm1+(1+_emr1)*VLOOKUP(E143,Tab_Mort_Charge,IF(Input!$C$12="M",2,3),0))*(0.001*0.0833)*Flag_Mort_Rider_Charge*(AT143&gt;0))</f>
        <v>0</v>
      </c>
      <c r="AO143" s="50">
        <f t="shared" ca="1" si="136"/>
        <v>0</v>
      </c>
      <c r="AP143" s="50">
        <f t="shared" ca="1" si="99"/>
        <v>0</v>
      </c>
      <c r="AQ143" s="50">
        <f t="shared" ca="1" si="116"/>
        <v>0</v>
      </c>
      <c r="AR143" s="50">
        <f t="shared" ca="1" si="117"/>
        <v>0</v>
      </c>
      <c r="AS143" s="50">
        <f t="shared" si="118"/>
        <v>0</v>
      </c>
      <c r="AT143" s="50">
        <f ca="1">(MAX((MAX(AS143,105%*SUM($AJ$7:AJ143))-AM143*Flag_UL_Type),0)*B143)</f>
        <v>0</v>
      </c>
      <c r="AU143" s="50">
        <f ca="1">(MAX(AS143,AR143,105%*SUM($AJ$7:AJ143))*B143)</f>
        <v>0</v>
      </c>
      <c r="AV143" s="125"/>
      <c r="AW143" s="13"/>
      <c r="AX143" s="13"/>
      <c r="AY143" s="13"/>
      <c r="AZ143" s="13"/>
      <c r="BA143" s="13"/>
      <c r="BG143" s="51">
        <f t="shared" si="119"/>
        <v>0</v>
      </c>
      <c r="BH143" s="51">
        <f t="shared" ca="1" si="120"/>
        <v>59.804343286714897</v>
      </c>
      <c r="BI143" s="51">
        <f t="shared" ca="1" si="121"/>
        <v>0</v>
      </c>
      <c r="BJ143" s="51">
        <f t="shared" ca="1" si="122"/>
        <v>0</v>
      </c>
      <c r="BK143" s="51">
        <f t="shared" si="123"/>
        <v>90</v>
      </c>
      <c r="BL143" s="51">
        <f t="shared" ca="1" si="124"/>
        <v>736.58562416815164</v>
      </c>
      <c r="BM143" s="51">
        <f t="shared" si="125"/>
        <v>0</v>
      </c>
      <c r="BN143" s="51">
        <f t="shared" ca="1" si="126"/>
        <v>0</v>
      </c>
      <c r="BO143" s="51">
        <f t="shared" ca="1" si="127"/>
        <v>0</v>
      </c>
      <c r="BP143" s="51">
        <f t="shared" ca="1" si="128"/>
        <v>886.38996745486656</v>
      </c>
      <c r="BQ143" s="120"/>
      <c r="BR143" s="32"/>
      <c r="BS143" s="126"/>
      <c r="BT143" s="16"/>
      <c r="BU143" s="58"/>
      <c r="BW143" s="51">
        <f>VLOOKUP(H143,Charges!$AT$4:$AU$33,2,FALSE)*I143</f>
        <v>0</v>
      </c>
      <c r="BX143" s="51">
        <f t="shared" si="129"/>
        <v>0</v>
      </c>
      <c r="BY143" s="51">
        <f t="shared" si="137"/>
        <v>0</v>
      </c>
      <c r="BZ143" s="151"/>
      <c r="CA143" s="151"/>
      <c r="CB143" s="32"/>
      <c r="CC143" s="16">
        <f ca="1">SUM($N$7:$N143)</f>
        <v>0</v>
      </c>
      <c r="CD143" s="16">
        <f t="shared" ca="1" si="130"/>
        <v>0</v>
      </c>
      <c r="CE143" s="16">
        <f t="shared" ca="1" si="131"/>
        <v>0</v>
      </c>
      <c r="CF143" s="7">
        <f t="shared" ca="1" si="138"/>
        <v>0</v>
      </c>
    </row>
    <row r="144" spans="1:84" s="7" customFormat="1" x14ac:dyDescent="0.2">
      <c r="A144" s="149"/>
      <c r="B144" s="14">
        <f t="shared" si="100"/>
        <v>1</v>
      </c>
      <c r="C144" s="12">
        <f t="shared" si="101"/>
        <v>1</v>
      </c>
      <c r="D144" s="17">
        <f t="shared" si="139"/>
        <v>138</v>
      </c>
      <c r="E144" s="17">
        <f t="shared" ca="1" si="102"/>
        <v>71</v>
      </c>
      <c r="F144" s="12">
        <f t="shared" si="97"/>
        <v>5</v>
      </c>
      <c r="G144" s="12">
        <f t="shared" si="140"/>
        <v>23</v>
      </c>
      <c r="H144" s="17">
        <f t="shared" si="98"/>
        <v>12</v>
      </c>
      <c r="I144" s="29">
        <f t="shared" si="103"/>
        <v>0</v>
      </c>
      <c r="J144" s="211">
        <f>IFERROR(VLOOKUP(H144,Charges!$T$6:$U$35,2,0)*C144,0)</f>
        <v>1</v>
      </c>
      <c r="K144" s="29">
        <f t="shared" si="104"/>
        <v>0</v>
      </c>
      <c r="L144" s="29">
        <f t="shared" si="105"/>
        <v>0</v>
      </c>
      <c r="M144" s="147">
        <f t="shared" ca="1" si="106"/>
        <v>0</v>
      </c>
      <c r="N144" s="148">
        <f ca="1">IF(AND(Option_SPW="Y",H144&gt;=Lock_In_Period,Z143&gt;SPW_Amount_pa+IF(option="Single",1/5*pr,2*pr),H144&gt;=SPW_Start_Year,H144&lt;=SPW_Start_Year+SPW_Duration-1,age+H144&gt;=Legal_Age),IF(AND(F144=0,SPW_Payout_Freq=1),SPW_Amount_pa,IF(AND(SPW_Payout_Freq=2,MOD(F144,6)=0),SPW_Amount_pa/SPW_Payout_Freq,IF(AND(SPW_Payout_Freq=4,MOD(F144,3)=0),SPW_Amount_pa/SPW_Payout_Freq,IF(SPW_Payout_Freq=12,SPW_Amount_pa/SPW_Payout_Freq,0)))),0)+IFERROR(VLOOKUP(H144,Input!$B$68:$C$74,2,0),0)*(F144=0)*(Option_PW="Y")*(Option_SPW="N")*(age+H144&gt;=Legal_Age)</f>
        <v>0</v>
      </c>
      <c r="O144" s="148">
        <f t="shared" ca="1" si="132"/>
        <v>0</v>
      </c>
      <c r="P144" s="14">
        <f ca="1">(MAX(MAX(sa-CF143*Flag_UL_Type,105%*SUM($I$7:I144))-(AD143+L144-N144)*Flag_UL_Type,0)*B144)</f>
        <v>149347.32146052038</v>
      </c>
      <c r="Q144" s="213">
        <f t="shared" ca="1" si="107"/>
        <v>319.30706240461666</v>
      </c>
      <c r="R144" s="14">
        <f t="shared" ca="1" si="108"/>
        <v>0</v>
      </c>
      <c r="S144" s="14">
        <f t="shared" ca="1" si="109"/>
        <v>0</v>
      </c>
      <c r="T144" s="14">
        <f>IFERROR(IF(WoP_Flag="Y",IF(fq=1,VLOOKUP(ppt*fq-H144,Charges!$AN$41:$AO$59,2,FALSE),IF(fq=2,VLOOKUP(ppt*fq-G144,Charges!$AP$41:$AQ$79,2,FALSE),VLOOKUP(ppt*fq-D144,Charges!$AR$41:$AS$279,2,FALSE)))*pr/fq,0),0)</f>
        <v>0</v>
      </c>
      <c r="U144" s="14">
        <f ca="1">IFERROR(((T144*(VLOOKUP(Input!$D$18+H144-1,Tab_Mort_Charge,IF(Gender_2="M",2,3),FALSE)*(1+_emr2)+_rpm2)/IF(Model_Type="LA_PQIS",1000/0.0833,(12*1000))))*Flag_Mort_Rider_Charge*(T144&gt;0),0)</f>
        <v>0</v>
      </c>
      <c r="V144" s="34">
        <f>ROUND(MIN(IF(H144&gt;=7,Charges!$C$12*(1+Charges!$C$14)^((H144-7+1)),VLOOKUP(H144,Charges!$B$7:$C$12,2,0))*pr,Charges!$C$13)*B144,Round)</f>
        <v>500</v>
      </c>
      <c r="W144" s="14">
        <f t="shared" ca="1" si="110"/>
        <v>3629685.896205842</v>
      </c>
      <c r="X144" s="14">
        <f t="shared" ca="1" si="111"/>
        <v>3641568.5433211373</v>
      </c>
      <c r="Y144" s="213">
        <f t="shared" ca="1" si="133"/>
        <v>4098.9941121577549</v>
      </c>
      <c r="Z144" s="14">
        <f t="shared" ca="1" si="112"/>
        <v>3636731.7302687913</v>
      </c>
      <c r="AA144" s="14">
        <f>IF(AND($H144=pt,$F144=11),SUM($K$7:K144)*VLOOKUP(pt,ROC,2,FALSE),0)</f>
        <v>0</v>
      </c>
      <c r="AB144" s="14">
        <f>IF(AND($H144=pt,$F144=11),SUM($V$7:V144)*VLOOKUP(pt,ROC,2,FALSE),0)</f>
        <v>0</v>
      </c>
      <c r="AC144" s="14">
        <f>IF(AND($H144=pt,$F144=11),SUM($Q$7:Q144)*VLOOKUP(pt,ROC,2,FALSE),0)</f>
        <v>0</v>
      </c>
      <c r="AD144" s="14">
        <f t="shared" ca="1" si="134"/>
        <v>3636731.7302687913</v>
      </c>
      <c r="AE144" s="14">
        <f ca="1">(MAX(sa-CF143*Flag_UL_Type,105%*SUM($I$7:I144),Z144)+AU144)*B144</f>
        <v>3780000</v>
      </c>
      <c r="AF144" s="136"/>
      <c r="AG144" s="18">
        <v>138</v>
      </c>
      <c r="AH144" s="30">
        <f t="shared" ca="1" si="113"/>
        <v>0</v>
      </c>
      <c r="AI144" s="58"/>
      <c r="AJ144" s="50">
        <f>IF(AND(Option_Sys_TopUp&gt;="Y",H144&gt;=sytp,H144&lt;=(dtp+sytp-1),F144=0,H144&lt;=ppt+1),atp,0)+IFERROR(VLOOKUP(H144,Input!$B$55:$C$61,2,0),0)*(F144=0)*(Option_TopUP="Y")*(Option_Sys_TopUp="N")*B144*(pt&gt;=H144+5)</f>
        <v>0</v>
      </c>
      <c r="AK144" s="50">
        <f t="shared" si="114"/>
        <v>0</v>
      </c>
      <c r="AL144" s="50">
        <f t="shared" si="135"/>
        <v>0</v>
      </c>
      <c r="AM144" s="50">
        <f t="shared" ca="1" si="115"/>
        <v>0</v>
      </c>
      <c r="AN144" s="50">
        <f ca="1">IF(B144=0,0,AT144*(_rpm1+(1+_emr1)*VLOOKUP(E144,Tab_Mort_Charge,IF(Input!$C$12="M",2,3),0))*(0.001*0.0833)*Flag_Mort_Rider_Charge*(AT144&gt;0))</f>
        <v>0</v>
      </c>
      <c r="AO144" s="50">
        <f t="shared" ca="1" si="136"/>
        <v>0</v>
      </c>
      <c r="AP144" s="50">
        <f t="shared" ca="1" si="99"/>
        <v>0</v>
      </c>
      <c r="AQ144" s="50">
        <f t="shared" ca="1" si="116"/>
        <v>0</v>
      </c>
      <c r="AR144" s="50">
        <f t="shared" ca="1" si="117"/>
        <v>0</v>
      </c>
      <c r="AS144" s="50">
        <f t="shared" si="118"/>
        <v>0</v>
      </c>
      <c r="AT144" s="50">
        <f ca="1">(MAX((MAX(AS144,105%*SUM($AJ$7:AJ144))-AM144*Flag_UL_Type),0)*B144)</f>
        <v>0</v>
      </c>
      <c r="AU144" s="50">
        <f ca="1">(MAX(AS144,AR144,105%*SUM($AJ$7:AJ144))*B144)</f>
        <v>0</v>
      </c>
      <c r="AV144" s="125"/>
      <c r="AW144" s="13"/>
      <c r="AX144" s="13"/>
      <c r="AY144" s="13"/>
      <c r="AZ144" s="13"/>
      <c r="BA144" s="13"/>
      <c r="BG144" s="51">
        <f t="shared" si="119"/>
        <v>0</v>
      </c>
      <c r="BH144" s="51">
        <f t="shared" ca="1" si="120"/>
        <v>57.475271232830998</v>
      </c>
      <c r="BI144" s="51">
        <f t="shared" ca="1" si="121"/>
        <v>0</v>
      </c>
      <c r="BJ144" s="51">
        <f t="shared" ca="1" si="122"/>
        <v>0</v>
      </c>
      <c r="BK144" s="51">
        <f t="shared" si="123"/>
        <v>90</v>
      </c>
      <c r="BL144" s="51">
        <f t="shared" ca="1" si="124"/>
        <v>737.8189401883958</v>
      </c>
      <c r="BM144" s="51">
        <f t="shared" si="125"/>
        <v>0</v>
      </c>
      <c r="BN144" s="51">
        <f t="shared" ca="1" si="126"/>
        <v>0</v>
      </c>
      <c r="BO144" s="51">
        <f t="shared" ca="1" si="127"/>
        <v>0</v>
      </c>
      <c r="BP144" s="51">
        <f t="shared" ca="1" si="128"/>
        <v>885.29421142122681</v>
      </c>
      <c r="BQ144" s="120"/>
      <c r="BR144" s="32"/>
      <c r="BS144" s="126"/>
      <c r="BT144" s="16"/>
      <c r="BU144" s="58"/>
      <c r="BW144" s="51">
        <f>VLOOKUP(H144,Charges!$AT$4:$AU$33,2,FALSE)*I144</f>
        <v>0</v>
      </c>
      <c r="BX144" s="51">
        <f t="shared" si="129"/>
        <v>0</v>
      </c>
      <c r="BY144" s="51">
        <f t="shared" si="137"/>
        <v>0</v>
      </c>
      <c r="BZ144" s="151"/>
      <c r="CA144" s="151"/>
      <c r="CB144" s="32"/>
      <c r="CC144" s="16">
        <f ca="1">SUM($N$7:$N144)</f>
        <v>0</v>
      </c>
      <c r="CD144" s="16">
        <f t="shared" ca="1" si="130"/>
        <v>0</v>
      </c>
      <c r="CE144" s="16">
        <f t="shared" ca="1" si="131"/>
        <v>0</v>
      </c>
      <c r="CF144" s="7">
        <f t="shared" ca="1" si="138"/>
        <v>0</v>
      </c>
    </row>
    <row r="145" spans="1:84" s="7" customFormat="1" x14ac:dyDescent="0.2">
      <c r="A145" s="149"/>
      <c r="B145" s="14">
        <f t="shared" si="100"/>
        <v>1</v>
      </c>
      <c r="C145" s="12">
        <f t="shared" si="101"/>
        <v>1</v>
      </c>
      <c r="D145" s="17">
        <f t="shared" si="139"/>
        <v>139</v>
      </c>
      <c r="E145" s="17">
        <f t="shared" ca="1" si="102"/>
        <v>71</v>
      </c>
      <c r="F145" s="12">
        <f t="shared" si="97"/>
        <v>6</v>
      </c>
      <c r="G145" s="12">
        <f t="shared" si="140"/>
        <v>24</v>
      </c>
      <c r="H145" s="17">
        <f t="shared" si="98"/>
        <v>12</v>
      </c>
      <c r="I145" s="29">
        <f t="shared" si="103"/>
        <v>0</v>
      </c>
      <c r="J145" s="211">
        <f>IFERROR(VLOOKUP(H145,Charges!$T$6:$U$35,2,0)*C145,0)</f>
        <v>1</v>
      </c>
      <c r="K145" s="29">
        <f t="shared" si="104"/>
        <v>0</v>
      </c>
      <c r="L145" s="29">
        <f t="shared" si="105"/>
        <v>0</v>
      </c>
      <c r="M145" s="147">
        <f t="shared" ca="1" si="106"/>
        <v>0</v>
      </c>
      <c r="N145" s="148">
        <f ca="1">IF(AND(Option_SPW="Y",H145&gt;=Lock_In_Period,Z144&gt;SPW_Amount_pa+IF(option="Single",1/5*pr,2*pr),H145&gt;=SPW_Start_Year,H145&lt;=SPW_Start_Year+SPW_Duration-1,age+H145&gt;=Legal_Age),IF(AND(F145=0,SPW_Payout_Freq=1),SPW_Amount_pa,IF(AND(SPW_Payout_Freq=2,MOD(F145,6)=0),SPW_Amount_pa/SPW_Payout_Freq,IF(AND(SPW_Payout_Freq=4,MOD(F145,3)=0),SPW_Amount_pa/SPW_Payout_Freq,IF(SPW_Payout_Freq=12,SPW_Amount_pa/SPW_Payout_Freq,0)))),0)+IFERROR(VLOOKUP(H145,Input!$B$68:$C$74,2,0),0)*(F145=0)*(Option_PW="Y")*(Option_SPW="N")*(age+H145&gt;=Legal_Age)</f>
        <v>0</v>
      </c>
      <c r="O145" s="148">
        <f t="shared" ca="1" si="132"/>
        <v>0</v>
      </c>
      <c r="P145" s="14">
        <f ca="1">(MAX(MAX(sa-CF144*Flag_UL_Type,105%*SUM($I$7:I145))-(AD144+L145-N145)*Flag_UL_Type,0)*B145)</f>
        <v>143268.26973120868</v>
      </c>
      <c r="Q145" s="213">
        <f t="shared" ca="1" si="107"/>
        <v>306.30994848981999</v>
      </c>
      <c r="R145" s="14">
        <f t="shared" ca="1" si="108"/>
        <v>0</v>
      </c>
      <c r="S145" s="14">
        <f t="shared" ca="1" si="109"/>
        <v>0</v>
      </c>
      <c r="T145" s="14">
        <f>IFERROR(IF(WoP_Flag="Y",IF(fq=1,VLOOKUP(ppt*fq-H145,Charges!$AN$41:$AO$59,2,FALSE),IF(fq=2,VLOOKUP(ppt*fq-G145,Charges!$AP$41:$AQ$79,2,FALSE),VLOOKUP(ppt*fq-D145,Charges!$AR$41:$AS$279,2,FALSE)))*pr/fq,0),0)</f>
        <v>0</v>
      </c>
      <c r="U145" s="14">
        <f ca="1">IFERROR(((T145*(VLOOKUP(Input!$D$18+H145-1,Tab_Mort_Charge,IF(Gender_2="M",2,3),FALSE)*(1+_emr2)+_rpm2)/IF(Model_Type="LA_PQIS",1000/0.0833,(12*1000))))*Flag_Mort_Rider_Charge*(T145&gt;0),0)</f>
        <v>0</v>
      </c>
      <c r="V145" s="34">
        <f>ROUND(MIN(IF(H145&gt;=7,Charges!$C$12*(1+Charges!$C$14)^((H145-7+1)),VLOOKUP(H145,Charges!$B$7:$C$12,2,0))*pr,Charges!$C$13)*B145,Round)</f>
        <v>500</v>
      </c>
      <c r="W145" s="14">
        <f t="shared" ca="1" si="110"/>
        <v>3635780.2845295733</v>
      </c>
      <c r="X145" s="14">
        <f t="shared" ca="1" si="111"/>
        <v>3647682.8830863722</v>
      </c>
      <c r="Y145" s="213">
        <f t="shared" ca="1" si="133"/>
        <v>4105.8764878151887</v>
      </c>
      <c r="Z145" s="14">
        <f t="shared" ca="1" si="112"/>
        <v>3642837.9488307503</v>
      </c>
      <c r="AA145" s="14">
        <f>IF(AND($H145=pt,$F145=11),SUM($K$7:K145)*VLOOKUP(pt,ROC,2,FALSE),0)</f>
        <v>0</v>
      </c>
      <c r="AB145" s="14">
        <f>IF(AND($H145=pt,$F145=11),SUM($V$7:V145)*VLOOKUP(pt,ROC,2,FALSE),0)</f>
        <v>0</v>
      </c>
      <c r="AC145" s="14">
        <f>IF(AND($H145=pt,$F145=11),SUM($Q$7:Q145)*VLOOKUP(pt,ROC,2,FALSE),0)</f>
        <v>0</v>
      </c>
      <c r="AD145" s="14">
        <f t="shared" ca="1" si="134"/>
        <v>3642837.9488307503</v>
      </c>
      <c r="AE145" s="14">
        <f ca="1">(MAX(sa-CF144*Flag_UL_Type,105%*SUM($I$7:I145),Z145)+AU145)*B145</f>
        <v>3780000</v>
      </c>
      <c r="AF145" s="136"/>
      <c r="AG145" s="18">
        <v>139</v>
      </c>
      <c r="AH145" s="30">
        <f t="shared" ca="1" si="113"/>
        <v>0</v>
      </c>
      <c r="AI145" s="58"/>
      <c r="AJ145" s="50">
        <f>IF(AND(Option_Sys_TopUp&gt;="Y",H145&gt;=sytp,H145&lt;=(dtp+sytp-1),F145=0,H145&lt;=ppt+1),atp,0)+IFERROR(VLOOKUP(H145,Input!$B$55:$C$61,2,0),0)*(F145=0)*(Option_TopUP="Y")*(Option_Sys_TopUp="N")*B145*(pt&gt;=H145+5)</f>
        <v>0</v>
      </c>
      <c r="AK145" s="50">
        <f t="shared" si="114"/>
        <v>0</v>
      </c>
      <c r="AL145" s="50">
        <f t="shared" si="135"/>
        <v>0</v>
      </c>
      <c r="AM145" s="50">
        <f t="shared" ca="1" si="115"/>
        <v>0</v>
      </c>
      <c r="AN145" s="50">
        <f ca="1">IF(B145=0,0,AT145*(_rpm1+(1+_emr1)*VLOOKUP(E145,Tab_Mort_Charge,IF(Input!$C$12="M",2,3),0))*(0.001*0.0833)*Flag_Mort_Rider_Charge*(AT145&gt;0))</f>
        <v>0</v>
      </c>
      <c r="AO145" s="50">
        <f t="shared" ca="1" si="136"/>
        <v>0</v>
      </c>
      <c r="AP145" s="50">
        <f t="shared" ca="1" si="99"/>
        <v>0</v>
      </c>
      <c r="AQ145" s="50">
        <f t="shared" ca="1" si="116"/>
        <v>0</v>
      </c>
      <c r="AR145" s="50">
        <f t="shared" ca="1" si="117"/>
        <v>0</v>
      </c>
      <c r="AS145" s="50">
        <f t="shared" si="118"/>
        <v>0</v>
      </c>
      <c r="AT145" s="50">
        <f ca="1">(MAX((MAX(AS145,105%*SUM($AJ$7:AJ145))-AM145*Flag_UL_Type),0)*B145)</f>
        <v>0</v>
      </c>
      <c r="AU145" s="50">
        <f ca="1">(MAX(AS145,AR145,105%*SUM($AJ$7:AJ145))*B145)</f>
        <v>0</v>
      </c>
      <c r="AV145" s="125"/>
      <c r="AW145" s="13"/>
      <c r="AX145" s="13"/>
      <c r="AY145" s="13"/>
      <c r="AZ145" s="13"/>
      <c r="BA145" s="13"/>
      <c r="BG145" s="51">
        <f t="shared" si="119"/>
        <v>0</v>
      </c>
      <c r="BH145" s="51">
        <f t="shared" ca="1" si="120"/>
        <v>55.135790728167599</v>
      </c>
      <c r="BI145" s="51">
        <f t="shared" ca="1" si="121"/>
        <v>0</v>
      </c>
      <c r="BJ145" s="51">
        <f t="shared" ca="1" si="122"/>
        <v>0</v>
      </c>
      <c r="BK145" s="51">
        <f t="shared" si="123"/>
        <v>90</v>
      </c>
      <c r="BL145" s="51">
        <f t="shared" ca="1" si="124"/>
        <v>739.05776780673398</v>
      </c>
      <c r="BM145" s="51">
        <f t="shared" si="125"/>
        <v>0</v>
      </c>
      <c r="BN145" s="51">
        <f t="shared" ca="1" si="126"/>
        <v>0</v>
      </c>
      <c r="BO145" s="51">
        <f t="shared" ca="1" si="127"/>
        <v>0</v>
      </c>
      <c r="BP145" s="51">
        <f t="shared" ca="1" si="128"/>
        <v>884.19355853490151</v>
      </c>
      <c r="BQ145" s="120"/>
      <c r="BR145" s="32"/>
      <c r="BS145" s="126"/>
      <c r="BT145" s="16"/>
      <c r="BU145" s="58"/>
      <c r="BW145" s="51">
        <f>VLOOKUP(H145,Charges!$AT$4:$AU$33,2,FALSE)*I145</f>
        <v>0</v>
      </c>
      <c r="BX145" s="51">
        <f t="shared" si="129"/>
        <v>0</v>
      </c>
      <c r="BY145" s="51">
        <f t="shared" si="137"/>
        <v>0</v>
      </c>
      <c r="BZ145" s="151"/>
      <c r="CA145" s="151"/>
      <c r="CB145" s="32"/>
      <c r="CC145" s="16">
        <f ca="1">SUM($N$7:$N145)</f>
        <v>0</v>
      </c>
      <c r="CD145" s="16">
        <f t="shared" ca="1" si="130"/>
        <v>0</v>
      </c>
      <c r="CE145" s="16">
        <f t="shared" ca="1" si="131"/>
        <v>0</v>
      </c>
      <c r="CF145" s="7">
        <f t="shared" ca="1" si="138"/>
        <v>0</v>
      </c>
    </row>
    <row r="146" spans="1:84" s="7" customFormat="1" x14ac:dyDescent="0.2">
      <c r="A146" s="149"/>
      <c r="B146" s="14">
        <f t="shared" si="100"/>
        <v>1</v>
      </c>
      <c r="C146" s="12">
        <f t="shared" si="101"/>
        <v>1</v>
      </c>
      <c r="D146" s="17">
        <f t="shared" si="139"/>
        <v>140</v>
      </c>
      <c r="E146" s="17">
        <f t="shared" ca="1" si="102"/>
        <v>71</v>
      </c>
      <c r="F146" s="12">
        <f t="shared" si="97"/>
        <v>7</v>
      </c>
      <c r="G146" s="12">
        <f t="shared" si="140"/>
        <v>24</v>
      </c>
      <c r="H146" s="17">
        <f t="shared" si="98"/>
        <v>12</v>
      </c>
      <c r="I146" s="29">
        <f t="shared" si="103"/>
        <v>0</v>
      </c>
      <c r="J146" s="211">
        <f>IFERROR(VLOOKUP(H146,Charges!$T$6:$U$35,2,0)*C146,0)</f>
        <v>1</v>
      </c>
      <c r="K146" s="29">
        <f t="shared" si="104"/>
        <v>0</v>
      </c>
      <c r="L146" s="29">
        <f t="shared" si="105"/>
        <v>0</v>
      </c>
      <c r="M146" s="147">
        <f t="shared" ca="1" si="106"/>
        <v>0</v>
      </c>
      <c r="N146" s="148">
        <f ca="1">IF(AND(Option_SPW="Y",H146&gt;=Lock_In_Period,Z145&gt;SPW_Amount_pa+IF(option="Single",1/5*pr,2*pr),H146&gt;=SPW_Start_Year,H146&lt;=SPW_Start_Year+SPW_Duration-1,age+H146&gt;=Legal_Age),IF(AND(F146=0,SPW_Payout_Freq=1),SPW_Amount_pa,IF(AND(SPW_Payout_Freq=2,MOD(F146,6)=0),SPW_Amount_pa/SPW_Payout_Freq,IF(AND(SPW_Payout_Freq=4,MOD(F146,3)=0),SPW_Amount_pa/SPW_Payout_Freq,IF(SPW_Payout_Freq=12,SPW_Amount_pa/SPW_Payout_Freq,0)))),0)+IFERROR(VLOOKUP(H146,Input!$B$68:$C$74,2,0),0)*(F146=0)*(Option_PW="Y")*(Option_SPW="N")*(age+H146&gt;=Legal_Age)</f>
        <v>0</v>
      </c>
      <c r="O146" s="148">
        <f t="shared" ca="1" si="132"/>
        <v>0</v>
      </c>
      <c r="P146" s="14">
        <f ca="1">(MAX(MAX(sa-CF145*Flag_UL_Type,105%*SUM($I$7:I146))-(AD145+L146-N146)*Flag_UL_Type,0)*B146)</f>
        <v>137162.05116924969</v>
      </c>
      <c r="Q146" s="213">
        <f t="shared" ca="1" si="107"/>
        <v>293.25475143404162</v>
      </c>
      <c r="R146" s="14">
        <f t="shared" ca="1" si="108"/>
        <v>0</v>
      </c>
      <c r="S146" s="14">
        <f t="shared" ca="1" si="109"/>
        <v>0</v>
      </c>
      <c r="T146" s="14">
        <f>IFERROR(IF(WoP_Flag="Y",IF(fq=1,VLOOKUP(ppt*fq-H146,Charges!$AN$41:$AO$59,2,FALSE),IF(fq=2,VLOOKUP(ppt*fq-G146,Charges!$AP$41:$AQ$79,2,FALSE),VLOOKUP(ppt*fq-D146,Charges!$AR$41:$AS$279,2,FALSE)))*pr/fq,0),0)</f>
        <v>0</v>
      </c>
      <c r="U146" s="14">
        <f ca="1">IFERROR(((T146*(VLOOKUP(Input!$D$18+H146-1,Tab_Mort_Charge,IF(Gender_2="M",2,3),FALSE)*(1+_emr2)+_rpm2)/IF(Model_Type="LA_PQIS",1000/0.0833,(12*1000))))*Flag_Mort_Rider_Charge*(T146&gt;0),0)</f>
        <v>0</v>
      </c>
      <c r="V146" s="34">
        <f>ROUND(MIN(IF(H146&gt;=7,Charges!$C$12*(1+Charges!$C$14)^((H146-7+1)),VLOOKUP(H146,Charges!$B$7:$C$12,2,0))*pr,Charges!$C$13)*B146,Round)</f>
        <v>500</v>
      </c>
      <c r="W146" s="14">
        <f t="shared" ca="1" si="110"/>
        <v>3641901.9082240583</v>
      </c>
      <c r="X146" s="14">
        <f t="shared" ca="1" si="111"/>
        <v>3653824.5473838774</v>
      </c>
      <c r="Y146" s="213">
        <f t="shared" ca="1" si="133"/>
        <v>4112.7896203005002</v>
      </c>
      <c r="Z146" s="14">
        <f t="shared" ca="1" si="112"/>
        <v>3648971.4556319229</v>
      </c>
      <c r="AA146" s="14">
        <f>IF(AND($H146=pt,$F146=11),SUM($K$7:K146)*VLOOKUP(pt,ROC,2,FALSE),0)</f>
        <v>0</v>
      </c>
      <c r="AB146" s="14">
        <f>IF(AND($H146=pt,$F146=11),SUM($V$7:V146)*VLOOKUP(pt,ROC,2,FALSE),0)</f>
        <v>0</v>
      </c>
      <c r="AC146" s="14">
        <f>IF(AND($H146=pt,$F146=11),SUM($Q$7:Q146)*VLOOKUP(pt,ROC,2,FALSE),0)</f>
        <v>0</v>
      </c>
      <c r="AD146" s="14">
        <f t="shared" ca="1" si="134"/>
        <v>3648971.4556319229</v>
      </c>
      <c r="AE146" s="14">
        <f ca="1">(MAX(sa-CF145*Flag_UL_Type,105%*SUM($I$7:I146),Z146)+AU146)*B146</f>
        <v>3780000</v>
      </c>
      <c r="AF146" s="136"/>
      <c r="AG146" s="18">
        <v>140</v>
      </c>
      <c r="AH146" s="30">
        <f t="shared" ca="1" si="113"/>
        <v>0</v>
      </c>
      <c r="AI146" s="58"/>
      <c r="AJ146" s="50">
        <f>IF(AND(Option_Sys_TopUp&gt;="Y",H146&gt;=sytp,H146&lt;=(dtp+sytp-1),F146=0,H146&lt;=ppt+1),atp,0)+IFERROR(VLOOKUP(H146,Input!$B$55:$C$61,2,0),0)*(F146=0)*(Option_TopUP="Y")*(Option_Sys_TopUp="N")*B146*(pt&gt;=H146+5)</f>
        <v>0</v>
      </c>
      <c r="AK146" s="50">
        <f t="shared" si="114"/>
        <v>0</v>
      </c>
      <c r="AL146" s="50">
        <f t="shared" si="135"/>
        <v>0</v>
      </c>
      <c r="AM146" s="50">
        <f t="shared" ca="1" si="115"/>
        <v>0</v>
      </c>
      <c r="AN146" s="50">
        <f ca="1">IF(B146=0,0,AT146*(_rpm1+(1+_emr1)*VLOOKUP(E146,Tab_Mort_Charge,IF(Input!$C$12="M",2,3),0))*(0.001*0.0833)*Flag_Mort_Rider_Charge*(AT146&gt;0))</f>
        <v>0</v>
      </c>
      <c r="AO146" s="50">
        <f t="shared" ca="1" si="136"/>
        <v>0</v>
      </c>
      <c r="AP146" s="50">
        <f t="shared" ca="1" si="99"/>
        <v>0</v>
      </c>
      <c r="AQ146" s="50">
        <f t="shared" ca="1" si="116"/>
        <v>0</v>
      </c>
      <c r="AR146" s="50">
        <f t="shared" ca="1" si="117"/>
        <v>0</v>
      </c>
      <c r="AS146" s="50">
        <f t="shared" si="118"/>
        <v>0</v>
      </c>
      <c r="AT146" s="50">
        <f ca="1">(MAX((MAX(AS146,105%*SUM($AJ$7:AJ146))-AM146*Flag_UL_Type),0)*B146)</f>
        <v>0</v>
      </c>
      <c r="AU146" s="50">
        <f ca="1">(MAX(AS146,AR146,105%*SUM($AJ$7:AJ146))*B146)</f>
        <v>0</v>
      </c>
      <c r="AV146" s="125"/>
      <c r="AW146" s="13"/>
      <c r="AX146" s="13"/>
      <c r="AY146" s="13"/>
      <c r="AZ146" s="13"/>
      <c r="BA146" s="13"/>
      <c r="BG146" s="51">
        <f t="shared" si="119"/>
        <v>0</v>
      </c>
      <c r="BH146" s="51">
        <f t="shared" ca="1" si="120"/>
        <v>52.785855258127498</v>
      </c>
      <c r="BI146" s="51">
        <f t="shared" ca="1" si="121"/>
        <v>0</v>
      </c>
      <c r="BJ146" s="51">
        <f t="shared" ca="1" si="122"/>
        <v>0</v>
      </c>
      <c r="BK146" s="51">
        <f t="shared" si="123"/>
        <v>90</v>
      </c>
      <c r="BL146" s="51">
        <f t="shared" ca="1" si="124"/>
        <v>740.30213165408998</v>
      </c>
      <c r="BM146" s="51">
        <f t="shared" si="125"/>
        <v>0</v>
      </c>
      <c r="BN146" s="51">
        <f t="shared" ca="1" si="126"/>
        <v>0</v>
      </c>
      <c r="BO146" s="51">
        <f t="shared" ca="1" si="127"/>
        <v>0</v>
      </c>
      <c r="BP146" s="51">
        <f t="shared" ca="1" si="128"/>
        <v>883.0879869122175</v>
      </c>
      <c r="BQ146" s="120"/>
      <c r="BR146" s="32"/>
      <c r="BS146" s="126"/>
      <c r="BT146" s="16"/>
      <c r="BU146" s="58"/>
      <c r="BW146" s="51">
        <f>VLOOKUP(H146,Charges!$AT$4:$AU$33,2,FALSE)*I146</f>
        <v>0</v>
      </c>
      <c r="BX146" s="51">
        <f t="shared" si="129"/>
        <v>0</v>
      </c>
      <c r="BY146" s="51">
        <f t="shared" si="137"/>
        <v>0</v>
      </c>
      <c r="BZ146" s="151"/>
      <c r="CA146" s="151"/>
      <c r="CB146" s="32"/>
      <c r="CC146" s="16">
        <f ca="1">SUM($N$7:$N146)</f>
        <v>0</v>
      </c>
      <c r="CD146" s="16">
        <f t="shared" ca="1" si="130"/>
        <v>0</v>
      </c>
      <c r="CE146" s="16">
        <f t="shared" ca="1" si="131"/>
        <v>0</v>
      </c>
      <c r="CF146" s="7">
        <f t="shared" ca="1" si="138"/>
        <v>0</v>
      </c>
    </row>
    <row r="147" spans="1:84" s="7" customFormat="1" x14ac:dyDescent="0.2">
      <c r="A147" s="149"/>
      <c r="B147" s="14">
        <f t="shared" si="100"/>
        <v>1</v>
      </c>
      <c r="C147" s="12">
        <f t="shared" si="101"/>
        <v>1</v>
      </c>
      <c r="D147" s="17">
        <f t="shared" si="139"/>
        <v>141</v>
      </c>
      <c r="E147" s="17">
        <f t="shared" ca="1" si="102"/>
        <v>71</v>
      </c>
      <c r="F147" s="12">
        <f t="shared" si="97"/>
        <v>8</v>
      </c>
      <c r="G147" s="12">
        <f t="shared" si="140"/>
        <v>24</v>
      </c>
      <c r="H147" s="17">
        <f t="shared" si="98"/>
        <v>12</v>
      </c>
      <c r="I147" s="29">
        <f t="shared" si="103"/>
        <v>0</v>
      </c>
      <c r="J147" s="211">
        <f>IFERROR(VLOOKUP(H147,Charges!$T$6:$U$35,2,0)*C147,0)</f>
        <v>1</v>
      </c>
      <c r="K147" s="29">
        <f t="shared" si="104"/>
        <v>0</v>
      </c>
      <c r="L147" s="29">
        <f t="shared" si="105"/>
        <v>0</v>
      </c>
      <c r="M147" s="147">
        <f t="shared" ca="1" si="106"/>
        <v>0</v>
      </c>
      <c r="N147" s="148">
        <f ca="1">IF(AND(Option_SPW="Y",H147&gt;=Lock_In_Period,Z146&gt;SPW_Amount_pa+IF(option="Single",1/5*pr,2*pr),H147&gt;=SPW_Start_Year,H147&lt;=SPW_Start_Year+SPW_Duration-1,age+H147&gt;=Legal_Age),IF(AND(F147=0,SPW_Payout_Freq=1),SPW_Amount_pa,IF(AND(SPW_Payout_Freq=2,MOD(F147,6)=0),SPW_Amount_pa/SPW_Payout_Freq,IF(AND(SPW_Payout_Freq=4,MOD(F147,3)=0),SPW_Amount_pa/SPW_Payout_Freq,IF(SPW_Payout_Freq=12,SPW_Amount_pa/SPW_Payout_Freq,0)))),0)+IFERROR(VLOOKUP(H147,Input!$B$68:$C$74,2,0),0)*(F147=0)*(Option_PW="Y")*(Option_SPW="N")*(age+H147&gt;=Legal_Age)</f>
        <v>0</v>
      </c>
      <c r="O147" s="148">
        <f t="shared" ca="1" si="132"/>
        <v>0</v>
      </c>
      <c r="P147" s="14">
        <f ca="1">(MAX(MAX(sa-CF146*Flag_UL_Type,105%*SUM($I$7:I147))-(AD146+L147-N147)*Flag_UL_Type,0)*B147)</f>
        <v>131028.54436807707</v>
      </c>
      <c r="Q147" s="213">
        <f t="shared" ca="1" si="107"/>
        <v>280.14121166802164</v>
      </c>
      <c r="R147" s="14">
        <f t="shared" ca="1" si="108"/>
        <v>0</v>
      </c>
      <c r="S147" s="14">
        <f t="shared" ca="1" si="109"/>
        <v>0</v>
      </c>
      <c r="T147" s="14">
        <f>IFERROR(IF(WoP_Flag="Y",IF(fq=1,VLOOKUP(ppt*fq-H147,Charges!$AN$41:$AO$59,2,FALSE),IF(fq=2,VLOOKUP(ppt*fq-G147,Charges!$AP$41:$AQ$79,2,FALSE),VLOOKUP(ppt*fq-D147,Charges!$AR$41:$AS$279,2,FALSE)))*pr/fq,0),0)</f>
        <v>0</v>
      </c>
      <c r="U147" s="14">
        <f ca="1">IFERROR(((T147*(VLOOKUP(Input!$D$18+H147-1,Tab_Mort_Charge,IF(Gender_2="M",2,3),FALSE)*(1+_emr2)+_rpm2)/IF(Model_Type="LA_PQIS",1000/0.0833,(12*1000))))*Flag_Mort_Rider_Charge*(T147&gt;0),0)</f>
        <v>0</v>
      </c>
      <c r="V147" s="34">
        <f>ROUND(MIN(IF(H147&gt;=7,Charges!$C$12*(1+Charges!$C$14)^((H147-7+1)),VLOOKUP(H147,Charges!$B$7:$C$12,2,0))*pr,Charges!$C$13)*B147,Round)</f>
        <v>500</v>
      </c>
      <c r="W147" s="14">
        <f t="shared" ca="1" si="110"/>
        <v>3648050.8890021546</v>
      </c>
      <c r="X147" s="14">
        <f t="shared" ca="1" si="111"/>
        <v>3659993.6583249671</v>
      </c>
      <c r="Y147" s="213">
        <f t="shared" ca="1" si="133"/>
        <v>4119.7336470636801</v>
      </c>
      <c r="Z147" s="14">
        <f t="shared" ca="1" si="112"/>
        <v>3655132.3726214319</v>
      </c>
      <c r="AA147" s="14">
        <f>IF(AND($H147=pt,$F147=11),SUM($K$7:K147)*VLOOKUP(pt,ROC,2,FALSE),0)</f>
        <v>0</v>
      </c>
      <c r="AB147" s="14">
        <f>IF(AND($H147=pt,$F147=11),SUM($V$7:V147)*VLOOKUP(pt,ROC,2,FALSE),0)</f>
        <v>0</v>
      </c>
      <c r="AC147" s="14">
        <f>IF(AND($H147=pt,$F147=11),SUM($Q$7:Q147)*VLOOKUP(pt,ROC,2,FALSE),0)</f>
        <v>0</v>
      </c>
      <c r="AD147" s="14">
        <f t="shared" ca="1" si="134"/>
        <v>3655132.3726214319</v>
      </c>
      <c r="AE147" s="14">
        <f ca="1">(MAX(sa-CF146*Flag_UL_Type,105%*SUM($I$7:I147),Z147)+AU147)*B147</f>
        <v>3780000</v>
      </c>
      <c r="AF147" s="136"/>
      <c r="AG147" s="18">
        <v>141</v>
      </c>
      <c r="AH147" s="30">
        <f t="shared" ca="1" si="113"/>
        <v>0</v>
      </c>
      <c r="AI147" s="58"/>
      <c r="AJ147" s="50">
        <f>IF(AND(Option_Sys_TopUp&gt;="Y",H147&gt;=sytp,H147&lt;=(dtp+sytp-1),F147=0,H147&lt;=ppt+1),atp,0)+IFERROR(VLOOKUP(H147,Input!$B$55:$C$61,2,0),0)*(F147=0)*(Option_TopUP="Y")*(Option_Sys_TopUp="N")*B147*(pt&gt;=H147+5)</f>
        <v>0</v>
      </c>
      <c r="AK147" s="50">
        <f t="shared" si="114"/>
        <v>0</v>
      </c>
      <c r="AL147" s="50">
        <f t="shared" si="135"/>
        <v>0</v>
      </c>
      <c r="AM147" s="50">
        <f t="shared" ca="1" si="115"/>
        <v>0</v>
      </c>
      <c r="AN147" s="50">
        <f ca="1">IF(B147=0,0,AT147*(_rpm1+(1+_emr1)*VLOOKUP(E147,Tab_Mort_Charge,IF(Input!$C$12="M",2,3),0))*(0.001*0.0833)*Flag_Mort_Rider_Charge*(AT147&gt;0))</f>
        <v>0</v>
      </c>
      <c r="AO147" s="50">
        <f t="shared" ca="1" si="136"/>
        <v>0</v>
      </c>
      <c r="AP147" s="50">
        <f t="shared" ca="1" si="99"/>
        <v>0</v>
      </c>
      <c r="AQ147" s="50">
        <f t="shared" ca="1" si="116"/>
        <v>0</v>
      </c>
      <c r="AR147" s="50">
        <f t="shared" ca="1" si="117"/>
        <v>0</v>
      </c>
      <c r="AS147" s="50">
        <f t="shared" si="118"/>
        <v>0</v>
      </c>
      <c r="AT147" s="50">
        <f ca="1">(MAX((MAX(AS147,105%*SUM($AJ$7:AJ147))-AM147*Flag_UL_Type),0)*B147)</f>
        <v>0</v>
      </c>
      <c r="AU147" s="50">
        <f ca="1">(MAX(AS147,AR147,105%*SUM($AJ$7:AJ147))*B147)</f>
        <v>0</v>
      </c>
      <c r="AV147" s="125"/>
      <c r="AW147" s="13"/>
      <c r="AX147" s="13"/>
      <c r="AY147" s="13"/>
      <c r="AZ147" s="13"/>
      <c r="BA147" s="13"/>
      <c r="BG147" s="51">
        <f t="shared" si="119"/>
        <v>0</v>
      </c>
      <c r="BH147" s="51">
        <f t="shared" ca="1" si="120"/>
        <v>50.425418100243903</v>
      </c>
      <c r="BI147" s="51">
        <f t="shared" ca="1" si="121"/>
        <v>0</v>
      </c>
      <c r="BJ147" s="51">
        <f t="shared" ca="1" si="122"/>
        <v>0</v>
      </c>
      <c r="BK147" s="51">
        <f t="shared" si="123"/>
        <v>90</v>
      </c>
      <c r="BL147" s="51">
        <f t="shared" ca="1" si="124"/>
        <v>741.55205647146238</v>
      </c>
      <c r="BM147" s="51">
        <f t="shared" si="125"/>
        <v>0</v>
      </c>
      <c r="BN147" s="51">
        <f t="shared" ca="1" si="126"/>
        <v>0</v>
      </c>
      <c r="BO147" s="51">
        <f t="shared" ca="1" si="127"/>
        <v>0</v>
      </c>
      <c r="BP147" s="51">
        <f t="shared" ca="1" si="128"/>
        <v>881.97747457170635</v>
      </c>
      <c r="BQ147" s="120"/>
      <c r="BR147" s="32"/>
      <c r="BS147" s="126"/>
      <c r="BT147" s="16"/>
      <c r="BU147" s="58"/>
      <c r="BW147" s="51">
        <f>VLOOKUP(H147,Charges!$AT$4:$AU$33,2,FALSE)*I147</f>
        <v>0</v>
      </c>
      <c r="BX147" s="51">
        <f t="shared" si="129"/>
        <v>0</v>
      </c>
      <c r="BY147" s="51">
        <f t="shared" si="137"/>
        <v>0</v>
      </c>
      <c r="BZ147" s="151"/>
      <c r="CA147" s="151"/>
      <c r="CB147" s="32"/>
      <c r="CC147" s="16">
        <f ca="1">SUM($N$7:$N147)</f>
        <v>0</v>
      </c>
      <c r="CD147" s="16">
        <f t="shared" ca="1" si="130"/>
        <v>0</v>
      </c>
      <c r="CE147" s="16">
        <f t="shared" ca="1" si="131"/>
        <v>0</v>
      </c>
      <c r="CF147" s="7">
        <f t="shared" ca="1" si="138"/>
        <v>0</v>
      </c>
    </row>
    <row r="148" spans="1:84" s="7" customFormat="1" x14ac:dyDescent="0.2">
      <c r="A148" s="149"/>
      <c r="B148" s="14">
        <f t="shared" si="100"/>
        <v>1</v>
      </c>
      <c r="C148" s="12">
        <f t="shared" si="101"/>
        <v>1</v>
      </c>
      <c r="D148" s="17">
        <f t="shared" si="139"/>
        <v>142</v>
      </c>
      <c r="E148" s="17">
        <f t="shared" ca="1" si="102"/>
        <v>71</v>
      </c>
      <c r="F148" s="12">
        <f t="shared" ref="F148:F211" si="141">F136</f>
        <v>9</v>
      </c>
      <c r="G148" s="12">
        <f t="shared" si="140"/>
        <v>24</v>
      </c>
      <c r="H148" s="17">
        <f t="shared" ref="H148:H211" si="142">+H136+1</f>
        <v>12</v>
      </c>
      <c r="I148" s="29">
        <f t="shared" si="103"/>
        <v>0</v>
      </c>
      <c r="J148" s="211">
        <f>IFERROR(VLOOKUP(H148,Charges!$T$6:$U$35,2,0)*C148,0)</f>
        <v>1</v>
      </c>
      <c r="K148" s="29">
        <f t="shared" si="104"/>
        <v>0</v>
      </c>
      <c r="L148" s="29">
        <f t="shared" si="105"/>
        <v>0</v>
      </c>
      <c r="M148" s="147">
        <f t="shared" ca="1" si="106"/>
        <v>0</v>
      </c>
      <c r="N148" s="148">
        <f ca="1">IF(AND(Option_SPW="Y",H148&gt;=Lock_In_Period,Z147&gt;SPW_Amount_pa+IF(option="Single",1/5*pr,2*pr),H148&gt;=SPW_Start_Year,H148&lt;=SPW_Start_Year+SPW_Duration-1,age+H148&gt;=Legal_Age),IF(AND(F148=0,SPW_Payout_Freq=1),SPW_Amount_pa,IF(AND(SPW_Payout_Freq=2,MOD(F148,6)=0),SPW_Amount_pa/SPW_Payout_Freq,IF(AND(SPW_Payout_Freq=4,MOD(F148,3)=0),SPW_Amount_pa/SPW_Payout_Freq,IF(SPW_Payout_Freq=12,SPW_Amount_pa/SPW_Payout_Freq,0)))),0)+IFERROR(VLOOKUP(H148,Input!$B$68:$C$74,2,0),0)*(F148=0)*(Option_PW="Y")*(Option_SPW="N")*(age+H148&gt;=Legal_Age)</f>
        <v>0</v>
      </c>
      <c r="O148" s="148">
        <f t="shared" ca="1" si="132"/>
        <v>0</v>
      </c>
      <c r="P148" s="14">
        <f ca="1">(MAX(MAX(sa-CF147*Flag_UL_Type,105%*SUM($I$7:I148))-(AD147+L148-N148)*Flag_UL_Type,0)*B148)</f>
        <v>124867.62737856805</v>
      </c>
      <c r="Q148" s="213">
        <f t="shared" ca="1" si="107"/>
        <v>266.96906846250164</v>
      </c>
      <c r="R148" s="14">
        <f t="shared" ca="1" si="108"/>
        <v>0</v>
      </c>
      <c r="S148" s="14">
        <f t="shared" ca="1" si="109"/>
        <v>0</v>
      </c>
      <c r="T148" s="14">
        <f>IFERROR(IF(WoP_Flag="Y",IF(fq=1,VLOOKUP(ppt*fq-H148,Charges!$AN$41:$AO$59,2,FALSE),IF(fq=2,VLOOKUP(ppt*fq-G148,Charges!$AP$41:$AQ$79,2,FALSE),VLOOKUP(ppt*fq-D148,Charges!$AR$41:$AS$279,2,FALSE)))*pr/fq,0),0)</f>
        <v>0</v>
      </c>
      <c r="U148" s="14">
        <f ca="1">IFERROR(((T148*(VLOOKUP(Input!$D$18+H148-1,Tab_Mort_Charge,IF(Gender_2="M",2,3),FALSE)*(1+_emr2)+_rpm2)/IF(Model_Type="LA_PQIS",1000/0.0833,(12*1000))))*Flag_Mort_Rider_Charge*(T148&gt;0),0)</f>
        <v>0</v>
      </c>
      <c r="V148" s="34">
        <f>ROUND(MIN(IF(H148&gt;=7,Charges!$C$12*(1+Charges!$C$14)^((H148-7+1)),VLOOKUP(H148,Charges!$B$7:$C$12,2,0))*pr,Charges!$C$13)*B148,Round)</f>
        <v>500</v>
      </c>
      <c r="W148" s="14">
        <f t="shared" ca="1" si="110"/>
        <v>3654227.3491206462</v>
      </c>
      <c r="X148" s="14">
        <f t="shared" ca="1" si="111"/>
        <v>3666190.3385666618</v>
      </c>
      <c r="Y148" s="213">
        <f t="shared" ca="1" si="133"/>
        <v>4126.7087061689708</v>
      </c>
      <c r="Z148" s="14">
        <f t="shared" ca="1" si="112"/>
        <v>3661320.8222933826</v>
      </c>
      <c r="AA148" s="14">
        <f>IF(AND($H148=pt,$F148=11),SUM($K$7:K148)*VLOOKUP(pt,ROC,2,FALSE),0)</f>
        <v>0</v>
      </c>
      <c r="AB148" s="14">
        <f>IF(AND($H148=pt,$F148=11),SUM($V$7:V148)*VLOOKUP(pt,ROC,2,FALSE),0)</f>
        <v>0</v>
      </c>
      <c r="AC148" s="14">
        <f>IF(AND($H148=pt,$F148=11),SUM($Q$7:Q148)*VLOOKUP(pt,ROC,2,FALSE),0)</f>
        <v>0</v>
      </c>
      <c r="AD148" s="14">
        <f t="shared" ca="1" si="134"/>
        <v>3661320.8222933826</v>
      </c>
      <c r="AE148" s="14">
        <f ca="1">(MAX(sa-CF147*Flag_UL_Type,105%*SUM($I$7:I148),Z148)+AU148)*B148</f>
        <v>3780000</v>
      </c>
      <c r="AF148" s="136"/>
      <c r="AG148" s="18">
        <v>142</v>
      </c>
      <c r="AH148" s="30">
        <f t="shared" ca="1" si="113"/>
        <v>0</v>
      </c>
      <c r="AI148" s="58"/>
      <c r="AJ148" s="50">
        <f>IF(AND(Option_Sys_TopUp&gt;="Y",H148&gt;=sytp,H148&lt;=(dtp+sytp-1),F148=0,H148&lt;=ppt+1),atp,0)+IFERROR(VLOOKUP(H148,Input!$B$55:$C$61,2,0),0)*(F148=0)*(Option_TopUP="Y")*(Option_Sys_TopUp="N")*B148*(pt&gt;=H148+5)</f>
        <v>0</v>
      </c>
      <c r="AK148" s="50">
        <f t="shared" si="114"/>
        <v>0</v>
      </c>
      <c r="AL148" s="50">
        <f t="shared" si="135"/>
        <v>0</v>
      </c>
      <c r="AM148" s="50">
        <f t="shared" ca="1" si="115"/>
        <v>0</v>
      </c>
      <c r="AN148" s="50">
        <f ca="1">IF(B148=0,0,AT148*(_rpm1+(1+_emr1)*VLOOKUP(E148,Tab_Mort_Charge,IF(Input!$C$12="M",2,3),0))*(0.001*0.0833)*Flag_Mort_Rider_Charge*(AT148&gt;0))</f>
        <v>0</v>
      </c>
      <c r="AO148" s="50">
        <f t="shared" ca="1" si="136"/>
        <v>0</v>
      </c>
      <c r="AP148" s="50">
        <f t="shared" ca="1" si="99"/>
        <v>0</v>
      </c>
      <c r="AQ148" s="50">
        <f t="shared" ca="1" si="116"/>
        <v>0</v>
      </c>
      <c r="AR148" s="50">
        <f t="shared" ca="1" si="117"/>
        <v>0</v>
      </c>
      <c r="AS148" s="50">
        <f t="shared" si="118"/>
        <v>0</v>
      </c>
      <c r="AT148" s="50">
        <f ca="1">(MAX((MAX(AS148,105%*SUM($AJ$7:AJ148))-AM148*Flag_UL_Type),0)*B148)</f>
        <v>0</v>
      </c>
      <c r="AU148" s="50">
        <f ca="1">(MAX(AS148,AR148,105%*SUM($AJ$7:AJ148))*B148)</f>
        <v>0</v>
      </c>
      <c r="AV148" s="125"/>
      <c r="AW148" s="13"/>
      <c r="AX148" s="13"/>
      <c r="AY148" s="13"/>
      <c r="AZ148" s="13"/>
      <c r="BA148" s="13"/>
      <c r="BG148" s="51">
        <f t="shared" si="119"/>
        <v>0</v>
      </c>
      <c r="BH148" s="51">
        <f t="shared" ca="1" si="120"/>
        <v>48.054432323250303</v>
      </c>
      <c r="BI148" s="51">
        <f t="shared" ca="1" si="121"/>
        <v>0</v>
      </c>
      <c r="BJ148" s="51">
        <f t="shared" ca="1" si="122"/>
        <v>0</v>
      </c>
      <c r="BK148" s="51">
        <f t="shared" si="123"/>
        <v>90</v>
      </c>
      <c r="BL148" s="51">
        <f t="shared" ca="1" si="124"/>
        <v>742.80756711041477</v>
      </c>
      <c r="BM148" s="51">
        <f t="shared" si="125"/>
        <v>0</v>
      </c>
      <c r="BN148" s="51">
        <f t="shared" ca="1" si="126"/>
        <v>0</v>
      </c>
      <c r="BO148" s="51">
        <f t="shared" ca="1" si="127"/>
        <v>0</v>
      </c>
      <c r="BP148" s="51">
        <f t="shared" ca="1" si="128"/>
        <v>880.86199943366501</v>
      </c>
      <c r="BQ148" s="120"/>
      <c r="BR148" s="32"/>
      <c r="BS148" s="126"/>
      <c r="BT148" s="16"/>
      <c r="BU148" s="58"/>
      <c r="BW148" s="51">
        <f>VLOOKUP(H148,Charges!$AT$4:$AU$33,2,FALSE)*I148</f>
        <v>0</v>
      </c>
      <c r="BX148" s="51">
        <f t="shared" si="129"/>
        <v>0</v>
      </c>
      <c r="BY148" s="51">
        <f t="shared" si="137"/>
        <v>0</v>
      </c>
      <c r="BZ148" s="151"/>
      <c r="CA148" s="151"/>
      <c r="CB148" s="32"/>
      <c r="CC148" s="16">
        <f ca="1">SUM($N$7:$N148)</f>
        <v>0</v>
      </c>
      <c r="CD148" s="16">
        <f t="shared" ca="1" si="130"/>
        <v>0</v>
      </c>
      <c r="CE148" s="16">
        <f t="shared" ca="1" si="131"/>
        <v>0</v>
      </c>
      <c r="CF148" s="7">
        <f t="shared" ca="1" si="138"/>
        <v>0</v>
      </c>
    </row>
    <row r="149" spans="1:84" s="7" customFormat="1" x14ac:dyDescent="0.2">
      <c r="A149" s="149"/>
      <c r="B149" s="14">
        <f t="shared" si="100"/>
        <v>1</v>
      </c>
      <c r="C149" s="12">
        <f t="shared" si="101"/>
        <v>1</v>
      </c>
      <c r="D149" s="17">
        <f t="shared" si="139"/>
        <v>143</v>
      </c>
      <c r="E149" s="17">
        <f t="shared" ca="1" si="102"/>
        <v>71</v>
      </c>
      <c r="F149" s="12">
        <f t="shared" si="141"/>
        <v>10</v>
      </c>
      <c r="G149" s="12">
        <f t="shared" si="140"/>
        <v>24</v>
      </c>
      <c r="H149" s="17">
        <f t="shared" si="142"/>
        <v>12</v>
      </c>
      <c r="I149" s="29">
        <f t="shared" si="103"/>
        <v>0</v>
      </c>
      <c r="J149" s="211">
        <f>IFERROR(VLOOKUP(H149,Charges!$T$6:$U$35,2,0)*C149,0)</f>
        <v>1</v>
      </c>
      <c r="K149" s="29">
        <f t="shared" si="104"/>
        <v>0</v>
      </c>
      <c r="L149" s="29">
        <f t="shared" si="105"/>
        <v>0</v>
      </c>
      <c r="M149" s="147">
        <f t="shared" ca="1" si="106"/>
        <v>0</v>
      </c>
      <c r="N149" s="148">
        <f ca="1">IF(AND(Option_SPW="Y",H149&gt;=Lock_In_Period,Z148&gt;SPW_Amount_pa+IF(option="Single",1/5*pr,2*pr),H149&gt;=SPW_Start_Year,H149&lt;=SPW_Start_Year+SPW_Duration-1,age+H149&gt;=Legal_Age),IF(AND(F149=0,SPW_Payout_Freq=1),SPW_Amount_pa,IF(AND(SPW_Payout_Freq=2,MOD(F149,6)=0),SPW_Amount_pa/SPW_Payout_Freq,IF(AND(SPW_Payout_Freq=4,MOD(F149,3)=0),SPW_Amount_pa/SPW_Payout_Freq,IF(SPW_Payout_Freq=12,SPW_Amount_pa/SPW_Payout_Freq,0)))),0)+IFERROR(VLOOKUP(H149,Input!$B$68:$C$74,2,0),0)*(F149=0)*(Option_PW="Y")*(Option_SPW="N")*(age+H149&gt;=Legal_Age)</f>
        <v>0</v>
      </c>
      <c r="O149" s="148">
        <f t="shared" ca="1" si="132"/>
        <v>0</v>
      </c>
      <c r="P149" s="14">
        <f ca="1">(MAX(MAX(sa-CF148*Flag_UL_Type,105%*SUM($I$7:I149))-(AD148+L149-N149)*Flag_UL_Type,0)*B149)</f>
        <v>118679.1777066174</v>
      </c>
      <c r="Q149" s="213">
        <f t="shared" ca="1" si="107"/>
        <v>253.73805992304332</v>
      </c>
      <c r="R149" s="14">
        <f t="shared" ca="1" si="108"/>
        <v>0</v>
      </c>
      <c r="S149" s="14">
        <f t="shared" ca="1" si="109"/>
        <v>0</v>
      </c>
      <c r="T149" s="14">
        <f>IFERROR(IF(WoP_Flag="Y",IF(fq=1,VLOOKUP(ppt*fq-H149,Charges!$AN$41:$AO$59,2,FALSE),IF(fq=2,VLOOKUP(ppt*fq-G149,Charges!$AP$41:$AQ$79,2,FALSE),VLOOKUP(ppt*fq-D149,Charges!$AR$41:$AS$279,2,FALSE)))*pr/fq,0),0)</f>
        <v>0</v>
      </c>
      <c r="U149" s="14">
        <f ca="1">IFERROR(((T149*(VLOOKUP(Input!$D$18+H149-1,Tab_Mort_Charge,IF(Gender_2="M",2,3),FALSE)*(1+_emr2)+_rpm2)/IF(Model_Type="LA_PQIS",1000/0.0833,(12*1000))))*Flag_Mort_Rider_Charge*(T149&gt;0),0)</f>
        <v>0</v>
      </c>
      <c r="V149" s="34">
        <f>ROUND(MIN(IF(H149&gt;=7,Charges!$C$12*(1+Charges!$C$14)^((H149-7+1)),VLOOKUP(H149,Charges!$B$7:$C$12,2,0))*pr,Charges!$C$13)*B149,Round)</f>
        <v>500</v>
      </c>
      <c r="W149" s="14">
        <f t="shared" ca="1" si="110"/>
        <v>3660431.4113826733</v>
      </c>
      <c r="X149" s="14">
        <f t="shared" ca="1" si="111"/>
        <v>3672414.7113141273</v>
      </c>
      <c r="Y149" s="213">
        <f t="shared" ca="1" si="133"/>
        <v>4133.7149362976133</v>
      </c>
      <c r="Z149" s="14">
        <f t="shared" ca="1" si="112"/>
        <v>3667536.9276892962</v>
      </c>
      <c r="AA149" s="14">
        <f>IF(AND($H149=pt,$F149=11),SUM($K$7:K149)*VLOOKUP(pt,ROC,2,FALSE),0)</f>
        <v>0</v>
      </c>
      <c r="AB149" s="14">
        <f>IF(AND($H149=pt,$F149=11),SUM($V$7:V149)*VLOOKUP(pt,ROC,2,FALSE),0)</f>
        <v>0</v>
      </c>
      <c r="AC149" s="14">
        <f>IF(AND($H149=pt,$F149=11),SUM($Q$7:Q149)*VLOOKUP(pt,ROC,2,FALSE),0)</f>
        <v>0</v>
      </c>
      <c r="AD149" s="14">
        <f t="shared" ca="1" si="134"/>
        <v>3667536.9276892962</v>
      </c>
      <c r="AE149" s="14">
        <f ca="1">(MAX(sa-CF148*Flag_UL_Type,105%*SUM($I$7:I149),Z149)+AU149)*B149</f>
        <v>3780000</v>
      </c>
      <c r="AF149" s="136"/>
      <c r="AG149" s="18">
        <v>143</v>
      </c>
      <c r="AH149" s="30">
        <f t="shared" ca="1" si="113"/>
        <v>0</v>
      </c>
      <c r="AI149" s="58"/>
      <c r="AJ149" s="50">
        <f>IF(AND(Option_Sys_TopUp&gt;="Y",H149&gt;=sytp,H149&lt;=(dtp+sytp-1),F149=0,H149&lt;=ppt+1),atp,0)+IFERROR(VLOOKUP(H149,Input!$B$55:$C$61,2,0),0)*(F149=0)*(Option_TopUP="Y")*(Option_Sys_TopUp="N")*B149*(pt&gt;=H149+5)</f>
        <v>0</v>
      </c>
      <c r="AK149" s="50">
        <f t="shared" si="114"/>
        <v>0</v>
      </c>
      <c r="AL149" s="50">
        <f t="shared" si="135"/>
        <v>0</v>
      </c>
      <c r="AM149" s="50">
        <f t="shared" ca="1" si="115"/>
        <v>0</v>
      </c>
      <c r="AN149" s="50">
        <f ca="1">IF(B149=0,0,AT149*(_rpm1+(1+_emr1)*VLOOKUP(E149,Tab_Mort_Charge,IF(Input!$C$12="M",2,3),0))*(0.001*0.0833)*Flag_Mort_Rider_Charge*(AT149&gt;0))</f>
        <v>0</v>
      </c>
      <c r="AO149" s="50">
        <f t="shared" ca="1" si="136"/>
        <v>0</v>
      </c>
      <c r="AP149" s="50">
        <f t="shared" ca="1" si="99"/>
        <v>0</v>
      </c>
      <c r="AQ149" s="50">
        <f t="shared" ca="1" si="116"/>
        <v>0</v>
      </c>
      <c r="AR149" s="50">
        <f t="shared" ca="1" si="117"/>
        <v>0</v>
      </c>
      <c r="AS149" s="50">
        <f t="shared" si="118"/>
        <v>0</v>
      </c>
      <c r="AT149" s="50">
        <f ca="1">(MAX((MAX(AS149,105%*SUM($AJ$7:AJ149))-AM149*Flag_UL_Type),0)*B149)</f>
        <v>0</v>
      </c>
      <c r="AU149" s="50">
        <f ca="1">(MAX(AS149,AR149,105%*SUM($AJ$7:AJ149))*B149)</f>
        <v>0</v>
      </c>
      <c r="AV149" s="125"/>
      <c r="AW149" s="13"/>
      <c r="AX149" s="13"/>
      <c r="AY149" s="13"/>
      <c r="AZ149" s="13"/>
      <c r="BA149" s="13"/>
      <c r="BG149" s="51">
        <f t="shared" si="119"/>
        <v>0</v>
      </c>
      <c r="BH149" s="51">
        <f t="shared" ca="1" si="120"/>
        <v>45.672850786147798</v>
      </c>
      <c r="BI149" s="51">
        <f t="shared" ca="1" si="121"/>
        <v>0</v>
      </c>
      <c r="BJ149" s="51">
        <f t="shared" ca="1" si="122"/>
        <v>0</v>
      </c>
      <c r="BK149" s="51">
        <f t="shared" si="123"/>
        <v>90</v>
      </c>
      <c r="BL149" s="51">
        <f t="shared" ca="1" si="124"/>
        <v>744.06868853357037</v>
      </c>
      <c r="BM149" s="51">
        <f t="shared" si="125"/>
        <v>0</v>
      </c>
      <c r="BN149" s="51">
        <f t="shared" ca="1" si="126"/>
        <v>0</v>
      </c>
      <c r="BO149" s="51">
        <f t="shared" ca="1" si="127"/>
        <v>0</v>
      </c>
      <c r="BP149" s="51">
        <f t="shared" ca="1" si="128"/>
        <v>879.74153931971819</v>
      </c>
      <c r="BQ149" s="120"/>
      <c r="BR149" s="32"/>
      <c r="BS149" s="126"/>
      <c r="BT149" s="16"/>
      <c r="BU149" s="58"/>
      <c r="BW149" s="51">
        <f>VLOOKUP(H149,Charges!$AT$4:$AU$33,2,FALSE)*I149</f>
        <v>0</v>
      </c>
      <c r="BX149" s="51">
        <f t="shared" si="129"/>
        <v>0</v>
      </c>
      <c r="BY149" s="51">
        <f t="shared" si="137"/>
        <v>0</v>
      </c>
      <c r="BZ149" s="151"/>
      <c r="CA149" s="151"/>
      <c r="CB149" s="32"/>
      <c r="CC149" s="16">
        <f ca="1">SUM($N$7:$N149)</f>
        <v>0</v>
      </c>
      <c r="CD149" s="16">
        <f t="shared" ca="1" si="130"/>
        <v>0</v>
      </c>
      <c r="CE149" s="16">
        <f t="shared" ca="1" si="131"/>
        <v>0</v>
      </c>
      <c r="CF149" s="7">
        <f t="shared" ca="1" si="138"/>
        <v>0</v>
      </c>
    </row>
    <row r="150" spans="1:84" s="7" customFormat="1" x14ac:dyDescent="0.2">
      <c r="A150" s="149"/>
      <c r="B150" s="14">
        <f t="shared" si="100"/>
        <v>1</v>
      </c>
      <c r="C150" s="12">
        <f t="shared" si="101"/>
        <v>1</v>
      </c>
      <c r="D150" s="17">
        <f t="shared" si="139"/>
        <v>144</v>
      </c>
      <c r="E150" s="17">
        <f t="shared" ca="1" si="102"/>
        <v>71</v>
      </c>
      <c r="F150" s="12">
        <f t="shared" si="141"/>
        <v>11</v>
      </c>
      <c r="G150" s="12">
        <f t="shared" si="140"/>
        <v>24</v>
      </c>
      <c r="H150" s="17">
        <f t="shared" si="142"/>
        <v>12</v>
      </c>
      <c r="I150" s="29">
        <f t="shared" si="103"/>
        <v>0</v>
      </c>
      <c r="J150" s="211">
        <f>IFERROR(VLOOKUP(H150,Charges!$T$6:$U$35,2,0)*C150,0)</f>
        <v>1</v>
      </c>
      <c r="K150" s="29">
        <f t="shared" si="104"/>
        <v>0</v>
      </c>
      <c r="L150" s="29">
        <f t="shared" si="105"/>
        <v>0</v>
      </c>
      <c r="M150" s="147">
        <f t="shared" ca="1" si="106"/>
        <v>0</v>
      </c>
      <c r="N150" s="148">
        <f ca="1">IF(AND(Option_SPW="Y",H150&gt;=Lock_In_Period,Z149&gt;SPW_Amount_pa+IF(option="Single",1/5*pr,2*pr),H150&gt;=SPW_Start_Year,H150&lt;=SPW_Start_Year+SPW_Duration-1,age+H150&gt;=Legal_Age),IF(AND(F150=0,SPW_Payout_Freq=1),SPW_Amount_pa,IF(AND(SPW_Payout_Freq=2,MOD(F150,6)=0),SPW_Amount_pa/SPW_Payout_Freq,IF(AND(SPW_Payout_Freq=4,MOD(F150,3)=0),SPW_Amount_pa/SPW_Payout_Freq,IF(SPW_Payout_Freq=12,SPW_Amount_pa/SPW_Payout_Freq,0)))),0)+IFERROR(VLOOKUP(H150,Input!$B$68:$C$74,2,0),0)*(F150=0)*(Option_PW="Y")*(Option_SPW="N")*(age+H150&gt;=Legal_Age)</f>
        <v>0</v>
      </c>
      <c r="O150" s="148">
        <f t="shared" ca="1" si="132"/>
        <v>0</v>
      </c>
      <c r="P150" s="14">
        <f ca="1">(MAX(MAX(sa-CF149*Flag_UL_Type,105%*SUM($I$7:I150))-(AD149+L150-N150)*Flag_UL_Type,0)*B150)</f>
        <v>112463.07231070381</v>
      </c>
      <c r="Q150" s="213">
        <f t="shared" ca="1" si="107"/>
        <v>240.44792298482335</v>
      </c>
      <c r="R150" s="14">
        <f t="shared" ca="1" si="108"/>
        <v>0</v>
      </c>
      <c r="S150" s="14">
        <f t="shared" ca="1" si="109"/>
        <v>0</v>
      </c>
      <c r="T150" s="14">
        <f>IFERROR(IF(WoP_Flag="Y",IF(fq=1,VLOOKUP(ppt*fq-H150,Charges!$AN$41:$AO$59,2,FALSE),IF(fq=2,VLOOKUP(ppt*fq-G150,Charges!$AP$41:$AQ$79,2,FALSE),VLOOKUP(ppt*fq-D150,Charges!$AR$41:$AS$279,2,FALSE)))*pr/fq,0),0)</f>
        <v>0</v>
      </c>
      <c r="U150" s="14">
        <f ca="1">IFERROR(((T150*(VLOOKUP(Input!$D$18+H150-1,Tab_Mort_Charge,IF(Gender_2="M",2,3),FALSE)*(1+_emr2)+_rpm2)/IF(Model_Type="LA_PQIS",1000/0.0833,(12*1000))))*Flag_Mort_Rider_Charge*(T150&gt;0),0)</f>
        <v>0</v>
      </c>
      <c r="V150" s="34">
        <f>ROUND(MIN(IF(H150&gt;=7,Charges!$C$12*(1+Charges!$C$14)^((H150-7+1)),VLOOKUP(H150,Charges!$B$7:$C$12,2,0))*pr,Charges!$C$13)*B150,Round)</f>
        <v>500</v>
      </c>
      <c r="W150" s="14">
        <f t="shared" ca="1" si="110"/>
        <v>3666663.1991401743</v>
      </c>
      <c r="X150" s="14">
        <f t="shared" ca="1" si="111"/>
        <v>3678666.9003231241</v>
      </c>
      <c r="Y150" s="213">
        <f t="shared" ca="1" si="133"/>
        <v>4140.7524767506084</v>
      </c>
      <c r="Z150" s="14">
        <f t="shared" ca="1" si="112"/>
        <v>3673780.8124005585</v>
      </c>
      <c r="AA150" s="14">
        <f>IF(AND($H150=pt,$F150=11),SUM($K$7:K150)*VLOOKUP(pt,ROC,2,FALSE),0)</f>
        <v>0</v>
      </c>
      <c r="AB150" s="14">
        <f>IF(AND($H150=pt,$F150=11),SUM($V$7:V150)*VLOOKUP(pt,ROC,2,FALSE),0)</f>
        <v>0</v>
      </c>
      <c r="AC150" s="14">
        <f>IF(AND($H150=pt,$F150=11),SUM($Q$7:Q150)*VLOOKUP(pt,ROC,2,FALSE),0)</f>
        <v>0</v>
      </c>
      <c r="AD150" s="14">
        <f t="shared" ca="1" si="134"/>
        <v>3673780.8124005585</v>
      </c>
      <c r="AE150" s="14">
        <f ca="1">(MAX(sa-CF149*Flag_UL_Type,105%*SUM($I$7:I150),Z150)+AU150)*B150</f>
        <v>3780000</v>
      </c>
      <c r="AF150" s="136"/>
      <c r="AG150" s="18">
        <v>144</v>
      </c>
      <c r="AH150" s="30">
        <f t="shared" ca="1" si="113"/>
        <v>0</v>
      </c>
      <c r="AI150" s="58"/>
      <c r="AJ150" s="50">
        <f>IF(AND(Option_Sys_TopUp&gt;="Y",H150&gt;=sytp,H150&lt;=(dtp+sytp-1),F150=0,H150&lt;=ppt+1),atp,0)+IFERROR(VLOOKUP(H150,Input!$B$55:$C$61,2,0),0)*(F150=0)*(Option_TopUP="Y")*(Option_Sys_TopUp="N")*B150*(pt&gt;=H150+5)</f>
        <v>0</v>
      </c>
      <c r="AK150" s="50">
        <f t="shared" si="114"/>
        <v>0</v>
      </c>
      <c r="AL150" s="50">
        <f t="shared" si="135"/>
        <v>0</v>
      </c>
      <c r="AM150" s="50">
        <f t="shared" ca="1" si="115"/>
        <v>0</v>
      </c>
      <c r="AN150" s="50">
        <f ca="1">IF(B150=0,0,AT150*(_rpm1+(1+_emr1)*VLOOKUP(E150,Tab_Mort_Charge,IF(Input!$C$12="M",2,3),0))*(0.001*0.0833)*Flag_Mort_Rider_Charge*(AT150&gt;0))</f>
        <v>0</v>
      </c>
      <c r="AO150" s="50">
        <f t="shared" ca="1" si="136"/>
        <v>0</v>
      </c>
      <c r="AP150" s="50">
        <f t="shared" ca="1" si="99"/>
        <v>0</v>
      </c>
      <c r="AQ150" s="50">
        <f t="shared" ca="1" si="116"/>
        <v>0</v>
      </c>
      <c r="AR150" s="50">
        <f t="shared" ca="1" si="117"/>
        <v>0</v>
      </c>
      <c r="AS150" s="50">
        <f t="shared" si="118"/>
        <v>0</v>
      </c>
      <c r="AT150" s="50">
        <f ca="1">(MAX((MAX(AS150,105%*SUM($AJ$7:AJ150))-AM150*Flag_UL_Type),0)*B150)</f>
        <v>0</v>
      </c>
      <c r="AU150" s="50">
        <f ca="1">(MAX(AS150,AR150,105%*SUM($AJ$7:AJ150))*B150)</f>
        <v>0</v>
      </c>
      <c r="AV150" s="125"/>
      <c r="AW150" s="13"/>
      <c r="AX150" s="13"/>
      <c r="AY150" s="13"/>
      <c r="AZ150" s="13"/>
      <c r="BA150" s="13"/>
      <c r="BG150" s="51">
        <f t="shared" si="119"/>
        <v>0</v>
      </c>
      <c r="BH150" s="51">
        <f t="shared" ca="1" si="120"/>
        <v>43.2806261372682</v>
      </c>
      <c r="BI150" s="51">
        <f t="shared" ca="1" si="121"/>
        <v>0</v>
      </c>
      <c r="BJ150" s="51">
        <f t="shared" ca="1" si="122"/>
        <v>0</v>
      </c>
      <c r="BK150" s="51">
        <f t="shared" si="123"/>
        <v>90</v>
      </c>
      <c r="BL150" s="51">
        <f t="shared" ca="1" si="124"/>
        <v>745.33544581510944</v>
      </c>
      <c r="BM150" s="51">
        <f t="shared" si="125"/>
        <v>0</v>
      </c>
      <c r="BN150" s="51">
        <f t="shared" ca="1" si="126"/>
        <v>0</v>
      </c>
      <c r="BO150" s="51">
        <f t="shared" ca="1" si="127"/>
        <v>0</v>
      </c>
      <c r="BP150" s="51">
        <f t="shared" ca="1" si="128"/>
        <v>878.61607195237764</v>
      </c>
      <c r="BQ150" s="120"/>
      <c r="BR150" s="32"/>
      <c r="BS150" s="126"/>
      <c r="BT150" s="16"/>
      <c r="BU150" s="58"/>
      <c r="BW150" s="51">
        <f>VLOOKUP(H150,Charges!$AT$4:$AU$33,2,FALSE)*I150</f>
        <v>0</v>
      </c>
      <c r="BX150" s="51">
        <f t="shared" si="129"/>
        <v>0</v>
      </c>
      <c r="BY150" s="51">
        <f t="shared" si="137"/>
        <v>0</v>
      </c>
      <c r="BZ150" s="151"/>
      <c r="CA150" s="151"/>
      <c r="CB150" s="32"/>
      <c r="CC150" s="16">
        <f ca="1">SUM($N$7:$N150)</f>
        <v>0</v>
      </c>
      <c r="CD150" s="16">
        <f t="shared" ca="1" si="130"/>
        <v>0</v>
      </c>
      <c r="CE150" s="16">
        <f t="shared" ca="1" si="131"/>
        <v>0</v>
      </c>
      <c r="CF150" s="7">
        <f t="shared" ca="1" si="138"/>
        <v>0</v>
      </c>
    </row>
    <row r="151" spans="1:84" s="7" customFormat="1" x14ac:dyDescent="0.2">
      <c r="A151" s="149"/>
      <c r="B151" s="14">
        <f t="shared" si="100"/>
        <v>1</v>
      </c>
      <c r="C151" s="12">
        <f t="shared" si="101"/>
        <v>1</v>
      </c>
      <c r="D151" s="17">
        <f t="shared" si="139"/>
        <v>145</v>
      </c>
      <c r="E151" s="17">
        <f t="shared" ca="1" si="102"/>
        <v>72</v>
      </c>
      <c r="F151" s="12">
        <f t="shared" si="141"/>
        <v>0</v>
      </c>
      <c r="G151" s="12">
        <f t="shared" si="140"/>
        <v>25</v>
      </c>
      <c r="H151" s="17">
        <f t="shared" si="142"/>
        <v>13</v>
      </c>
      <c r="I151" s="29">
        <f t="shared" si="103"/>
        <v>300000</v>
      </c>
      <c r="J151" s="211">
        <f>IFERROR(VLOOKUP(H151,Charges!$T$6:$U$35,2,0)*C151,0)</f>
        <v>1</v>
      </c>
      <c r="K151" s="29">
        <f t="shared" si="104"/>
        <v>0</v>
      </c>
      <c r="L151" s="29">
        <f t="shared" si="105"/>
        <v>300000</v>
      </c>
      <c r="M151" s="147">
        <f t="shared" ca="1" si="106"/>
        <v>0</v>
      </c>
      <c r="N151" s="148">
        <f ca="1">IF(AND(Option_SPW="Y",H151&gt;=Lock_In_Period,Z150&gt;SPW_Amount_pa+IF(option="Single",1/5*pr,2*pr),H151&gt;=SPW_Start_Year,H151&lt;=SPW_Start_Year+SPW_Duration-1,age+H151&gt;=Legal_Age),IF(AND(F151=0,SPW_Payout_Freq=1),SPW_Amount_pa,IF(AND(SPW_Payout_Freq=2,MOD(F151,6)=0),SPW_Amount_pa/SPW_Payout_Freq,IF(AND(SPW_Payout_Freq=4,MOD(F151,3)=0),SPW_Amount_pa/SPW_Payout_Freq,IF(SPW_Payout_Freq=12,SPW_Amount_pa/SPW_Payout_Freq,0)))),0)+IFERROR(VLOOKUP(H151,Input!$B$68:$C$74,2,0),0)*(F151=0)*(Option_PW="Y")*(Option_SPW="N")*(age+H151&gt;=Legal_Age)</f>
        <v>0</v>
      </c>
      <c r="O151" s="148">
        <f t="shared" ca="1" si="132"/>
        <v>0</v>
      </c>
      <c r="P151" s="14">
        <f ca="1">(MAX(MAX(sa-CF150*Flag_UL_Type,105%*SUM($I$7:I151))-(AD150+L151-N151)*Flag_UL_Type,0)*B151)</f>
        <v>121219.1875994415</v>
      </c>
      <c r="Q151" s="213">
        <f t="shared" ca="1" si="107"/>
        <v>283.96806887045165</v>
      </c>
      <c r="R151" s="14">
        <f t="shared" ca="1" si="108"/>
        <v>0</v>
      </c>
      <c r="S151" s="14">
        <f t="shared" ca="1" si="109"/>
        <v>0</v>
      </c>
      <c r="T151" s="14">
        <f>IFERROR(IF(WoP_Flag="Y",IF(fq=1,VLOOKUP(ppt*fq-H151,Charges!$AN$41:$AO$59,2,FALSE),IF(fq=2,VLOOKUP(ppt*fq-G151,Charges!$AP$41:$AQ$79,2,FALSE),VLOOKUP(ppt*fq-D151,Charges!$AR$41:$AS$279,2,FALSE)))*pr/fq,0),0)</f>
        <v>0</v>
      </c>
      <c r="U151" s="14">
        <f ca="1">IFERROR(((T151*(VLOOKUP(Input!$D$18+H151-1,Tab_Mort_Charge,IF(Gender_2="M",2,3),FALSE)*(1+_emr2)+_rpm2)/IF(Model_Type="LA_PQIS",1000/0.0833,(12*1000))))*Flag_Mort_Rider_Charge*(T151&gt;0),0)</f>
        <v>0</v>
      </c>
      <c r="V151" s="34">
        <f>ROUND(MIN(IF(H151&gt;=7,Charges!$C$12*(1+Charges!$C$14)^((H151-7+1)),VLOOKUP(H151,Charges!$B$7:$C$12,2,0))*pr,Charges!$C$13)*B151,Round)</f>
        <v>500</v>
      </c>
      <c r="W151" s="14">
        <f t="shared" ca="1" si="110"/>
        <v>3972855.7300792914</v>
      </c>
      <c r="X151" s="14">
        <f t="shared" ca="1" si="111"/>
        <v>3985861.8259317889</v>
      </c>
      <c r="Y151" s="213">
        <f t="shared" ca="1" si="133"/>
        <v>4486.5348439846648</v>
      </c>
      <c r="Z151" s="14">
        <f t="shared" ca="1" si="112"/>
        <v>3980567.7148158872</v>
      </c>
      <c r="AA151" s="14">
        <f>IF(AND($H151=pt,$F151=11),SUM($K$7:K151)*VLOOKUP(pt,ROC,2,FALSE),0)</f>
        <v>0</v>
      </c>
      <c r="AB151" s="14">
        <f>IF(AND($H151=pt,$F151=11),SUM($V$7:V151)*VLOOKUP(pt,ROC,2,FALSE),0)</f>
        <v>0</v>
      </c>
      <c r="AC151" s="14">
        <f>IF(AND($H151=pt,$F151=11),SUM($Q$7:Q151)*VLOOKUP(pt,ROC,2,FALSE),0)</f>
        <v>0</v>
      </c>
      <c r="AD151" s="14">
        <f t="shared" ca="1" si="134"/>
        <v>3980567.7148158872</v>
      </c>
      <c r="AE151" s="14">
        <f ca="1">(MAX(sa-CF150*Flag_UL_Type,105%*SUM($I$7:I151),Z151)+AU151)*B151</f>
        <v>4095000</v>
      </c>
      <c r="AF151" s="136"/>
      <c r="AG151" s="18">
        <v>145</v>
      </c>
      <c r="AH151" s="30">
        <f t="shared" ca="1" si="113"/>
        <v>300000</v>
      </c>
      <c r="AI151" s="58"/>
      <c r="AJ151" s="50">
        <f>IF(AND(Option_Sys_TopUp&gt;="Y",H151&gt;=sytp,H151&lt;=(dtp+sytp-1),F151=0,H151&lt;=ppt+1),atp,0)+IFERROR(VLOOKUP(H151,Input!$B$55:$C$61,2,0),0)*(F151=0)*(Option_TopUP="Y")*(Option_Sys_TopUp="N")*B151*(pt&gt;=H151+5)</f>
        <v>0</v>
      </c>
      <c r="AK151" s="50">
        <f t="shared" si="114"/>
        <v>0</v>
      </c>
      <c r="AL151" s="50">
        <f t="shared" si="135"/>
        <v>0</v>
      </c>
      <c r="AM151" s="50">
        <f t="shared" ca="1" si="115"/>
        <v>0</v>
      </c>
      <c r="AN151" s="50">
        <f ca="1">IF(B151=0,0,AT151*(_rpm1+(1+_emr1)*VLOOKUP(E151,Tab_Mort_Charge,IF(Input!$C$12="M",2,3),0))*(0.001*0.0833)*Flag_Mort_Rider_Charge*(AT151&gt;0))</f>
        <v>0</v>
      </c>
      <c r="AO151" s="50">
        <f t="shared" ca="1" si="136"/>
        <v>0</v>
      </c>
      <c r="AP151" s="50">
        <f t="shared" ca="1" si="99"/>
        <v>0</v>
      </c>
      <c r="AQ151" s="50">
        <f t="shared" ca="1" si="116"/>
        <v>0</v>
      </c>
      <c r="AR151" s="50">
        <f t="shared" ca="1" si="117"/>
        <v>0</v>
      </c>
      <c r="AS151" s="50">
        <f t="shared" si="118"/>
        <v>0</v>
      </c>
      <c r="AT151" s="50">
        <f ca="1">(MAX((MAX(AS151,105%*SUM($AJ$7:AJ151))-AM151*Flag_UL_Type),0)*B151)</f>
        <v>0</v>
      </c>
      <c r="AU151" s="50">
        <f ca="1">(MAX(AS151,AR151,105%*SUM($AJ$7:AJ151))*B151)</f>
        <v>0</v>
      </c>
      <c r="AV151" s="125"/>
      <c r="AW151" s="13"/>
      <c r="AX151" s="13"/>
      <c r="AY151" s="13"/>
      <c r="AZ151" s="13"/>
      <c r="BA151" s="13"/>
      <c r="BG151" s="51">
        <f t="shared" si="119"/>
        <v>0</v>
      </c>
      <c r="BH151" s="51">
        <f t="shared" ca="1" si="120"/>
        <v>51.114252396681302</v>
      </c>
      <c r="BI151" s="51">
        <f t="shared" ca="1" si="121"/>
        <v>0</v>
      </c>
      <c r="BJ151" s="51">
        <f t="shared" ca="1" si="122"/>
        <v>0</v>
      </c>
      <c r="BK151" s="51">
        <f t="shared" si="123"/>
        <v>90</v>
      </c>
      <c r="BL151" s="51">
        <f t="shared" ca="1" si="124"/>
        <v>807.57627191723964</v>
      </c>
      <c r="BM151" s="51">
        <f t="shared" si="125"/>
        <v>0</v>
      </c>
      <c r="BN151" s="51">
        <f t="shared" ca="1" si="126"/>
        <v>0</v>
      </c>
      <c r="BO151" s="51">
        <f t="shared" ca="1" si="127"/>
        <v>0</v>
      </c>
      <c r="BP151" s="51">
        <f t="shared" ca="1" si="128"/>
        <v>948.69052431392095</v>
      </c>
      <c r="BQ151" s="120"/>
      <c r="BR151" s="32"/>
      <c r="BS151" s="126"/>
      <c r="BT151" s="16"/>
      <c r="BU151" s="58"/>
      <c r="BW151" s="51">
        <f>VLOOKUP(H151,Charges!$AT$4:$AU$33,2,FALSE)*I151</f>
        <v>0</v>
      </c>
      <c r="BX151" s="51">
        <f t="shared" si="129"/>
        <v>0</v>
      </c>
      <c r="BY151" s="51">
        <f t="shared" si="137"/>
        <v>0</v>
      </c>
      <c r="BZ151" s="151"/>
      <c r="CA151" s="151"/>
      <c r="CB151" s="32"/>
      <c r="CC151" s="16">
        <f ca="1">SUM($N$7:$N151)</f>
        <v>0</v>
      </c>
      <c r="CD151" s="16">
        <f t="shared" ca="1" si="130"/>
        <v>0</v>
      </c>
      <c r="CE151" s="16">
        <f t="shared" ca="1" si="131"/>
        <v>0</v>
      </c>
      <c r="CF151" s="7">
        <f t="shared" ca="1" si="138"/>
        <v>0</v>
      </c>
    </row>
    <row r="152" spans="1:84" s="7" customFormat="1" x14ac:dyDescent="0.2">
      <c r="A152" s="149"/>
      <c r="B152" s="14">
        <f t="shared" si="100"/>
        <v>1</v>
      </c>
      <c r="C152" s="12">
        <f t="shared" si="101"/>
        <v>1</v>
      </c>
      <c r="D152" s="17">
        <f t="shared" si="139"/>
        <v>146</v>
      </c>
      <c r="E152" s="17">
        <f t="shared" ca="1" si="102"/>
        <v>72</v>
      </c>
      <c r="F152" s="12">
        <f t="shared" si="141"/>
        <v>1</v>
      </c>
      <c r="G152" s="12">
        <f t="shared" si="140"/>
        <v>25</v>
      </c>
      <c r="H152" s="17">
        <f t="shared" si="142"/>
        <v>13</v>
      </c>
      <c r="I152" s="29">
        <f t="shared" si="103"/>
        <v>0</v>
      </c>
      <c r="J152" s="211">
        <f>IFERROR(VLOOKUP(H152,Charges!$T$6:$U$35,2,0)*C152,0)</f>
        <v>1</v>
      </c>
      <c r="K152" s="29">
        <f t="shared" si="104"/>
        <v>0</v>
      </c>
      <c r="L152" s="29">
        <f t="shared" si="105"/>
        <v>0</v>
      </c>
      <c r="M152" s="147">
        <f t="shared" ca="1" si="106"/>
        <v>0</v>
      </c>
      <c r="N152" s="148">
        <f ca="1">IF(AND(Option_SPW="Y",H152&gt;=Lock_In_Period,Z151&gt;SPW_Amount_pa+IF(option="Single",1/5*pr,2*pr),H152&gt;=SPW_Start_Year,H152&lt;=SPW_Start_Year+SPW_Duration-1,age+H152&gt;=Legal_Age),IF(AND(F152=0,SPW_Payout_Freq=1),SPW_Amount_pa,IF(AND(SPW_Payout_Freq=2,MOD(F152,6)=0),SPW_Amount_pa/SPW_Payout_Freq,IF(AND(SPW_Payout_Freq=4,MOD(F152,3)=0),SPW_Amount_pa/SPW_Payout_Freq,IF(SPW_Payout_Freq=12,SPW_Amount_pa/SPW_Payout_Freq,0)))),0)+IFERROR(VLOOKUP(H152,Input!$B$68:$C$74,2,0),0)*(F152=0)*(Option_PW="Y")*(Option_SPW="N")*(age+H152&gt;=Legal_Age)</f>
        <v>0</v>
      </c>
      <c r="O152" s="148">
        <f t="shared" ca="1" si="132"/>
        <v>0</v>
      </c>
      <c r="P152" s="14">
        <f ca="1">(MAX(MAX(sa-CF151*Flag_UL_Type,105%*SUM($I$7:I152))-(AD151+L152-N152)*Flag_UL_Type,0)*B152)</f>
        <v>114432.28518411284</v>
      </c>
      <c r="Q152" s="213">
        <f t="shared" ca="1" si="107"/>
        <v>268.06907127230249</v>
      </c>
      <c r="R152" s="14">
        <f t="shared" ca="1" si="108"/>
        <v>0</v>
      </c>
      <c r="S152" s="14">
        <f t="shared" ca="1" si="109"/>
        <v>0</v>
      </c>
      <c r="T152" s="14">
        <f>IFERROR(IF(WoP_Flag="Y",IF(fq=1,VLOOKUP(ppt*fq-H152,Charges!$AN$41:$AO$59,2,FALSE),IF(fq=2,VLOOKUP(ppt*fq-G152,Charges!$AP$41:$AQ$79,2,FALSE),VLOOKUP(ppt*fq-D152,Charges!$AR$41:$AS$279,2,FALSE)))*pr/fq,0),0)</f>
        <v>0</v>
      </c>
      <c r="U152" s="14">
        <f ca="1">IFERROR(((T152*(VLOOKUP(Input!$D$18+H152-1,Tab_Mort_Charge,IF(Gender_2="M",2,3),FALSE)*(1+_emr2)+_rpm2)/IF(Model_Type="LA_PQIS",1000/0.0833,(12*1000))))*Flag_Mort_Rider_Charge*(T152&gt;0),0)</f>
        <v>0</v>
      </c>
      <c r="V152" s="34">
        <f>ROUND(MIN(IF(H152&gt;=7,Charges!$C$12*(1+Charges!$C$14)^((H152-7+1)),VLOOKUP(H152,Charges!$B$7:$C$12,2,0))*pr,Charges!$C$13)*B152,Round)</f>
        <v>500</v>
      </c>
      <c r="W152" s="14">
        <f t="shared" ca="1" si="110"/>
        <v>3979661.393311786</v>
      </c>
      <c r="X152" s="14">
        <f t="shared" ca="1" si="111"/>
        <v>3992689.769134752</v>
      </c>
      <c r="Y152" s="213">
        <f t="shared" ca="1" si="133"/>
        <v>4494.2204604035633</v>
      </c>
      <c r="Z152" s="14">
        <f t="shared" ca="1" si="112"/>
        <v>3987386.5889914758</v>
      </c>
      <c r="AA152" s="14">
        <f>IF(AND($H152=pt,$F152=11),SUM($K$7:K152)*VLOOKUP(pt,ROC,2,FALSE),0)</f>
        <v>0</v>
      </c>
      <c r="AB152" s="14">
        <f>IF(AND($H152=pt,$F152=11),SUM($V$7:V152)*VLOOKUP(pt,ROC,2,FALSE),0)</f>
        <v>0</v>
      </c>
      <c r="AC152" s="14">
        <f>IF(AND($H152=pt,$F152=11),SUM($Q$7:Q152)*VLOOKUP(pt,ROC,2,FALSE),0)</f>
        <v>0</v>
      </c>
      <c r="AD152" s="14">
        <f t="shared" ca="1" si="134"/>
        <v>3987386.5889914758</v>
      </c>
      <c r="AE152" s="14">
        <f ca="1">(MAX(sa-CF151*Flag_UL_Type,105%*SUM($I$7:I152),Z152)+AU152)*B152</f>
        <v>4095000</v>
      </c>
      <c r="AF152" s="136"/>
      <c r="AG152" s="18">
        <v>146</v>
      </c>
      <c r="AH152" s="30">
        <f t="shared" ca="1" si="113"/>
        <v>0</v>
      </c>
      <c r="AI152" s="58"/>
      <c r="AJ152" s="50">
        <f>IF(AND(Option_Sys_TopUp&gt;="Y",H152&gt;=sytp,H152&lt;=(dtp+sytp-1),F152=0,H152&lt;=ppt+1),atp,0)+IFERROR(VLOOKUP(H152,Input!$B$55:$C$61,2,0),0)*(F152=0)*(Option_TopUP="Y")*(Option_Sys_TopUp="N")*B152*(pt&gt;=H152+5)</f>
        <v>0</v>
      </c>
      <c r="AK152" s="50">
        <f t="shared" si="114"/>
        <v>0</v>
      </c>
      <c r="AL152" s="50">
        <f t="shared" si="135"/>
        <v>0</v>
      </c>
      <c r="AM152" s="50">
        <f t="shared" ca="1" si="115"/>
        <v>0</v>
      </c>
      <c r="AN152" s="50">
        <f ca="1">IF(B152=0,0,AT152*(_rpm1+(1+_emr1)*VLOOKUP(E152,Tab_Mort_Charge,IF(Input!$C$12="M",2,3),0))*(0.001*0.0833)*Flag_Mort_Rider_Charge*(AT152&gt;0))</f>
        <v>0</v>
      </c>
      <c r="AO152" s="50">
        <f t="shared" ca="1" si="136"/>
        <v>0</v>
      </c>
      <c r="AP152" s="50">
        <f t="shared" ca="1" si="99"/>
        <v>0</v>
      </c>
      <c r="AQ152" s="50">
        <f t="shared" ca="1" si="116"/>
        <v>0</v>
      </c>
      <c r="AR152" s="50">
        <f t="shared" ca="1" si="117"/>
        <v>0</v>
      </c>
      <c r="AS152" s="50">
        <f t="shared" si="118"/>
        <v>0</v>
      </c>
      <c r="AT152" s="50">
        <f ca="1">(MAX((MAX(AS152,105%*SUM($AJ$7:AJ152))-AM152*Flag_UL_Type),0)*B152)</f>
        <v>0</v>
      </c>
      <c r="AU152" s="50">
        <f ca="1">(MAX(AS152,AR152,105%*SUM($AJ$7:AJ152))*B152)</f>
        <v>0</v>
      </c>
      <c r="AV152" s="125"/>
      <c r="AW152" s="13"/>
      <c r="AX152" s="13"/>
      <c r="AY152" s="13"/>
      <c r="AZ152" s="13"/>
      <c r="BA152" s="13"/>
      <c r="BG152" s="51">
        <f t="shared" si="119"/>
        <v>0</v>
      </c>
      <c r="BH152" s="51">
        <f t="shared" ca="1" si="120"/>
        <v>48.252432829014403</v>
      </c>
      <c r="BI152" s="51">
        <f t="shared" ca="1" si="121"/>
        <v>0</v>
      </c>
      <c r="BJ152" s="51">
        <f t="shared" ca="1" si="122"/>
        <v>0</v>
      </c>
      <c r="BK152" s="51">
        <f t="shared" si="123"/>
        <v>90</v>
      </c>
      <c r="BL152" s="51">
        <f t="shared" ca="1" si="124"/>
        <v>808.95968287264134</v>
      </c>
      <c r="BM152" s="51">
        <f t="shared" si="125"/>
        <v>0</v>
      </c>
      <c r="BN152" s="51">
        <f t="shared" ca="1" si="126"/>
        <v>0</v>
      </c>
      <c r="BO152" s="51">
        <f t="shared" ca="1" si="127"/>
        <v>0</v>
      </c>
      <c r="BP152" s="51">
        <f t="shared" ca="1" si="128"/>
        <v>947.21211570165576</v>
      </c>
      <c r="BQ152" s="120"/>
      <c r="BR152" s="32"/>
      <c r="BS152" s="126"/>
      <c r="BT152" s="16"/>
      <c r="BU152" s="58"/>
      <c r="BW152" s="51">
        <f>VLOOKUP(H152,Charges!$AT$4:$AU$33,2,FALSE)*I152</f>
        <v>0</v>
      </c>
      <c r="BX152" s="51">
        <f t="shared" si="129"/>
        <v>0</v>
      </c>
      <c r="BY152" s="51">
        <f t="shared" si="137"/>
        <v>0</v>
      </c>
      <c r="BZ152" s="151"/>
      <c r="CA152" s="151"/>
      <c r="CB152" s="32"/>
      <c r="CC152" s="16">
        <f ca="1">SUM($N$7:$N152)</f>
        <v>0</v>
      </c>
      <c r="CD152" s="16">
        <f t="shared" ca="1" si="130"/>
        <v>0</v>
      </c>
      <c r="CE152" s="16">
        <f t="shared" ca="1" si="131"/>
        <v>0</v>
      </c>
      <c r="CF152" s="7">
        <f t="shared" ca="1" si="138"/>
        <v>0</v>
      </c>
    </row>
    <row r="153" spans="1:84" s="7" customFormat="1" x14ac:dyDescent="0.2">
      <c r="A153" s="149"/>
      <c r="B153" s="14">
        <f t="shared" si="100"/>
        <v>1</v>
      </c>
      <c r="C153" s="12">
        <f t="shared" si="101"/>
        <v>1</v>
      </c>
      <c r="D153" s="17">
        <f t="shared" si="139"/>
        <v>147</v>
      </c>
      <c r="E153" s="17">
        <f t="shared" ca="1" si="102"/>
        <v>72</v>
      </c>
      <c r="F153" s="12">
        <f t="shared" si="141"/>
        <v>2</v>
      </c>
      <c r="G153" s="12">
        <f t="shared" si="140"/>
        <v>25</v>
      </c>
      <c r="H153" s="17">
        <f t="shared" si="142"/>
        <v>13</v>
      </c>
      <c r="I153" s="29">
        <f t="shared" si="103"/>
        <v>0</v>
      </c>
      <c r="J153" s="211">
        <f>IFERROR(VLOOKUP(H153,Charges!$T$6:$U$35,2,0)*C153,0)</f>
        <v>1</v>
      </c>
      <c r="K153" s="29">
        <f t="shared" si="104"/>
        <v>0</v>
      </c>
      <c r="L153" s="29">
        <f t="shared" si="105"/>
        <v>0</v>
      </c>
      <c r="M153" s="147">
        <f t="shared" ca="1" si="106"/>
        <v>0</v>
      </c>
      <c r="N153" s="148">
        <f ca="1">IF(AND(Option_SPW="Y",H153&gt;=Lock_In_Period,Z152&gt;SPW_Amount_pa+IF(option="Single",1/5*pr,2*pr),H153&gt;=SPW_Start_Year,H153&lt;=SPW_Start_Year+SPW_Duration-1,age+H153&gt;=Legal_Age),IF(AND(F153=0,SPW_Payout_Freq=1),SPW_Amount_pa,IF(AND(SPW_Payout_Freq=2,MOD(F153,6)=0),SPW_Amount_pa/SPW_Payout_Freq,IF(AND(SPW_Payout_Freq=4,MOD(F153,3)=0),SPW_Amount_pa/SPW_Payout_Freq,IF(SPW_Payout_Freq=12,SPW_Amount_pa/SPW_Payout_Freq,0)))),0)+IFERROR(VLOOKUP(H153,Input!$B$68:$C$74,2,0),0)*(F153=0)*(Option_PW="Y")*(Option_SPW="N")*(age+H153&gt;=Legal_Age)</f>
        <v>0</v>
      </c>
      <c r="O153" s="148">
        <f t="shared" ca="1" si="132"/>
        <v>0</v>
      </c>
      <c r="P153" s="14">
        <f ca="1">(MAX(MAX(sa-CF152*Flag_UL_Type,105%*SUM($I$7:I153))-(AD152+L153-N153)*Flag_UL_Type,0)*B153)</f>
        <v>107613.41100852424</v>
      </c>
      <c r="Q153" s="213">
        <f t="shared" ca="1" si="107"/>
        <v>252.09517662856916</v>
      </c>
      <c r="R153" s="14">
        <f t="shared" ca="1" si="108"/>
        <v>0</v>
      </c>
      <c r="S153" s="14">
        <f t="shared" ca="1" si="109"/>
        <v>0</v>
      </c>
      <c r="T153" s="14">
        <f>IFERROR(IF(WoP_Flag="Y",IF(fq=1,VLOOKUP(ppt*fq-H153,Charges!$AN$41:$AO$59,2,FALSE),IF(fq=2,VLOOKUP(ppt*fq-G153,Charges!$AP$41:$AQ$79,2,FALSE),VLOOKUP(ppt*fq-D153,Charges!$AR$41:$AS$279,2,FALSE)))*pr/fq,0),0)</f>
        <v>0</v>
      </c>
      <c r="U153" s="14">
        <f ca="1">IFERROR(((T153*(VLOOKUP(Input!$D$18+H153-1,Tab_Mort_Charge,IF(Gender_2="M",2,3),FALSE)*(1+_emr2)+_rpm2)/IF(Model_Type="LA_PQIS",1000/0.0833,(12*1000))))*Flag_Mort_Rider_Charge*(T153&gt;0),0)</f>
        <v>0</v>
      </c>
      <c r="V153" s="34">
        <f>ROUND(MIN(IF(H153&gt;=7,Charges!$C$12*(1+Charges!$C$14)^((H153-7+1)),VLOOKUP(H153,Charges!$B$7:$C$12,2,0))*pr,Charges!$C$13)*B153,Round)</f>
        <v>500</v>
      </c>
      <c r="W153" s="14">
        <f t="shared" ca="1" si="110"/>
        <v>3986499.1166830542</v>
      </c>
      <c r="X153" s="14">
        <f t="shared" ca="1" si="111"/>
        <v>3999549.8774330402</v>
      </c>
      <c r="Y153" s="213">
        <f t="shared" ca="1" si="133"/>
        <v>4501.9422822473452</v>
      </c>
      <c r="Z153" s="14">
        <f t="shared" ca="1" si="112"/>
        <v>3994237.5855399882</v>
      </c>
      <c r="AA153" s="14">
        <f>IF(AND($H153=pt,$F153=11),SUM($K$7:K153)*VLOOKUP(pt,ROC,2,FALSE),0)</f>
        <v>0</v>
      </c>
      <c r="AB153" s="14">
        <f>IF(AND($H153=pt,$F153=11),SUM($V$7:V153)*VLOOKUP(pt,ROC,2,FALSE),0)</f>
        <v>0</v>
      </c>
      <c r="AC153" s="14">
        <f>IF(AND($H153=pt,$F153=11),SUM($Q$7:Q153)*VLOOKUP(pt,ROC,2,FALSE),0)</f>
        <v>0</v>
      </c>
      <c r="AD153" s="14">
        <f t="shared" ca="1" si="134"/>
        <v>3994237.5855399882</v>
      </c>
      <c r="AE153" s="14">
        <f ca="1">(MAX(sa-CF152*Flag_UL_Type,105%*SUM($I$7:I153),Z153)+AU153)*B153</f>
        <v>4095000</v>
      </c>
      <c r="AF153" s="136"/>
      <c r="AG153" s="18">
        <v>147</v>
      </c>
      <c r="AH153" s="30">
        <f t="shared" ca="1" si="113"/>
        <v>0</v>
      </c>
      <c r="AI153" s="58"/>
      <c r="AJ153" s="50">
        <f>IF(AND(Option_Sys_TopUp&gt;="Y",H153&gt;=sytp,H153&lt;=(dtp+sytp-1),F153=0,H153&lt;=ppt+1),atp,0)+IFERROR(VLOOKUP(H153,Input!$B$55:$C$61,2,0),0)*(F153=0)*(Option_TopUP="Y")*(Option_Sys_TopUp="N")*B153*(pt&gt;=H153+5)</f>
        <v>0</v>
      </c>
      <c r="AK153" s="50">
        <f t="shared" si="114"/>
        <v>0</v>
      </c>
      <c r="AL153" s="50">
        <f t="shared" si="135"/>
        <v>0</v>
      </c>
      <c r="AM153" s="50">
        <f t="shared" ca="1" si="115"/>
        <v>0</v>
      </c>
      <c r="AN153" s="50">
        <f ca="1">IF(B153=0,0,AT153*(_rpm1+(1+_emr1)*VLOOKUP(E153,Tab_Mort_Charge,IF(Input!$C$12="M",2,3),0))*(0.001*0.0833)*Flag_Mort_Rider_Charge*(AT153&gt;0))</f>
        <v>0</v>
      </c>
      <c r="AO153" s="50">
        <f t="shared" ca="1" si="136"/>
        <v>0</v>
      </c>
      <c r="AP153" s="50">
        <f t="shared" ca="1" si="99"/>
        <v>0</v>
      </c>
      <c r="AQ153" s="50">
        <f t="shared" ca="1" si="116"/>
        <v>0</v>
      </c>
      <c r="AR153" s="50">
        <f t="shared" ca="1" si="117"/>
        <v>0</v>
      </c>
      <c r="AS153" s="50">
        <f t="shared" si="118"/>
        <v>0</v>
      </c>
      <c r="AT153" s="50">
        <f ca="1">(MAX((MAX(AS153,105%*SUM($AJ$7:AJ153))-AM153*Flag_UL_Type),0)*B153)</f>
        <v>0</v>
      </c>
      <c r="AU153" s="50">
        <f ca="1">(MAX(AS153,AR153,105%*SUM($AJ$7:AJ153))*B153)</f>
        <v>0</v>
      </c>
      <c r="AV153" s="125"/>
      <c r="AW153" s="13"/>
      <c r="AX153" s="13"/>
      <c r="AY153" s="13"/>
      <c r="AZ153" s="13"/>
      <c r="BA153" s="13"/>
      <c r="BG153" s="51">
        <f t="shared" si="119"/>
        <v>0</v>
      </c>
      <c r="BH153" s="51">
        <f t="shared" ca="1" si="120"/>
        <v>45.377131793142397</v>
      </c>
      <c r="BI153" s="51">
        <f t="shared" ca="1" si="121"/>
        <v>0</v>
      </c>
      <c r="BJ153" s="51">
        <f t="shared" ca="1" si="122"/>
        <v>0</v>
      </c>
      <c r="BK153" s="51">
        <f t="shared" si="123"/>
        <v>90</v>
      </c>
      <c r="BL153" s="51">
        <f t="shared" ca="1" si="124"/>
        <v>810.34961080452206</v>
      </c>
      <c r="BM153" s="51">
        <f t="shared" si="125"/>
        <v>0</v>
      </c>
      <c r="BN153" s="51">
        <f t="shared" ca="1" si="126"/>
        <v>0</v>
      </c>
      <c r="BO153" s="51">
        <f t="shared" ca="1" si="127"/>
        <v>0</v>
      </c>
      <c r="BP153" s="51">
        <f t="shared" ca="1" si="128"/>
        <v>945.7267425976645</v>
      </c>
      <c r="BQ153" s="120"/>
      <c r="BR153" s="32"/>
      <c r="BS153" s="126"/>
      <c r="BT153" s="16"/>
      <c r="BU153" s="58"/>
      <c r="BW153" s="51">
        <f>VLOOKUP(H153,Charges!$AT$4:$AU$33,2,FALSE)*I153</f>
        <v>0</v>
      </c>
      <c r="BX153" s="51">
        <f t="shared" si="129"/>
        <v>0</v>
      </c>
      <c r="BY153" s="51">
        <f t="shared" si="137"/>
        <v>0</v>
      </c>
      <c r="BZ153" s="151"/>
      <c r="CA153" s="151"/>
      <c r="CB153" s="32"/>
      <c r="CC153" s="16">
        <f ca="1">SUM($N$7:$N153)</f>
        <v>0</v>
      </c>
      <c r="CD153" s="16">
        <f t="shared" ca="1" si="130"/>
        <v>0</v>
      </c>
      <c r="CE153" s="16">
        <f t="shared" ca="1" si="131"/>
        <v>0</v>
      </c>
      <c r="CF153" s="7">
        <f t="shared" ca="1" si="138"/>
        <v>0</v>
      </c>
    </row>
    <row r="154" spans="1:84" s="7" customFormat="1" x14ac:dyDescent="0.2">
      <c r="A154" s="149"/>
      <c r="B154" s="14">
        <f t="shared" si="100"/>
        <v>1</v>
      </c>
      <c r="C154" s="12">
        <f t="shared" si="101"/>
        <v>1</v>
      </c>
      <c r="D154" s="17">
        <f t="shared" si="139"/>
        <v>148</v>
      </c>
      <c r="E154" s="17">
        <f t="shared" ca="1" si="102"/>
        <v>72</v>
      </c>
      <c r="F154" s="12">
        <f t="shared" si="141"/>
        <v>3</v>
      </c>
      <c r="G154" s="12">
        <f t="shared" si="140"/>
        <v>25</v>
      </c>
      <c r="H154" s="17">
        <f t="shared" si="142"/>
        <v>13</v>
      </c>
      <c r="I154" s="29">
        <f t="shared" si="103"/>
        <v>0</v>
      </c>
      <c r="J154" s="211">
        <f>IFERROR(VLOOKUP(H154,Charges!$T$6:$U$35,2,0)*C154,0)</f>
        <v>1</v>
      </c>
      <c r="K154" s="29">
        <f t="shared" si="104"/>
        <v>0</v>
      </c>
      <c r="L154" s="29">
        <f t="shared" si="105"/>
        <v>0</v>
      </c>
      <c r="M154" s="147">
        <f t="shared" ca="1" si="106"/>
        <v>0</v>
      </c>
      <c r="N154" s="148">
        <f ca="1">IF(AND(Option_SPW="Y",H154&gt;=Lock_In_Period,Z153&gt;SPW_Amount_pa+IF(option="Single",1/5*pr,2*pr),H154&gt;=SPW_Start_Year,H154&lt;=SPW_Start_Year+SPW_Duration-1,age+H154&gt;=Legal_Age),IF(AND(F154=0,SPW_Payout_Freq=1),SPW_Amount_pa,IF(AND(SPW_Payout_Freq=2,MOD(F154,6)=0),SPW_Amount_pa/SPW_Payout_Freq,IF(AND(SPW_Payout_Freq=4,MOD(F154,3)=0),SPW_Amount_pa/SPW_Payout_Freq,IF(SPW_Payout_Freq=12,SPW_Amount_pa/SPW_Payout_Freq,0)))),0)+IFERROR(VLOOKUP(H154,Input!$B$68:$C$74,2,0),0)*(F154=0)*(Option_PW="Y")*(Option_SPW="N")*(age+H154&gt;=Legal_Age)</f>
        <v>0</v>
      </c>
      <c r="O154" s="148">
        <f t="shared" ca="1" si="132"/>
        <v>0</v>
      </c>
      <c r="P154" s="14">
        <f ca="1">(MAX(MAX(sa-CF153*Flag_UL_Type,105%*SUM($I$7:I154))-(AD153+L154-N154)*Flag_UL_Type,0)*B154)</f>
        <v>100762.41446001176</v>
      </c>
      <c r="Q154" s="213">
        <f t="shared" ca="1" si="107"/>
        <v>236.04603211402335</v>
      </c>
      <c r="R154" s="14">
        <f t="shared" ca="1" si="108"/>
        <v>0</v>
      </c>
      <c r="S154" s="14">
        <f t="shared" ca="1" si="109"/>
        <v>0</v>
      </c>
      <c r="T154" s="14">
        <f>IFERROR(IF(WoP_Flag="Y",IF(fq=1,VLOOKUP(ppt*fq-H154,Charges!$AN$41:$AO$59,2,FALSE),IF(fq=2,VLOOKUP(ppt*fq-G154,Charges!$AP$41:$AQ$79,2,FALSE),VLOOKUP(ppt*fq-D154,Charges!$AR$41:$AS$279,2,FALSE)))*pr/fq,0),0)</f>
        <v>0</v>
      </c>
      <c r="U154" s="14">
        <f ca="1">IFERROR(((T154*(VLOOKUP(Input!$D$18+H154-1,Tab_Mort_Charge,IF(Gender_2="M",2,3),FALSE)*(1+_emr2)+_rpm2)/IF(Model_Type="LA_PQIS",1000/0.0833,(12*1000))))*Flag_Mort_Rider_Charge*(T154&gt;0),0)</f>
        <v>0</v>
      </c>
      <c r="V154" s="34">
        <f>ROUND(MIN(IF(H154&gt;=7,Charges!$C$12*(1+Charges!$C$14)^((H154-7+1)),VLOOKUP(H154,Charges!$B$7:$C$12,2,0))*pr,Charges!$C$13)*B154,Round)</f>
        <v>500</v>
      </c>
      <c r="W154" s="14">
        <f t="shared" ca="1" si="110"/>
        <v>3993369.0512220939</v>
      </c>
      <c r="X154" s="14">
        <f t="shared" ca="1" si="111"/>
        <v>4006442.3023500815</v>
      </c>
      <c r="Y154" s="213">
        <f t="shared" ca="1" si="133"/>
        <v>4509.7004800726363</v>
      </c>
      <c r="Z154" s="14">
        <f t="shared" ca="1" si="112"/>
        <v>4001120.8557835957</v>
      </c>
      <c r="AA154" s="14">
        <f>IF(AND($H154=pt,$F154=11),SUM($K$7:K154)*VLOOKUP(pt,ROC,2,FALSE),0)</f>
        <v>0</v>
      </c>
      <c r="AB154" s="14">
        <f>IF(AND($H154=pt,$F154=11),SUM($V$7:V154)*VLOOKUP(pt,ROC,2,FALSE),0)</f>
        <v>0</v>
      </c>
      <c r="AC154" s="14">
        <f>IF(AND($H154=pt,$F154=11),SUM($Q$7:Q154)*VLOOKUP(pt,ROC,2,FALSE),0)</f>
        <v>0</v>
      </c>
      <c r="AD154" s="14">
        <f t="shared" ca="1" si="134"/>
        <v>4001120.8557835957</v>
      </c>
      <c r="AE154" s="14">
        <f ca="1">(MAX(sa-CF153*Flag_UL_Type,105%*SUM($I$7:I154),Z154)+AU154)*B154</f>
        <v>4095000</v>
      </c>
      <c r="AF154" s="136"/>
      <c r="AG154" s="18">
        <v>148</v>
      </c>
      <c r="AH154" s="30">
        <f t="shared" ca="1" si="113"/>
        <v>0</v>
      </c>
      <c r="AI154" s="58"/>
      <c r="AJ154" s="50">
        <f>IF(AND(Option_Sys_TopUp&gt;="Y",H154&gt;=sytp,H154&lt;=(dtp+sytp-1),F154=0,H154&lt;=ppt+1),atp,0)+IFERROR(VLOOKUP(H154,Input!$B$55:$C$61,2,0),0)*(F154=0)*(Option_TopUP="Y")*(Option_Sys_TopUp="N")*B154*(pt&gt;=H154+5)</f>
        <v>0</v>
      </c>
      <c r="AK154" s="50">
        <f t="shared" si="114"/>
        <v>0</v>
      </c>
      <c r="AL154" s="50">
        <f t="shared" si="135"/>
        <v>0</v>
      </c>
      <c r="AM154" s="50">
        <f t="shared" ca="1" si="115"/>
        <v>0</v>
      </c>
      <c r="AN154" s="50">
        <f ca="1">IF(B154=0,0,AT154*(_rpm1+(1+_emr1)*VLOOKUP(E154,Tab_Mort_Charge,IF(Input!$C$12="M",2,3),0))*(0.001*0.0833)*Flag_Mort_Rider_Charge*(AT154&gt;0))</f>
        <v>0</v>
      </c>
      <c r="AO154" s="50">
        <f t="shared" ca="1" si="136"/>
        <v>0</v>
      </c>
      <c r="AP154" s="50">
        <f t="shared" ca="1" si="99"/>
        <v>0</v>
      </c>
      <c r="AQ154" s="50">
        <f t="shared" ca="1" si="116"/>
        <v>0</v>
      </c>
      <c r="AR154" s="50">
        <f t="shared" ca="1" si="117"/>
        <v>0</v>
      </c>
      <c r="AS154" s="50">
        <f t="shared" si="118"/>
        <v>0</v>
      </c>
      <c r="AT154" s="50">
        <f ca="1">(MAX((MAX(AS154,105%*SUM($AJ$7:AJ154))-AM154*Flag_UL_Type),0)*B154)</f>
        <v>0</v>
      </c>
      <c r="AU154" s="50">
        <f ca="1">(MAX(AS154,AR154,105%*SUM($AJ$7:AJ154))*B154)</f>
        <v>0</v>
      </c>
      <c r="AV154" s="125"/>
      <c r="AW154" s="13"/>
      <c r="AX154" s="13"/>
      <c r="AY154" s="13"/>
      <c r="AZ154" s="13"/>
      <c r="BA154" s="13"/>
      <c r="BG154" s="51">
        <f t="shared" si="119"/>
        <v>0</v>
      </c>
      <c r="BH154" s="51">
        <f t="shared" ca="1" si="120"/>
        <v>42.488285780524201</v>
      </c>
      <c r="BI154" s="51">
        <f t="shared" ca="1" si="121"/>
        <v>0</v>
      </c>
      <c r="BJ154" s="51">
        <f t="shared" ca="1" si="122"/>
        <v>0</v>
      </c>
      <c r="BK154" s="51">
        <f t="shared" si="123"/>
        <v>90</v>
      </c>
      <c r="BL154" s="51">
        <f t="shared" ca="1" si="124"/>
        <v>811.74608641307452</v>
      </c>
      <c r="BM154" s="51">
        <f t="shared" si="125"/>
        <v>0</v>
      </c>
      <c r="BN154" s="51">
        <f t="shared" ca="1" si="126"/>
        <v>0</v>
      </c>
      <c r="BO154" s="51">
        <f t="shared" ca="1" si="127"/>
        <v>0</v>
      </c>
      <c r="BP154" s="51">
        <f t="shared" ca="1" si="128"/>
        <v>944.23437219359869</v>
      </c>
      <c r="BQ154" s="120"/>
      <c r="BR154" s="32"/>
      <c r="BS154" s="126"/>
      <c r="BT154" s="16"/>
      <c r="BU154" s="58"/>
      <c r="BW154" s="51">
        <f>VLOOKUP(H154,Charges!$AT$4:$AU$33,2,FALSE)*I154</f>
        <v>0</v>
      </c>
      <c r="BX154" s="51">
        <f t="shared" si="129"/>
        <v>0</v>
      </c>
      <c r="BY154" s="51">
        <f t="shared" si="137"/>
        <v>0</v>
      </c>
      <c r="BZ154" s="151"/>
      <c r="CA154" s="151"/>
      <c r="CB154" s="32"/>
      <c r="CC154" s="16">
        <f ca="1">SUM($N$7:$N154)</f>
        <v>0</v>
      </c>
      <c r="CD154" s="16">
        <f t="shared" ca="1" si="130"/>
        <v>0</v>
      </c>
      <c r="CE154" s="16">
        <f t="shared" ca="1" si="131"/>
        <v>0</v>
      </c>
      <c r="CF154" s="7">
        <f t="shared" ca="1" si="138"/>
        <v>0</v>
      </c>
    </row>
    <row r="155" spans="1:84" s="7" customFormat="1" x14ac:dyDescent="0.2">
      <c r="A155" s="149"/>
      <c r="B155" s="14">
        <f t="shared" si="100"/>
        <v>1</v>
      </c>
      <c r="C155" s="12">
        <f t="shared" si="101"/>
        <v>1</v>
      </c>
      <c r="D155" s="17">
        <f t="shared" si="139"/>
        <v>149</v>
      </c>
      <c r="E155" s="17">
        <f t="shared" ca="1" si="102"/>
        <v>72</v>
      </c>
      <c r="F155" s="12">
        <f t="shared" si="141"/>
        <v>4</v>
      </c>
      <c r="G155" s="12">
        <f t="shared" si="140"/>
        <v>25</v>
      </c>
      <c r="H155" s="17">
        <f t="shared" si="142"/>
        <v>13</v>
      </c>
      <c r="I155" s="29">
        <f t="shared" si="103"/>
        <v>0</v>
      </c>
      <c r="J155" s="211">
        <f>IFERROR(VLOOKUP(H155,Charges!$T$6:$U$35,2,0)*C155,0)</f>
        <v>1</v>
      </c>
      <c r="K155" s="29">
        <f t="shared" si="104"/>
        <v>0</v>
      </c>
      <c r="L155" s="29">
        <f t="shared" si="105"/>
        <v>0</v>
      </c>
      <c r="M155" s="147">
        <f t="shared" ca="1" si="106"/>
        <v>0</v>
      </c>
      <c r="N155" s="148">
        <f ca="1">IF(AND(Option_SPW="Y",H155&gt;=Lock_In_Period,Z154&gt;SPW_Amount_pa+IF(option="Single",1/5*pr,2*pr),H155&gt;=SPW_Start_Year,H155&lt;=SPW_Start_Year+SPW_Duration-1,age+H155&gt;=Legal_Age),IF(AND(F155=0,SPW_Payout_Freq=1),SPW_Amount_pa,IF(AND(SPW_Payout_Freq=2,MOD(F155,6)=0),SPW_Amount_pa/SPW_Payout_Freq,IF(AND(SPW_Payout_Freq=4,MOD(F155,3)=0),SPW_Amount_pa/SPW_Payout_Freq,IF(SPW_Payout_Freq=12,SPW_Amount_pa/SPW_Payout_Freq,0)))),0)+IFERROR(VLOOKUP(H155,Input!$B$68:$C$74,2,0),0)*(F155=0)*(Option_PW="Y")*(Option_SPW="N")*(age+H155&gt;=Legal_Age)</f>
        <v>0</v>
      </c>
      <c r="O155" s="148">
        <f t="shared" ca="1" si="132"/>
        <v>0</v>
      </c>
      <c r="P155" s="14">
        <f ca="1">(MAX(MAX(sa-CF154*Flag_UL_Type,105%*SUM($I$7:I155))-(AD154+L155-N155)*Flag_UL_Type,0)*B155)</f>
        <v>93879.144216404296</v>
      </c>
      <c r="Q155" s="213">
        <f t="shared" ca="1" si="107"/>
        <v>219.92128324134833</v>
      </c>
      <c r="R155" s="14">
        <f t="shared" ca="1" si="108"/>
        <v>0</v>
      </c>
      <c r="S155" s="14">
        <f t="shared" ca="1" si="109"/>
        <v>0</v>
      </c>
      <c r="T155" s="14">
        <f>IFERROR(IF(WoP_Flag="Y",IF(fq=1,VLOOKUP(ppt*fq-H155,Charges!$AN$41:$AO$59,2,FALSE),IF(fq=2,VLOOKUP(ppt*fq-G155,Charges!$AP$41:$AQ$79,2,FALSE),VLOOKUP(ppt*fq-D155,Charges!$AR$41:$AS$279,2,FALSE)))*pr/fq,0),0)</f>
        <v>0</v>
      </c>
      <c r="U155" s="14">
        <f ca="1">IFERROR(((T155*(VLOOKUP(Input!$D$18+H155-1,Tab_Mort_Charge,IF(Gender_2="M",2,3),FALSE)*(1+_emr2)+_rpm2)/IF(Model_Type="LA_PQIS",1000/0.0833,(12*1000))))*Flag_Mort_Rider_Charge*(T155&gt;0),0)</f>
        <v>0</v>
      </c>
      <c r="V155" s="34">
        <f>ROUND(MIN(IF(H155&gt;=7,Charges!$C$12*(1+Charges!$C$14)^((H155-7+1)),VLOOKUP(H155,Charges!$B$7:$C$12,2,0))*pr,Charges!$C$13)*B155,Round)</f>
        <v>500</v>
      </c>
      <c r="W155" s="14">
        <f t="shared" ca="1" si="110"/>
        <v>4000271.3486693711</v>
      </c>
      <c r="X155" s="14">
        <f t="shared" ca="1" si="111"/>
        <v>4013367.1961231004</v>
      </c>
      <c r="Y155" s="213">
        <f t="shared" ca="1" si="133"/>
        <v>4517.4952252395187</v>
      </c>
      <c r="Z155" s="14">
        <f t="shared" ca="1" si="112"/>
        <v>4008036.5517573175</v>
      </c>
      <c r="AA155" s="14">
        <f>IF(AND($H155=pt,$F155=11),SUM($K$7:K155)*VLOOKUP(pt,ROC,2,FALSE),0)</f>
        <v>0</v>
      </c>
      <c r="AB155" s="14">
        <f>IF(AND($H155=pt,$F155=11),SUM($V$7:V155)*VLOOKUP(pt,ROC,2,FALSE),0)</f>
        <v>0</v>
      </c>
      <c r="AC155" s="14">
        <f>IF(AND($H155=pt,$F155=11),SUM($Q$7:Q155)*VLOOKUP(pt,ROC,2,FALSE),0)</f>
        <v>0</v>
      </c>
      <c r="AD155" s="14">
        <f t="shared" ca="1" si="134"/>
        <v>4008036.5517573175</v>
      </c>
      <c r="AE155" s="14">
        <f ca="1">(MAX(sa-CF154*Flag_UL_Type,105%*SUM($I$7:I155),Z155)+AU155)*B155</f>
        <v>4095000</v>
      </c>
      <c r="AF155" s="136"/>
      <c r="AG155" s="18">
        <v>149</v>
      </c>
      <c r="AH155" s="30">
        <f t="shared" ca="1" si="113"/>
        <v>0</v>
      </c>
      <c r="AI155" s="58"/>
      <c r="AJ155" s="50">
        <f>IF(AND(Option_Sys_TopUp&gt;="Y",H155&gt;=sytp,H155&lt;=(dtp+sytp-1),F155=0,H155&lt;=ppt+1),atp,0)+IFERROR(VLOOKUP(H155,Input!$B$55:$C$61,2,0),0)*(F155=0)*(Option_TopUP="Y")*(Option_Sys_TopUp="N")*B155*(pt&gt;=H155+5)</f>
        <v>0</v>
      </c>
      <c r="AK155" s="50">
        <f t="shared" si="114"/>
        <v>0</v>
      </c>
      <c r="AL155" s="50">
        <f t="shared" si="135"/>
        <v>0</v>
      </c>
      <c r="AM155" s="50">
        <f t="shared" ca="1" si="115"/>
        <v>0</v>
      </c>
      <c r="AN155" s="50">
        <f ca="1">IF(B155=0,0,AT155*(_rpm1+(1+_emr1)*VLOOKUP(E155,Tab_Mort_Charge,IF(Input!$C$12="M",2,3),0))*(0.001*0.0833)*Flag_Mort_Rider_Charge*(AT155&gt;0))</f>
        <v>0</v>
      </c>
      <c r="AO155" s="50">
        <f t="shared" ca="1" si="136"/>
        <v>0</v>
      </c>
      <c r="AP155" s="50">
        <f t="shared" ca="1" si="99"/>
        <v>0</v>
      </c>
      <c r="AQ155" s="50">
        <f t="shared" ca="1" si="116"/>
        <v>0</v>
      </c>
      <c r="AR155" s="50">
        <f t="shared" ca="1" si="117"/>
        <v>0</v>
      </c>
      <c r="AS155" s="50">
        <f t="shared" si="118"/>
        <v>0</v>
      </c>
      <c r="AT155" s="50">
        <f ca="1">(MAX((MAX(AS155,105%*SUM($AJ$7:AJ155))-AM155*Flag_UL_Type),0)*B155)</f>
        <v>0</v>
      </c>
      <c r="AU155" s="50">
        <f ca="1">(MAX(AS155,AR155,105%*SUM($AJ$7:AJ155))*B155)</f>
        <v>0</v>
      </c>
      <c r="AV155" s="125"/>
      <c r="AW155" s="13"/>
      <c r="AX155" s="13"/>
      <c r="AY155" s="13"/>
      <c r="AZ155" s="13"/>
      <c r="BA155" s="13"/>
      <c r="BG155" s="51">
        <f t="shared" si="119"/>
        <v>0</v>
      </c>
      <c r="BH155" s="51">
        <f t="shared" ca="1" si="120"/>
        <v>39.585830983442698</v>
      </c>
      <c r="BI155" s="51">
        <f t="shared" ca="1" si="121"/>
        <v>0</v>
      </c>
      <c r="BJ155" s="51">
        <f t="shared" ca="1" si="122"/>
        <v>0</v>
      </c>
      <c r="BK155" s="51">
        <f t="shared" si="123"/>
        <v>90</v>
      </c>
      <c r="BL155" s="51">
        <f t="shared" ca="1" si="124"/>
        <v>813.14914054311339</v>
      </c>
      <c r="BM155" s="51">
        <f t="shared" si="125"/>
        <v>0</v>
      </c>
      <c r="BN155" s="51">
        <f t="shared" ca="1" si="126"/>
        <v>0</v>
      </c>
      <c r="BO155" s="51">
        <f t="shared" ca="1" si="127"/>
        <v>0</v>
      </c>
      <c r="BP155" s="51">
        <f t="shared" ca="1" si="128"/>
        <v>942.73497152655614</v>
      </c>
      <c r="BQ155" s="120"/>
      <c r="BR155" s="32"/>
      <c r="BS155" s="126"/>
      <c r="BT155" s="16"/>
      <c r="BU155" s="58"/>
      <c r="BW155" s="51">
        <f>VLOOKUP(H155,Charges!$AT$4:$AU$33,2,FALSE)*I155</f>
        <v>0</v>
      </c>
      <c r="BX155" s="51">
        <f t="shared" si="129"/>
        <v>0</v>
      </c>
      <c r="BY155" s="51">
        <f t="shared" si="137"/>
        <v>0</v>
      </c>
      <c r="BZ155" s="151"/>
      <c r="CA155" s="151"/>
      <c r="CB155" s="32"/>
      <c r="CC155" s="16">
        <f ca="1">SUM($N$7:$N155)</f>
        <v>0</v>
      </c>
      <c r="CD155" s="16">
        <f t="shared" ca="1" si="130"/>
        <v>0</v>
      </c>
      <c r="CE155" s="16">
        <f t="shared" ca="1" si="131"/>
        <v>0</v>
      </c>
      <c r="CF155" s="7">
        <f t="shared" ca="1" si="138"/>
        <v>0</v>
      </c>
    </row>
    <row r="156" spans="1:84" s="7" customFormat="1" x14ac:dyDescent="0.2">
      <c r="A156" s="149"/>
      <c r="B156" s="14">
        <f t="shared" si="100"/>
        <v>1</v>
      </c>
      <c r="C156" s="12">
        <f t="shared" si="101"/>
        <v>1</v>
      </c>
      <c r="D156" s="17">
        <f t="shared" si="139"/>
        <v>150</v>
      </c>
      <c r="E156" s="17">
        <f t="shared" ca="1" si="102"/>
        <v>72</v>
      </c>
      <c r="F156" s="12">
        <f t="shared" si="141"/>
        <v>5</v>
      </c>
      <c r="G156" s="12">
        <f t="shared" si="140"/>
        <v>25</v>
      </c>
      <c r="H156" s="17">
        <f t="shared" si="142"/>
        <v>13</v>
      </c>
      <c r="I156" s="29">
        <f t="shared" si="103"/>
        <v>0</v>
      </c>
      <c r="J156" s="211">
        <f>IFERROR(VLOOKUP(H156,Charges!$T$6:$U$35,2,0)*C156,0)</f>
        <v>1</v>
      </c>
      <c r="K156" s="29">
        <f t="shared" si="104"/>
        <v>0</v>
      </c>
      <c r="L156" s="29">
        <f t="shared" si="105"/>
        <v>0</v>
      </c>
      <c r="M156" s="147">
        <f t="shared" ca="1" si="106"/>
        <v>0</v>
      </c>
      <c r="N156" s="148">
        <f ca="1">IF(AND(Option_SPW="Y",H156&gt;=Lock_In_Period,Z155&gt;SPW_Amount_pa+IF(option="Single",1/5*pr,2*pr),H156&gt;=SPW_Start_Year,H156&lt;=SPW_Start_Year+SPW_Duration-1,age+H156&gt;=Legal_Age),IF(AND(F156=0,SPW_Payout_Freq=1),SPW_Amount_pa,IF(AND(SPW_Payout_Freq=2,MOD(F156,6)=0),SPW_Amount_pa/SPW_Payout_Freq,IF(AND(SPW_Payout_Freq=4,MOD(F156,3)=0),SPW_Amount_pa/SPW_Payout_Freq,IF(SPW_Payout_Freq=12,SPW_Amount_pa/SPW_Payout_Freq,0)))),0)+IFERROR(VLOOKUP(H156,Input!$B$68:$C$74,2,0),0)*(F156=0)*(Option_PW="Y")*(Option_SPW="N")*(age+H156&gt;=Legal_Age)</f>
        <v>0</v>
      </c>
      <c r="O156" s="148">
        <f t="shared" ca="1" si="132"/>
        <v>0</v>
      </c>
      <c r="P156" s="14">
        <f ca="1">(MAX(MAX(sa-CF155*Flag_UL_Type,105%*SUM($I$7:I156))-(AD155+L156-N156)*Flag_UL_Type,0)*B156)</f>
        <v>86963.448242682498</v>
      </c>
      <c r="Q156" s="213">
        <f t="shared" ca="1" si="107"/>
        <v>203.72057385330834</v>
      </c>
      <c r="R156" s="14">
        <f t="shared" ca="1" si="108"/>
        <v>0</v>
      </c>
      <c r="S156" s="14">
        <f t="shared" ca="1" si="109"/>
        <v>0</v>
      </c>
      <c r="T156" s="14">
        <f>IFERROR(IF(WoP_Flag="Y",IF(fq=1,VLOOKUP(ppt*fq-H156,Charges!$AN$41:$AO$59,2,FALSE),IF(fq=2,VLOOKUP(ppt*fq-G156,Charges!$AP$41:$AQ$79,2,FALSE),VLOOKUP(ppt*fq-D156,Charges!$AR$41:$AS$279,2,FALSE)))*pr/fq,0),0)</f>
        <v>0</v>
      </c>
      <c r="U156" s="14">
        <f ca="1">IFERROR(((T156*(VLOOKUP(Input!$D$18+H156-1,Tab_Mort_Charge,IF(Gender_2="M",2,3),FALSE)*(1+_emr2)+_rpm2)/IF(Model_Type="LA_PQIS",1000/0.0833,(12*1000))))*Flag_Mort_Rider_Charge*(T156&gt;0),0)</f>
        <v>0</v>
      </c>
      <c r="V156" s="34">
        <f>ROUND(MIN(IF(H156&gt;=7,Charges!$C$12*(1+Charges!$C$14)^((H156-7+1)),VLOOKUP(H156,Charges!$B$7:$C$12,2,0))*pr,Charges!$C$13)*B156,Round)</f>
        <v>500</v>
      </c>
      <c r="W156" s="14">
        <f t="shared" ca="1" si="110"/>
        <v>4007206.1614801707</v>
      </c>
      <c r="X156" s="14">
        <f t="shared" ca="1" si="111"/>
        <v>4020324.7117064809</v>
      </c>
      <c r="Y156" s="213">
        <f t="shared" ca="1" si="133"/>
        <v>4525.3266899153177</v>
      </c>
      <c r="Z156" s="14">
        <f t="shared" ca="1" si="112"/>
        <v>4014984.826212381</v>
      </c>
      <c r="AA156" s="14">
        <f>IF(AND($H156=pt,$F156=11),SUM($K$7:K156)*VLOOKUP(pt,ROC,2,FALSE),0)</f>
        <v>0</v>
      </c>
      <c r="AB156" s="14">
        <f>IF(AND($H156=pt,$F156=11),SUM($V$7:V156)*VLOOKUP(pt,ROC,2,FALSE),0)</f>
        <v>0</v>
      </c>
      <c r="AC156" s="14">
        <f>IF(AND($H156=pt,$F156=11),SUM($Q$7:Q156)*VLOOKUP(pt,ROC,2,FALSE),0)</f>
        <v>0</v>
      </c>
      <c r="AD156" s="14">
        <f t="shared" ca="1" si="134"/>
        <v>4014984.826212381</v>
      </c>
      <c r="AE156" s="14">
        <f ca="1">(MAX(sa-CF155*Flag_UL_Type,105%*SUM($I$7:I156),Z156)+AU156)*B156</f>
        <v>4095000</v>
      </c>
      <c r="AF156" s="136"/>
      <c r="AG156" s="18">
        <v>150</v>
      </c>
      <c r="AH156" s="30">
        <f t="shared" ca="1" si="113"/>
        <v>0</v>
      </c>
      <c r="AI156" s="58"/>
      <c r="AJ156" s="50">
        <f>IF(AND(Option_Sys_TopUp&gt;="Y",H156&gt;=sytp,H156&lt;=(dtp+sytp-1),F156=0,H156&lt;=ppt+1),atp,0)+IFERROR(VLOOKUP(H156,Input!$B$55:$C$61,2,0),0)*(F156=0)*(Option_TopUP="Y")*(Option_Sys_TopUp="N")*B156*(pt&gt;=H156+5)</f>
        <v>0</v>
      </c>
      <c r="AK156" s="50">
        <f t="shared" si="114"/>
        <v>0</v>
      </c>
      <c r="AL156" s="50">
        <f t="shared" si="135"/>
        <v>0</v>
      </c>
      <c r="AM156" s="50">
        <f t="shared" ca="1" si="115"/>
        <v>0</v>
      </c>
      <c r="AN156" s="50">
        <f ca="1">IF(B156=0,0,AT156*(_rpm1+(1+_emr1)*VLOOKUP(E156,Tab_Mort_Charge,IF(Input!$C$12="M",2,3),0))*(0.001*0.0833)*Flag_Mort_Rider_Charge*(AT156&gt;0))</f>
        <v>0</v>
      </c>
      <c r="AO156" s="50">
        <f t="shared" ca="1" si="136"/>
        <v>0</v>
      </c>
      <c r="AP156" s="50">
        <f t="shared" ref="AP156:AP219" ca="1" si="143">AO156*(1+$F$3)*B156</f>
        <v>0</v>
      </c>
      <c r="AQ156" s="50">
        <f t="shared" ca="1" si="116"/>
        <v>0</v>
      </c>
      <c r="AR156" s="50">
        <f t="shared" ca="1" si="117"/>
        <v>0</v>
      </c>
      <c r="AS156" s="50">
        <f t="shared" si="118"/>
        <v>0</v>
      </c>
      <c r="AT156" s="50">
        <f ca="1">(MAX((MAX(AS156,105%*SUM($AJ$7:AJ156))-AM156*Flag_UL_Type),0)*B156)</f>
        <v>0</v>
      </c>
      <c r="AU156" s="50">
        <f ca="1">(MAX(AS156,AR156,105%*SUM($AJ$7:AJ156))*B156)</f>
        <v>0</v>
      </c>
      <c r="AV156" s="125"/>
      <c r="AW156" s="13"/>
      <c r="AX156" s="13"/>
      <c r="AY156" s="13"/>
      <c r="AZ156" s="13"/>
      <c r="BA156" s="13"/>
      <c r="BG156" s="51">
        <f t="shared" si="119"/>
        <v>0</v>
      </c>
      <c r="BH156" s="51">
        <f t="shared" ca="1" si="120"/>
        <v>36.669703293595497</v>
      </c>
      <c r="BI156" s="51">
        <f t="shared" ca="1" si="121"/>
        <v>0</v>
      </c>
      <c r="BJ156" s="51">
        <f t="shared" ca="1" si="122"/>
        <v>0</v>
      </c>
      <c r="BK156" s="51">
        <f t="shared" si="123"/>
        <v>90</v>
      </c>
      <c r="BL156" s="51">
        <f t="shared" ca="1" si="124"/>
        <v>814.55880418475715</v>
      </c>
      <c r="BM156" s="51">
        <f t="shared" si="125"/>
        <v>0</v>
      </c>
      <c r="BN156" s="51">
        <f t="shared" ca="1" si="126"/>
        <v>0</v>
      </c>
      <c r="BO156" s="51">
        <f t="shared" ca="1" si="127"/>
        <v>0</v>
      </c>
      <c r="BP156" s="51">
        <f t="shared" ca="1" si="128"/>
        <v>941.22850747835264</v>
      </c>
      <c r="BQ156" s="120"/>
      <c r="BR156" s="32"/>
      <c r="BS156" s="126"/>
      <c r="BT156" s="16"/>
      <c r="BU156" s="58"/>
      <c r="BW156" s="51">
        <f>VLOOKUP(H156,Charges!$AT$4:$AU$33,2,FALSE)*I156</f>
        <v>0</v>
      </c>
      <c r="BX156" s="51">
        <f t="shared" si="129"/>
        <v>0</v>
      </c>
      <c r="BY156" s="51">
        <f t="shared" si="137"/>
        <v>0</v>
      </c>
      <c r="BZ156" s="151"/>
      <c r="CA156" s="151"/>
      <c r="CB156" s="32"/>
      <c r="CC156" s="16">
        <f ca="1">SUM($N$7:$N156)</f>
        <v>0</v>
      </c>
      <c r="CD156" s="16">
        <f t="shared" ca="1" si="130"/>
        <v>0</v>
      </c>
      <c r="CE156" s="16">
        <f t="shared" ca="1" si="131"/>
        <v>0</v>
      </c>
      <c r="CF156" s="7">
        <f t="shared" ca="1" si="138"/>
        <v>0</v>
      </c>
    </row>
    <row r="157" spans="1:84" s="7" customFormat="1" x14ac:dyDescent="0.2">
      <c r="A157" s="149"/>
      <c r="B157" s="14">
        <f t="shared" si="100"/>
        <v>1</v>
      </c>
      <c r="C157" s="12">
        <f t="shared" si="101"/>
        <v>1</v>
      </c>
      <c r="D157" s="17">
        <f t="shared" si="139"/>
        <v>151</v>
      </c>
      <c r="E157" s="17">
        <f t="shared" ca="1" si="102"/>
        <v>72</v>
      </c>
      <c r="F157" s="12">
        <f t="shared" si="141"/>
        <v>6</v>
      </c>
      <c r="G157" s="12">
        <f t="shared" si="140"/>
        <v>26</v>
      </c>
      <c r="H157" s="17">
        <f t="shared" si="142"/>
        <v>13</v>
      </c>
      <c r="I157" s="29">
        <f t="shared" si="103"/>
        <v>0</v>
      </c>
      <c r="J157" s="211">
        <f>IFERROR(VLOOKUP(H157,Charges!$T$6:$U$35,2,0)*C157,0)</f>
        <v>1</v>
      </c>
      <c r="K157" s="29">
        <f t="shared" si="104"/>
        <v>0</v>
      </c>
      <c r="L157" s="29">
        <f t="shared" si="105"/>
        <v>0</v>
      </c>
      <c r="M157" s="147">
        <f t="shared" ca="1" si="106"/>
        <v>0</v>
      </c>
      <c r="N157" s="148">
        <f ca="1">IF(AND(Option_SPW="Y",H157&gt;=Lock_In_Period,Z156&gt;SPW_Amount_pa+IF(option="Single",1/5*pr,2*pr),H157&gt;=SPW_Start_Year,H157&lt;=SPW_Start_Year+SPW_Duration-1,age+H157&gt;=Legal_Age),IF(AND(F157=0,SPW_Payout_Freq=1),SPW_Amount_pa,IF(AND(SPW_Payout_Freq=2,MOD(F157,6)=0),SPW_Amount_pa/SPW_Payout_Freq,IF(AND(SPW_Payout_Freq=4,MOD(F157,3)=0),SPW_Amount_pa/SPW_Payout_Freq,IF(SPW_Payout_Freq=12,SPW_Amount_pa/SPW_Payout_Freq,0)))),0)+IFERROR(VLOOKUP(H157,Input!$B$68:$C$74,2,0),0)*(F157=0)*(Option_PW="Y")*(Option_SPW="N")*(age+H157&gt;=Legal_Age)</f>
        <v>0</v>
      </c>
      <c r="O157" s="148">
        <f t="shared" ca="1" si="132"/>
        <v>0</v>
      </c>
      <c r="P157" s="14">
        <f ca="1">(MAX(MAX(sa-CF156*Flag_UL_Type,105%*SUM($I$7:I157))-(AD156+L157-N157)*Flag_UL_Type,0)*B157)</f>
        <v>80015.173787618987</v>
      </c>
      <c r="Q157" s="213">
        <f t="shared" ca="1" si="107"/>
        <v>187.4435461148758</v>
      </c>
      <c r="R157" s="14">
        <f t="shared" ca="1" si="108"/>
        <v>0</v>
      </c>
      <c r="S157" s="14">
        <f t="shared" ca="1" si="109"/>
        <v>0</v>
      </c>
      <c r="T157" s="14">
        <f>IFERROR(IF(WoP_Flag="Y",IF(fq=1,VLOOKUP(ppt*fq-H157,Charges!$AN$41:$AO$59,2,FALSE),IF(fq=2,VLOOKUP(ppt*fq-G157,Charges!$AP$41:$AQ$79,2,FALSE),VLOOKUP(ppt*fq-D157,Charges!$AR$41:$AS$279,2,FALSE)))*pr/fq,0),0)</f>
        <v>0</v>
      </c>
      <c r="U157" s="14">
        <f ca="1">IFERROR(((T157*(VLOOKUP(Input!$D$18+H157-1,Tab_Mort_Charge,IF(Gender_2="M",2,3),FALSE)*(1+_emr2)+_rpm2)/IF(Model_Type="LA_PQIS",1000/0.0833,(12*1000))))*Flag_Mort_Rider_Charge*(T157&gt;0),0)</f>
        <v>0</v>
      </c>
      <c r="V157" s="34">
        <f>ROUND(MIN(IF(H157&gt;=7,Charges!$C$12*(1+Charges!$C$14)^((H157-7+1)),VLOOKUP(H157,Charges!$B$7:$C$12,2,0))*pr,Charges!$C$13)*B157,Round)</f>
        <v>500</v>
      </c>
      <c r="W157" s="14">
        <f t="shared" ca="1" si="110"/>
        <v>4014173.6428279653</v>
      </c>
      <c r="X157" s="14">
        <f t="shared" ca="1" si="111"/>
        <v>4027315.0027751457</v>
      </c>
      <c r="Y157" s="213">
        <f t="shared" ca="1" si="133"/>
        <v>4533.1950470784086</v>
      </c>
      <c r="Z157" s="14">
        <f t="shared" ca="1" si="112"/>
        <v>4021965.832619593</v>
      </c>
      <c r="AA157" s="14">
        <f>IF(AND($H157=pt,$F157=11),SUM($K$7:K157)*VLOOKUP(pt,ROC,2,FALSE),0)</f>
        <v>0</v>
      </c>
      <c r="AB157" s="14">
        <f>IF(AND($H157=pt,$F157=11),SUM($V$7:V157)*VLOOKUP(pt,ROC,2,FALSE),0)</f>
        <v>0</v>
      </c>
      <c r="AC157" s="14">
        <f>IF(AND($H157=pt,$F157=11),SUM($Q$7:Q157)*VLOOKUP(pt,ROC,2,FALSE),0)</f>
        <v>0</v>
      </c>
      <c r="AD157" s="14">
        <f t="shared" ca="1" si="134"/>
        <v>4021965.832619593</v>
      </c>
      <c r="AE157" s="14">
        <f ca="1">(MAX(sa-CF156*Flag_UL_Type,105%*SUM($I$7:I157),Z157)+AU157)*B157</f>
        <v>4095000</v>
      </c>
      <c r="AF157" s="136"/>
      <c r="AG157" s="18">
        <v>151</v>
      </c>
      <c r="AH157" s="30">
        <f t="shared" ca="1" si="113"/>
        <v>0</v>
      </c>
      <c r="AI157" s="58"/>
      <c r="AJ157" s="50">
        <f>IF(AND(Option_Sys_TopUp&gt;="Y",H157&gt;=sytp,H157&lt;=(dtp+sytp-1),F157=0,H157&lt;=ppt+1),atp,0)+IFERROR(VLOOKUP(H157,Input!$B$55:$C$61,2,0),0)*(F157=0)*(Option_TopUP="Y")*(Option_Sys_TopUp="N")*B157*(pt&gt;=H157+5)</f>
        <v>0</v>
      </c>
      <c r="AK157" s="50">
        <f t="shared" si="114"/>
        <v>0</v>
      </c>
      <c r="AL157" s="50">
        <f t="shared" si="135"/>
        <v>0</v>
      </c>
      <c r="AM157" s="50">
        <f t="shared" ca="1" si="115"/>
        <v>0</v>
      </c>
      <c r="AN157" s="50">
        <f ca="1">IF(B157=0,0,AT157*(_rpm1+(1+_emr1)*VLOOKUP(E157,Tab_Mort_Charge,IF(Input!$C$12="M",2,3),0))*(0.001*0.0833)*Flag_Mort_Rider_Charge*(AT157&gt;0))</f>
        <v>0</v>
      </c>
      <c r="AO157" s="50">
        <f t="shared" ca="1" si="136"/>
        <v>0</v>
      </c>
      <c r="AP157" s="50">
        <f t="shared" ca="1" si="143"/>
        <v>0</v>
      </c>
      <c r="AQ157" s="50">
        <f t="shared" ca="1" si="116"/>
        <v>0</v>
      </c>
      <c r="AR157" s="50">
        <f t="shared" ca="1" si="117"/>
        <v>0</v>
      </c>
      <c r="AS157" s="50">
        <f t="shared" si="118"/>
        <v>0</v>
      </c>
      <c r="AT157" s="50">
        <f ca="1">(MAX((MAX(AS157,105%*SUM($AJ$7:AJ157))-AM157*Flag_UL_Type),0)*B157)</f>
        <v>0</v>
      </c>
      <c r="AU157" s="50">
        <f ca="1">(MAX(AS157,AR157,105%*SUM($AJ$7:AJ157))*B157)</f>
        <v>0</v>
      </c>
      <c r="AV157" s="125"/>
      <c r="AW157" s="13"/>
      <c r="AX157" s="13"/>
      <c r="AY157" s="13"/>
      <c r="AZ157" s="13"/>
      <c r="BA157" s="13"/>
      <c r="BG157" s="51">
        <f t="shared" si="119"/>
        <v>0</v>
      </c>
      <c r="BH157" s="51">
        <f t="shared" ca="1" si="120"/>
        <v>33.739838300677597</v>
      </c>
      <c r="BI157" s="51">
        <f t="shared" ca="1" si="121"/>
        <v>0</v>
      </c>
      <c r="BJ157" s="51">
        <f t="shared" ca="1" si="122"/>
        <v>0</v>
      </c>
      <c r="BK157" s="51">
        <f t="shared" si="123"/>
        <v>90</v>
      </c>
      <c r="BL157" s="51">
        <f t="shared" ca="1" si="124"/>
        <v>815.97510847411354</v>
      </c>
      <c r="BM157" s="51">
        <f t="shared" si="125"/>
        <v>0</v>
      </c>
      <c r="BN157" s="51">
        <f t="shared" ca="1" si="126"/>
        <v>0</v>
      </c>
      <c r="BO157" s="51">
        <f t="shared" ca="1" si="127"/>
        <v>0</v>
      </c>
      <c r="BP157" s="51">
        <f t="shared" ca="1" si="128"/>
        <v>939.71494677479109</v>
      </c>
      <c r="BQ157" s="120"/>
      <c r="BR157" s="32"/>
      <c r="BS157" s="126"/>
      <c r="BT157" s="16"/>
      <c r="BU157" s="58"/>
      <c r="BW157" s="51">
        <f>VLOOKUP(H157,Charges!$AT$4:$AU$33,2,FALSE)*I157</f>
        <v>0</v>
      </c>
      <c r="BX157" s="51">
        <f t="shared" si="129"/>
        <v>0</v>
      </c>
      <c r="BY157" s="51">
        <f t="shared" si="137"/>
        <v>0</v>
      </c>
      <c r="BZ157" s="151"/>
      <c r="CA157" s="151"/>
      <c r="CB157" s="32"/>
      <c r="CC157" s="16">
        <f ca="1">SUM($N$7:$N157)</f>
        <v>0</v>
      </c>
      <c r="CD157" s="16">
        <f t="shared" ca="1" si="130"/>
        <v>0</v>
      </c>
      <c r="CE157" s="16">
        <f t="shared" ca="1" si="131"/>
        <v>0</v>
      </c>
      <c r="CF157" s="7">
        <f t="shared" ca="1" si="138"/>
        <v>0</v>
      </c>
    </row>
    <row r="158" spans="1:84" s="7" customFormat="1" x14ac:dyDescent="0.2">
      <c r="A158" s="149"/>
      <c r="B158" s="14">
        <f t="shared" si="100"/>
        <v>1</v>
      </c>
      <c r="C158" s="12">
        <f t="shared" si="101"/>
        <v>1</v>
      </c>
      <c r="D158" s="17">
        <f t="shared" si="139"/>
        <v>152</v>
      </c>
      <c r="E158" s="17">
        <f t="shared" ca="1" si="102"/>
        <v>72</v>
      </c>
      <c r="F158" s="12">
        <f t="shared" si="141"/>
        <v>7</v>
      </c>
      <c r="G158" s="12">
        <f t="shared" si="140"/>
        <v>26</v>
      </c>
      <c r="H158" s="17">
        <f t="shared" si="142"/>
        <v>13</v>
      </c>
      <c r="I158" s="29">
        <f t="shared" si="103"/>
        <v>0</v>
      </c>
      <c r="J158" s="211">
        <f>IFERROR(VLOOKUP(H158,Charges!$T$6:$U$35,2,0)*C158,0)</f>
        <v>1</v>
      </c>
      <c r="K158" s="29">
        <f t="shared" si="104"/>
        <v>0</v>
      </c>
      <c r="L158" s="29">
        <f t="shared" si="105"/>
        <v>0</v>
      </c>
      <c r="M158" s="147">
        <f t="shared" ca="1" si="106"/>
        <v>0</v>
      </c>
      <c r="N158" s="148">
        <f ca="1">IF(AND(Option_SPW="Y",H158&gt;=Lock_In_Period,Z157&gt;SPW_Amount_pa+IF(option="Single",1/5*pr,2*pr),H158&gt;=SPW_Start_Year,H158&lt;=SPW_Start_Year+SPW_Duration-1,age+H158&gt;=Legal_Age),IF(AND(F158=0,SPW_Payout_Freq=1),SPW_Amount_pa,IF(AND(SPW_Payout_Freq=2,MOD(F158,6)=0),SPW_Amount_pa/SPW_Payout_Freq,IF(AND(SPW_Payout_Freq=4,MOD(F158,3)=0),SPW_Amount_pa/SPW_Payout_Freq,IF(SPW_Payout_Freq=12,SPW_Amount_pa/SPW_Payout_Freq,0)))),0)+IFERROR(VLOOKUP(H158,Input!$B$68:$C$74,2,0),0)*(F158=0)*(Option_PW="Y")*(Option_SPW="N")*(age+H158&gt;=Legal_Age)</f>
        <v>0</v>
      </c>
      <c r="O158" s="148">
        <f t="shared" ca="1" si="132"/>
        <v>0</v>
      </c>
      <c r="P158" s="14">
        <f ca="1">(MAX(MAX(sa-CF157*Flag_UL_Type,105%*SUM($I$7:I158))-(AD157+L158-N158)*Flag_UL_Type,0)*B158)</f>
        <v>73034.167380406987</v>
      </c>
      <c r="Q158" s="213">
        <f t="shared" ca="1" si="107"/>
        <v>171.08984050534167</v>
      </c>
      <c r="R158" s="14">
        <f t="shared" ca="1" si="108"/>
        <v>0</v>
      </c>
      <c r="S158" s="14">
        <f t="shared" ca="1" si="109"/>
        <v>0</v>
      </c>
      <c r="T158" s="14">
        <f>IFERROR(IF(WoP_Flag="Y",IF(fq=1,VLOOKUP(ppt*fq-H158,Charges!$AN$41:$AO$59,2,FALSE),IF(fq=2,VLOOKUP(ppt*fq-G158,Charges!$AP$41:$AQ$79,2,FALSE),VLOOKUP(ppt*fq-D158,Charges!$AR$41:$AS$279,2,FALSE)))*pr/fq,0),0)</f>
        <v>0</v>
      </c>
      <c r="U158" s="14">
        <f ca="1">IFERROR(((T158*(VLOOKUP(Input!$D$18+H158-1,Tab_Mort_Charge,IF(Gender_2="M",2,3),FALSE)*(1+_emr2)+_rpm2)/IF(Model_Type="LA_PQIS",1000/0.0833,(12*1000))))*Flag_Mort_Rider_Charge*(T158&gt;0),0)</f>
        <v>0</v>
      </c>
      <c r="V158" s="34">
        <f>ROUND(MIN(IF(H158&gt;=7,Charges!$C$12*(1+Charges!$C$14)^((H158-7+1)),VLOOKUP(H158,Charges!$B$7:$C$12,2,0))*pr,Charges!$C$13)*B158,Round)</f>
        <v>500</v>
      </c>
      <c r="W158" s="14">
        <f t="shared" ca="1" si="110"/>
        <v>4021173.9466077969</v>
      </c>
      <c r="X158" s="14">
        <f t="shared" ca="1" si="111"/>
        <v>4034338.2237279485</v>
      </c>
      <c r="Y158" s="213">
        <f t="shared" ca="1" si="133"/>
        <v>4541.1004705220294</v>
      </c>
      <c r="Z158" s="14">
        <f t="shared" ca="1" si="112"/>
        <v>4028979.7251727325</v>
      </c>
      <c r="AA158" s="14">
        <f>IF(AND($H158=pt,$F158=11),SUM($K$7:K158)*VLOOKUP(pt,ROC,2,FALSE),0)</f>
        <v>0</v>
      </c>
      <c r="AB158" s="14">
        <f>IF(AND($H158=pt,$F158=11),SUM($V$7:V158)*VLOOKUP(pt,ROC,2,FALSE),0)</f>
        <v>0</v>
      </c>
      <c r="AC158" s="14">
        <f>IF(AND($H158=pt,$F158=11),SUM($Q$7:Q158)*VLOOKUP(pt,ROC,2,FALSE),0)</f>
        <v>0</v>
      </c>
      <c r="AD158" s="14">
        <f t="shared" ca="1" si="134"/>
        <v>4028979.7251727325</v>
      </c>
      <c r="AE158" s="14">
        <f ca="1">(MAX(sa-CF157*Flag_UL_Type,105%*SUM($I$7:I158),Z158)+AU158)*B158</f>
        <v>4095000</v>
      </c>
      <c r="AF158" s="136"/>
      <c r="AG158" s="18">
        <v>152</v>
      </c>
      <c r="AH158" s="30">
        <f t="shared" ca="1" si="113"/>
        <v>0</v>
      </c>
      <c r="AI158" s="58"/>
      <c r="AJ158" s="50">
        <f>IF(AND(Option_Sys_TopUp&gt;="Y",H158&gt;=sytp,H158&lt;=(dtp+sytp-1),F158=0,H158&lt;=ppt+1),atp,0)+IFERROR(VLOOKUP(H158,Input!$B$55:$C$61,2,0),0)*(F158=0)*(Option_TopUP="Y")*(Option_Sys_TopUp="N")*B158*(pt&gt;=H158+5)</f>
        <v>0</v>
      </c>
      <c r="AK158" s="50">
        <f t="shared" si="114"/>
        <v>0</v>
      </c>
      <c r="AL158" s="50">
        <f t="shared" si="135"/>
        <v>0</v>
      </c>
      <c r="AM158" s="50">
        <f t="shared" ca="1" si="115"/>
        <v>0</v>
      </c>
      <c r="AN158" s="50">
        <f ca="1">IF(B158=0,0,AT158*(_rpm1+(1+_emr1)*VLOOKUP(E158,Tab_Mort_Charge,IF(Input!$C$12="M",2,3),0))*(0.001*0.0833)*Flag_Mort_Rider_Charge*(AT158&gt;0))</f>
        <v>0</v>
      </c>
      <c r="AO158" s="50">
        <f t="shared" ca="1" si="136"/>
        <v>0</v>
      </c>
      <c r="AP158" s="50">
        <f t="shared" ca="1" si="143"/>
        <v>0</v>
      </c>
      <c r="AQ158" s="50">
        <f t="shared" ca="1" si="116"/>
        <v>0</v>
      </c>
      <c r="AR158" s="50">
        <f t="shared" ca="1" si="117"/>
        <v>0</v>
      </c>
      <c r="AS158" s="50">
        <f t="shared" si="118"/>
        <v>0</v>
      </c>
      <c r="AT158" s="50">
        <f ca="1">(MAX((MAX(AS158,105%*SUM($AJ$7:AJ158))-AM158*Flag_UL_Type),0)*B158)</f>
        <v>0</v>
      </c>
      <c r="AU158" s="50">
        <f ca="1">(MAX(AS158,AR158,105%*SUM($AJ$7:AJ158))*B158)</f>
        <v>0</v>
      </c>
      <c r="AV158" s="125"/>
      <c r="AW158" s="13"/>
      <c r="AX158" s="13"/>
      <c r="AY158" s="13"/>
      <c r="AZ158" s="13"/>
      <c r="BA158" s="13"/>
      <c r="BG158" s="51">
        <f t="shared" si="119"/>
        <v>0</v>
      </c>
      <c r="BH158" s="51">
        <f t="shared" ca="1" si="120"/>
        <v>30.7961712909615</v>
      </c>
      <c r="BI158" s="51">
        <f t="shared" ca="1" si="121"/>
        <v>0</v>
      </c>
      <c r="BJ158" s="51">
        <f t="shared" ca="1" si="122"/>
        <v>0</v>
      </c>
      <c r="BK158" s="51">
        <f t="shared" si="123"/>
        <v>90</v>
      </c>
      <c r="BL158" s="51">
        <f t="shared" ca="1" si="124"/>
        <v>817.3980846939653</v>
      </c>
      <c r="BM158" s="51">
        <f t="shared" si="125"/>
        <v>0</v>
      </c>
      <c r="BN158" s="51">
        <f t="shared" ca="1" si="126"/>
        <v>0</v>
      </c>
      <c r="BO158" s="51">
        <f t="shared" ca="1" si="127"/>
        <v>0</v>
      </c>
      <c r="BP158" s="51">
        <f t="shared" ca="1" si="128"/>
        <v>938.19425598492683</v>
      </c>
      <c r="BQ158" s="120"/>
      <c r="BR158" s="32"/>
      <c r="BS158" s="126"/>
      <c r="BT158" s="16"/>
      <c r="BU158" s="58"/>
      <c r="BW158" s="51">
        <f>VLOOKUP(H158,Charges!$AT$4:$AU$33,2,FALSE)*I158</f>
        <v>0</v>
      </c>
      <c r="BX158" s="51">
        <f t="shared" si="129"/>
        <v>0</v>
      </c>
      <c r="BY158" s="51">
        <f t="shared" si="137"/>
        <v>0</v>
      </c>
      <c r="BZ158" s="151"/>
      <c r="CA158" s="151"/>
      <c r="CB158" s="32"/>
      <c r="CC158" s="16">
        <f ca="1">SUM($N$7:$N158)</f>
        <v>0</v>
      </c>
      <c r="CD158" s="16">
        <f t="shared" ca="1" si="130"/>
        <v>0</v>
      </c>
      <c r="CE158" s="16">
        <f t="shared" ca="1" si="131"/>
        <v>0</v>
      </c>
      <c r="CF158" s="7">
        <f t="shared" ca="1" si="138"/>
        <v>0</v>
      </c>
    </row>
    <row r="159" spans="1:84" s="7" customFormat="1" x14ac:dyDescent="0.2">
      <c r="A159" s="149"/>
      <c r="B159" s="14">
        <f t="shared" si="100"/>
        <v>1</v>
      </c>
      <c r="C159" s="12">
        <f t="shared" si="101"/>
        <v>1</v>
      </c>
      <c r="D159" s="17">
        <f t="shared" si="139"/>
        <v>153</v>
      </c>
      <c r="E159" s="17">
        <f t="shared" ca="1" si="102"/>
        <v>72</v>
      </c>
      <c r="F159" s="12">
        <f t="shared" si="141"/>
        <v>8</v>
      </c>
      <c r="G159" s="12">
        <f t="shared" si="140"/>
        <v>26</v>
      </c>
      <c r="H159" s="17">
        <f t="shared" si="142"/>
        <v>13</v>
      </c>
      <c r="I159" s="29">
        <f t="shared" si="103"/>
        <v>0</v>
      </c>
      <c r="J159" s="211">
        <f>IFERROR(VLOOKUP(H159,Charges!$T$6:$U$35,2,0)*C159,0)</f>
        <v>1</v>
      </c>
      <c r="K159" s="29">
        <f t="shared" si="104"/>
        <v>0</v>
      </c>
      <c r="L159" s="29">
        <f t="shared" si="105"/>
        <v>0</v>
      </c>
      <c r="M159" s="147">
        <f t="shared" ca="1" si="106"/>
        <v>0</v>
      </c>
      <c r="N159" s="148">
        <f ca="1">IF(AND(Option_SPW="Y",H159&gt;=Lock_In_Period,Z158&gt;SPW_Amount_pa+IF(option="Single",1/5*pr,2*pr),H159&gt;=SPW_Start_Year,H159&lt;=SPW_Start_Year+SPW_Duration-1,age+H159&gt;=Legal_Age),IF(AND(F159=0,SPW_Payout_Freq=1),SPW_Amount_pa,IF(AND(SPW_Payout_Freq=2,MOD(F159,6)=0),SPW_Amount_pa/SPW_Payout_Freq,IF(AND(SPW_Payout_Freq=4,MOD(F159,3)=0),SPW_Amount_pa/SPW_Payout_Freq,IF(SPW_Payout_Freq=12,SPW_Amount_pa/SPW_Payout_Freq,0)))),0)+IFERROR(VLOOKUP(H159,Input!$B$68:$C$74,2,0),0)*(F159=0)*(Option_PW="Y")*(Option_SPW="N")*(age+H159&gt;=Legal_Age)</f>
        <v>0</v>
      </c>
      <c r="O159" s="148">
        <f t="shared" ca="1" si="132"/>
        <v>0</v>
      </c>
      <c r="P159" s="14">
        <f ca="1">(MAX(MAX(sa-CF158*Flag_UL_Type,105%*SUM($I$7:I159))-(AD158+L159-N159)*Flag_UL_Type,0)*B159)</f>
        <v>66020.274827267509</v>
      </c>
      <c r="Q159" s="213">
        <f t="shared" ca="1" si="107"/>
        <v>154.65909581035666</v>
      </c>
      <c r="R159" s="14">
        <f t="shared" ca="1" si="108"/>
        <v>0</v>
      </c>
      <c r="S159" s="14">
        <f t="shared" ca="1" si="109"/>
        <v>0</v>
      </c>
      <c r="T159" s="14">
        <f>IFERROR(IF(WoP_Flag="Y",IF(fq=1,VLOOKUP(ppt*fq-H159,Charges!$AN$41:$AO$59,2,FALSE),IF(fq=2,VLOOKUP(ppt*fq-G159,Charges!$AP$41:$AQ$79,2,FALSE),VLOOKUP(ppt*fq-D159,Charges!$AR$41:$AS$279,2,FALSE)))*pr/fq,0),0)</f>
        <v>0</v>
      </c>
      <c r="U159" s="14">
        <f ca="1">IFERROR(((T159*(VLOOKUP(Input!$D$18+H159-1,Tab_Mort_Charge,IF(Gender_2="M",2,3),FALSE)*(1+_emr2)+_rpm2)/IF(Model_Type="LA_PQIS",1000/0.0833,(12*1000))))*Flag_Mort_Rider_Charge*(T159&gt;0),0)</f>
        <v>0</v>
      </c>
      <c r="V159" s="34">
        <f>ROUND(MIN(IF(H159&gt;=7,Charges!$C$12*(1+Charges!$C$14)^((H159-7+1)),VLOOKUP(H159,Charges!$B$7:$C$12,2,0))*pr,Charges!$C$13)*B159,Round)</f>
        <v>500</v>
      </c>
      <c r="W159" s="14">
        <f t="shared" ca="1" si="110"/>
        <v>4028207.2274396764</v>
      </c>
      <c r="X159" s="14">
        <f t="shared" ca="1" si="111"/>
        <v>4041394.5296910871</v>
      </c>
      <c r="Y159" s="213">
        <f t="shared" ca="1" si="133"/>
        <v>4549.043134858126</v>
      </c>
      <c r="Z159" s="14">
        <f t="shared" ca="1" si="112"/>
        <v>4036026.6587919546</v>
      </c>
      <c r="AA159" s="14">
        <f>IF(AND($H159=pt,$F159=11),SUM($K$7:K159)*VLOOKUP(pt,ROC,2,FALSE),0)</f>
        <v>0</v>
      </c>
      <c r="AB159" s="14">
        <f>IF(AND($H159=pt,$F159=11),SUM($V$7:V159)*VLOOKUP(pt,ROC,2,FALSE),0)</f>
        <v>0</v>
      </c>
      <c r="AC159" s="14">
        <f>IF(AND($H159=pt,$F159=11),SUM($Q$7:Q159)*VLOOKUP(pt,ROC,2,FALSE),0)</f>
        <v>0</v>
      </c>
      <c r="AD159" s="14">
        <f t="shared" ca="1" si="134"/>
        <v>4036026.6587919546</v>
      </c>
      <c r="AE159" s="14">
        <f ca="1">(MAX(sa-CF158*Flag_UL_Type,105%*SUM($I$7:I159),Z159)+AU159)*B159</f>
        <v>4095000</v>
      </c>
      <c r="AF159" s="136"/>
      <c r="AG159" s="18">
        <v>153</v>
      </c>
      <c r="AH159" s="30">
        <f t="shared" ca="1" si="113"/>
        <v>0</v>
      </c>
      <c r="AI159" s="58"/>
      <c r="AJ159" s="50">
        <f>IF(AND(Option_Sys_TopUp&gt;="Y",H159&gt;=sytp,H159&lt;=(dtp+sytp-1),F159=0,H159&lt;=ppt+1),atp,0)+IFERROR(VLOOKUP(H159,Input!$B$55:$C$61,2,0),0)*(F159=0)*(Option_TopUP="Y")*(Option_Sys_TopUp="N")*B159*(pt&gt;=H159+5)</f>
        <v>0</v>
      </c>
      <c r="AK159" s="50">
        <f t="shared" si="114"/>
        <v>0</v>
      </c>
      <c r="AL159" s="50">
        <f t="shared" si="135"/>
        <v>0</v>
      </c>
      <c r="AM159" s="50">
        <f t="shared" ca="1" si="115"/>
        <v>0</v>
      </c>
      <c r="AN159" s="50">
        <f ca="1">IF(B159=0,0,AT159*(_rpm1+(1+_emr1)*VLOOKUP(E159,Tab_Mort_Charge,IF(Input!$C$12="M",2,3),0))*(0.001*0.0833)*Flag_Mort_Rider_Charge*(AT159&gt;0))</f>
        <v>0</v>
      </c>
      <c r="AO159" s="50">
        <f t="shared" ca="1" si="136"/>
        <v>0</v>
      </c>
      <c r="AP159" s="50">
        <f t="shared" ca="1" si="143"/>
        <v>0</v>
      </c>
      <c r="AQ159" s="50">
        <f t="shared" ca="1" si="116"/>
        <v>0</v>
      </c>
      <c r="AR159" s="50">
        <f t="shared" ca="1" si="117"/>
        <v>0</v>
      </c>
      <c r="AS159" s="50">
        <f t="shared" si="118"/>
        <v>0</v>
      </c>
      <c r="AT159" s="50">
        <f ca="1">(MAX((MAX(AS159,105%*SUM($AJ$7:AJ159))-AM159*Flag_UL_Type),0)*B159)</f>
        <v>0</v>
      </c>
      <c r="AU159" s="50">
        <f ca="1">(MAX(AS159,AR159,105%*SUM($AJ$7:AJ159))*B159)</f>
        <v>0</v>
      </c>
      <c r="AV159" s="125"/>
      <c r="AW159" s="13"/>
      <c r="AX159" s="13"/>
      <c r="AY159" s="13"/>
      <c r="AZ159" s="13"/>
      <c r="BA159" s="13"/>
      <c r="BG159" s="51">
        <f t="shared" si="119"/>
        <v>0</v>
      </c>
      <c r="BH159" s="51">
        <f t="shared" ca="1" si="120"/>
        <v>27.838637245864199</v>
      </c>
      <c r="BI159" s="51">
        <f t="shared" ca="1" si="121"/>
        <v>0</v>
      </c>
      <c r="BJ159" s="51">
        <f t="shared" ca="1" si="122"/>
        <v>0</v>
      </c>
      <c r="BK159" s="51">
        <f t="shared" si="123"/>
        <v>90</v>
      </c>
      <c r="BL159" s="51">
        <f t="shared" ca="1" si="124"/>
        <v>818.82776427446265</v>
      </c>
      <c r="BM159" s="51">
        <f t="shared" si="125"/>
        <v>0</v>
      </c>
      <c r="BN159" s="51">
        <f t="shared" ca="1" si="126"/>
        <v>0</v>
      </c>
      <c r="BO159" s="51">
        <f t="shared" ca="1" si="127"/>
        <v>0</v>
      </c>
      <c r="BP159" s="51">
        <f t="shared" ca="1" si="128"/>
        <v>936.66640152032687</v>
      </c>
      <c r="BQ159" s="120"/>
      <c r="BR159" s="32"/>
      <c r="BS159" s="126"/>
      <c r="BT159" s="16"/>
      <c r="BU159" s="58"/>
      <c r="BW159" s="51">
        <f>VLOOKUP(H159,Charges!$AT$4:$AU$33,2,FALSE)*I159</f>
        <v>0</v>
      </c>
      <c r="BX159" s="51">
        <f t="shared" si="129"/>
        <v>0</v>
      </c>
      <c r="BY159" s="51">
        <f t="shared" si="137"/>
        <v>0</v>
      </c>
      <c r="BZ159" s="151"/>
      <c r="CA159" s="151"/>
      <c r="CB159" s="32"/>
      <c r="CC159" s="16">
        <f ca="1">SUM($N$7:$N159)</f>
        <v>0</v>
      </c>
      <c r="CD159" s="16">
        <f t="shared" ca="1" si="130"/>
        <v>0</v>
      </c>
      <c r="CE159" s="16">
        <f t="shared" ca="1" si="131"/>
        <v>0</v>
      </c>
      <c r="CF159" s="7">
        <f t="shared" ca="1" si="138"/>
        <v>0</v>
      </c>
    </row>
    <row r="160" spans="1:84" s="7" customFormat="1" x14ac:dyDescent="0.2">
      <c r="A160" s="149"/>
      <c r="B160" s="14">
        <f t="shared" si="100"/>
        <v>1</v>
      </c>
      <c r="C160" s="12">
        <f t="shared" si="101"/>
        <v>1</v>
      </c>
      <c r="D160" s="17">
        <f t="shared" si="139"/>
        <v>154</v>
      </c>
      <c r="E160" s="17">
        <f t="shared" ca="1" si="102"/>
        <v>72</v>
      </c>
      <c r="F160" s="12">
        <f t="shared" si="141"/>
        <v>9</v>
      </c>
      <c r="G160" s="12">
        <f t="shared" si="140"/>
        <v>26</v>
      </c>
      <c r="H160" s="17">
        <f t="shared" si="142"/>
        <v>13</v>
      </c>
      <c r="I160" s="29">
        <f t="shared" si="103"/>
        <v>0</v>
      </c>
      <c r="J160" s="211">
        <f>IFERROR(VLOOKUP(H160,Charges!$T$6:$U$35,2,0)*C160,0)</f>
        <v>1</v>
      </c>
      <c r="K160" s="29">
        <f t="shared" si="104"/>
        <v>0</v>
      </c>
      <c r="L160" s="29">
        <f t="shared" si="105"/>
        <v>0</v>
      </c>
      <c r="M160" s="147">
        <f t="shared" ca="1" si="106"/>
        <v>0</v>
      </c>
      <c r="N160" s="148">
        <f ca="1">IF(AND(Option_SPW="Y",H160&gt;=Lock_In_Period,Z159&gt;SPW_Amount_pa+IF(option="Single",1/5*pr,2*pr),H160&gt;=SPW_Start_Year,H160&lt;=SPW_Start_Year+SPW_Duration-1,age+H160&gt;=Legal_Age),IF(AND(F160=0,SPW_Payout_Freq=1),SPW_Amount_pa,IF(AND(SPW_Payout_Freq=2,MOD(F160,6)=0),SPW_Amount_pa/SPW_Payout_Freq,IF(AND(SPW_Payout_Freq=4,MOD(F160,3)=0),SPW_Amount_pa/SPW_Payout_Freq,IF(SPW_Payout_Freq=12,SPW_Amount_pa/SPW_Payout_Freq,0)))),0)+IFERROR(VLOOKUP(H160,Input!$B$68:$C$74,2,0),0)*(F160=0)*(Option_PW="Y")*(Option_SPW="N")*(age+H160&gt;=Legal_Age)</f>
        <v>0</v>
      </c>
      <c r="O160" s="148">
        <f t="shared" ca="1" si="132"/>
        <v>0</v>
      </c>
      <c r="P160" s="14">
        <f ca="1">(MAX(MAX(sa-CF159*Flag_UL_Type,105%*SUM($I$7:I160))-(AD159+L160-N160)*Flag_UL_Type,0)*B160)</f>
        <v>58973.341208045371</v>
      </c>
      <c r="Q160" s="213">
        <f t="shared" ca="1" si="107"/>
        <v>138.1509491139675</v>
      </c>
      <c r="R160" s="14">
        <f t="shared" ca="1" si="108"/>
        <v>0</v>
      </c>
      <c r="S160" s="14">
        <f t="shared" ca="1" si="109"/>
        <v>0</v>
      </c>
      <c r="T160" s="14">
        <f>IFERROR(IF(WoP_Flag="Y",IF(fq=1,VLOOKUP(ppt*fq-H160,Charges!$AN$41:$AO$59,2,FALSE),IF(fq=2,VLOOKUP(ppt*fq-G160,Charges!$AP$41:$AQ$79,2,FALSE),VLOOKUP(ppt*fq-D160,Charges!$AR$41:$AS$279,2,FALSE)))*pr/fq,0),0)</f>
        <v>0</v>
      </c>
      <c r="U160" s="14">
        <f ca="1">IFERROR(((T160*(VLOOKUP(Input!$D$18+H160-1,Tab_Mort_Charge,IF(Gender_2="M",2,3),FALSE)*(1+_emr2)+_rpm2)/IF(Model_Type="LA_PQIS",1000/0.0833,(12*1000))))*Flag_Mort_Rider_Charge*(T160&gt;0),0)</f>
        <v>0</v>
      </c>
      <c r="V160" s="34">
        <f>ROUND(MIN(IF(H160&gt;=7,Charges!$C$12*(1+Charges!$C$14)^((H160-7+1)),VLOOKUP(H160,Charges!$B$7:$C$12,2,0))*pr,Charges!$C$13)*B160,Round)</f>
        <v>500</v>
      </c>
      <c r="W160" s="14">
        <f t="shared" ca="1" si="110"/>
        <v>4035273.6406720001</v>
      </c>
      <c r="X160" s="14">
        <f t="shared" ca="1" si="111"/>
        <v>4048484.0765215266</v>
      </c>
      <c r="Y160" s="213">
        <f t="shared" ca="1" si="133"/>
        <v>4557.0232155212061</v>
      </c>
      <c r="Z160" s="14">
        <f t="shared" ca="1" si="112"/>
        <v>4043106.7891272116</v>
      </c>
      <c r="AA160" s="14">
        <f>IF(AND($H160=pt,$F160=11),SUM($K$7:K160)*VLOOKUP(pt,ROC,2,FALSE),0)</f>
        <v>0</v>
      </c>
      <c r="AB160" s="14">
        <f>IF(AND($H160=pt,$F160=11),SUM($V$7:V160)*VLOOKUP(pt,ROC,2,FALSE),0)</f>
        <v>0</v>
      </c>
      <c r="AC160" s="14">
        <f>IF(AND($H160=pt,$F160=11),SUM($Q$7:Q160)*VLOOKUP(pt,ROC,2,FALSE),0)</f>
        <v>0</v>
      </c>
      <c r="AD160" s="14">
        <f t="shared" ca="1" si="134"/>
        <v>4043106.7891272116</v>
      </c>
      <c r="AE160" s="14">
        <f ca="1">(MAX(sa-CF159*Flag_UL_Type,105%*SUM($I$7:I160),Z160)+AU160)*B160</f>
        <v>4095000</v>
      </c>
      <c r="AF160" s="136"/>
      <c r="AG160" s="18">
        <v>154</v>
      </c>
      <c r="AH160" s="30">
        <f t="shared" ca="1" si="113"/>
        <v>0</v>
      </c>
      <c r="AI160" s="58"/>
      <c r="AJ160" s="50">
        <f>IF(AND(Option_Sys_TopUp&gt;="Y",H160&gt;=sytp,H160&lt;=(dtp+sytp-1),F160=0,H160&lt;=ppt+1),atp,0)+IFERROR(VLOOKUP(H160,Input!$B$55:$C$61,2,0),0)*(F160=0)*(Option_TopUP="Y")*(Option_Sys_TopUp="N")*B160*(pt&gt;=H160+5)</f>
        <v>0</v>
      </c>
      <c r="AK160" s="50">
        <f t="shared" si="114"/>
        <v>0</v>
      </c>
      <c r="AL160" s="50">
        <f t="shared" si="135"/>
        <v>0</v>
      </c>
      <c r="AM160" s="50">
        <f t="shared" ca="1" si="115"/>
        <v>0</v>
      </c>
      <c r="AN160" s="50">
        <f ca="1">IF(B160=0,0,AT160*(_rpm1+(1+_emr1)*VLOOKUP(E160,Tab_Mort_Charge,IF(Input!$C$12="M",2,3),0))*(0.001*0.0833)*Flag_Mort_Rider_Charge*(AT160&gt;0))</f>
        <v>0</v>
      </c>
      <c r="AO160" s="50">
        <f t="shared" ca="1" si="136"/>
        <v>0</v>
      </c>
      <c r="AP160" s="50">
        <f t="shared" ca="1" si="143"/>
        <v>0</v>
      </c>
      <c r="AQ160" s="50">
        <f t="shared" ca="1" si="116"/>
        <v>0</v>
      </c>
      <c r="AR160" s="50">
        <f t="shared" ca="1" si="117"/>
        <v>0</v>
      </c>
      <c r="AS160" s="50">
        <f t="shared" si="118"/>
        <v>0</v>
      </c>
      <c r="AT160" s="50">
        <f ca="1">(MAX((MAX(AS160,105%*SUM($AJ$7:AJ160))-AM160*Flag_UL_Type),0)*B160)</f>
        <v>0</v>
      </c>
      <c r="AU160" s="50">
        <f ca="1">(MAX(AS160,AR160,105%*SUM($AJ$7:AJ160))*B160)</f>
        <v>0</v>
      </c>
      <c r="AV160" s="125"/>
      <c r="AW160" s="13"/>
      <c r="AX160" s="13"/>
      <c r="AY160" s="13"/>
      <c r="AZ160" s="13"/>
      <c r="BA160" s="13"/>
      <c r="BG160" s="51">
        <f t="shared" si="119"/>
        <v>0</v>
      </c>
      <c r="BH160" s="51">
        <f t="shared" ca="1" si="120"/>
        <v>24.867170840514099</v>
      </c>
      <c r="BI160" s="51">
        <f t="shared" ca="1" si="121"/>
        <v>0</v>
      </c>
      <c r="BJ160" s="51">
        <f t="shared" ca="1" si="122"/>
        <v>0</v>
      </c>
      <c r="BK160" s="51">
        <f t="shared" si="123"/>
        <v>90</v>
      </c>
      <c r="BL160" s="51">
        <f t="shared" ca="1" si="124"/>
        <v>820.26417879381711</v>
      </c>
      <c r="BM160" s="51">
        <f t="shared" si="125"/>
        <v>0</v>
      </c>
      <c r="BN160" s="51">
        <f t="shared" ca="1" si="126"/>
        <v>0</v>
      </c>
      <c r="BO160" s="51">
        <f t="shared" ca="1" si="127"/>
        <v>0</v>
      </c>
      <c r="BP160" s="51">
        <f t="shared" ca="1" si="128"/>
        <v>935.13134963433117</v>
      </c>
      <c r="BQ160" s="120"/>
      <c r="BR160" s="32"/>
      <c r="BS160" s="126"/>
      <c r="BT160" s="16"/>
      <c r="BU160" s="58"/>
      <c r="BW160" s="51">
        <f>VLOOKUP(H160,Charges!$AT$4:$AU$33,2,FALSE)*I160</f>
        <v>0</v>
      </c>
      <c r="BX160" s="51">
        <f t="shared" si="129"/>
        <v>0</v>
      </c>
      <c r="BY160" s="51">
        <f t="shared" si="137"/>
        <v>0</v>
      </c>
      <c r="BZ160" s="151"/>
      <c r="CA160" s="151"/>
      <c r="CB160" s="32"/>
      <c r="CC160" s="16">
        <f ca="1">SUM($N$7:$N160)</f>
        <v>0</v>
      </c>
      <c r="CD160" s="16">
        <f t="shared" ca="1" si="130"/>
        <v>0</v>
      </c>
      <c r="CE160" s="16">
        <f t="shared" ca="1" si="131"/>
        <v>0</v>
      </c>
      <c r="CF160" s="7">
        <f t="shared" ca="1" si="138"/>
        <v>0</v>
      </c>
    </row>
    <row r="161" spans="1:84" s="7" customFormat="1" x14ac:dyDescent="0.2">
      <c r="A161" s="149"/>
      <c r="B161" s="14">
        <f t="shared" si="100"/>
        <v>1</v>
      </c>
      <c r="C161" s="12">
        <f t="shared" si="101"/>
        <v>1</v>
      </c>
      <c r="D161" s="17">
        <f t="shared" si="139"/>
        <v>155</v>
      </c>
      <c r="E161" s="17">
        <f t="shared" ca="1" si="102"/>
        <v>72</v>
      </c>
      <c r="F161" s="12">
        <f t="shared" si="141"/>
        <v>10</v>
      </c>
      <c r="G161" s="12">
        <f t="shared" si="140"/>
        <v>26</v>
      </c>
      <c r="H161" s="17">
        <f t="shared" si="142"/>
        <v>13</v>
      </c>
      <c r="I161" s="29">
        <f t="shared" si="103"/>
        <v>0</v>
      </c>
      <c r="J161" s="211">
        <f>IFERROR(VLOOKUP(H161,Charges!$T$6:$U$35,2,0)*C161,0)</f>
        <v>1</v>
      </c>
      <c r="K161" s="29">
        <f t="shared" si="104"/>
        <v>0</v>
      </c>
      <c r="L161" s="29">
        <f t="shared" si="105"/>
        <v>0</v>
      </c>
      <c r="M161" s="147">
        <f t="shared" ca="1" si="106"/>
        <v>0</v>
      </c>
      <c r="N161" s="148">
        <f ca="1">IF(AND(Option_SPW="Y",H161&gt;=Lock_In_Period,Z160&gt;SPW_Amount_pa+IF(option="Single",1/5*pr,2*pr),H161&gt;=SPW_Start_Year,H161&lt;=SPW_Start_Year+SPW_Duration-1,age+H161&gt;=Legal_Age),IF(AND(F161=0,SPW_Payout_Freq=1),SPW_Amount_pa,IF(AND(SPW_Payout_Freq=2,MOD(F161,6)=0),SPW_Amount_pa/SPW_Payout_Freq,IF(AND(SPW_Payout_Freq=4,MOD(F161,3)=0),SPW_Amount_pa/SPW_Payout_Freq,IF(SPW_Payout_Freq=12,SPW_Amount_pa/SPW_Payout_Freq,0)))),0)+IFERROR(VLOOKUP(H161,Input!$B$68:$C$74,2,0),0)*(F161=0)*(Option_PW="Y")*(Option_SPW="N")*(age+H161&gt;=Legal_Age)</f>
        <v>0</v>
      </c>
      <c r="O161" s="148">
        <f t="shared" ca="1" si="132"/>
        <v>0</v>
      </c>
      <c r="P161" s="14">
        <f ca="1">(MAX(MAX(sa-CF160*Flag_UL_Type,105%*SUM($I$7:I161))-(AD160+L161-N161)*Flag_UL_Type,0)*B161)</f>
        <v>51893.210872788448</v>
      </c>
      <c r="Q161" s="213">
        <f t="shared" ca="1" si="107"/>
        <v>121.56503579059415</v>
      </c>
      <c r="R161" s="14">
        <f t="shared" ca="1" si="108"/>
        <v>0</v>
      </c>
      <c r="S161" s="14">
        <f t="shared" ca="1" si="109"/>
        <v>0</v>
      </c>
      <c r="T161" s="14">
        <f>IFERROR(IF(WoP_Flag="Y",IF(fq=1,VLOOKUP(ppt*fq-H161,Charges!$AN$41:$AO$59,2,FALSE),IF(fq=2,VLOOKUP(ppt*fq-G161,Charges!$AP$41:$AQ$79,2,FALSE),VLOOKUP(ppt*fq-D161,Charges!$AR$41:$AS$279,2,FALSE)))*pr/fq,0),0)</f>
        <v>0</v>
      </c>
      <c r="U161" s="14">
        <f ca="1">IFERROR(((T161*(VLOOKUP(Input!$D$18+H161-1,Tab_Mort_Charge,IF(Gender_2="M",2,3),FALSE)*(1+_emr2)+_rpm2)/IF(Model_Type="LA_PQIS",1000/0.0833,(12*1000))))*Flag_Mort_Rider_Charge*(T161&gt;0),0)</f>
        <v>0</v>
      </c>
      <c r="V161" s="34">
        <f>ROUND(MIN(IF(H161&gt;=7,Charges!$C$12*(1+Charges!$C$14)^((H161-7+1)),VLOOKUP(H161,Charges!$B$7:$C$12,2,0))*pr,Charges!$C$13)*B161,Round)</f>
        <v>500</v>
      </c>
      <c r="W161" s="14">
        <f t="shared" ca="1" si="110"/>
        <v>4042373.3423849787</v>
      </c>
      <c r="X161" s="14">
        <f t="shared" ca="1" si="111"/>
        <v>4055607.0208104448</v>
      </c>
      <c r="Y161" s="213">
        <f t="shared" ca="1" si="133"/>
        <v>4565.040888772216</v>
      </c>
      <c r="Z161" s="14">
        <f t="shared" ca="1" si="112"/>
        <v>4050220.2725616936</v>
      </c>
      <c r="AA161" s="14">
        <f>IF(AND($H161=pt,$F161=11),SUM($K$7:K161)*VLOOKUP(pt,ROC,2,FALSE),0)</f>
        <v>0</v>
      </c>
      <c r="AB161" s="14">
        <f>IF(AND($H161=pt,$F161=11),SUM($V$7:V161)*VLOOKUP(pt,ROC,2,FALSE),0)</f>
        <v>0</v>
      </c>
      <c r="AC161" s="14">
        <f>IF(AND($H161=pt,$F161=11),SUM($Q$7:Q161)*VLOOKUP(pt,ROC,2,FALSE),0)</f>
        <v>0</v>
      </c>
      <c r="AD161" s="14">
        <f t="shared" ca="1" si="134"/>
        <v>4050220.2725616936</v>
      </c>
      <c r="AE161" s="14">
        <f ca="1">(MAX(sa-CF160*Flag_UL_Type,105%*SUM($I$7:I161),Z161)+AU161)*B161</f>
        <v>4095000</v>
      </c>
      <c r="AF161" s="136"/>
      <c r="AG161" s="18">
        <v>155</v>
      </c>
      <c r="AH161" s="30">
        <f t="shared" ca="1" si="113"/>
        <v>0</v>
      </c>
      <c r="AI161" s="58"/>
      <c r="AJ161" s="50">
        <f>IF(AND(Option_Sys_TopUp&gt;="Y",H161&gt;=sytp,H161&lt;=(dtp+sytp-1),F161=0,H161&lt;=ppt+1),atp,0)+IFERROR(VLOOKUP(H161,Input!$B$55:$C$61,2,0),0)*(F161=0)*(Option_TopUP="Y")*(Option_Sys_TopUp="N")*B161*(pt&gt;=H161+5)</f>
        <v>0</v>
      </c>
      <c r="AK161" s="50">
        <f t="shared" si="114"/>
        <v>0</v>
      </c>
      <c r="AL161" s="50">
        <f t="shared" si="135"/>
        <v>0</v>
      </c>
      <c r="AM161" s="50">
        <f t="shared" ca="1" si="115"/>
        <v>0</v>
      </c>
      <c r="AN161" s="50">
        <f ca="1">IF(B161=0,0,AT161*(_rpm1+(1+_emr1)*VLOOKUP(E161,Tab_Mort_Charge,IF(Input!$C$12="M",2,3),0))*(0.001*0.0833)*Flag_Mort_Rider_Charge*(AT161&gt;0))</f>
        <v>0</v>
      </c>
      <c r="AO161" s="50">
        <f t="shared" ca="1" si="136"/>
        <v>0</v>
      </c>
      <c r="AP161" s="50">
        <f t="shared" ca="1" si="143"/>
        <v>0</v>
      </c>
      <c r="AQ161" s="50">
        <f t="shared" ca="1" si="116"/>
        <v>0</v>
      </c>
      <c r="AR161" s="50">
        <f t="shared" ca="1" si="117"/>
        <v>0</v>
      </c>
      <c r="AS161" s="50">
        <f t="shared" si="118"/>
        <v>0</v>
      </c>
      <c r="AT161" s="50">
        <f ca="1">(MAX((MAX(AS161,105%*SUM($AJ$7:AJ161))-AM161*Flag_UL_Type),0)*B161)</f>
        <v>0</v>
      </c>
      <c r="AU161" s="50">
        <f ca="1">(MAX(AS161,AR161,105%*SUM($AJ$7:AJ161))*B161)</f>
        <v>0</v>
      </c>
      <c r="AV161" s="125"/>
      <c r="AW161" s="13"/>
      <c r="AX161" s="13"/>
      <c r="AY161" s="13"/>
      <c r="AZ161" s="13"/>
      <c r="BA161" s="13"/>
      <c r="BG161" s="51">
        <f t="shared" si="119"/>
        <v>0</v>
      </c>
      <c r="BH161" s="51">
        <f t="shared" ca="1" si="120"/>
        <v>21.8817064423069</v>
      </c>
      <c r="BI161" s="51">
        <f t="shared" ca="1" si="121"/>
        <v>0</v>
      </c>
      <c r="BJ161" s="51">
        <f t="shared" ca="1" si="122"/>
        <v>0</v>
      </c>
      <c r="BK161" s="51">
        <f t="shared" si="123"/>
        <v>90</v>
      </c>
      <c r="BL161" s="51">
        <f t="shared" ca="1" si="124"/>
        <v>821.70735997899885</v>
      </c>
      <c r="BM161" s="51">
        <f t="shared" si="125"/>
        <v>0</v>
      </c>
      <c r="BN161" s="51">
        <f t="shared" ca="1" si="126"/>
        <v>0</v>
      </c>
      <c r="BO161" s="51">
        <f t="shared" ca="1" si="127"/>
        <v>0</v>
      </c>
      <c r="BP161" s="51">
        <f t="shared" ca="1" si="128"/>
        <v>933.58906642130569</v>
      </c>
      <c r="BQ161" s="120"/>
      <c r="BR161" s="32"/>
      <c r="BS161" s="126"/>
      <c r="BT161" s="16"/>
      <c r="BU161" s="58"/>
      <c r="BW161" s="51">
        <f>VLOOKUP(H161,Charges!$AT$4:$AU$33,2,FALSE)*I161</f>
        <v>0</v>
      </c>
      <c r="BX161" s="51">
        <f t="shared" si="129"/>
        <v>0</v>
      </c>
      <c r="BY161" s="51">
        <f t="shared" si="137"/>
        <v>0</v>
      </c>
      <c r="BZ161" s="151"/>
      <c r="CA161" s="151"/>
      <c r="CB161" s="32"/>
      <c r="CC161" s="16">
        <f ca="1">SUM($N$7:$N161)</f>
        <v>0</v>
      </c>
      <c r="CD161" s="16">
        <f t="shared" ca="1" si="130"/>
        <v>0</v>
      </c>
      <c r="CE161" s="16">
        <f t="shared" ca="1" si="131"/>
        <v>0</v>
      </c>
      <c r="CF161" s="7">
        <f t="shared" ca="1" si="138"/>
        <v>0</v>
      </c>
    </row>
    <row r="162" spans="1:84" s="7" customFormat="1" x14ac:dyDescent="0.2">
      <c r="A162" s="149"/>
      <c r="B162" s="14">
        <f t="shared" si="100"/>
        <v>1</v>
      </c>
      <c r="C162" s="12">
        <f t="shared" si="101"/>
        <v>1</v>
      </c>
      <c r="D162" s="17">
        <f t="shared" si="139"/>
        <v>156</v>
      </c>
      <c r="E162" s="17">
        <f t="shared" ca="1" si="102"/>
        <v>72</v>
      </c>
      <c r="F162" s="12">
        <f t="shared" si="141"/>
        <v>11</v>
      </c>
      <c r="G162" s="12">
        <f t="shared" si="140"/>
        <v>26</v>
      </c>
      <c r="H162" s="17">
        <f t="shared" si="142"/>
        <v>13</v>
      </c>
      <c r="I162" s="29">
        <f t="shared" si="103"/>
        <v>0</v>
      </c>
      <c r="J162" s="211">
        <f>IFERROR(VLOOKUP(H162,Charges!$T$6:$U$35,2,0)*C162,0)</f>
        <v>1</v>
      </c>
      <c r="K162" s="29">
        <f t="shared" si="104"/>
        <v>0</v>
      </c>
      <c r="L162" s="29">
        <f t="shared" si="105"/>
        <v>0</v>
      </c>
      <c r="M162" s="147">
        <f t="shared" ca="1" si="106"/>
        <v>0</v>
      </c>
      <c r="N162" s="148">
        <f ca="1">IF(AND(Option_SPW="Y",H162&gt;=Lock_In_Period,Z161&gt;SPW_Amount_pa+IF(option="Single",1/5*pr,2*pr),H162&gt;=SPW_Start_Year,H162&lt;=SPW_Start_Year+SPW_Duration-1,age+H162&gt;=Legal_Age),IF(AND(F162=0,SPW_Payout_Freq=1),SPW_Amount_pa,IF(AND(SPW_Payout_Freq=2,MOD(F162,6)=0),SPW_Amount_pa/SPW_Payout_Freq,IF(AND(SPW_Payout_Freq=4,MOD(F162,3)=0),SPW_Amount_pa/SPW_Payout_Freq,IF(SPW_Payout_Freq=12,SPW_Amount_pa/SPW_Payout_Freq,0)))),0)+IFERROR(VLOOKUP(H162,Input!$B$68:$C$74,2,0),0)*(F162=0)*(Option_PW="Y")*(Option_SPW="N")*(age+H162&gt;=Legal_Age)</f>
        <v>0</v>
      </c>
      <c r="O162" s="148">
        <f t="shared" ca="1" si="132"/>
        <v>0</v>
      </c>
      <c r="P162" s="14">
        <f ca="1">(MAX(MAX(sa-CF161*Flag_UL_Type,105%*SUM($I$7:I162))-(AD161+L162-N162)*Flag_UL_Type,0)*B162)</f>
        <v>44779.727438306436</v>
      </c>
      <c r="Q162" s="213">
        <f t="shared" ca="1" si="107"/>
        <v>104.90098949697666</v>
      </c>
      <c r="R162" s="14">
        <f t="shared" ca="1" si="108"/>
        <v>0</v>
      </c>
      <c r="S162" s="14">
        <f t="shared" ca="1" si="109"/>
        <v>0</v>
      </c>
      <c r="T162" s="14">
        <f>IFERROR(IF(WoP_Flag="Y",IF(fq=1,VLOOKUP(ppt*fq-H162,Charges!$AN$41:$AO$59,2,FALSE),IF(fq=2,VLOOKUP(ppt*fq-G162,Charges!$AP$41:$AQ$79,2,FALSE),VLOOKUP(ppt*fq-D162,Charges!$AR$41:$AS$279,2,FALSE)))*pr/fq,0),0)</f>
        <v>0</v>
      </c>
      <c r="U162" s="14">
        <f ca="1">IFERROR(((T162*(VLOOKUP(Input!$D$18+H162-1,Tab_Mort_Charge,IF(Gender_2="M",2,3),FALSE)*(1+_emr2)+_rpm2)/IF(Model_Type="LA_PQIS",1000/0.0833,(12*1000))))*Flag_Mort_Rider_Charge*(T162&gt;0),0)</f>
        <v>0</v>
      </c>
      <c r="V162" s="34">
        <f>ROUND(MIN(IF(H162&gt;=7,Charges!$C$12*(1+Charges!$C$14)^((H162-7+1)),VLOOKUP(H162,Charges!$B$7:$C$12,2,0))*pr,Charges!$C$13)*B162,Round)</f>
        <v>500</v>
      </c>
      <c r="W162" s="14">
        <f t="shared" ca="1" si="110"/>
        <v>4049506.4893940873</v>
      </c>
      <c r="X162" s="14">
        <f t="shared" ca="1" si="111"/>
        <v>4062763.5198866893</v>
      </c>
      <c r="Y162" s="213">
        <f t="shared" ca="1" si="133"/>
        <v>4573.0963317024298</v>
      </c>
      <c r="Z162" s="14">
        <f t="shared" ca="1" si="112"/>
        <v>4057367.2662152802</v>
      </c>
      <c r="AA162" s="14">
        <f>IF(AND($H162=pt,$F162=11),SUM($K$7:K162)*VLOOKUP(pt,ROC,2,FALSE),0)</f>
        <v>0</v>
      </c>
      <c r="AB162" s="14">
        <f>IF(AND($H162=pt,$F162=11),SUM($V$7:V162)*VLOOKUP(pt,ROC,2,FALSE),0)</f>
        <v>0</v>
      </c>
      <c r="AC162" s="14">
        <f>IF(AND($H162=pt,$F162=11),SUM($Q$7:Q162)*VLOOKUP(pt,ROC,2,FALSE),0)</f>
        <v>0</v>
      </c>
      <c r="AD162" s="14">
        <f t="shared" ca="1" si="134"/>
        <v>4057367.2662152802</v>
      </c>
      <c r="AE162" s="14">
        <f ca="1">(MAX(sa-CF161*Flag_UL_Type,105%*SUM($I$7:I162),Z162)+AU162)*B162</f>
        <v>4095000</v>
      </c>
      <c r="AF162" s="136"/>
      <c r="AG162" s="18">
        <v>156</v>
      </c>
      <c r="AH162" s="30">
        <f t="shared" ca="1" si="113"/>
        <v>0</v>
      </c>
      <c r="AI162" s="58"/>
      <c r="AJ162" s="50">
        <f>IF(AND(Option_Sys_TopUp&gt;="Y",H162&gt;=sytp,H162&lt;=(dtp+sytp-1),F162=0,H162&lt;=ppt+1),atp,0)+IFERROR(VLOOKUP(H162,Input!$B$55:$C$61,2,0),0)*(F162=0)*(Option_TopUP="Y")*(Option_Sys_TopUp="N")*B162*(pt&gt;=H162+5)</f>
        <v>0</v>
      </c>
      <c r="AK162" s="50">
        <f t="shared" si="114"/>
        <v>0</v>
      </c>
      <c r="AL162" s="50">
        <f t="shared" si="135"/>
        <v>0</v>
      </c>
      <c r="AM162" s="50">
        <f t="shared" ca="1" si="115"/>
        <v>0</v>
      </c>
      <c r="AN162" s="50">
        <f ca="1">IF(B162=0,0,AT162*(_rpm1+(1+_emr1)*VLOOKUP(E162,Tab_Mort_Charge,IF(Input!$C$12="M",2,3),0))*(0.001*0.0833)*Flag_Mort_Rider_Charge*(AT162&gt;0))</f>
        <v>0</v>
      </c>
      <c r="AO162" s="50">
        <f t="shared" ca="1" si="136"/>
        <v>0</v>
      </c>
      <c r="AP162" s="50">
        <f t="shared" ca="1" si="143"/>
        <v>0</v>
      </c>
      <c r="AQ162" s="50">
        <f t="shared" ca="1" si="116"/>
        <v>0</v>
      </c>
      <c r="AR162" s="50">
        <f t="shared" ca="1" si="117"/>
        <v>0</v>
      </c>
      <c r="AS162" s="50">
        <f t="shared" si="118"/>
        <v>0</v>
      </c>
      <c r="AT162" s="50">
        <f ca="1">(MAX((MAX(AS162,105%*SUM($AJ$7:AJ162))-AM162*Flag_UL_Type),0)*B162)</f>
        <v>0</v>
      </c>
      <c r="AU162" s="50">
        <f ca="1">(MAX(AS162,AR162,105%*SUM($AJ$7:AJ162))*B162)</f>
        <v>0</v>
      </c>
      <c r="AV162" s="125"/>
      <c r="AW162" s="13"/>
      <c r="AX162" s="13"/>
      <c r="AY162" s="13"/>
      <c r="AZ162" s="13"/>
      <c r="BA162" s="13"/>
      <c r="BG162" s="51">
        <f t="shared" si="119"/>
        <v>0</v>
      </c>
      <c r="BH162" s="51">
        <f t="shared" ca="1" si="120"/>
        <v>18.882178109455801</v>
      </c>
      <c r="BI162" s="51">
        <f t="shared" ca="1" si="121"/>
        <v>0</v>
      </c>
      <c r="BJ162" s="51">
        <f t="shared" ca="1" si="122"/>
        <v>0</v>
      </c>
      <c r="BK162" s="51">
        <f t="shared" si="123"/>
        <v>90</v>
      </c>
      <c r="BL162" s="51">
        <f t="shared" ca="1" si="124"/>
        <v>823.15733970643737</v>
      </c>
      <c r="BM162" s="51">
        <f t="shared" si="125"/>
        <v>0</v>
      </c>
      <c r="BN162" s="51">
        <f t="shared" ca="1" si="126"/>
        <v>0</v>
      </c>
      <c r="BO162" s="51">
        <f t="shared" ca="1" si="127"/>
        <v>0</v>
      </c>
      <c r="BP162" s="51">
        <f t="shared" ca="1" si="128"/>
        <v>932.03951781589319</v>
      </c>
      <c r="BQ162" s="120"/>
      <c r="BR162" s="32"/>
      <c r="BS162" s="126"/>
      <c r="BT162" s="16"/>
      <c r="BU162" s="58"/>
      <c r="BW162" s="51">
        <f>VLOOKUP(H162,Charges!$AT$4:$AU$33,2,FALSE)*I162</f>
        <v>0</v>
      </c>
      <c r="BX162" s="51">
        <f t="shared" si="129"/>
        <v>0</v>
      </c>
      <c r="BY162" s="51">
        <f t="shared" si="137"/>
        <v>0</v>
      </c>
      <c r="BZ162" s="151"/>
      <c r="CA162" s="151"/>
      <c r="CB162" s="32"/>
      <c r="CC162" s="16">
        <f ca="1">SUM($N$7:$N162)</f>
        <v>0</v>
      </c>
      <c r="CD162" s="16">
        <f t="shared" ca="1" si="130"/>
        <v>0</v>
      </c>
      <c r="CE162" s="16">
        <f t="shared" ca="1" si="131"/>
        <v>0</v>
      </c>
      <c r="CF162" s="7">
        <f t="shared" ca="1" si="138"/>
        <v>0</v>
      </c>
    </row>
    <row r="163" spans="1:84" s="7" customFormat="1" x14ac:dyDescent="0.2">
      <c r="A163" s="149"/>
      <c r="B163" s="14">
        <f t="shared" si="100"/>
        <v>1</v>
      </c>
      <c r="C163" s="12">
        <f t="shared" si="101"/>
        <v>1</v>
      </c>
      <c r="D163" s="17">
        <f t="shared" si="139"/>
        <v>157</v>
      </c>
      <c r="E163" s="17">
        <f t="shared" ca="1" si="102"/>
        <v>73</v>
      </c>
      <c r="F163" s="12">
        <f t="shared" si="141"/>
        <v>0</v>
      </c>
      <c r="G163" s="12">
        <f t="shared" si="140"/>
        <v>27</v>
      </c>
      <c r="H163" s="17">
        <f t="shared" si="142"/>
        <v>14</v>
      </c>
      <c r="I163" s="29">
        <f t="shared" si="103"/>
        <v>300000</v>
      </c>
      <c r="J163" s="211">
        <f>IFERROR(VLOOKUP(H163,Charges!$T$6:$U$35,2,0)*C163,0)</f>
        <v>1</v>
      </c>
      <c r="K163" s="29">
        <f t="shared" si="104"/>
        <v>0</v>
      </c>
      <c r="L163" s="29">
        <f t="shared" si="105"/>
        <v>300000</v>
      </c>
      <c r="M163" s="147">
        <f t="shared" ca="1" si="106"/>
        <v>0</v>
      </c>
      <c r="N163" s="148">
        <f ca="1">IF(AND(Option_SPW="Y",H163&gt;=Lock_In_Period,Z162&gt;SPW_Amount_pa+IF(option="Single",1/5*pr,2*pr),H163&gt;=SPW_Start_Year,H163&lt;=SPW_Start_Year+SPW_Duration-1,age+H163&gt;=Legal_Age),IF(AND(F163=0,SPW_Payout_Freq=1),SPW_Amount_pa,IF(AND(SPW_Payout_Freq=2,MOD(F163,6)=0),SPW_Amount_pa/SPW_Payout_Freq,IF(AND(SPW_Payout_Freq=4,MOD(F163,3)=0),SPW_Amount_pa/SPW_Payout_Freq,IF(SPW_Payout_Freq=12,SPW_Amount_pa/SPW_Payout_Freq,0)))),0)+IFERROR(VLOOKUP(H163,Input!$B$68:$C$74,2,0),0)*(F163=0)*(Option_PW="Y")*(Option_SPW="N")*(age+H163&gt;=Legal_Age)</f>
        <v>0</v>
      </c>
      <c r="O163" s="148">
        <f t="shared" ca="1" si="132"/>
        <v>0</v>
      </c>
      <c r="P163" s="14">
        <f ca="1">(MAX(MAX(sa-CF162*Flag_UL_Type,105%*SUM($I$7:I163))-(AD162+L163-N163)*Flag_UL_Type,0)*B163)</f>
        <v>52632.733784720302</v>
      </c>
      <c r="Q163" s="213">
        <f t="shared" ca="1" si="107"/>
        <v>135.2972668608875</v>
      </c>
      <c r="R163" s="14">
        <f t="shared" ca="1" si="108"/>
        <v>0</v>
      </c>
      <c r="S163" s="14">
        <f t="shared" ca="1" si="109"/>
        <v>0</v>
      </c>
      <c r="T163" s="14">
        <f>IFERROR(IF(WoP_Flag="Y",IF(fq=1,VLOOKUP(ppt*fq-H163,Charges!$AN$41:$AO$59,2,FALSE),IF(fq=2,VLOOKUP(ppt*fq-G163,Charges!$AP$41:$AQ$79,2,FALSE),VLOOKUP(ppt*fq-D163,Charges!$AR$41:$AS$279,2,FALSE)))*pr/fq,0),0)</f>
        <v>0</v>
      </c>
      <c r="U163" s="14">
        <f ca="1">IFERROR(((T163*(VLOOKUP(Input!$D$18+H163-1,Tab_Mort_Charge,IF(Gender_2="M",2,3),FALSE)*(1+_emr2)+_rpm2)/IF(Model_Type="LA_PQIS",1000/0.0833,(12*1000))))*Flag_Mort_Rider_Charge*(T163&gt;0),0)</f>
        <v>0</v>
      </c>
      <c r="V163" s="34">
        <f>ROUND(MIN(IF(H163&gt;=7,Charges!$C$12*(1+Charges!$C$14)^((H163-7+1)),VLOOKUP(H163,Charges!$B$7:$C$12,2,0))*pr,Charges!$C$13)*B163,Round)</f>
        <v>500</v>
      </c>
      <c r="W163" s="14">
        <f t="shared" ca="1" si="110"/>
        <v>4356617.6154403836</v>
      </c>
      <c r="X163" s="14">
        <f t="shared" ca="1" si="111"/>
        <v>4370880.0478438791</v>
      </c>
      <c r="Y163" s="213">
        <f t="shared" ca="1" si="133"/>
        <v>4919.9160658171077</v>
      </c>
      <c r="Z163" s="14">
        <f t="shared" ca="1" si="112"/>
        <v>4365074.546886215</v>
      </c>
      <c r="AA163" s="14">
        <f>IF(AND($H163=pt,$F163=11),SUM($K$7:K163)*VLOOKUP(pt,ROC,2,FALSE),0)</f>
        <v>0</v>
      </c>
      <c r="AB163" s="14">
        <f>IF(AND($H163=pt,$F163=11),SUM($V$7:V163)*VLOOKUP(pt,ROC,2,FALSE),0)</f>
        <v>0</v>
      </c>
      <c r="AC163" s="14">
        <f>IF(AND($H163=pt,$F163=11),SUM($Q$7:Q163)*VLOOKUP(pt,ROC,2,FALSE),0)</f>
        <v>0</v>
      </c>
      <c r="AD163" s="14">
        <f t="shared" ca="1" si="134"/>
        <v>4365074.546886215</v>
      </c>
      <c r="AE163" s="14">
        <f ca="1">(MAX(sa-CF162*Flag_UL_Type,105%*SUM($I$7:I163),Z163)+AU163)*B163</f>
        <v>4410000</v>
      </c>
      <c r="AF163" s="136"/>
      <c r="AG163" s="18">
        <v>157</v>
      </c>
      <c r="AH163" s="30">
        <f t="shared" ca="1" si="113"/>
        <v>300000</v>
      </c>
      <c r="AI163" s="58"/>
      <c r="AJ163" s="50">
        <f>IF(AND(Option_Sys_TopUp&gt;="Y",H163&gt;=sytp,H163&lt;=(dtp+sytp-1),F163=0,H163&lt;=ppt+1),atp,0)+IFERROR(VLOOKUP(H163,Input!$B$55:$C$61,2,0),0)*(F163=0)*(Option_TopUP="Y")*(Option_Sys_TopUp="N")*B163*(pt&gt;=H163+5)</f>
        <v>0</v>
      </c>
      <c r="AK163" s="50">
        <f t="shared" si="114"/>
        <v>0</v>
      </c>
      <c r="AL163" s="50">
        <f t="shared" si="135"/>
        <v>0</v>
      </c>
      <c r="AM163" s="50">
        <f t="shared" ca="1" si="115"/>
        <v>0</v>
      </c>
      <c r="AN163" s="50">
        <f ca="1">IF(B163=0,0,AT163*(_rpm1+(1+_emr1)*VLOOKUP(E163,Tab_Mort_Charge,IF(Input!$C$12="M",2,3),0))*(0.001*0.0833)*Flag_Mort_Rider_Charge*(AT163&gt;0))</f>
        <v>0</v>
      </c>
      <c r="AO163" s="50">
        <f t="shared" ca="1" si="136"/>
        <v>0</v>
      </c>
      <c r="AP163" s="50">
        <f t="shared" ca="1" si="143"/>
        <v>0</v>
      </c>
      <c r="AQ163" s="50">
        <f t="shared" ca="1" si="116"/>
        <v>0</v>
      </c>
      <c r="AR163" s="50">
        <f t="shared" ca="1" si="117"/>
        <v>0</v>
      </c>
      <c r="AS163" s="50">
        <f t="shared" si="118"/>
        <v>0</v>
      </c>
      <c r="AT163" s="50">
        <f ca="1">(MAX((MAX(AS163,105%*SUM($AJ$7:AJ163))-AM163*Flag_UL_Type),0)*B163)</f>
        <v>0</v>
      </c>
      <c r="AU163" s="50">
        <f ca="1">(MAX(AS163,AR163,105%*SUM($AJ$7:AJ163))*B163)</f>
        <v>0</v>
      </c>
      <c r="AV163" s="125"/>
      <c r="AW163" s="13"/>
      <c r="AX163" s="13"/>
      <c r="AY163" s="13"/>
      <c r="AZ163" s="13"/>
      <c r="BA163" s="13"/>
      <c r="BG163" s="51">
        <f t="shared" si="119"/>
        <v>0</v>
      </c>
      <c r="BH163" s="51">
        <f t="shared" ca="1" si="120"/>
        <v>24.353508034959699</v>
      </c>
      <c r="BI163" s="51">
        <f t="shared" ca="1" si="121"/>
        <v>0</v>
      </c>
      <c r="BJ163" s="51">
        <f t="shared" ca="1" si="122"/>
        <v>0</v>
      </c>
      <c r="BK163" s="51">
        <f t="shared" si="123"/>
        <v>90</v>
      </c>
      <c r="BL163" s="51">
        <f t="shared" ca="1" si="124"/>
        <v>885.58489184707935</v>
      </c>
      <c r="BM163" s="51">
        <f t="shared" si="125"/>
        <v>0</v>
      </c>
      <c r="BN163" s="51">
        <f t="shared" ca="1" si="126"/>
        <v>0</v>
      </c>
      <c r="BO163" s="51">
        <f t="shared" ca="1" si="127"/>
        <v>0</v>
      </c>
      <c r="BP163" s="51">
        <f t="shared" ca="1" si="128"/>
        <v>999.93839988203899</v>
      </c>
      <c r="BQ163" s="120"/>
      <c r="BR163" s="32"/>
      <c r="BS163" s="126"/>
      <c r="BT163" s="16"/>
      <c r="BU163" s="58"/>
      <c r="BW163" s="51">
        <f>VLOOKUP(H163,Charges!$AT$4:$AU$33,2,FALSE)*I163</f>
        <v>0</v>
      </c>
      <c r="BX163" s="51">
        <f t="shared" si="129"/>
        <v>0</v>
      </c>
      <c r="BY163" s="51">
        <f t="shared" si="137"/>
        <v>0</v>
      </c>
      <c r="BZ163" s="151"/>
      <c r="CA163" s="151"/>
      <c r="CB163" s="32"/>
      <c r="CC163" s="16">
        <f ca="1">SUM($N$7:$N163)</f>
        <v>0</v>
      </c>
      <c r="CD163" s="16">
        <f t="shared" ca="1" si="130"/>
        <v>0</v>
      </c>
      <c r="CE163" s="16">
        <f t="shared" ca="1" si="131"/>
        <v>0</v>
      </c>
      <c r="CF163" s="7">
        <f t="shared" ca="1" si="138"/>
        <v>0</v>
      </c>
    </row>
    <row r="164" spans="1:84" s="7" customFormat="1" x14ac:dyDescent="0.2">
      <c r="A164" s="149"/>
      <c r="B164" s="14">
        <f t="shared" si="100"/>
        <v>1</v>
      </c>
      <c r="C164" s="12">
        <f t="shared" si="101"/>
        <v>1</v>
      </c>
      <c r="D164" s="17">
        <f t="shared" si="139"/>
        <v>158</v>
      </c>
      <c r="E164" s="17">
        <f t="shared" ca="1" si="102"/>
        <v>73</v>
      </c>
      <c r="F164" s="12">
        <f t="shared" si="141"/>
        <v>1</v>
      </c>
      <c r="G164" s="12">
        <f t="shared" si="140"/>
        <v>27</v>
      </c>
      <c r="H164" s="17">
        <f t="shared" si="142"/>
        <v>14</v>
      </c>
      <c r="I164" s="29">
        <f t="shared" si="103"/>
        <v>0</v>
      </c>
      <c r="J164" s="211">
        <f>IFERROR(VLOOKUP(H164,Charges!$T$6:$U$35,2,0)*C164,0)</f>
        <v>1</v>
      </c>
      <c r="K164" s="29">
        <f t="shared" si="104"/>
        <v>0</v>
      </c>
      <c r="L164" s="29">
        <f t="shared" si="105"/>
        <v>0</v>
      </c>
      <c r="M164" s="147">
        <f t="shared" ca="1" si="106"/>
        <v>0</v>
      </c>
      <c r="N164" s="148">
        <f ca="1">IF(AND(Option_SPW="Y",H164&gt;=Lock_In_Period,Z163&gt;SPW_Amount_pa+IF(option="Single",1/5*pr,2*pr),H164&gt;=SPW_Start_Year,H164&lt;=SPW_Start_Year+SPW_Duration-1,age+H164&gt;=Legal_Age),IF(AND(F164=0,SPW_Payout_Freq=1),SPW_Amount_pa,IF(AND(SPW_Payout_Freq=2,MOD(F164,6)=0),SPW_Amount_pa/SPW_Payout_Freq,IF(AND(SPW_Payout_Freq=4,MOD(F164,3)=0),SPW_Amount_pa/SPW_Payout_Freq,IF(SPW_Payout_Freq=12,SPW_Amount_pa/SPW_Payout_Freq,0)))),0)+IFERROR(VLOOKUP(H164,Input!$B$68:$C$74,2,0),0)*(F164=0)*(Option_PW="Y")*(Option_SPW="N")*(age+H164&gt;=Legal_Age)</f>
        <v>0</v>
      </c>
      <c r="O164" s="148">
        <f t="shared" ca="1" si="132"/>
        <v>0</v>
      </c>
      <c r="P164" s="14">
        <f ca="1">(MAX(MAX(sa-CF163*Flag_UL_Type,105%*SUM($I$7:I164))-(AD163+L164-N164)*Flag_UL_Type,0)*B164)</f>
        <v>44925.453113785014</v>
      </c>
      <c r="Q164" s="213">
        <f t="shared" ca="1" si="107"/>
        <v>115.48499539552</v>
      </c>
      <c r="R164" s="14">
        <f t="shared" ca="1" si="108"/>
        <v>0</v>
      </c>
      <c r="S164" s="14">
        <f t="shared" ca="1" si="109"/>
        <v>0</v>
      </c>
      <c r="T164" s="14">
        <f>IFERROR(IF(WoP_Flag="Y",IF(fq=1,VLOOKUP(ppt*fq-H164,Charges!$AN$41:$AO$59,2,FALSE),IF(fq=2,VLOOKUP(ppt*fq-G164,Charges!$AP$41:$AQ$79,2,FALSE),VLOOKUP(ppt*fq-D164,Charges!$AR$41:$AS$279,2,FALSE)))*pr/fq,0),0)</f>
        <v>0</v>
      </c>
      <c r="U164" s="14">
        <f ca="1">IFERROR(((T164*(VLOOKUP(Input!$D$18+H164-1,Tab_Mort_Charge,IF(Gender_2="M",2,3),FALSE)*(1+_emr2)+_rpm2)/IF(Model_Type="LA_PQIS",1000/0.0833,(12*1000))))*Flag_Mort_Rider_Charge*(T164&gt;0),0)</f>
        <v>0</v>
      </c>
      <c r="V164" s="34">
        <f>ROUND(MIN(IF(H164&gt;=7,Charges!$C$12*(1+Charges!$C$14)^((H164-7+1)),VLOOKUP(H164,Charges!$B$7:$C$12,2,0))*pr,Charges!$C$13)*B164,Round)</f>
        <v>500</v>
      </c>
      <c r="W164" s="14">
        <f t="shared" ca="1" si="110"/>
        <v>4364348.274591648</v>
      </c>
      <c r="X164" s="14">
        <f t="shared" ca="1" si="111"/>
        <v>4378636.0151615497</v>
      </c>
      <c r="Y164" s="213">
        <f t="shared" ca="1" si="133"/>
        <v>4928.6462775352229</v>
      </c>
      <c r="Z164" s="14">
        <f t="shared" ca="1" si="112"/>
        <v>4372820.2125540581</v>
      </c>
      <c r="AA164" s="14">
        <f>IF(AND($H164=pt,$F164=11),SUM($K$7:K164)*VLOOKUP(pt,ROC,2,FALSE),0)</f>
        <v>0</v>
      </c>
      <c r="AB164" s="14">
        <f>IF(AND($H164=pt,$F164=11),SUM($V$7:V164)*VLOOKUP(pt,ROC,2,FALSE),0)</f>
        <v>0</v>
      </c>
      <c r="AC164" s="14">
        <f>IF(AND($H164=pt,$F164=11),SUM($Q$7:Q164)*VLOOKUP(pt,ROC,2,FALSE),0)</f>
        <v>0</v>
      </c>
      <c r="AD164" s="14">
        <f t="shared" ca="1" si="134"/>
        <v>4372820.2125540581</v>
      </c>
      <c r="AE164" s="14">
        <f ca="1">(MAX(sa-CF163*Flag_UL_Type,105%*SUM($I$7:I164),Z164)+AU164)*B164</f>
        <v>4410000</v>
      </c>
      <c r="AF164" s="136"/>
      <c r="AG164" s="18">
        <v>158</v>
      </c>
      <c r="AH164" s="30">
        <f t="shared" ca="1" si="113"/>
        <v>0</v>
      </c>
      <c r="AI164" s="58"/>
      <c r="AJ164" s="50">
        <f>IF(AND(Option_Sys_TopUp&gt;="Y",H164&gt;=sytp,H164&lt;=(dtp+sytp-1),F164=0,H164&lt;=ppt+1),atp,0)+IFERROR(VLOOKUP(H164,Input!$B$55:$C$61,2,0),0)*(F164=0)*(Option_TopUP="Y")*(Option_Sys_TopUp="N")*B164*(pt&gt;=H164+5)</f>
        <v>0</v>
      </c>
      <c r="AK164" s="50">
        <f t="shared" si="114"/>
        <v>0</v>
      </c>
      <c r="AL164" s="50">
        <f t="shared" si="135"/>
        <v>0</v>
      </c>
      <c r="AM164" s="50">
        <f t="shared" ca="1" si="115"/>
        <v>0</v>
      </c>
      <c r="AN164" s="50">
        <f ca="1">IF(B164=0,0,AT164*(_rpm1+(1+_emr1)*VLOOKUP(E164,Tab_Mort_Charge,IF(Input!$C$12="M",2,3),0))*(0.001*0.0833)*Flag_Mort_Rider_Charge*(AT164&gt;0))</f>
        <v>0</v>
      </c>
      <c r="AO164" s="50">
        <f t="shared" ca="1" si="136"/>
        <v>0</v>
      </c>
      <c r="AP164" s="50">
        <f t="shared" ca="1" si="143"/>
        <v>0</v>
      </c>
      <c r="AQ164" s="50">
        <f t="shared" ca="1" si="116"/>
        <v>0</v>
      </c>
      <c r="AR164" s="50">
        <f t="shared" ca="1" si="117"/>
        <v>0</v>
      </c>
      <c r="AS164" s="50">
        <f t="shared" si="118"/>
        <v>0</v>
      </c>
      <c r="AT164" s="50">
        <f ca="1">(MAX((MAX(AS164,105%*SUM($AJ$7:AJ164))-AM164*Flag_UL_Type),0)*B164)</f>
        <v>0</v>
      </c>
      <c r="AU164" s="50">
        <f ca="1">(MAX(AS164,AR164,105%*SUM($AJ$7:AJ164))*B164)</f>
        <v>0</v>
      </c>
      <c r="AV164" s="125"/>
      <c r="AW164" s="13"/>
      <c r="AX164" s="13"/>
      <c r="AY164" s="13"/>
      <c r="AZ164" s="13"/>
      <c r="BA164" s="13"/>
      <c r="BG164" s="51">
        <f t="shared" si="119"/>
        <v>0</v>
      </c>
      <c r="BH164" s="51">
        <f t="shared" ca="1" si="120"/>
        <v>20.787299171193599</v>
      </c>
      <c r="BI164" s="51">
        <f t="shared" ca="1" si="121"/>
        <v>0</v>
      </c>
      <c r="BJ164" s="51">
        <f t="shared" ca="1" si="122"/>
        <v>0</v>
      </c>
      <c r="BK164" s="51">
        <f t="shared" si="123"/>
        <v>90</v>
      </c>
      <c r="BL164" s="51">
        <f t="shared" ca="1" si="124"/>
        <v>887.15632995634007</v>
      </c>
      <c r="BM164" s="51">
        <f t="shared" si="125"/>
        <v>0</v>
      </c>
      <c r="BN164" s="51">
        <f t="shared" ca="1" si="126"/>
        <v>0</v>
      </c>
      <c r="BO164" s="51">
        <f t="shared" ca="1" si="127"/>
        <v>0</v>
      </c>
      <c r="BP164" s="51">
        <f t="shared" ca="1" si="128"/>
        <v>997.94362912753365</v>
      </c>
      <c r="BQ164" s="120"/>
      <c r="BR164" s="32"/>
      <c r="BS164" s="126"/>
      <c r="BT164" s="16"/>
      <c r="BU164" s="58"/>
      <c r="BW164" s="51">
        <f>VLOOKUP(H164,Charges!$AT$4:$AU$33,2,FALSE)*I164</f>
        <v>0</v>
      </c>
      <c r="BX164" s="51">
        <f t="shared" si="129"/>
        <v>0</v>
      </c>
      <c r="BY164" s="51">
        <f t="shared" si="137"/>
        <v>0</v>
      </c>
      <c r="BZ164" s="151"/>
      <c r="CA164" s="151"/>
      <c r="CB164" s="32"/>
      <c r="CC164" s="16">
        <f ca="1">SUM($N$7:$N164)</f>
        <v>0</v>
      </c>
      <c r="CD164" s="16">
        <f t="shared" ca="1" si="130"/>
        <v>0</v>
      </c>
      <c r="CE164" s="16">
        <f t="shared" ca="1" si="131"/>
        <v>0</v>
      </c>
      <c r="CF164" s="7">
        <f t="shared" ca="1" si="138"/>
        <v>0</v>
      </c>
    </row>
    <row r="165" spans="1:84" s="7" customFormat="1" x14ac:dyDescent="0.2">
      <c r="A165" s="149"/>
      <c r="B165" s="14">
        <f t="shared" si="100"/>
        <v>1</v>
      </c>
      <c r="C165" s="12">
        <f t="shared" si="101"/>
        <v>1</v>
      </c>
      <c r="D165" s="17">
        <f t="shared" si="139"/>
        <v>159</v>
      </c>
      <c r="E165" s="17">
        <f t="shared" ca="1" si="102"/>
        <v>73</v>
      </c>
      <c r="F165" s="12">
        <f t="shared" si="141"/>
        <v>2</v>
      </c>
      <c r="G165" s="12">
        <f t="shared" si="140"/>
        <v>27</v>
      </c>
      <c r="H165" s="17">
        <f t="shared" si="142"/>
        <v>14</v>
      </c>
      <c r="I165" s="29">
        <f t="shared" si="103"/>
        <v>0</v>
      </c>
      <c r="J165" s="211">
        <f>IFERROR(VLOOKUP(H165,Charges!$T$6:$U$35,2,0)*C165,0)</f>
        <v>1</v>
      </c>
      <c r="K165" s="29">
        <f t="shared" si="104"/>
        <v>0</v>
      </c>
      <c r="L165" s="29">
        <f t="shared" si="105"/>
        <v>0</v>
      </c>
      <c r="M165" s="147">
        <f t="shared" ca="1" si="106"/>
        <v>0</v>
      </c>
      <c r="N165" s="148">
        <f ca="1">IF(AND(Option_SPW="Y",H165&gt;=Lock_In_Period,Z164&gt;SPW_Amount_pa+IF(option="Single",1/5*pr,2*pr),H165&gt;=SPW_Start_Year,H165&lt;=SPW_Start_Year+SPW_Duration-1,age+H165&gt;=Legal_Age),IF(AND(F165=0,SPW_Payout_Freq=1),SPW_Amount_pa,IF(AND(SPW_Payout_Freq=2,MOD(F165,6)=0),SPW_Amount_pa/SPW_Payout_Freq,IF(AND(SPW_Payout_Freq=4,MOD(F165,3)=0),SPW_Amount_pa/SPW_Payout_Freq,IF(SPW_Payout_Freq=12,SPW_Amount_pa/SPW_Payout_Freq,0)))),0)+IFERROR(VLOOKUP(H165,Input!$B$68:$C$74,2,0),0)*(F165=0)*(Option_PW="Y")*(Option_SPW="N")*(age+H165&gt;=Legal_Age)</f>
        <v>0</v>
      </c>
      <c r="O165" s="148">
        <f t="shared" ca="1" si="132"/>
        <v>0</v>
      </c>
      <c r="P165" s="14">
        <f ca="1">(MAX(MAX(sa-CF164*Flag_UL_Type,105%*SUM($I$7:I165))-(AD164+L165-N165)*Flag_UL_Type,0)*B165)</f>
        <v>37179.78744594194</v>
      </c>
      <c r="Q165" s="213">
        <f t="shared" ca="1" si="107"/>
        <v>95.574051776976674</v>
      </c>
      <c r="R165" s="14">
        <f t="shared" ca="1" si="108"/>
        <v>0</v>
      </c>
      <c r="S165" s="14">
        <f t="shared" ca="1" si="109"/>
        <v>0</v>
      </c>
      <c r="T165" s="14">
        <f>IFERROR(IF(WoP_Flag="Y",IF(fq=1,VLOOKUP(ppt*fq-H165,Charges!$AN$41:$AO$59,2,FALSE),IF(fq=2,VLOOKUP(ppt*fq-G165,Charges!$AP$41:$AQ$79,2,FALSE),VLOOKUP(ppt*fq-D165,Charges!$AR$41:$AS$279,2,FALSE)))*pr/fq,0),0)</f>
        <v>0</v>
      </c>
      <c r="U165" s="14">
        <f ca="1">IFERROR(((T165*(VLOOKUP(Input!$D$18+H165-1,Tab_Mort_Charge,IF(Gender_2="M",2,3),FALSE)*(1+_emr2)+_rpm2)/IF(Model_Type="LA_PQIS",1000/0.0833,(12*1000))))*Flag_Mort_Rider_Charge*(T165&gt;0),0)</f>
        <v>0</v>
      </c>
      <c r="V165" s="34">
        <f>ROUND(MIN(IF(H165&gt;=7,Charges!$C$12*(1+Charges!$C$14)^((H165-7+1)),VLOOKUP(H165,Charges!$B$7:$C$12,2,0))*pr,Charges!$C$13)*B165,Round)</f>
        <v>500</v>
      </c>
      <c r="W165" s="14">
        <f t="shared" ca="1" si="110"/>
        <v>4372117.4351729611</v>
      </c>
      <c r="X165" s="14">
        <f t="shared" ca="1" si="111"/>
        <v>4386430.6099529322</v>
      </c>
      <c r="Y165" s="213">
        <f t="shared" ca="1" si="133"/>
        <v>4937.41996881041</v>
      </c>
      <c r="Z165" s="14">
        <f t="shared" ca="1" si="112"/>
        <v>4380604.4543897361</v>
      </c>
      <c r="AA165" s="14">
        <f>IF(AND($H165=pt,$F165=11),SUM($K$7:K165)*VLOOKUP(pt,ROC,2,FALSE),0)</f>
        <v>0</v>
      </c>
      <c r="AB165" s="14">
        <f>IF(AND($H165=pt,$F165=11),SUM($V$7:V165)*VLOOKUP(pt,ROC,2,FALSE),0)</f>
        <v>0</v>
      </c>
      <c r="AC165" s="14">
        <f>IF(AND($H165=pt,$F165=11),SUM($Q$7:Q165)*VLOOKUP(pt,ROC,2,FALSE),0)</f>
        <v>0</v>
      </c>
      <c r="AD165" s="14">
        <f t="shared" ca="1" si="134"/>
        <v>4380604.4543897361</v>
      </c>
      <c r="AE165" s="14">
        <f ca="1">(MAX(sa-CF164*Flag_UL_Type,105%*SUM($I$7:I165),Z165)+AU165)*B165</f>
        <v>4410000</v>
      </c>
      <c r="AF165" s="136"/>
      <c r="AG165" s="18">
        <v>159</v>
      </c>
      <c r="AH165" s="30">
        <f t="shared" ca="1" si="113"/>
        <v>0</v>
      </c>
      <c r="AI165" s="58"/>
      <c r="AJ165" s="50">
        <f>IF(AND(Option_Sys_TopUp&gt;="Y",H165&gt;=sytp,H165&lt;=(dtp+sytp-1),F165=0,H165&lt;=ppt+1),atp,0)+IFERROR(VLOOKUP(H165,Input!$B$55:$C$61,2,0),0)*(F165=0)*(Option_TopUP="Y")*(Option_Sys_TopUp="N")*B165*(pt&gt;=H165+5)</f>
        <v>0</v>
      </c>
      <c r="AK165" s="50">
        <f t="shared" si="114"/>
        <v>0</v>
      </c>
      <c r="AL165" s="50">
        <f t="shared" si="135"/>
        <v>0</v>
      </c>
      <c r="AM165" s="50">
        <f t="shared" ca="1" si="115"/>
        <v>0</v>
      </c>
      <c r="AN165" s="50">
        <f ca="1">IF(B165=0,0,AT165*(_rpm1+(1+_emr1)*VLOOKUP(E165,Tab_Mort_Charge,IF(Input!$C$12="M",2,3),0))*(0.001*0.0833)*Flag_Mort_Rider_Charge*(AT165&gt;0))</f>
        <v>0</v>
      </c>
      <c r="AO165" s="50">
        <f t="shared" ca="1" si="136"/>
        <v>0</v>
      </c>
      <c r="AP165" s="50">
        <f t="shared" ca="1" si="143"/>
        <v>0</v>
      </c>
      <c r="AQ165" s="50">
        <f t="shared" ca="1" si="116"/>
        <v>0</v>
      </c>
      <c r="AR165" s="50">
        <f t="shared" ca="1" si="117"/>
        <v>0</v>
      </c>
      <c r="AS165" s="50">
        <f t="shared" si="118"/>
        <v>0</v>
      </c>
      <c r="AT165" s="50">
        <f ca="1">(MAX((MAX(AS165,105%*SUM($AJ$7:AJ165))-AM165*Flag_UL_Type),0)*B165)</f>
        <v>0</v>
      </c>
      <c r="AU165" s="50">
        <f ca="1">(MAX(AS165,AR165,105%*SUM($AJ$7:AJ165))*B165)</f>
        <v>0</v>
      </c>
      <c r="AV165" s="125"/>
      <c r="AW165" s="13"/>
      <c r="AX165" s="13"/>
      <c r="AY165" s="13"/>
      <c r="AZ165" s="13"/>
      <c r="BA165" s="13"/>
      <c r="BG165" s="51">
        <f t="shared" si="119"/>
        <v>0</v>
      </c>
      <c r="BH165" s="51">
        <f t="shared" ca="1" si="120"/>
        <v>17.203329319855801</v>
      </c>
      <c r="BI165" s="51">
        <f t="shared" ca="1" si="121"/>
        <v>0</v>
      </c>
      <c r="BJ165" s="51">
        <f t="shared" ca="1" si="122"/>
        <v>0</v>
      </c>
      <c r="BK165" s="51">
        <f t="shared" si="123"/>
        <v>90</v>
      </c>
      <c r="BL165" s="51">
        <f t="shared" ca="1" si="124"/>
        <v>888.73559438587381</v>
      </c>
      <c r="BM165" s="51">
        <f t="shared" si="125"/>
        <v>0</v>
      </c>
      <c r="BN165" s="51">
        <f t="shared" ca="1" si="126"/>
        <v>0</v>
      </c>
      <c r="BO165" s="51">
        <f t="shared" ca="1" si="127"/>
        <v>0</v>
      </c>
      <c r="BP165" s="51">
        <f t="shared" ca="1" si="128"/>
        <v>995.93892370572962</v>
      </c>
      <c r="BQ165" s="120"/>
      <c r="BR165" s="32"/>
      <c r="BS165" s="126"/>
      <c r="BT165" s="16"/>
      <c r="BU165" s="58"/>
      <c r="BW165" s="51">
        <f>VLOOKUP(H165,Charges!$AT$4:$AU$33,2,FALSE)*I165</f>
        <v>0</v>
      </c>
      <c r="BX165" s="51">
        <f t="shared" si="129"/>
        <v>0</v>
      </c>
      <c r="BY165" s="51">
        <f t="shared" si="137"/>
        <v>0</v>
      </c>
      <c r="BZ165" s="151"/>
      <c r="CA165" s="151"/>
      <c r="CB165" s="32"/>
      <c r="CC165" s="16">
        <f ca="1">SUM($N$7:$N165)</f>
        <v>0</v>
      </c>
      <c r="CD165" s="16">
        <f t="shared" ca="1" si="130"/>
        <v>0</v>
      </c>
      <c r="CE165" s="16">
        <f t="shared" ca="1" si="131"/>
        <v>0</v>
      </c>
      <c r="CF165" s="7">
        <f t="shared" ca="1" si="138"/>
        <v>0</v>
      </c>
    </row>
    <row r="166" spans="1:84" s="7" customFormat="1" x14ac:dyDescent="0.2">
      <c r="A166" s="149"/>
      <c r="B166" s="14">
        <f t="shared" si="100"/>
        <v>1</v>
      </c>
      <c r="C166" s="12">
        <f t="shared" si="101"/>
        <v>1</v>
      </c>
      <c r="D166" s="17">
        <f t="shared" si="139"/>
        <v>160</v>
      </c>
      <c r="E166" s="17">
        <f t="shared" ca="1" si="102"/>
        <v>73</v>
      </c>
      <c r="F166" s="12">
        <f t="shared" si="141"/>
        <v>3</v>
      </c>
      <c r="G166" s="12">
        <f t="shared" si="140"/>
        <v>27</v>
      </c>
      <c r="H166" s="17">
        <f t="shared" si="142"/>
        <v>14</v>
      </c>
      <c r="I166" s="29">
        <f t="shared" si="103"/>
        <v>0</v>
      </c>
      <c r="J166" s="211">
        <f>IFERROR(VLOOKUP(H166,Charges!$T$6:$U$35,2,0)*C166,0)</f>
        <v>1</v>
      </c>
      <c r="K166" s="29">
        <f t="shared" si="104"/>
        <v>0</v>
      </c>
      <c r="L166" s="29">
        <f t="shared" si="105"/>
        <v>0</v>
      </c>
      <c r="M166" s="147">
        <f t="shared" ca="1" si="106"/>
        <v>0</v>
      </c>
      <c r="N166" s="148">
        <f ca="1">IF(AND(Option_SPW="Y",H166&gt;=Lock_In_Period,Z165&gt;SPW_Amount_pa+IF(option="Single",1/5*pr,2*pr),H166&gt;=SPW_Start_Year,H166&lt;=SPW_Start_Year+SPW_Duration-1,age+H166&gt;=Legal_Age),IF(AND(F166=0,SPW_Payout_Freq=1),SPW_Amount_pa,IF(AND(SPW_Payout_Freq=2,MOD(F166,6)=0),SPW_Amount_pa/SPW_Payout_Freq,IF(AND(SPW_Payout_Freq=4,MOD(F166,3)=0),SPW_Amount_pa/SPW_Payout_Freq,IF(SPW_Payout_Freq=12,SPW_Amount_pa/SPW_Payout_Freq,0)))),0)+IFERROR(VLOOKUP(H166,Input!$B$68:$C$74,2,0),0)*(F166=0)*(Option_PW="Y")*(Option_SPW="N")*(age+H166&gt;=Legal_Age)</f>
        <v>0</v>
      </c>
      <c r="O166" s="148">
        <f t="shared" ca="1" si="132"/>
        <v>0</v>
      </c>
      <c r="P166" s="14">
        <f ca="1">(MAX(MAX(sa-CF165*Flag_UL_Type,105%*SUM($I$7:I166))-(AD165+L166-N166)*Flag_UL_Type,0)*B166)</f>
        <v>29395.545610263944</v>
      </c>
      <c r="Q166" s="213">
        <f t="shared" ca="1" si="107"/>
        <v>75.563944582864423</v>
      </c>
      <c r="R166" s="14">
        <f t="shared" ca="1" si="108"/>
        <v>0</v>
      </c>
      <c r="S166" s="14">
        <f t="shared" ca="1" si="109"/>
        <v>0</v>
      </c>
      <c r="T166" s="14">
        <f>IFERROR(IF(WoP_Flag="Y",IF(fq=1,VLOOKUP(ppt*fq-H166,Charges!$AN$41:$AO$59,2,FALSE),IF(fq=2,VLOOKUP(ppt*fq-G166,Charges!$AP$41:$AQ$79,2,FALSE),VLOOKUP(ppt*fq-D166,Charges!$AR$41:$AS$279,2,FALSE)))*pr/fq,0),0)</f>
        <v>0</v>
      </c>
      <c r="U166" s="14">
        <f ca="1">IFERROR(((T166*(VLOOKUP(Input!$D$18+H166-1,Tab_Mort_Charge,IF(Gender_2="M",2,3),FALSE)*(1+_emr2)+_rpm2)/IF(Model_Type="LA_PQIS",1000/0.0833,(12*1000))))*Flag_Mort_Rider_Charge*(T166&gt;0),0)</f>
        <v>0</v>
      </c>
      <c r="V166" s="34">
        <f>ROUND(MIN(IF(H166&gt;=7,Charges!$C$12*(1+Charges!$C$14)^((H166-7+1)),VLOOKUP(H166,Charges!$B$7:$C$12,2,0))*pr,Charges!$C$13)*B166,Round)</f>
        <v>500</v>
      </c>
      <c r="W166" s="14">
        <f t="shared" ca="1" si="110"/>
        <v>4379925.2889351286</v>
      </c>
      <c r="X166" s="14">
        <f t="shared" ca="1" si="111"/>
        <v>4394264.0245965747</v>
      </c>
      <c r="Y166" s="213">
        <f t="shared" ca="1" si="133"/>
        <v>4946.2373561863169</v>
      </c>
      <c r="Z166" s="14">
        <f t="shared" ca="1" si="112"/>
        <v>4388427.4645162746</v>
      </c>
      <c r="AA166" s="14">
        <f>IF(AND($H166=pt,$F166=11),SUM($K$7:K166)*VLOOKUP(pt,ROC,2,FALSE),0)</f>
        <v>0</v>
      </c>
      <c r="AB166" s="14">
        <f>IF(AND($H166=pt,$F166=11),SUM($V$7:V166)*VLOOKUP(pt,ROC,2,FALSE),0)</f>
        <v>0</v>
      </c>
      <c r="AC166" s="14">
        <f>IF(AND($H166=pt,$F166=11),SUM($Q$7:Q166)*VLOOKUP(pt,ROC,2,FALSE),0)</f>
        <v>0</v>
      </c>
      <c r="AD166" s="14">
        <f t="shared" ca="1" si="134"/>
        <v>4388427.4645162746</v>
      </c>
      <c r="AE166" s="14">
        <f ca="1">(MAX(sa-CF165*Flag_UL_Type,105%*SUM($I$7:I166),Z166)+AU166)*B166</f>
        <v>4410000</v>
      </c>
      <c r="AF166" s="136"/>
      <c r="AG166" s="18">
        <v>160</v>
      </c>
      <c r="AH166" s="30">
        <f t="shared" ca="1" si="113"/>
        <v>0</v>
      </c>
      <c r="AI166" s="58"/>
      <c r="AJ166" s="50">
        <f>IF(AND(Option_Sys_TopUp&gt;="Y",H166&gt;=sytp,H166&lt;=(dtp+sytp-1),F166=0,H166&lt;=ppt+1),atp,0)+IFERROR(VLOOKUP(H166,Input!$B$55:$C$61,2,0),0)*(F166=0)*(Option_TopUP="Y")*(Option_Sys_TopUp="N")*B166*(pt&gt;=H166+5)</f>
        <v>0</v>
      </c>
      <c r="AK166" s="50">
        <f t="shared" si="114"/>
        <v>0</v>
      </c>
      <c r="AL166" s="50">
        <f t="shared" si="135"/>
        <v>0</v>
      </c>
      <c r="AM166" s="50">
        <f t="shared" ca="1" si="115"/>
        <v>0</v>
      </c>
      <c r="AN166" s="50">
        <f ca="1">IF(B166=0,0,AT166*(_rpm1+(1+_emr1)*VLOOKUP(E166,Tab_Mort_Charge,IF(Input!$C$12="M",2,3),0))*(0.001*0.0833)*Flag_Mort_Rider_Charge*(AT166&gt;0))</f>
        <v>0</v>
      </c>
      <c r="AO166" s="50">
        <f t="shared" ca="1" si="136"/>
        <v>0</v>
      </c>
      <c r="AP166" s="50">
        <f t="shared" ca="1" si="143"/>
        <v>0</v>
      </c>
      <c r="AQ166" s="50">
        <f t="shared" ca="1" si="116"/>
        <v>0</v>
      </c>
      <c r="AR166" s="50">
        <f t="shared" ca="1" si="117"/>
        <v>0</v>
      </c>
      <c r="AS166" s="50">
        <f t="shared" si="118"/>
        <v>0</v>
      </c>
      <c r="AT166" s="50">
        <f ca="1">(MAX((MAX(AS166,105%*SUM($AJ$7:AJ166))-AM166*Flag_UL_Type),0)*B166)</f>
        <v>0</v>
      </c>
      <c r="AU166" s="50">
        <f ca="1">(MAX(AS166,AR166,105%*SUM($AJ$7:AJ166))*B166)</f>
        <v>0</v>
      </c>
      <c r="AV166" s="125"/>
      <c r="AW166" s="13"/>
      <c r="AX166" s="13"/>
      <c r="AY166" s="13"/>
      <c r="AZ166" s="13"/>
      <c r="BA166" s="13"/>
      <c r="BG166" s="51">
        <f t="shared" si="119"/>
        <v>0</v>
      </c>
      <c r="BH166" s="51">
        <f t="shared" ca="1" si="120"/>
        <v>13.6015100249156</v>
      </c>
      <c r="BI166" s="51">
        <f t="shared" ca="1" si="121"/>
        <v>0</v>
      </c>
      <c r="BJ166" s="51">
        <f t="shared" ca="1" si="122"/>
        <v>0</v>
      </c>
      <c r="BK166" s="51">
        <f t="shared" si="123"/>
        <v>90</v>
      </c>
      <c r="BL166" s="51">
        <f t="shared" ca="1" si="124"/>
        <v>890.32272411353699</v>
      </c>
      <c r="BM166" s="51">
        <f t="shared" si="125"/>
        <v>0</v>
      </c>
      <c r="BN166" s="51">
        <f t="shared" ca="1" si="126"/>
        <v>0</v>
      </c>
      <c r="BO166" s="51">
        <f t="shared" ca="1" si="127"/>
        <v>0</v>
      </c>
      <c r="BP166" s="51">
        <f t="shared" ca="1" si="128"/>
        <v>993.92423413845256</v>
      </c>
      <c r="BQ166" s="120"/>
      <c r="BR166" s="32"/>
      <c r="BS166" s="126"/>
      <c r="BT166" s="16"/>
      <c r="BU166" s="58"/>
      <c r="BW166" s="51">
        <f>VLOOKUP(H166,Charges!$AT$4:$AU$33,2,FALSE)*I166</f>
        <v>0</v>
      </c>
      <c r="BX166" s="51">
        <f t="shared" si="129"/>
        <v>0</v>
      </c>
      <c r="BY166" s="51">
        <f t="shared" si="137"/>
        <v>0</v>
      </c>
      <c r="BZ166" s="151"/>
      <c r="CA166" s="151"/>
      <c r="CB166" s="32"/>
      <c r="CC166" s="16">
        <f ca="1">SUM($N$7:$N166)</f>
        <v>0</v>
      </c>
      <c r="CD166" s="16">
        <f t="shared" ca="1" si="130"/>
        <v>0</v>
      </c>
      <c r="CE166" s="16">
        <f t="shared" ca="1" si="131"/>
        <v>0</v>
      </c>
      <c r="CF166" s="7">
        <f t="shared" ca="1" si="138"/>
        <v>0</v>
      </c>
    </row>
    <row r="167" spans="1:84" s="7" customFormat="1" x14ac:dyDescent="0.2">
      <c r="A167" s="149"/>
      <c r="B167" s="14">
        <f t="shared" si="100"/>
        <v>1</v>
      </c>
      <c r="C167" s="12">
        <f t="shared" si="101"/>
        <v>1</v>
      </c>
      <c r="D167" s="17">
        <f t="shared" si="139"/>
        <v>161</v>
      </c>
      <c r="E167" s="17">
        <f t="shared" ca="1" si="102"/>
        <v>73</v>
      </c>
      <c r="F167" s="12">
        <f t="shared" si="141"/>
        <v>4</v>
      </c>
      <c r="G167" s="12">
        <f t="shared" si="140"/>
        <v>27</v>
      </c>
      <c r="H167" s="17">
        <f t="shared" si="142"/>
        <v>14</v>
      </c>
      <c r="I167" s="29">
        <f t="shared" si="103"/>
        <v>0</v>
      </c>
      <c r="J167" s="211">
        <f>IFERROR(VLOOKUP(H167,Charges!$T$6:$U$35,2,0)*C167,0)</f>
        <v>1</v>
      </c>
      <c r="K167" s="29">
        <f t="shared" si="104"/>
        <v>0</v>
      </c>
      <c r="L167" s="29">
        <f t="shared" si="105"/>
        <v>0</v>
      </c>
      <c r="M167" s="147">
        <f t="shared" ca="1" si="106"/>
        <v>0</v>
      </c>
      <c r="N167" s="148">
        <f ca="1">IF(AND(Option_SPW="Y",H167&gt;=Lock_In_Period,Z166&gt;SPW_Amount_pa+IF(option="Single",1/5*pr,2*pr),H167&gt;=SPW_Start_Year,H167&lt;=SPW_Start_Year+SPW_Duration-1,age+H167&gt;=Legal_Age),IF(AND(F167=0,SPW_Payout_Freq=1),SPW_Amount_pa,IF(AND(SPW_Payout_Freq=2,MOD(F167,6)=0),SPW_Amount_pa/SPW_Payout_Freq,IF(AND(SPW_Payout_Freq=4,MOD(F167,3)=0),SPW_Amount_pa/SPW_Payout_Freq,IF(SPW_Payout_Freq=12,SPW_Amount_pa/SPW_Payout_Freq,0)))),0)+IFERROR(VLOOKUP(H167,Input!$B$68:$C$74,2,0),0)*(F167=0)*(Option_PW="Y")*(Option_SPW="N")*(age+H167&gt;=Legal_Age)</f>
        <v>0</v>
      </c>
      <c r="O167" s="148">
        <f t="shared" ca="1" si="132"/>
        <v>0</v>
      </c>
      <c r="P167" s="14">
        <f ca="1">(MAX(MAX(sa-CF166*Flag_UL_Type,105%*SUM($I$7:I167))-(AD166+L167-N167)*Flag_UL_Type,0)*B167)</f>
        <v>21572.535483725369</v>
      </c>
      <c r="Q167" s="213">
        <f t="shared" ca="1" si="107"/>
        <v>55.454179943335419</v>
      </c>
      <c r="R167" s="14">
        <f t="shared" ca="1" si="108"/>
        <v>0</v>
      </c>
      <c r="S167" s="14">
        <f t="shared" ca="1" si="109"/>
        <v>0</v>
      </c>
      <c r="T167" s="14">
        <f>IFERROR(IF(WoP_Flag="Y",IF(fq=1,VLOOKUP(ppt*fq-H167,Charges!$AN$41:$AO$59,2,FALSE),IF(fq=2,VLOOKUP(ppt*fq-G167,Charges!$AP$41:$AQ$79,2,FALSE),VLOOKUP(ppt*fq-D167,Charges!$AR$41:$AS$279,2,FALSE)))*pr/fq,0),0)</f>
        <v>0</v>
      </c>
      <c r="U167" s="14">
        <f ca="1">IFERROR(((T167*(VLOOKUP(Input!$D$18+H167-1,Tab_Mort_Charge,IF(Gender_2="M",2,3),FALSE)*(1+_emr2)+_rpm2)/IF(Model_Type="LA_PQIS",1000/0.0833,(12*1000))))*Flag_Mort_Rider_Charge*(T167&gt;0),0)</f>
        <v>0</v>
      </c>
      <c r="V167" s="34">
        <f>ROUND(MIN(IF(H167&gt;=7,Charges!$C$12*(1+Charges!$C$14)^((H167-7+1)),VLOOKUP(H167,Charges!$B$7:$C$12,2,0))*pr,Charges!$C$13)*B167,Round)</f>
        <v>500</v>
      </c>
      <c r="W167" s="14">
        <f t="shared" ca="1" si="110"/>
        <v>4387772.028583941</v>
      </c>
      <c r="X167" s="14">
        <f t="shared" ca="1" si="111"/>
        <v>4402136.4524291363</v>
      </c>
      <c r="Y167" s="213">
        <f t="shared" ca="1" si="133"/>
        <v>4955.0986572850534</v>
      </c>
      <c r="Z167" s="14">
        <f t="shared" ca="1" si="112"/>
        <v>4396289.4360135403</v>
      </c>
      <c r="AA167" s="14">
        <f>IF(AND($H167=pt,$F167=11),SUM($K$7:K167)*VLOOKUP(pt,ROC,2,FALSE),0)</f>
        <v>0</v>
      </c>
      <c r="AB167" s="14">
        <f>IF(AND($H167=pt,$F167=11),SUM($V$7:V167)*VLOOKUP(pt,ROC,2,FALSE),0)</f>
        <v>0</v>
      </c>
      <c r="AC167" s="14">
        <f>IF(AND($H167=pt,$F167=11),SUM($Q$7:Q167)*VLOOKUP(pt,ROC,2,FALSE),0)</f>
        <v>0</v>
      </c>
      <c r="AD167" s="14">
        <f t="shared" ca="1" si="134"/>
        <v>4396289.4360135403</v>
      </c>
      <c r="AE167" s="14">
        <f ca="1">(MAX(sa-CF166*Flag_UL_Type,105%*SUM($I$7:I167),Z167)+AU167)*B167</f>
        <v>4410000</v>
      </c>
      <c r="AF167" s="136"/>
      <c r="AG167" s="18">
        <v>161</v>
      </c>
      <c r="AH167" s="30">
        <f t="shared" ca="1" si="113"/>
        <v>0</v>
      </c>
      <c r="AI167" s="58"/>
      <c r="AJ167" s="50">
        <f>IF(AND(Option_Sys_TopUp&gt;="Y",H167&gt;=sytp,H167&lt;=(dtp+sytp-1),F167=0,H167&lt;=ppt+1),atp,0)+IFERROR(VLOOKUP(H167,Input!$B$55:$C$61,2,0),0)*(F167=0)*(Option_TopUP="Y")*(Option_Sys_TopUp="N")*B167*(pt&gt;=H167+5)</f>
        <v>0</v>
      </c>
      <c r="AK167" s="50">
        <f t="shared" si="114"/>
        <v>0</v>
      </c>
      <c r="AL167" s="50">
        <f t="shared" si="135"/>
        <v>0</v>
      </c>
      <c r="AM167" s="50">
        <f t="shared" ca="1" si="115"/>
        <v>0</v>
      </c>
      <c r="AN167" s="50">
        <f ca="1">IF(B167=0,0,AT167*(_rpm1+(1+_emr1)*VLOOKUP(E167,Tab_Mort_Charge,IF(Input!$C$12="M",2,3),0))*(0.001*0.0833)*Flag_Mort_Rider_Charge*(AT167&gt;0))</f>
        <v>0</v>
      </c>
      <c r="AO167" s="50">
        <f t="shared" ca="1" si="136"/>
        <v>0</v>
      </c>
      <c r="AP167" s="50">
        <f t="shared" ca="1" si="143"/>
        <v>0</v>
      </c>
      <c r="AQ167" s="50">
        <f t="shared" ca="1" si="116"/>
        <v>0</v>
      </c>
      <c r="AR167" s="50">
        <f t="shared" ca="1" si="117"/>
        <v>0</v>
      </c>
      <c r="AS167" s="50">
        <f t="shared" si="118"/>
        <v>0</v>
      </c>
      <c r="AT167" s="50">
        <f ca="1">(MAX((MAX(AS167,105%*SUM($AJ$7:AJ167))-AM167*Flag_UL_Type),0)*B167)</f>
        <v>0</v>
      </c>
      <c r="AU167" s="50">
        <f ca="1">(MAX(AS167,AR167,105%*SUM($AJ$7:AJ167))*B167)</f>
        <v>0</v>
      </c>
      <c r="AV167" s="125"/>
      <c r="AW167" s="13"/>
      <c r="AX167" s="13"/>
      <c r="AY167" s="13"/>
      <c r="AZ167" s="13"/>
      <c r="BA167" s="13"/>
      <c r="BG167" s="51">
        <f t="shared" si="119"/>
        <v>0</v>
      </c>
      <c r="BH167" s="51">
        <f t="shared" ca="1" si="120"/>
        <v>9.9817523898003806</v>
      </c>
      <c r="BI167" s="51">
        <f t="shared" ca="1" si="121"/>
        <v>0</v>
      </c>
      <c r="BJ167" s="51">
        <f t="shared" ca="1" si="122"/>
        <v>0</v>
      </c>
      <c r="BK167" s="51">
        <f t="shared" si="123"/>
        <v>90</v>
      </c>
      <c r="BL167" s="51">
        <f t="shared" ca="1" si="124"/>
        <v>891.91775831130963</v>
      </c>
      <c r="BM167" s="51">
        <f t="shared" si="125"/>
        <v>0</v>
      </c>
      <c r="BN167" s="51">
        <f t="shared" ca="1" si="126"/>
        <v>0</v>
      </c>
      <c r="BO167" s="51">
        <f t="shared" ca="1" si="127"/>
        <v>0</v>
      </c>
      <c r="BP167" s="51">
        <f t="shared" ca="1" si="128"/>
        <v>991.89951070110999</v>
      </c>
      <c r="BQ167" s="120"/>
      <c r="BR167" s="32"/>
      <c r="BS167" s="126"/>
      <c r="BT167" s="16"/>
      <c r="BU167" s="58"/>
      <c r="BW167" s="51">
        <f>VLOOKUP(H167,Charges!$AT$4:$AU$33,2,FALSE)*I167</f>
        <v>0</v>
      </c>
      <c r="BX167" s="51">
        <f t="shared" si="129"/>
        <v>0</v>
      </c>
      <c r="BY167" s="51">
        <f t="shared" si="137"/>
        <v>0</v>
      </c>
      <c r="BZ167" s="151"/>
      <c r="CA167" s="151"/>
      <c r="CB167" s="32"/>
      <c r="CC167" s="16">
        <f ca="1">SUM($N$7:$N167)</f>
        <v>0</v>
      </c>
      <c r="CD167" s="16">
        <f t="shared" ca="1" si="130"/>
        <v>0</v>
      </c>
      <c r="CE167" s="16">
        <f t="shared" ca="1" si="131"/>
        <v>0</v>
      </c>
      <c r="CF167" s="7">
        <f t="shared" ca="1" si="138"/>
        <v>0</v>
      </c>
    </row>
    <row r="168" spans="1:84" s="7" customFormat="1" x14ac:dyDescent="0.2">
      <c r="A168" s="149"/>
      <c r="B168" s="14">
        <f t="shared" si="100"/>
        <v>1</v>
      </c>
      <c r="C168" s="12">
        <f t="shared" si="101"/>
        <v>1</v>
      </c>
      <c r="D168" s="17">
        <f t="shared" si="139"/>
        <v>162</v>
      </c>
      <c r="E168" s="17">
        <f t="shared" ca="1" si="102"/>
        <v>73</v>
      </c>
      <c r="F168" s="12">
        <f t="shared" si="141"/>
        <v>5</v>
      </c>
      <c r="G168" s="12">
        <f t="shared" si="140"/>
        <v>27</v>
      </c>
      <c r="H168" s="17">
        <f t="shared" si="142"/>
        <v>14</v>
      </c>
      <c r="I168" s="29">
        <f t="shared" si="103"/>
        <v>0</v>
      </c>
      <c r="J168" s="211">
        <f>IFERROR(VLOOKUP(H168,Charges!$T$6:$U$35,2,0)*C168,0)</f>
        <v>1</v>
      </c>
      <c r="K168" s="29">
        <f t="shared" si="104"/>
        <v>0</v>
      </c>
      <c r="L168" s="29">
        <f t="shared" si="105"/>
        <v>0</v>
      </c>
      <c r="M168" s="147">
        <f t="shared" ca="1" si="106"/>
        <v>0</v>
      </c>
      <c r="N168" s="148">
        <f ca="1">IF(AND(Option_SPW="Y",H168&gt;=Lock_In_Period,Z167&gt;SPW_Amount_pa+IF(option="Single",1/5*pr,2*pr),H168&gt;=SPW_Start_Year,H168&lt;=SPW_Start_Year+SPW_Duration-1,age+H168&gt;=Legal_Age),IF(AND(F168=0,SPW_Payout_Freq=1),SPW_Amount_pa,IF(AND(SPW_Payout_Freq=2,MOD(F168,6)=0),SPW_Amount_pa/SPW_Payout_Freq,IF(AND(SPW_Payout_Freq=4,MOD(F168,3)=0),SPW_Amount_pa/SPW_Payout_Freq,IF(SPW_Payout_Freq=12,SPW_Amount_pa/SPW_Payout_Freq,0)))),0)+IFERROR(VLOOKUP(H168,Input!$B$68:$C$74,2,0),0)*(F168=0)*(Option_PW="Y")*(Option_SPW="N")*(age+H168&gt;=Legal_Age)</f>
        <v>0</v>
      </c>
      <c r="O168" s="148">
        <f t="shared" ca="1" si="132"/>
        <v>0</v>
      </c>
      <c r="P168" s="14">
        <f ca="1">(MAX(MAX(sa-CF167*Flag_UL_Type,105%*SUM($I$7:I168))-(AD167+L168-N168)*Flag_UL_Type,0)*B168)</f>
        <v>13710.563986459747</v>
      </c>
      <c r="Q168" s="213">
        <f t="shared" ca="1" si="107"/>
        <v>35.244261528893496</v>
      </c>
      <c r="R168" s="14">
        <f t="shared" ca="1" si="108"/>
        <v>0</v>
      </c>
      <c r="S168" s="14">
        <f t="shared" ca="1" si="109"/>
        <v>0</v>
      </c>
      <c r="T168" s="14">
        <f>IFERROR(IF(WoP_Flag="Y",IF(fq=1,VLOOKUP(ppt*fq-H168,Charges!$AN$41:$AO$59,2,FALSE),IF(fq=2,VLOOKUP(ppt*fq-G168,Charges!$AP$41:$AQ$79,2,FALSE),VLOOKUP(ppt*fq-D168,Charges!$AR$41:$AS$279,2,FALSE)))*pr/fq,0),0)</f>
        <v>0</v>
      </c>
      <c r="U168" s="14">
        <f ca="1">IFERROR(((T168*(VLOOKUP(Input!$D$18+H168-1,Tab_Mort_Charge,IF(Gender_2="M",2,3),FALSE)*(1+_emr2)+_rpm2)/IF(Model_Type="LA_PQIS",1000/0.0833,(12*1000))))*Flag_Mort_Rider_Charge*(T168&gt;0),0)</f>
        <v>0</v>
      </c>
      <c r="V168" s="34">
        <f>ROUND(MIN(IF(H168&gt;=7,Charges!$C$12*(1+Charges!$C$14)^((H168-7+1)),VLOOKUP(H168,Charges!$B$7:$C$12,2,0))*pr,Charges!$C$13)*B168,Round)</f>
        <v>500</v>
      </c>
      <c r="W168" s="14">
        <f t="shared" ca="1" si="110"/>
        <v>4395657.8477849364</v>
      </c>
      <c r="X168" s="14">
        <f t="shared" ca="1" si="111"/>
        <v>4410048.0877501648</v>
      </c>
      <c r="Y168" s="213">
        <f t="shared" ca="1" si="133"/>
        <v>4964.0040908125684</v>
      </c>
      <c r="Z168" s="14">
        <f t="shared" ca="1" si="112"/>
        <v>4404190.5629230058</v>
      </c>
      <c r="AA168" s="14">
        <f>IF(AND($H168=pt,$F168=11),SUM($K$7:K168)*VLOOKUP(pt,ROC,2,FALSE),0)</f>
        <v>0</v>
      </c>
      <c r="AB168" s="14">
        <f>IF(AND($H168=pt,$F168=11),SUM($V$7:V168)*VLOOKUP(pt,ROC,2,FALSE),0)</f>
        <v>0</v>
      </c>
      <c r="AC168" s="14">
        <f>IF(AND($H168=pt,$F168=11),SUM($Q$7:Q168)*VLOOKUP(pt,ROC,2,FALSE),0)</f>
        <v>0</v>
      </c>
      <c r="AD168" s="14">
        <f t="shared" ca="1" si="134"/>
        <v>4404190.5629230058</v>
      </c>
      <c r="AE168" s="14">
        <f ca="1">(MAX(sa-CF167*Flag_UL_Type,105%*SUM($I$7:I168),Z168)+AU168)*B168</f>
        <v>4410000</v>
      </c>
      <c r="AF168" s="136"/>
      <c r="AG168" s="18">
        <v>162</v>
      </c>
      <c r="AH168" s="30">
        <f t="shared" ca="1" si="113"/>
        <v>0</v>
      </c>
      <c r="AI168" s="58"/>
      <c r="AJ168" s="50">
        <f>IF(AND(Option_Sys_TopUp&gt;="Y",H168&gt;=sytp,H168&lt;=(dtp+sytp-1),F168=0,H168&lt;=ppt+1),atp,0)+IFERROR(VLOOKUP(H168,Input!$B$55:$C$61,2,0),0)*(F168=0)*(Option_TopUP="Y")*(Option_Sys_TopUp="N")*B168*(pt&gt;=H168+5)</f>
        <v>0</v>
      </c>
      <c r="AK168" s="50">
        <f t="shared" si="114"/>
        <v>0</v>
      </c>
      <c r="AL168" s="50">
        <f t="shared" si="135"/>
        <v>0</v>
      </c>
      <c r="AM168" s="50">
        <f t="shared" ca="1" si="115"/>
        <v>0</v>
      </c>
      <c r="AN168" s="50">
        <f ca="1">IF(B168=0,0,AT168*(_rpm1+(1+_emr1)*VLOOKUP(E168,Tab_Mort_Charge,IF(Input!$C$12="M",2,3),0))*(0.001*0.0833)*Flag_Mort_Rider_Charge*(AT168&gt;0))</f>
        <v>0</v>
      </c>
      <c r="AO168" s="50">
        <f t="shared" ca="1" si="136"/>
        <v>0</v>
      </c>
      <c r="AP168" s="50">
        <f t="shared" ca="1" si="143"/>
        <v>0</v>
      </c>
      <c r="AQ168" s="50">
        <f t="shared" ca="1" si="116"/>
        <v>0</v>
      </c>
      <c r="AR168" s="50">
        <f t="shared" ca="1" si="117"/>
        <v>0</v>
      </c>
      <c r="AS168" s="50">
        <f t="shared" si="118"/>
        <v>0</v>
      </c>
      <c r="AT168" s="50">
        <f ca="1">(MAX((MAX(AS168,105%*SUM($AJ$7:AJ168))-AM168*Flag_UL_Type),0)*B168)</f>
        <v>0</v>
      </c>
      <c r="AU168" s="50">
        <f ca="1">(MAX(AS168,AR168,105%*SUM($AJ$7:AJ168))*B168)</f>
        <v>0</v>
      </c>
      <c r="AV168" s="125"/>
      <c r="AW168" s="13"/>
      <c r="AX168" s="13"/>
      <c r="AY168" s="13"/>
      <c r="AZ168" s="13"/>
      <c r="BA168" s="13"/>
      <c r="BG168" s="51">
        <f t="shared" si="119"/>
        <v>0</v>
      </c>
      <c r="BH168" s="51">
        <f t="shared" ca="1" si="120"/>
        <v>6.3439670752008297</v>
      </c>
      <c r="BI168" s="51">
        <f t="shared" ca="1" si="121"/>
        <v>0</v>
      </c>
      <c r="BJ168" s="51">
        <f t="shared" ca="1" si="122"/>
        <v>0</v>
      </c>
      <c r="BK168" s="51">
        <f t="shared" si="123"/>
        <v>90</v>
      </c>
      <c r="BL168" s="51">
        <f t="shared" ca="1" si="124"/>
        <v>893.52073634626231</v>
      </c>
      <c r="BM168" s="51">
        <f t="shared" si="125"/>
        <v>0</v>
      </c>
      <c r="BN168" s="51">
        <f t="shared" ca="1" si="126"/>
        <v>0</v>
      </c>
      <c r="BO168" s="51">
        <f t="shared" ca="1" si="127"/>
        <v>0</v>
      </c>
      <c r="BP168" s="51">
        <f t="shared" ca="1" si="128"/>
        <v>989.8647034214631</v>
      </c>
      <c r="BQ168" s="120"/>
      <c r="BR168" s="32"/>
      <c r="BS168" s="126"/>
      <c r="BT168" s="16"/>
      <c r="BU168" s="58"/>
      <c r="BW168" s="51">
        <f>VLOOKUP(H168,Charges!$AT$4:$AU$33,2,FALSE)*I168</f>
        <v>0</v>
      </c>
      <c r="BX168" s="51">
        <f t="shared" si="129"/>
        <v>0</v>
      </c>
      <c r="BY168" s="51">
        <f t="shared" si="137"/>
        <v>0</v>
      </c>
      <c r="BZ168" s="151"/>
      <c r="CA168" s="151"/>
      <c r="CB168" s="32"/>
      <c r="CC168" s="16">
        <f ca="1">SUM($N$7:$N168)</f>
        <v>0</v>
      </c>
      <c r="CD168" s="16">
        <f t="shared" ca="1" si="130"/>
        <v>0</v>
      </c>
      <c r="CE168" s="16">
        <f t="shared" ca="1" si="131"/>
        <v>0</v>
      </c>
      <c r="CF168" s="7">
        <f t="shared" ca="1" si="138"/>
        <v>0</v>
      </c>
    </row>
    <row r="169" spans="1:84" s="7" customFormat="1" x14ac:dyDescent="0.2">
      <c r="A169" s="149"/>
      <c r="B169" s="14">
        <f t="shared" si="100"/>
        <v>1</v>
      </c>
      <c r="C169" s="12">
        <f t="shared" si="101"/>
        <v>1</v>
      </c>
      <c r="D169" s="17">
        <f t="shared" si="139"/>
        <v>163</v>
      </c>
      <c r="E169" s="17">
        <f t="shared" ca="1" si="102"/>
        <v>73</v>
      </c>
      <c r="F169" s="12">
        <f t="shared" si="141"/>
        <v>6</v>
      </c>
      <c r="G169" s="12">
        <f t="shared" si="140"/>
        <v>28</v>
      </c>
      <c r="H169" s="17">
        <f t="shared" si="142"/>
        <v>14</v>
      </c>
      <c r="I169" s="29">
        <f t="shared" si="103"/>
        <v>0</v>
      </c>
      <c r="J169" s="211">
        <f>IFERROR(VLOOKUP(H169,Charges!$T$6:$U$35,2,0)*C169,0)</f>
        <v>1</v>
      </c>
      <c r="K169" s="29">
        <f t="shared" si="104"/>
        <v>0</v>
      </c>
      <c r="L169" s="29">
        <f t="shared" si="105"/>
        <v>0</v>
      </c>
      <c r="M169" s="147">
        <f t="shared" ca="1" si="106"/>
        <v>0</v>
      </c>
      <c r="N169" s="148">
        <f ca="1">IF(AND(Option_SPW="Y",H169&gt;=Lock_In_Period,Z168&gt;SPW_Amount_pa+IF(option="Single",1/5*pr,2*pr),H169&gt;=SPW_Start_Year,H169&lt;=SPW_Start_Year+SPW_Duration-1,age+H169&gt;=Legal_Age),IF(AND(F169=0,SPW_Payout_Freq=1),SPW_Amount_pa,IF(AND(SPW_Payout_Freq=2,MOD(F169,6)=0),SPW_Amount_pa/SPW_Payout_Freq,IF(AND(SPW_Payout_Freq=4,MOD(F169,3)=0),SPW_Amount_pa/SPW_Payout_Freq,IF(SPW_Payout_Freq=12,SPW_Amount_pa/SPW_Payout_Freq,0)))),0)+IFERROR(VLOOKUP(H169,Input!$B$68:$C$74,2,0),0)*(F169=0)*(Option_PW="Y")*(Option_SPW="N")*(age+H169&gt;=Legal_Age)</f>
        <v>0</v>
      </c>
      <c r="O169" s="148">
        <f t="shared" ca="1" si="132"/>
        <v>0</v>
      </c>
      <c r="P169" s="14">
        <f ca="1">(MAX(MAX(sa-CF168*Flag_UL_Type,105%*SUM($I$7:I169))-(AD168+L169-N169)*Flag_UL_Type,0)*B169)</f>
        <v>5809.4370769942179</v>
      </c>
      <c r="Q169" s="213">
        <f t="shared" ca="1" si="107"/>
        <v>14.933690538145667</v>
      </c>
      <c r="R169" s="14">
        <f t="shared" ca="1" si="108"/>
        <v>0</v>
      </c>
      <c r="S169" s="14">
        <f t="shared" ca="1" si="109"/>
        <v>0</v>
      </c>
      <c r="T169" s="14">
        <f>IFERROR(IF(WoP_Flag="Y",IF(fq=1,VLOOKUP(ppt*fq-H169,Charges!$AN$41:$AO$59,2,FALSE),IF(fq=2,VLOOKUP(ppt*fq-G169,Charges!$AP$41:$AQ$79,2,FALSE),VLOOKUP(ppt*fq-D169,Charges!$AR$41:$AS$279,2,FALSE)))*pr/fq,0),0)</f>
        <v>0</v>
      </c>
      <c r="U169" s="14">
        <f ca="1">IFERROR(((T169*(VLOOKUP(Input!$D$18+H169-1,Tab_Mort_Charge,IF(Gender_2="M",2,3),FALSE)*(1+_emr2)+_rpm2)/IF(Model_Type="LA_PQIS",1000/0.0833,(12*1000))))*Flag_Mort_Rider_Charge*(T169&gt;0),0)</f>
        <v>0</v>
      </c>
      <c r="V169" s="34">
        <f>ROUND(MIN(IF(H169&gt;=7,Charges!$C$12*(1+Charges!$C$14)^((H169-7+1)),VLOOKUP(H169,Charges!$B$7:$C$12,2,0))*pr,Charges!$C$13)*B169,Round)</f>
        <v>500</v>
      </c>
      <c r="W169" s="14">
        <f t="shared" ca="1" si="110"/>
        <v>4403582.9411681704</v>
      </c>
      <c r="X169" s="14">
        <f t="shared" ca="1" si="111"/>
        <v>4417999.125826885</v>
      </c>
      <c r="Y169" s="213">
        <f t="shared" ca="1" si="133"/>
        <v>4972.9538765640391</v>
      </c>
      <c r="Z169" s="14">
        <f t="shared" ca="1" si="112"/>
        <v>4412131.0402525393</v>
      </c>
      <c r="AA169" s="14">
        <f>IF(AND($H169=pt,$F169=11),SUM($K$7:K169)*VLOOKUP(pt,ROC,2,FALSE),0)</f>
        <v>0</v>
      </c>
      <c r="AB169" s="14">
        <f>IF(AND($H169=pt,$F169=11),SUM($V$7:V169)*VLOOKUP(pt,ROC,2,FALSE),0)</f>
        <v>0</v>
      </c>
      <c r="AC169" s="14">
        <f>IF(AND($H169=pt,$F169=11),SUM($Q$7:Q169)*VLOOKUP(pt,ROC,2,FALSE),0)</f>
        <v>0</v>
      </c>
      <c r="AD169" s="14">
        <f t="shared" ca="1" si="134"/>
        <v>4412131.0402525393</v>
      </c>
      <c r="AE169" s="14">
        <f ca="1">(MAX(sa-CF168*Flag_UL_Type,105%*SUM($I$7:I169),Z169)+AU169)*B169</f>
        <v>4412131.0402525393</v>
      </c>
      <c r="AF169" s="136"/>
      <c r="AG169" s="18">
        <v>163</v>
      </c>
      <c r="AH169" s="30">
        <f t="shared" ca="1" si="113"/>
        <v>0</v>
      </c>
      <c r="AI169" s="58"/>
      <c r="AJ169" s="50">
        <f>IF(AND(Option_Sys_TopUp&gt;="Y",H169&gt;=sytp,H169&lt;=(dtp+sytp-1),F169=0,H169&lt;=ppt+1),atp,0)+IFERROR(VLOOKUP(H169,Input!$B$55:$C$61,2,0),0)*(F169=0)*(Option_TopUP="Y")*(Option_Sys_TopUp="N")*B169*(pt&gt;=H169+5)</f>
        <v>0</v>
      </c>
      <c r="AK169" s="50">
        <f t="shared" si="114"/>
        <v>0</v>
      </c>
      <c r="AL169" s="50">
        <f t="shared" si="135"/>
        <v>0</v>
      </c>
      <c r="AM169" s="50">
        <f t="shared" ca="1" si="115"/>
        <v>0</v>
      </c>
      <c r="AN169" s="50">
        <f ca="1">IF(B169=0,0,AT169*(_rpm1+(1+_emr1)*VLOOKUP(E169,Tab_Mort_Charge,IF(Input!$C$12="M",2,3),0))*(0.001*0.0833)*Flag_Mort_Rider_Charge*(AT169&gt;0))</f>
        <v>0</v>
      </c>
      <c r="AO169" s="50">
        <f t="shared" ca="1" si="136"/>
        <v>0</v>
      </c>
      <c r="AP169" s="50">
        <f t="shared" ca="1" si="143"/>
        <v>0</v>
      </c>
      <c r="AQ169" s="50">
        <f t="shared" ca="1" si="116"/>
        <v>0</v>
      </c>
      <c r="AR169" s="50">
        <f t="shared" ca="1" si="117"/>
        <v>0</v>
      </c>
      <c r="AS169" s="50">
        <f t="shared" si="118"/>
        <v>0</v>
      </c>
      <c r="AT169" s="50">
        <f ca="1">(MAX((MAX(AS169,105%*SUM($AJ$7:AJ169))-AM169*Flag_UL_Type),0)*B169)</f>
        <v>0</v>
      </c>
      <c r="AU169" s="50">
        <f ca="1">(MAX(AS169,AR169,105%*SUM($AJ$7:AJ169))*B169)</f>
        <v>0</v>
      </c>
      <c r="AV169" s="125"/>
      <c r="AW169" s="13"/>
      <c r="AX169" s="13"/>
      <c r="AY169" s="13"/>
      <c r="AZ169" s="13"/>
      <c r="BA169" s="13"/>
      <c r="BG169" s="51">
        <f t="shared" si="119"/>
        <v>0</v>
      </c>
      <c r="BH169" s="51">
        <f t="shared" ca="1" si="120"/>
        <v>2.6880642968662198</v>
      </c>
      <c r="BI169" s="51">
        <f t="shared" ca="1" si="121"/>
        <v>0</v>
      </c>
      <c r="BJ169" s="51">
        <f t="shared" ca="1" si="122"/>
        <v>0</v>
      </c>
      <c r="BK169" s="51">
        <f t="shared" si="123"/>
        <v>90</v>
      </c>
      <c r="BL169" s="51">
        <f t="shared" ca="1" si="124"/>
        <v>895.13169778152701</v>
      </c>
      <c r="BM169" s="51">
        <f t="shared" si="125"/>
        <v>0</v>
      </c>
      <c r="BN169" s="51">
        <f t="shared" ca="1" si="126"/>
        <v>0</v>
      </c>
      <c r="BO169" s="51">
        <f t="shared" ca="1" si="127"/>
        <v>0</v>
      </c>
      <c r="BP169" s="51">
        <f t="shared" ca="1" si="128"/>
        <v>987.81976207839318</v>
      </c>
      <c r="BQ169" s="120"/>
      <c r="BR169" s="32"/>
      <c r="BS169" s="126"/>
      <c r="BT169" s="16"/>
      <c r="BU169" s="58"/>
      <c r="BW169" s="51">
        <f>VLOOKUP(H169,Charges!$AT$4:$AU$33,2,FALSE)*I169</f>
        <v>0</v>
      </c>
      <c r="BX169" s="51">
        <f t="shared" si="129"/>
        <v>0</v>
      </c>
      <c r="BY169" s="51">
        <f t="shared" si="137"/>
        <v>0</v>
      </c>
      <c r="BZ169" s="151"/>
      <c r="CA169" s="151"/>
      <c r="CB169" s="32"/>
      <c r="CC169" s="16">
        <f ca="1">SUM($N$7:$N169)</f>
        <v>0</v>
      </c>
      <c r="CD169" s="16">
        <f t="shared" ca="1" si="130"/>
        <v>0</v>
      </c>
      <c r="CE169" s="16">
        <f t="shared" ca="1" si="131"/>
        <v>0</v>
      </c>
      <c r="CF169" s="7">
        <f t="shared" ca="1" si="138"/>
        <v>0</v>
      </c>
    </row>
    <row r="170" spans="1:84" s="7" customFormat="1" x14ac:dyDescent="0.2">
      <c r="A170" s="149"/>
      <c r="B170" s="14">
        <f t="shared" si="100"/>
        <v>1</v>
      </c>
      <c r="C170" s="12">
        <f t="shared" si="101"/>
        <v>1</v>
      </c>
      <c r="D170" s="17">
        <f t="shared" si="139"/>
        <v>164</v>
      </c>
      <c r="E170" s="17">
        <f t="shared" ca="1" si="102"/>
        <v>73</v>
      </c>
      <c r="F170" s="12">
        <f t="shared" si="141"/>
        <v>7</v>
      </c>
      <c r="G170" s="12">
        <f t="shared" si="140"/>
        <v>28</v>
      </c>
      <c r="H170" s="17">
        <f t="shared" si="142"/>
        <v>14</v>
      </c>
      <c r="I170" s="29">
        <f t="shared" si="103"/>
        <v>0</v>
      </c>
      <c r="J170" s="211">
        <f>IFERROR(VLOOKUP(H170,Charges!$T$6:$U$35,2,0)*C170,0)</f>
        <v>1</v>
      </c>
      <c r="K170" s="29">
        <f t="shared" si="104"/>
        <v>0</v>
      </c>
      <c r="L170" s="29">
        <f t="shared" si="105"/>
        <v>0</v>
      </c>
      <c r="M170" s="147">
        <f t="shared" ca="1" si="106"/>
        <v>0</v>
      </c>
      <c r="N170" s="148">
        <f ca="1">IF(AND(Option_SPW="Y",H170&gt;=Lock_In_Period,Z169&gt;SPW_Amount_pa+IF(option="Single",1/5*pr,2*pr),H170&gt;=SPW_Start_Year,H170&lt;=SPW_Start_Year+SPW_Duration-1,age+H170&gt;=Legal_Age),IF(AND(F170=0,SPW_Payout_Freq=1),SPW_Amount_pa,IF(AND(SPW_Payout_Freq=2,MOD(F170,6)=0),SPW_Amount_pa/SPW_Payout_Freq,IF(AND(SPW_Payout_Freq=4,MOD(F170,3)=0),SPW_Amount_pa/SPW_Payout_Freq,IF(SPW_Payout_Freq=12,SPW_Amount_pa/SPW_Payout_Freq,0)))),0)+IFERROR(VLOOKUP(H170,Input!$B$68:$C$74,2,0),0)*(F170=0)*(Option_PW="Y")*(Option_SPW="N")*(age+H170&gt;=Legal_Age)</f>
        <v>0</v>
      </c>
      <c r="O170" s="148">
        <f t="shared" ca="1" si="132"/>
        <v>0</v>
      </c>
      <c r="P170" s="14">
        <f ca="1">(MAX(MAX(sa-CF169*Flag_UL_Type,105%*SUM($I$7:I170))-(AD169+L170-N170)*Flag_UL_Type,0)*B170)</f>
        <v>0</v>
      </c>
      <c r="Q170" s="213">
        <f t="shared" ca="1" si="107"/>
        <v>0</v>
      </c>
      <c r="R170" s="14">
        <f t="shared" ca="1" si="108"/>
        <v>0</v>
      </c>
      <c r="S170" s="14">
        <f t="shared" ca="1" si="109"/>
        <v>0</v>
      </c>
      <c r="T170" s="14">
        <f>IFERROR(IF(WoP_Flag="Y",IF(fq=1,VLOOKUP(ppt*fq-H170,Charges!$AN$41:$AO$59,2,FALSE),IF(fq=2,VLOOKUP(ppt*fq-G170,Charges!$AP$41:$AQ$79,2,FALSE),VLOOKUP(ppt*fq-D170,Charges!$AR$41:$AS$279,2,FALSE)))*pr/fq,0),0)</f>
        <v>0</v>
      </c>
      <c r="U170" s="14">
        <f ca="1">IFERROR(((T170*(VLOOKUP(Input!$D$18+H170-1,Tab_Mort_Charge,IF(Gender_2="M",2,3),FALSE)*(1+_emr2)+_rpm2)/IF(Model_Type="LA_PQIS",1000/0.0833,(12*1000))))*Flag_Mort_Rider_Charge*(T170&gt;0),0)</f>
        <v>0</v>
      </c>
      <c r="V170" s="34">
        <f>ROUND(MIN(IF(H170&gt;=7,Charges!$C$12*(1+Charges!$C$14)^((H170-7+1)),VLOOKUP(H170,Charges!$B$7:$C$12,2,0))*pr,Charges!$C$13)*B170,Round)</f>
        <v>500</v>
      </c>
      <c r="W170" s="14">
        <f t="shared" ca="1" si="110"/>
        <v>4411541.0402525393</v>
      </c>
      <c r="X170" s="14">
        <f t="shared" ca="1" si="111"/>
        <v>4425983.2776568169</v>
      </c>
      <c r="Y170" s="213">
        <f t="shared" ca="1" si="133"/>
        <v>4981.9409355613188</v>
      </c>
      <c r="Z170" s="14">
        <f t="shared" ca="1" si="112"/>
        <v>4420104.5873528542</v>
      </c>
      <c r="AA170" s="14">
        <f>IF(AND($H170=pt,$F170=11),SUM($K$7:K170)*VLOOKUP(pt,ROC,2,FALSE),0)</f>
        <v>0</v>
      </c>
      <c r="AB170" s="14">
        <f>IF(AND($H170=pt,$F170=11),SUM($V$7:V170)*VLOOKUP(pt,ROC,2,FALSE),0)</f>
        <v>0</v>
      </c>
      <c r="AC170" s="14">
        <f>IF(AND($H170=pt,$F170=11),SUM($Q$7:Q170)*VLOOKUP(pt,ROC,2,FALSE),0)</f>
        <v>0</v>
      </c>
      <c r="AD170" s="14">
        <f t="shared" ca="1" si="134"/>
        <v>4420104.5873528542</v>
      </c>
      <c r="AE170" s="14">
        <f ca="1">(MAX(sa-CF169*Flag_UL_Type,105%*SUM($I$7:I170),Z170)+AU170)*B170</f>
        <v>4420104.5873528542</v>
      </c>
      <c r="AF170" s="136"/>
      <c r="AG170" s="18">
        <v>164</v>
      </c>
      <c r="AH170" s="30">
        <f t="shared" ca="1" si="113"/>
        <v>0</v>
      </c>
      <c r="AI170" s="58"/>
      <c r="AJ170" s="50">
        <f>IF(AND(Option_Sys_TopUp&gt;="Y",H170&gt;=sytp,H170&lt;=(dtp+sytp-1),F170=0,H170&lt;=ppt+1),atp,0)+IFERROR(VLOOKUP(H170,Input!$B$55:$C$61,2,0),0)*(F170=0)*(Option_TopUP="Y")*(Option_Sys_TopUp="N")*B170*(pt&gt;=H170+5)</f>
        <v>0</v>
      </c>
      <c r="AK170" s="50">
        <f t="shared" si="114"/>
        <v>0</v>
      </c>
      <c r="AL170" s="50">
        <f t="shared" si="135"/>
        <v>0</v>
      </c>
      <c r="AM170" s="50">
        <f t="shared" ca="1" si="115"/>
        <v>0</v>
      </c>
      <c r="AN170" s="50">
        <f ca="1">IF(B170=0,0,AT170*(_rpm1+(1+_emr1)*VLOOKUP(E170,Tab_Mort_Charge,IF(Input!$C$12="M",2,3),0))*(0.001*0.0833)*Flag_Mort_Rider_Charge*(AT170&gt;0))</f>
        <v>0</v>
      </c>
      <c r="AO170" s="50">
        <f t="shared" ca="1" si="136"/>
        <v>0</v>
      </c>
      <c r="AP170" s="50">
        <f t="shared" ca="1" si="143"/>
        <v>0</v>
      </c>
      <c r="AQ170" s="50">
        <f t="shared" ca="1" si="116"/>
        <v>0</v>
      </c>
      <c r="AR170" s="50">
        <f t="shared" ca="1" si="117"/>
        <v>0</v>
      </c>
      <c r="AS170" s="50">
        <f t="shared" si="118"/>
        <v>0</v>
      </c>
      <c r="AT170" s="50">
        <f ca="1">(MAX((MAX(AS170,105%*SUM($AJ$7:AJ170))-AM170*Flag_UL_Type),0)*B170)</f>
        <v>0</v>
      </c>
      <c r="AU170" s="50">
        <f ca="1">(MAX(AS170,AR170,105%*SUM($AJ$7:AJ170))*B170)</f>
        <v>0</v>
      </c>
      <c r="AV170" s="125"/>
      <c r="AW170" s="13"/>
      <c r="AX170" s="13"/>
      <c r="AY170" s="13"/>
      <c r="AZ170" s="13"/>
      <c r="BA170" s="13"/>
      <c r="BG170" s="51">
        <f t="shared" si="119"/>
        <v>0</v>
      </c>
      <c r="BH170" s="51">
        <f t="shared" ca="1" si="120"/>
        <v>0</v>
      </c>
      <c r="BI170" s="51">
        <f t="shared" ca="1" si="121"/>
        <v>0</v>
      </c>
      <c r="BJ170" s="51">
        <f t="shared" ca="1" si="122"/>
        <v>0</v>
      </c>
      <c r="BK170" s="51">
        <f t="shared" si="123"/>
        <v>90</v>
      </c>
      <c r="BL170" s="51">
        <f t="shared" ca="1" si="124"/>
        <v>896.74936840103737</v>
      </c>
      <c r="BM170" s="51">
        <f t="shared" si="125"/>
        <v>0</v>
      </c>
      <c r="BN170" s="51">
        <f t="shared" ca="1" si="126"/>
        <v>0</v>
      </c>
      <c r="BO170" s="51">
        <f t="shared" ca="1" si="127"/>
        <v>0</v>
      </c>
      <c r="BP170" s="51">
        <f t="shared" ca="1" si="128"/>
        <v>986.74936840103737</v>
      </c>
      <c r="BQ170" s="120"/>
      <c r="BR170" s="32"/>
      <c r="BS170" s="126"/>
      <c r="BT170" s="16"/>
      <c r="BU170" s="58"/>
      <c r="BW170" s="51">
        <f>VLOOKUP(H170,Charges!$AT$4:$AU$33,2,FALSE)*I170</f>
        <v>0</v>
      </c>
      <c r="BX170" s="51">
        <f t="shared" si="129"/>
        <v>0</v>
      </c>
      <c r="BY170" s="51">
        <f t="shared" si="137"/>
        <v>0</v>
      </c>
      <c r="BZ170" s="151"/>
      <c r="CA170" s="151"/>
      <c r="CB170" s="32"/>
      <c r="CC170" s="16">
        <f ca="1">SUM($N$7:$N170)</f>
        <v>0</v>
      </c>
      <c r="CD170" s="16">
        <f t="shared" ca="1" si="130"/>
        <v>0</v>
      </c>
      <c r="CE170" s="16">
        <f t="shared" ca="1" si="131"/>
        <v>0</v>
      </c>
      <c r="CF170" s="7">
        <f t="shared" ca="1" si="138"/>
        <v>0</v>
      </c>
    </row>
    <row r="171" spans="1:84" s="7" customFormat="1" x14ac:dyDescent="0.2">
      <c r="A171" s="149"/>
      <c r="B171" s="14">
        <f t="shared" si="100"/>
        <v>1</v>
      </c>
      <c r="C171" s="12">
        <f t="shared" si="101"/>
        <v>1</v>
      </c>
      <c r="D171" s="17">
        <f t="shared" si="139"/>
        <v>165</v>
      </c>
      <c r="E171" s="17">
        <f t="shared" ca="1" si="102"/>
        <v>73</v>
      </c>
      <c r="F171" s="12">
        <f t="shared" si="141"/>
        <v>8</v>
      </c>
      <c r="G171" s="12">
        <f t="shared" si="140"/>
        <v>28</v>
      </c>
      <c r="H171" s="17">
        <f t="shared" si="142"/>
        <v>14</v>
      </c>
      <c r="I171" s="29">
        <f t="shared" si="103"/>
        <v>0</v>
      </c>
      <c r="J171" s="211">
        <f>IFERROR(VLOOKUP(H171,Charges!$T$6:$U$35,2,0)*C171,0)</f>
        <v>1</v>
      </c>
      <c r="K171" s="29">
        <f t="shared" si="104"/>
        <v>0</v>
      </c>
      <c r="L171" s="29">
        <f t="shared" si="105"/>
        <v>0</v>
      </c>
      <c r="M171" s="147">
        <f t="shared" ca="1" si="106"/>
        <v>0</v>
      </c>
      <c r="N171" s="148">
        <f ca="1">IF(AND(Option_SPW="Y",H171&gt;=Lock_In_Period,Z170&gt;SPW_Amount_pa+IF(option="Single",1/5*pr,2*pr),H171&gt;=SPW_Start_Year,H171&lt;=SPW_Start_Year+SPW_Duration-1,age+H171&gt;=Legal_Age),IF(AND(F171=0,SPW_Payout_Freq=1),SPW_Amount_pa,IF(AND(SPW_Payout_Freq=2,MOD(F171,6)=0),SPW_Amount_pa/SPW_Payout_Freq,IF(AND(SPW_Payout_Freq=4,MOD(F171,3)=0),SPW_Amount_pa/SPW_Payout_Freq,IF(SPW_Payout_Freq=12,SPW_Amount_pa/SPW_Payout_Freq,0)))),0)+IFERROR(VLOOKUP(H171,Input!$B$68:$C$74,2,0),0)*(F171=0)*(Option_PW="Y")*(Option_SPW="N")*(age+H171&gt;=Legal_Age)</f>
        <v>0</v>
      </c>
      <c r="O171" s="148">
        <f t="shared" ca="1" si="132"/>
        <v>0</v>
      </c>
      <c r="P171" s="14">
        <f ca="1">(MAX(MAX(sa-CF170*Flag_UL_Type,105%*SUM($I$7:I171))-(AD170+L171-N171)*Flag_UL_Type,0)*B171)</f>
        <v>0</v>
      </c>
      <c r="Q171" s="213">
        <f t="shared" ca="1" si="107"/>
        <v>0</v>
      </c>
      <c r="R171" s="14">
        <f t="shared" ca="1" si="108"/>
        <v>0</v>
      </c>
      <c r="S171" s="14">
        <f t="shared" ca="1" si="109"/>
        <v>0</v>
      </c>
      <c r="T171" s="14">
        <f>IFERROR(IF(WoP_Flag="Y",IF(fq=1,VLOOKUP(ppt*fq-H171,Charges!$AN$41:$AO$59,2,FALSE),IF(fq=2,VLOOKUP(ppt*fq-G171,Charges!$AP$41:$AQ$79,2,FALSE),VLOOKUP(ppt*fq-D171,Charges!$AR$41:$AS$279,2,FALSE)))*pr/fq,0),0)</f>
        <v>0</v>
      </c>
      <c r="U171" s="14">
        <f ca="1">IFERROR(((T171*(VLOOKUP(Input!$D$18+H171-1,Tab_Mort_Charge,IF(Gender_2="M",2,3),FALSE)*(1+_emr2)+_rpm2)/IF(Model_Type="LA_PQIS",1000/0.0833,(12*1000))))*Flag_Mort_Rider_Charge*(T171&gt;0),0)</f>
        <v>0</v>
      </c>
      <c r="V171" s="34">
        <f>ROUND(MIN(IF(H171&gt;=7,Charges!$C$12*(1+Charges!$C$14)^((H171-7+1)),VLOOKUP(H171,Charges!$B$7:$C$12,2,0))*pr,Charges!$C$13)*B171,Round)</f>
        <v>500</v>
      </c>
      <c r="W171" s="14">
        <f t="shared" ca="1" si="110"/>
        <v>4419514.5873528542</v>
      </c>
      <c r="X171" s="14">
        <f t="shared" ca="1" si="111"/>
        <v>4433982.9280754793</v>
      </c>
      <c r="Y171" s="213">
        <f t="shared" ca="1" si="133"/>
        <v>4990.9454399597207</v>
      </c>
      <c r="Z171" s="14">
        <f t="shared" ca="1" si="112"/>
        <v>4428093.6124563273</v>
      </c>
      <c r="AA171" s="14">
        <f>IF(AND($H171=pt,$F171=11),SUM($K$7:K171)*VLOOKUP(pt,ROC,2,FALSE),0)</f>
        <v>0</v>
      </c>
      <c r="AB171" s="14">
        <f>IF(AND($H171=pt,$F171=11),SUM($V$7:V171)*VLOOKUP(pt,ROC,2,FALSE),0)</f>
        <v>0</v>
      </c>
      <c r="AC171" s="14">
        <f>IF(AND($H171=pt,$F171=11),SUM($Q$7:Q171)*VLOOKUP(pt,ROC,2,FALSE),0)</f>
        <v>0</v>
      </c>
      <c r="AD171" s="14">
        <f t="shared" ca="1" si="134"/>
        <v>4428093.6124563273</v>
      </c>
      <c r="AE171" s="14">
        <f ca="1">(MAX(sa-CF170*Flag_UL_Type,105%*SUM($I$7:I171),Z171)+AU171)*B171</f>
        <v>4428093.6124563273</v>
      </c>
      <c r="AF171" s="136"/>
      <c r="AG171" s="18">
        <v>165</v>
      </c>
      <c r="AH171" s="30">
        <f t="shared" ca="1" si="113"/>
        <v>0</v>
      </c>
      <c r="AI171" s="58"/>
      <c r="AJ171" s="50">
        <f>IF(AND(Option_Sys_TopUp&gt;="Y",H171&gt;=sytp,H171&lt;=(dtp+sytp-1),F171=0,H171&lt;=ppt+1),atp,0)+IFERROR(VLOOKUP(H171,Input!$B$55:$C$61,2,0),0)*(F171=0)*(Option_TopUP="Y")*(Option_Sys_TopUp="N")*B171*(pt&gt;=H171+5)</f>
        <v>0</v>
      </c>
      <c r="AK171" s="50">
        <f t="shared" si="114"/>
        <v>0</v>
      </c>
      <c r="AL171" s="50">
        <f t="shared" si="135"/>
        <v>0</v>
      </c>
      <c r="AM171" s="50">
        <f t="shared" ca="1" si="115"/>
        <v>0</v>
      </c>
      <c r="AN171" s="50">
        <f ca="1">IF(B171=0,0,AT171*(_rpm1+(1+_emr1)*VLOOKUP(E171,Tab_Mort_Charge,IF(Input!$C$12="M",2,3),0))*(0.001*0.0833)*Flag_Mort_Rider_Charge*(AT171&gt;0))</f>
        <v>0</v>
      </c>
      <c r="AO171" s="50">
        <f t="shared" ca="1" si="136"/>
        <v>0</v>
      </c>
      <c r="AP171" s="50">
        <f t="shared" ca="1" si="143"/>
        <v>0</v>
      </c>
      <c r="AQ171" s="50">
        <f t="shared" ca="1" si="116"/>
        <v>0</v>
      </c>
      <c r="AR171" s="50">
        <f t="shared" ca="1" si="117"/>
        <v>0</v>
      </c>
      <c r="AS171" s="50">
        <f t="shared" si="118"/>
        <v>0</v>
      </c>
      <c r="AT171" s="50">
        <f ca="1">(MAX((MAX(AS171,105%*SUM($AJ$7:AJ171))-AM171*Flag_UL_Type),0)*B171)</f>
        <v>0</v>
      </c>
      <c r="AU171" s="50">
        <f ca="1">(MAX(AS171,AR171,105%*SUM($AJ$7:AJ171))*B171)</f>
        <v>0</v>
      </c>
      <c r="AV171" s="125"/>
      <c r="AW171" s="13"/>
      <c r="AX171" s="13"/>
      <c r="AY171" s="13"/>
      <c r="AZ171" s="13"/>
      <c r="BA171" s="13"/>
      <c r="BG171" s="51">
        <f t="shared" si="119"/>
        <v>0</v>
      </c>
      <c r="BH171" s="51">
        <f t="shared" ca="1" si="120"/>
        <v>0</v>
      </c>
      <c r="BI171" s="51">
        <f t="shared" ca="1" si="121"/>
        <v>0</v>
      </c>
      <c r="BJ171" s="51">
        <f t="shared" ca="1" si="122"/>
        <v>0</v>
      </c>
      <c r="BK171" s="51">
        <f t="shared" si="123"/>
        <v>90</v>
      </c>
      <c r="BL171" s="51">
        <f t="shared" ca="1" si="124"/>
        <v>898.37017919274967</v>
      </c>
      <c r="BM171" s="51">
        <f t="shared" si="125"/>
        <v>0</v>
      </c>
      <c r="BN171" s="51">
        <f t="shared" ca="1" si="126"/>
        <v>0</v>
      </c>
      <c r="BO171" s="51">
        <f t="shared" ca="1" si="127"/>
        <v>0</v>
      </c>
      <c r="BP171" s="51">
        <f t="shared" ca="1" si="128"/>
        <v>988.37017919274967</v>
      </c>
      <c r="BQ171" s="120"/>
      <c r="BR171" s="32"/>
      <c r="BS171" s="126"/>
      <c r="BT171" s="16"/>
      <c r="BU171" s="58"/>
      <c r="BW171" s="51">
        <f>VLOOKUP(H171,Charges!$AT$4:$AU$33,2,FALSE)*I171</f>
        <v>0</v>
      </c>
      <c r="BX171" s="51">
        <f t="shared" si="129"/>
        <v>0</v>
      </c>
      <c r="BY171" s="51">
        <f t="shared" si="137"/>
        <v>0</v>
      </c>
      <c r="BZ171" s="151"/>
      <c r="CA171" s="151"/>
      <c r="CB171" s="32"/>
      <c r="CC171" s="16">
        <f ca="1">SUM($N$7:$N171)</f>
        <v>0</v>
      </c>
      <c r="CD171" s="16">
        <f t="shared" ca="1" si="130"/>
        <v>0</v>
      </c>
      <c r="CE171" s="16">
        <f t="shared" ca="1" si="131"/>
        <v>0</v>
      </c>
      <c r="CF171" s="7">
        <f t="shared" ca="1" si="138"/>
        <v>0</v>
      </c>
    </row>
    <row r="172" spans="1:84" s="7" customFormat="1" x14ac:dyDescent="0.2">
      <c r="A172" s="149"/>
      <c r="B172" s="14">
        <f t="shared" si="100"/>
        <v>1</v>
      </c>
      <c r="C172" s="12">
        <f t="shared" si="101"/>
        <v>1</v>
      </c>
      <c r="D172" s="17">
        <f t="shared" si="139"/>
        <v>166</v>
      </c>
      <c r="E172" s="17">
        <f t="shared" ca="1" si="102"/>
        <v>73</v>
      </c>
      <c r="F172" s="12">
        <f t="shared" si="141"/>
        <v>9</v>
      </c>
      <c r="G172" s="12">
        <f t="shared" si="140"/>
        <v>28</v>
      </c>
      <c r="H172" s="17">
        <f t="shared" si="142"/>
        <v>14</v>
      </c>
      <c r="I172" s="29">
        <f t="shared" si="103"/>
        <v>0</v>
      </c>
      <c r="J172" s="211">
        <f>IFERROR(VLOOKUP(H172,Charges!$T$6:$U$35,2,0)*C172,0)</f>
        <v>1</v>
      </c>
      <c r="K172" s="29">
        <f t="shared" si="104"/>
        <v>0</v>
      </c>
      <c r="L172" s="29">
        <f t="shared" si="105"/>
        <v>0</v>
      </c>
      <c r="M172" s="147">
        <f t="shared" ca="1" si="106"/>
        <v>0</v>
      </c>
      <c r="N172" s="148">
        <f ca="1">IF(AND(Option_SPW="Y",H172&gt;=Lock_In_Period,Z171&gt;SPW_Amount_pa+IF(option="Single",1/5*pr,2*pr),H172&gt;=SPW_Start_Year,H172&lt;=SPW_Start_Year+SPW_Duration-1,age+H172&gt;=Legal_Age),IF(AND(F172=0,SPW_Payout_Freq=1),SPW_Amount_pa,IF(AND(SPW_Payout_Freq=2,MOD(F172,6)=0),SPW_Amount_pa/SPW_Payout_Freq,IF(AND(SPW_Payout_Freq=4,MOD(F172,3)=0),SPW_Amount_pa/SPW_Payout_Freq,IF(SPW_Payout_Freq=12,SPW_Amount_pa/SPW_Payout_Freq,0)))),0)+IFERROR(VLOOKUP(H172,Input!$B$68:$C$74,2,0),0)*(F172=0)*(Option_PW="Y")*(Option_SPW="N")*(age+H172&gt;=Legal_Age)</f>
        <v>0</v>
      </c>
      <c r="O172" s="148">
        <f t="shared" ca="1" si="132"/>
        <v>0</v>
      </c>
      <c r="P172" s="14">
        <f ca="1">(MAX(MAX(sa-CF171*Flag_UL_Type,105%*SUM($I$7:I172))-(AD171+L172-N172)*Flag_UL_Type,0)*B172)</f>
        <v>0</v>
      </c>
      <c r="Q172" s="213">
        <f t="shared" ca="1" si="107"/>
        <v>0</v>
      </c>
      <c r="R172" s="14">
        <f t="shared" ca="1" si="108"/>
        <v>0</v>
      </c>
      <c r="S172" s="14">
        <f t="shared" ca="1" si="109"/>
        <v>0</v>
      </c>
      <c r="T172" s="14">
        <f>IFERROR(IF(WoP_Flag="Y",IF(fq=1,VLOOKUP(ppt*fq-H172,Charges!$AN$41:$AO$59,2,FALSE),IF(fq=2,VLOOKUP(ppt*fq-G172,Charges!$AP$41:$AQ$79,2,FALSE),VLOOKUP(ppt*fq-D172,Charges!$AR$41:$AS$279,2,FALSE)))*pr/fq,0),0)</f>
        <v>0</v>
      </c>
      <c r="U172" s="14">
        <f ca="1">IFERROR(((T172*(VLOOKUP(Input!$D$18+H172-1,Tab_Mort_Charge,IF(Gender_2="M",2,3),FALSE)*(1+_emr2)+_rpm2)/IF(Model_Type="LA_PQIS",1000/0.0833,(12*1000))))*Flag_Mort_Rider_Charge*(T172&gt;0),0)</f>
        <v>0</v>
      </c>
      <c r="V172" s="34">
        <f>ROUND(MIN(IF(H172&gt;=7,Charges!$C$12*(1+Charges!$C$14)^((H172-7+1)),VLOOKUP(H172,Charges!$B$7:$C$12,2,0))*pr,Charges!$C$13)*B172,Round)</f>
        <v>500</v>
      </c>
      <c r="W172" s="14">
        <f t="shared" ca="1" si="110"/>
        <v>4427503.6124563273</v>
      </c>
      <c r="X172" s="14">
        <f t="shared" ca="1" si="111"/>
        <v>4441998.1071682554</v>
      </c>
      <c r="Y172" s="213">
        <f t="shared" ca="1" si="133"/>
        <v>4999.9674236237206</v>
      </c>
      <c r="Z172" s="14">
        <f t="shared" ca="1" si="112"/>
        <v>4436098.1456083795</v>
      </c>
      <c r="AA172" s="14">
        <f>IF(AND($H172=pt,$F172=11),SUM($K$7:K172)*VLOOKUP(pt,ROC,2,FALSE),0)</f>
        <v>0</v>
      </c>
      <c r="AB172" s="14">
        <f>IF(AND($H172=pt,$F172=11),SUM($V$7:V172)*VLOOKUP(pt,ROC,2,FALSE),0)</f>
        <v>0</v>
      </c>
      <c r="AC172" s="14">
        <f>IF(AND($H172=pt,$F172=11),SUM($Q$7:Q172)*VLOOKUP(pt,ROC,2,FALSE),0)</f>
        <v>0</v>
      </c>
      <c r="AD172" s="14">
        <f t="shared" ca="1" si="134"/>
        <v>4436098.1456083795</v>
      </c>
      <c r="AE172" s="14">
        <f ca="1">(MAX(sa-CF171*Flag_UL_Type,105%*SUM($I$7:I172),Z172)+AU172)*B172</f>
        <v>4436098.1456083795</v>
      </c>
      <c r="AF172" s="136"/>
      <c r="AG172" s="18">
        <v>166</v>
      </c>
      <c r="AH172" s="30">
        <f t="shared" ca="1" si="113"/>
        <v>0</v>
      </c>
      <c r="AI172" s="58"/>
      <c r="AJ172" s="50">
        <f>IF(AND(Option_Sys_TopUp&gt;="Y",H172&gt;=sytp,H172&lt;=(dtp+sytp-1),F172=0,H172&lt;=ppt+1),atp,0)+IFERROR(VLOOKUP(H172,Input!$B$55:$C$61,2,0),0)*(F172=0)*(Option_TopUP="Y")*(Option_Sys_TopUp="N")*B172*(pt&gt;=H172+5)</f>
        <v>0</v>
      </c>
      <c r="AK172" s="50">
        <f t="shared" si="114"/>
        <v>0</v>
      </c>
      <c r="AL172" s="50">
        <f t="shared" si="135"/>
        <v>0</v>
      </c>
      <c r="AM172" s="50">
        <f t="shared" ca="1" si="115"/>
        <v>0</v>
      </c>
      <c r="AN172" s="50">
        <f ca="1">IF(B172=0,0,AT172*(_rpm1+(1+_emr1)*VLOOKUP(E172,Tab_Mort_Charge,IF(Input!$C$12="M",2,3),0))*(0.001*0.0833)*Flag_Mort_Rider_Charge*(AT172&gt;0))</f>
        <v>0</v>
      </c>
      <c r="AO172" s="50">
        <f t="shared" ca="1" si="136"/>
        <v>0</v>
      </c>
      <c r="AP172" s="50">
        <f t="shared" ca="1" si="143"/>
        <v>0</v>
      </c>
      <c r="AQ172" s="50">
        <f t="shared" ca="1" si="116"/>
        <v>0</v>
      </c>
      <c r="AR172" s="50">
        <f t="shared" ca="1" si="117"/>
        <v>0</v>
      </c>
      <c r="AS172" s="50">
        <f t="shared" si="118"/>
        <v>0</v>
      </c>
      <c r="AT172" s="50">
        <f ca="1">(MAX((MAX(AS172,105%*SUM($AJ$7:AJ172))-AM172*Flag_UL_Type),0)*B172)</f>
        <v>0</v>
      </c>
      <c r="AU172" s="50">
        <f ca="1">(MAX(AS172,AR172,105%*SUM($AJ$7:AJ172))*B172)</f>
        <v>0</v>
      </c>
      <c r="AV172" s="125"/>
      <c r="AW172" s="13"/>
      <c r="AX172" s="13"/>
      <c r="AY172" s="13"/>
      <c r="AZ172" s="13"/>
      <c r="BA172" s="13"/>
      <c r="BG172" s="51">
        <f t="shared" si="119"/>
        <v>0</v>
      </c>
      <c r="BH172" s="51">
        <f t="shared" ca="1" si="120"/>
        <v>0</v>
      </c>
      <c r="BI172" s="51">
        <f t="shared" ca="1" si="121"/>
        <v>0</v>
      </c>
      <c r="BJ172" s="51">
        <f t="shared" ca="1" si="122"/>
        <v>0</v>
      </c>
      <c r="BK172" s="51">
        <f t="shared" si="123"/>
        <v>90</v>
      </c>
      <c r="BL172" s="51">
        <f t="shared" ca="1" si="124"/>
        <v>899.99413625226964</v>
      </c>
      <c r="BM172" s="51">
        <f t="shared" si="125"/>
        <v>0</v>
      </c>
      <c r="BN172" s="51">
        <f t="shared" ca="1" si="126"/>
        <v>0</v>
      </c>
      <c r="BO172" s="51">
        <f t="shared" ca="1" si="127"/>
        <v>0</v>
      </c>
      <c r="BP172" s="51">
        <f t="shared" ca="1" si="128"/>
        <v>989.99413625226964</v>
      </c>
      <c r="BQ172" s="120"/>
      <c r="BR172" s="32"/>
      <c r="BS172" s="126"/>
      <c r="BT172" s="16"/>
      <c r="BU172" s="58"/>
      <c r="BW172" s="51">
        <f>VLOOKUP(H172,Charges!$AT$4:$AU$33,2,FALSE)*I172</f>
        <v>0</v>
      </c>
      <c r="BX172" s="51">
        <f t="shared" si="129"/>
        <v>0</v>
      </c>
      <c r="BY172" s="51">
        <f t="shared" si="137"/>
        <v>0</v>
      </c>
      <c r="BZ172" s="151"/>
      <c r="CA172" s="151"/>
      <c r="CB172" s="32"/>
      <c r="CC172" s="16">
        <f ca="1">SUM($N$7:$N172)</f>
        <v>0</v>
      </c>
      <c r="CD172" s="16">
        <f t="shared" ca="1" si="130"/>
        <v>0</v>
      </c>
      <c r="CE172" s="16">
        <f t="shared" ca="1" si="131"/>
        <v>0</v>
      </c>
      <c r="CF172" s="7">
        <f t="shared" ca="1" si="138"/>
        <v>0</v>
      </c>
    </row>
    <row r="173" spans="1:84" s="7" customFormat="1" x14ac:dyDescent="0.2">
      <c r="A173" s="149"/>
      <c r="B173" s="14">
        <f t="shared" si="100"/>
        <v>1</v>
      </c>
      <c r="C173" s="12">
        <f t="shared" si="101"/>
        <v>1</v>
      </c>
      <c r="D173" s="17">
        <f t="shared" si="139"/>
        <v>167</v>
      </c>
      <c r="E173" s="17">
        <f t="shared" ca="1" si="102"/>
        <v>73</v>
      </c>
      <c r="F173" s="12">
        <f t="shared" si="141"/>
        <v>10</v>
      </c>
      <c r="G173" s="12">
        <f t="shared" si="140"/>
        <v>28</v>
      </c>
      <c r="H173" s="17">
        <f t="shared" si="142"/>
        <v>14</v>
      </c>
      <c r="I173" s="29">
        <f t="shared" si="103"/>
        <v>0</v>
      </c>
      <c r="J173" s="211">
        <f>IFERROR(VLOOKUP(H173,Charges!$T$6:$U$35,2,0)*C173,0)</f>
        <v>1</v>
      </c>
      <c r="K173" s="29">
        <f t="shared" si="104"/>
        <v>0</v>
      </c>
      <c r="L173" s="29">
        <f t="shared" si="105"/>
        <v>0</v>
      </c>
      <c r="M173" s="147">
        <f t="shared" ca="1" si="106"/>
        <v>0</v>
      </c>
      <c r="N173" s="148">
        <f ca="1">IF(AND(Option_SPW="Y",H173&gt;=Lock_In_Period,Z172&gt;SPW_Amount_pa+IF(option="Single",1/5*pr,2*pr),H173&gt;=SPW_Start_Year,H173&lt;=SPW_Start_Year+SPW_Duration-1,age+H173&gt;=Legal_Age),IF(AND(F173=0,SPW_Payout_Freq=1),SPW_Amount_pa,IF(AND(SPW_Payout_Freq=2,MOD(F173,6)=0),SPW_Amount_pa/SPW_Payout_Freq,IF(AND(SPW_Payout_Freq=4,MOD(F173,3)=0),SPW_Amount_pa/SPW_Payout_Freq,IF(SPW_Payout_Freq=12,SPW_Amount_pa/SPW_Payout_Freq,0)))),0)+IFERROR(VLOOKUP(H173,Input!$B$68:$C$74,2,0),0)*(F173=0)*(Option_PW="Y")*(Option_SPW="N")*(age+H173&gt;=Legal_Age)</f>
        <v>0</v>
      </c>
      <c r="O173" s="148">
        <f t="shared" ca="1" si="132"/>
        <v>0</v>
      </c>
      <c r="P173" s="14">
        <f ca="1">(MAX(MAX(sa-CF172*Flag_UL_Type,105%*SUM($I$7:I173))-(AD172+L173-N173)*Flag_UL_Type,0)*B173)</f>
        <v>0</v>
      </c>
      <c r="Q173" s="213">
        <f t="shared" ca="1" si="107"/>
        <v>0</v>
      </c>
      <c r="R173" s="14">
        <f t="shared" ca="1" si="108"/>
        <v>0</v>
      </c>
      <c r="S173" s="14">
        <f t="shared" ca="1" si="109"/>
        <v>0</v>
      </c>
      <c r="T173" s="14">
        <f>IFERROR(IF(WoP_Flag="Y",IF(fq=1,VLOOKUP(ppt*fq-H173,Charges!$AN$41:$AO$59,2,FALSE),IF(fq=2,VLOOKUP(ppt*fq-G173,Charges!$AP$41:$AQ$79,2,FALSE),VLOOKUP(ppt*fq-D173,Charges!$AR$41:$AS$279,2,FALSE)))*pr/fq,0),0)</f>
        <v>0</v>
      </c>
      <c r="U173" s="14">
        <f ca="1">IFERROR(((T173*(VLOOKUP(Input!$D$18+H173-1,Tab_Mort_Charge,IF(Gender_2="M",2,3),FALSE)*(1+_emr2)+_rpm2)/IF(Model_Type="LA_PQIS",1000/0.0833,(12*1000))))*Flag_Mort_Rider_Charge*(T173&gt;0),0)</f>
        <v>0</v>
      </c>
      <c r="V173" s="34">
        <f>ROUND(MIN(IF(H173&gt;=7,Charges!$C$12*(1+Charges!$C$14)^((H173-7+1)),VLOOKUP(H173,Charges!$B$7:$C$12,2,0))*pr,Charges!$C$13)*B173,Round)</f>
        <v>500</v>
      </c>
      <c r="W173" s="14">
        <f t="shared" ca="1" si="110"/>
        <v>4435508.1456083795</v>
      </c>
      <c r="X173" s="14">
        <f t="shared" ca="1" si="111"/>
        <v>4450028.8450789247</v>
      </c>
      <c r="Y173" s="213">
        <f t="shared" ca="1" si="133"/>
        <v>5009.0069204835254</v>
      </c>
      <c r="Z173" s="14">
        <f t="shared" ca="1" si="112"/>
        <v>4444118.2169127539</v>
      </c>
      <c r="AA173" s="14">
        <f>IF(AND($H173=pt,$F173=11),SUM($K$7:K173)*VLOOKUP(pt,ROC,2,FALSE),0)</f>
        <v>0</v>
      </c>
      <c r="AB173" s="14">
        <f>IF(AND($H173=pt,$F173=11),SUM($V$7:V173)*VLOOKUP(pt,ROC,2,FALSE),0)</f>
        <v>0</v>
      </c>
      <c r="AC173" s="14">
        <f>IF(AND($H173=pt,$F173=11),SUM($Q$7:Q173)*VLOOKUP(pt,ROC,2,FALSE),0)</f>
        <v>0</v>
      </c>
      <c r="AD173" s="14">
        <f t="shared" ca="1" si="134"/>
        <v>4444118.2169127539</v>
      </c>
      <c r="AE173" s="14">
        <f ca="1">(MAX(sa-CF172*Flag_UL_Type,105%*SUM($I$7:I173),Z173)+AU173)*B173</f>
        <v>4444118.2169127539</v>
      </c>
      <c r="AF173" s="136"/>
      <c r="AG173" s="18">
        <v>167</v>
      </c>
      <c r="AH173" s="30">
        <f t="shared" ca="1" si="113"/>
        <v>0</v>
      </c>
      <c r="AI173" s="58"/>
      <c r="AJ173" s="50">
        <f>IF(AND(Option_Sys_TopUp&gt;="Y",H173&gt;=sytp,H173&lt;=(dtp+sytp-1),F173=0,H173&lt;=ppt+1),atp,0)+IFERROR(VLOOKUP(H173,Input!$B$55:$C$61,2,0),0)*(F173=0)*(Option_TopUP="Y")*(Option_Sys_TopUp="N")*B173*(pt&gt;=H173+5)</f>
        <v>0</v>
      </c>
      <c r="AK173" s="50">
        <f t="shared" si="114"/>
        <v>0</v>
      </c>
      <c r="AL173" s="50">
        <f t="shared" si="135"/>
        <v>0</v>
      </c>
      <c r="AM173" s="50">
        <f t="shared" ca="1" si="115"/>
        <v>0</v>
      </c>
      <c r="AN173" s="50">
        <f ca="1">IF(B173=0,0,AT173*(_rpm1+(1+_emr1)*VLOOKUP(E173,Tab_Mort_Charge,IF(Input!$C$12="M",2,3),0))*(0.001*0.0833)*Flag_Mort_Rider_Charge*(AT173&gt;0))</f>
        <v>0</v>
      </c>
      <c r="AO173" s="50">
        <f t="shared" ca="1" si="136"/>
        <v>0</v>
      </c>
      <c r="AP173" s="50">
        <f t="shared" ca="1" si="143"/>
        <v>0</v>
      </c>
      <c r="AQ173" s="50">
        <f t="shared" ca="1" si="116"/>
        <v>0</v>
      </c>
      <c r="AR173" s="50">
        <f t="shared" ca="1" si="117"/>
        <v>0</v>
      </c>
      <c r="AS173" s="50">
        <f t="shared" si="118"/>
        <v>0</v>
      </c>
      <c r="AT173" s="50">
        <f ca="1">(MAX((MAX(AS173,105%*SUM($AJ$7:AJ173))-AM173*Flag_UL_Type),0)*B173)</f>
        <v>0</v>
      </c>
      <c r="AU173" s="50">
        <f ca="1">(MAX(AS173,AR173,105%*SUM($AJ$7:AJ173))*B173)</f>
        <v>0</v>
      </c>
      <c r="AV173" s="125"/>
      <c r="AW173" s="13"/>
      <c r="AX173" s="13"/>
      <c r="AY173" s="13"/>
      <c r="AZ173" s="13"/>
      <c r="BA173" s="13"/>
      <c r="BG173" s="51">
        <f t="shared" si="119"/>
        <v>0</v>
      </c>
      <c r="BH173" s="51">
        <f t="shared" ca="1" si="120"/>
        <v>0</v>
      </c>
      <c r="BI173" s="51">
        <f t="shared" ca="1" si="121"/>
        <v>0</v>
      </c>
      <c r="BJ173" s="51">
        <f t="shared" ca="1" si="122"/>
        <v>0</v>
      </c>
      <c r="BK173" s="51">
        <f t="shared" si="123"/>
        <v>90</v>
      </c>
      <c r="BL173" s="51">
        <f t="shared" ca="1" si="124"/>
        <v>901.6212456870345</v>
      </c>
      <c r="BM173" s="51">
        <f t="shared" si="125"/>
        <v>0</v>
      </c>
      <c r="BN173" s="51">
        <f t="shared" ca="1" si="126"/>
        <v>0</v>
      </c>
      <c r="BO173" s="51">
        <f t="shared" ca="1" si="127"/>
        <v>0</v>
      </c>
      <c r="BP173" s="51">
        <f t="shared" ca="1" si="128"/>
        <v>991.6212456870345</v>
      </c>
      <c r="BQ173" s="120"/>
      <c r="BR173" s="32"/>
      <c r="BS173" s="126"/>
      <c r="BT173" s="16"/>
      <c r="BU173" s="58"/>
      <c r="BW173" s="51">
        <f>VLOOKUP(H173,Charges!$AT$4:$AU$33,2,FALSE)*I173</f>
        <v>0</v>
      </c>
      <c r="BX173" s="51">
        <f t="shared" si="129"/>
        <v>0</v>
      </c>
      <c r="BY173" s="51">
        <f t="shared" si="137"/>
        <v>0</v>
      </c>
      <c r="BZ173" s="151"/>
      <c r="CA173" s="151"/>
      <c r="CB173" s="32"/>
      <c r="CC173" s="16">
        <f ca="1">SUM($N$7:$N173)</f>
        <v>0</v>
      </c>
      <c r="CD173" s="16">
        <f t="shared" ca="1" si="130"/>
        <v>0</v>
      </c>
      <c r="CE173" s="16">
        <f t="shared" ca="1" si="131"/>
        <v>0</v>
      </c>
      <c r="CF173" s="7">
        <f t="shared" ca="1" si="138"/>
        <v>0</v>
      </c>
    </row>
    <row r="174" spans="1:84" s="7" customFormat="1" x14ac:dyDescent="0.2">
      <c r="A174" s="149"/>
      <c r="B174" s="14">
        <f t="shared" si="100"/>
        <v>1</v>
      </c>
      <c r="C174" s="12">
        <f t="shared" si="101"/>
        <v>1</v>
      </c>
      <c r="D174" s="17">
        <f t="shared" si="139"/>
        <v>168</v>
      </c>
      <c r="E174" s="17">
        <f t="shared" ca="1" si="102"/>
        <v>73</v>
      </c>
      <c r="F174" s="12">
        <f t="shared" si="141"/>
        <v>11</v>
      </c>
      <c r="G174" s="12">
        <f t="shared" si="140"/>
        <v>28</v>
      </c>
      <c r="H174" s="17">
        <f t="shared" si="142"/>
        <v>14</v>
      </c>
      <c r="I174" s="29">
        <f t="shared" si="103"/>
        <v>0</v>
      </c>
      <c r="J174" s="211">
        <f>IFERROR(VLOOKUP(H174,Charges!$T$6:$U$35,2,0)*C174,0)</f>
        <v>1</v>
      </c>
      <c r="K174" s="29">
        <f t="shared" si="104"/>
        <v>0</v>
      </c>
      <c r="L174" s="29">
        <f t="shared" si="105"/>
        <v>0</v>
      </c>
      <c r="M174" s="147">
        <f t="shared" ca="1" si="106"/>
        <v>0</v>
      </c>
      <c r="N174" s="148">
        <f ca="1">IF(AND(Option_SPW="Y",H174&gt;=Lock_In_Period,Z173&gt;SPW_Amount_pa+IF(option="Single",1/5*pr,2*pr),H174&gt;=SPW_Start_Year,H174&lt;=SPW_Start_Year+SPW_Duration-1,age+H174&gt;=Legal_Age),IF(AND(F174=0,SPW_Payout_Freq=1),SPW_Amount_pa,IF(AND(SPW_Payout_Freq=2,MOD(F174,6)=0),SPW_Amount_pa/SPW_Payout_Freq,IF(AND(SPW_Payout_Freq=4,MOD(F174,3)=0),SPW_Amount_pa/SPW_Payout_Freq,IF(SPW_Payout_Freq=12,SPW_Amount_pa/SPW_Payout_Freq,0)))),0)+IFERROR(VLOOKUP(H174,Input!$B$68:$C$74,2,0),0)*(F174=0)*(Option_PW="Y")*(Option_SPW="N")*(age+H174&gt;=Legal_Age)</f>
        <v>0</v>
      </c>
      <c r="O174" s="148">
        <f t="shared" ca="1" si="132"/>
        <v>0</v>
      </c>
      <c r="P174" s="14">
        <f ca="1">(MAX(MAX(sa-CF173*Flag_UL_Type,105%*SUM($I$7:I174))-(AD173+L174-N174)*Flag_UL_Type,0)*B174)</f>
        <v>0</v>
      </c>
      <c r="Q174" s="213">
        <f t="shared" ca="1" si="107"/>
        <v>0</v>
      </c>
      <c r="R174" s="14">
        <f t="shared" ca="1" si="108"/>
        <v>0</v>
      </c>
      <c r="S174" s="14">
        <f t="shared" ca="1" si="109"/>
        <v>0</v>
      </c>
      <c r="T174" s="14">
        <f>IFERROR(IF(WoP_Flag="Y",IF(fq=1,VLOOKUP(ppt*fq-H174,Charges!$AN$41:$AO$59,2,FALSE),IF(fq=2,VLOOKUP(ppt*fq-G174,Charges!$AP$41:$AQ$79,2,FALSE),VLOOKUP(ppt*fq-D174,Charges!$AR$41:$AS$279,2,FALSE)))*pr/fq,0),0)</f>
        <v>0</v>
      </c>
      <c r="U174" s="14">
        <f ca="1">IFERROR(((T174*(VLOOKUP(Input!$D$18+H174-1,Tab_Mort_Charge,IF(Gender_2="M",2,3),FALSE)*(1+_emr2)+_rpm2)/IF(Model_Type="LA_PQIS",1000/0.0833,(12*1000))))*Flag_Mort_Rider_Charge*(T174&gt;0),0)</f>
        <v>0</v>
      </c>
      <c r="V174" s="34">
        <f>ROUND(MIN(IF(H174&gt;=7,Charges!$C$12*(1+Charges!$C$14)^((H174-7+1)),VLOOKUP(H174,Charges!$B$7:$C$12,2,0))*pr,Charges!$C$13)*B174,Round)</f>
        <v>500</v>
      </c>
      <c r="W174" s="14">
        <f t="shared" ca="1" si="110"/>
        <v>4443528.2169127539</v>
      </c>
      <c r="X174" s="14">
        <f t="shared" ca="1" si="111"/>
        <v>4458075.1720097847</v>
      </c>
      <c r="Y174" s="213">
        <f t="shared" ca="1" si="133"/>
        <v>5018.0639645352103</v>
      </c>
      <c r="Z174" s="14">
        <f t="shared" ca="1" si="112"/>
        <v>4452153.8565316331</v>
      </c>
      <c r="AA174" s="14">
        <f>IF(AND($H174=pt,$F174=11),SUM($K$7:K174)*VLOOKUP(pt,ROC,2,FALSE),0)</f>
        <v>0</v>
      </c>
      <c r="AB174" s="14">
        <f>IF(AND($H174=pt,$F174=11),SUM($V$7:V174)*VLOOKUP(pt,ROC,2,FALSE),0)</f>
        <v>0</v>
      </c>
      <c r="AC174" s="14">
        <f>IF(AND($H174=pt,$F174=11),SUM($Q$7:Q174)*VLOOKUP(pt,ROC,2,FALSE),0)</f>
        <v>0</v>
      </c>
      <c r="AD174" s="14">
        <f t="shared" ca="1" si="134"/>
        <v>4452153.8565316331</v>
      </c>
      <c r="AE174" s="14">
        <f ca="1">(MAX(sa-CF173*Flag_UL_Type,105%*SUM($I$7:I174),Z174)+AU174)*B174</f>
        <v>4452153.8565316331</v>
      </c>
      <c r="AF174" s="136"/>
      <c r="AG174" s="18">
        <v>168</v>
      </c>
      <c r="AH174" s="30">
        <f t="shared" ca="1" si="113"/>
        <v>0</v>
      </c>
      <c r="AI174" s="58"/>
      <c r="AJ174" s="50">
        <f>IF(AND(Option_Sys_TopUp&gt;="Y",H174&gt;=sytp,H174&lt;=(dtp+sytp-1),F174=0,H174&lt;=ppt+1),atp,0)+IFERROR(VLOOKUP(H174,Input!$B$55:$C$61,2,0),0)*(F174=0)*(Option_TopUP="Y")*(Option_Sys_TopUp="N")*B174*(pt&gt;=H174+5)</f>
        <v>0</v>
      </c>
      <c r="AK174" s="50">
        <f t="shared" si="114"/>
        <v>0</v>
      </c>
      <c r="AL174" s="50">
        <f t="shared" si="135"/>
        <v>0</v>
      </c>
      <c r="AM174" s="50">
        <f t="shared" ca="1" si="115"/>
        <v>0</v>
      </c>
      <c r="AN174" s="50">
        <f ca="1">IF(B174=0,0,AT174*(_rpm1+(1+_emr1)*VLOOKUP(E174,Tab_Mort_Charge,IF(Input!$C$12="M",2,3),0))*(0.001*0.0833)*Flag_Mort_Rider_Charge*(AT174&gt;0))</f>
        <v>0</v>
      </c>
      <c r="AO174" s="50">
        <f t="shared" ca="1" si="136"/>
        <v>0</v>
      </c>
      <c r="AP174" s="50">
        <f t="shared" ca="1" si="143"/>
        <v>0</v>
      </c>
      <c r="AQ174" s="50">
        <f t="shared" ca="1" si="116"/>
        <v>0</v>
      </c>
      <c r="AR174" s="50">
        <f t="shared" ca="1" si="117"/>
        <v>0</v>
      </c>
      <c r="AS174" s="50">
        <f t="shared" si="118"/>
        <v>0</v>
      </c>
      <c r="AT174" s="50">
        <f ca="1">(MAX((MAX(AS174,105%*SUM($AJ$7:AJ174))-AM174*Flag_UL_Type),0)*B174)</f>
        <v>0</v>
      </c>
      <c r="AU174" s="50">
        <f ca="1">(MAX(AS174,AR174,105%*SUM($AJ$7:AJ174))*B174)</f>
        <v>0</v>
      </c>
      <c r="AV174" s="125"/>
      <c r="AW174" s="13"/>
      <c r="AX174" s="13"/>
      <c r="AY174" s="13"/>
      <c r="AZ174" s="13"/>
      <c r="BA174" s="13"/>
      <c r="BG174" s="51">
        <f t="shared" si="119"/>
        <v>0</v>
      </c>
      <c r="BH174" s="51">
        <f t="shared" ca="1" si="120"/>
        <v>0</v>
      </c>
      <c r="BI174" s="51">
        <f t="shared" ca="1" si="121"/>
        <v>0</v>
      </c>
      <c r="BJ174" s="51">
        <f t="shared" ca="1" si="122"/>
        <v>0</v>
      </c>
      <c r="BK174" s="51">
        <f t="shared" si="123"/>
        <v>90</v>
      </c>
      <c r="BL174" s="51">
        <f t="shared" ca="1" si="124"/>
        <v>903.25151361633777</v>
      </c>
      <c r="BM174" s="51">
        <f t="shared" si="125"/>
        <v>0</v>
      </c>
      <c r="BN174" s="51">
        <f t="shared" ca="1" si="126"/>
        <v>0</v>
      </c>
      <c r="BO174" s="51">
        <f t="shared" ca="1" si="127"/>
        <v>0</v>
      </c>
      <c r="BP174" s="51">
        <f t="shared" ca="1" si="128"/>
        <v>993.25151361633777</v>
      </c>
      <c r="BQ174" s="120"/>
      <c r="BR174" s="32"/>
      <c r="BS174" s="126"/>
      <c r="BT174" s="16"/>
      <c r="BU174" s="58"/>
      <c r="BW174" s="51">
        <f>VLOOKUP(H174,Charges!$AT$4:$AU$33,2,FALSE)*I174</f>
        <v>0</v>
      </c>
      <c r="BX174" s="51">
        <f t="shared" si="129"/>
        <v>0</v>
      </c>
      <c r="BY174" s="51">
        <f t="shared" si="137"/>
        <v>0</v>
      </c>
      <c r="BZ174" s="151"/>
      <c r="CA174" s="151"/>
      <c r="CB174" s="32"/>
      <c r="CC174" s="16">
        <f ca="1">SUM($N$7:$N174)</f>
        <v>0</v>
      </c>
      <c r="CD174" s="16">
        <f t="shared" ca="1" si="130"/>
        <v>0</v>
      </c>
      <c r="CE174" s="16">
        <f t="shared" ca="1" si="131"/>
        <v>0</v>
      </c>
      <c r="CF174" s="7">
        <f t="shared" ca="1" si="138"/>
        <v>0</v>
      </c>
    </row>
    <row r="175" spans="1:84" s="7" customFormat="1" x14ac:dyDescent="0.2">
      <c r="A175" s="149"/>
      <c r="B175" s="14">
        <f t="shared" si="100"/>
        <v>1</v>
      </c>
      <c r="C175" s="12">
        <f t="shared" si="101"/>
        <v>1</v>
      </c>
      <c r="D175" s="17">
        <f t="shared" si="139"/>
        <v>169</v>
      </c>
      <c r="E175" s="17">
        <f t="shared" ca="1" si="102"/>
        <v>74</v>
      </c>
      <c r="F175" s="12">
        <f t="shared" si="141"/>
        <v>0</v>
      </c>
      <c r="G175" s="12">
        <f t="shared" si="140"/>
        <v>29</v>
      </c>
      <c r="H175" s="17">
        <f t="shared" si="142"/>
        <v>15</v>
      </c>
      <c r="I175" s="29">
        <f t="shared" si="103"/>
        <v>300000</v>
      </c>
      <c r="J175" s="211">
        <f>IFERROR(VLOOKUP(H175,Charges!$T$6:$U$35,2,0)*C175,0)</f>
        <v>1</v>
      </c>
      <c r="K175" s="29">
        <f t="shared" si="104"/>
        <v>0</v>
      </c>
      <c r="L175" s="29">
        <f t="shared" si="105"/>
        <v>300000</v>
      </c>
      <c r="M175" s="147">
        <f t="shared" ca="1" si="106"/>
        <v>0</v>
      </c>
      <c r="N175" s="148">
        <f ca="1">IF(AND(Option_SPW="Y",H175&gt;=Lock_In_Period,Z174&gt;SPW_Amount_pa+IF(option="Single",1/5*pr,2*pr),H175&gt;=SPW_Start_Year,H175&lt;=SPW_Start_Year+SPW_Duration-1,age+H175&gt;=Legal_Age),IF(AND(F175=0,SPW_Payout_Freq=1),SPW_Amount_pa,IF(AND(SPW_Payout_Freq=2,MOD(F175,6)=0),SPW_Amount_pa/SPW_Payout_Freq,IF(AND(SPW_Payout_Freq=4,MOD(F175,3)=0),SPW_Amount_pa/SPW_Payout_Freq,IF(SPW_Payout_Freq=12,SPW_Amount_pa/SPW_Payout_Freq,0)))),0)+IFERROR(VLOOKUP(H175,Input!$B$68:$C$74,2,0),0)*(F175=0)*(Option_PW="Y")*(Option_SPW="N")*(age+H175&gt;=Legal_Age)</f>
        <v>0</v>
      </c>
      <c r="O175" s="148">
        <f t="shared" ca="1" si="132"/>
        <v>0</v>
      </c>
      <c r="P175" s="14">
        <f ca="1">(MAX(MAX(sa-CF174*Flag_UL_Type,105%*SUM($I$7:I175))-(AD174+L175-N175)*Flag_UL_Type,0)*B175)</f>
        <v>0</v>
      </c>
      <c r="Q175" s="213">
        <f t="shared" ca="1" si="107"/>
        <v>0</v>
      </c>
      <c r="R175" s="14">
        <f t="shared" ca="1" si="108"/>
        <v>0</v>
      </c>
      <c r="S175" s="14">
        <f t="shared" ca="1" si="109"/>
        <v>0</v>
      </c>
      <c r="T175" s="14">
        <f>IFERROR(IF(WoP_Flag="Y",IF(fq=1,VLOOKUP(ppt*fq-H175,Charges!$AN$41:$AO$59,2,FALSE),IF(fq=2,VLOOKUP(ppt*fq-G175,Charges!$AP$41:$AQ$79,2,FALSE),VLOOKUP(ppt*fq-D175,Charges!$AR$41:$AS$279,2,FALSE)))*pr/fq,0),0)</f>
        <v>0</v>
      </c>
      <c r="U175" s="14">
        <f ca="1">IFERROR(((T175*(VLOOKUP(Input!$D$18+H175-1,Tab_Mort_Charge,IF(Gender_2="M",2,3),FALSE)*(1+_emr2)+_rpm2)/IF(Model_Type="LA_PQIS",1000/0.0833,(12*1000))))*Flag_Mort_Rider_Charge*(T175&gt;0),0)</f>
        <v>0</v>
      </c>
      <c r="V175" s="34">
        <f>ROUND(MIN(IF(H175&gt;=7,Charges!$C$12*(1+Charges!$C$14)^((H175-7+1)),VLOOKUP(H175,Charges!$B$7:$C$12,2,0))*pr,Charges!$C$13)*B175,Round)</f>
        <v>500</v>
      </c>
      <c r="W175" s="14">
        <f t="shared" ca="1" si="110"/>
        <v>4751563.8565316331</v>
      </c>
      <c r="X175" s="14">
        <f t="shared" ca="1" si="111"/>
        <v>4767119.2401564196</v>
      </c>
      <c r="Y175" s="213">
        <f t="shared" ca="1" si="133"/>
        <v>5365.9277492369074</v>
      </c>
      <c r="Z175" s="14">
        <f t="shared" ca="1" si="112"/>
        <v>4760787.4454123201</v>
      </c>
      <c r="AA175" s="14">
        <f>IF(AND($H175=pt,$F175=11),SUM($K$7:K175)*VLOOKUP(pt,ROC,2,FALSE),0)</f>
        <v>0</v>
      </c>
      <c r="AB175" s="14">
        <f>IF(AND($H175=pt,$F175=11),SUM($V$7:V175)*VLOOKUP(pt,ROC,2,FALSE),0)</f>
        <v>0</v>
      </c>
      <c r="AC175" s="14">
        <f>IF(AND($H175=pt,$F175=11),SUM($Q$7:Q175)*VLOOKUP(pt,ROC,2,FALSE),0)</f>
        <v>0</v>
      </c>
      <c r="AD175" s="14">
        <f t="shared" ca="1" si="134"/>
        <v>4760787.4454123201</v>
      </c>
      <c r="AE175" s="14">
        <f ca="1">(MAX(sa-CF174*Flag_UL_Type,105%*SUM($I$7:I175),Z175)+AU175)*B175</f>
        <v>4760787.4454123201</v>
      </c>
      <c r="AF175" s="136"/>
      <c r="AG175" s="18">
        <v>169</v>
      </c>
      <c r="AH175" s="30">
        <f t="shared" ca="1" si="113"/>
        <v>300000</v>
      </c>
      <c r="AI175" s="58"/>
      <c r="AJ175" s="50">
        <f>IF(AND(Option_Sys_TopUp&gt;="Y",H175&gt;=sytp,H175&lt;=(dtp+sytp-1),F175=0,H175&lt;=ppt+1),atp,0)+IFERROR(VLOOKUP(H175,Input!$B$55:$C$61,2,0),0)*(F175=0)*(Option_TopUP="Y")*(Option_Sys_TopUp="N")*B175*(pt&gt;=H175+5)</f>
        <v>0</v>
      </c>
      <c r="AK175" s="50">
        <f t="shared" si="114"/>
        <v>0</v>
      </c>
      <c r="AL175" s="50">
        <f t="shared" si="135"/>
        <v>0</v>
      </c>
      <c r="AM175" s="50">
        <f t="shared" ca="1" si="115"/>
        <v>0</v>
      </c>
      <c r="AN175" s="50">
        <f ca="1">IF(B175=0,0,AT175*(_rpm1+(1+_emr1)*VLOOKUP(E175,Tab_Mort_Charge,IF(Input!$C$12="M",2,3),0))*(0.001*0.0833)*Flag_Mort_Rider_Charge*(AT175&gt;0))</f>
        <v>0</v>
      </c>
      <c r="AO175" s="50">
        <f t="shared" ca="1" si="136"/>
        <v>0</v>
      </c>
      <c r="AP175" s="50">
        <f t="shared" ca="1" si="143"/>
        <v>0</v>
      </c>
      <c r="AQ175" s="50">
        <f t="shared" ca="1" si="116"/>
        <v>0</v>
      </c>
      <c r="AR175" s="50">
        <f t="shared" ca="1" si="117"/>
        <v>0</v>
      </c>
      <c r="AS175" s="50">
        <f t="shared" si="118"/>
        <v>0</v>
      </c>
      <c r="AT175" s="50">
        <f ca="1">(MAX((MAX(AS175,105%*SUM($AJ$7:AJ175))-AM175*Flag_UL_Type),0)*B175)</f>
        <v>0</v>
      </c>
      <c r="AU175" s="50">
        <f ca="1">(MAX(AS175,AR175,105%*SUM($AJ$7:AJ175))*B175)</f>
        <v>0</v>
      </c>
      <c r="AV175" s="125"/>
      <c r="AW175" s="13"/>
      <c r="AX175" s="13"/>
      <c r="AY175" s="13"/>
      <c r="AZ175" s="13"/>
      <c r="BA175" s="13"/>
      <c r="BG175" s="51">
        <f t="shared" si="119"/>
        <v>0</v>
      </c>
      <c r="BH175" s="51">
        <f t="shared" ca="1" si="120"/>
        <v>0</v>
      </c>
      <c r="BI175" s="51">
        <f t="shared" ca="1" si="121"/>
        <v>0</v>
      </c>
      <c r="BJ175" s="51">
        <f t="shared" ca="1" si="122"/>
        <v>0</v>
      </c>
      <c r="BK175" s="51">
        <f t="shared" si="123"/>
        <v>90</v>
      </c>
      <c r="BL175" s="51">
        <f t="shared" ca="1" si="124"/>
        <v>965.86699486264331</v>
      </c>
      <c r="BM175" s="51">
        <f t="shared" si="125"/>
        <v>0</v>
      </c>
      <c r="BN175" s="51">
        <f t="shared" ca="1" si="126"/>
        <v>0</v>
      </c>
      <c r="BO175" s="51">
        <f t="shared" ca="1" si="127"/>
        <v>0</v>
      </c>
      <c r="BP175" s="51">
        <f t="shared" ca="1" si="128"/>
        <v>1055.8669948626434</v>
      </c>
      <c r="BQ175" s="120"/>
      <c r="BR175" s="32"/>
      <c r="BS175" s="126"/>
      <c r="BT175" s="16"/>
      <c r="BU175" s="58"/>
      <c r="BW175" s="51">
        <f>VLOOKUP(H175,Charges!$AT$4:$AU$33,2,FALSE)*I175</f>
        <v>0</v>
      </c>
      <c r="BX175" s="51">
        <f t="shared" si="129"/>
        <v>0</v>
      </c>
      <c r="BY175" s="51">
        <f t="shared" si="137"/>
        <v>0</v>
      </c>
      <c r="BZ175" s="151"/>
      <c r="CA175" s="151"/>
      <c r="CB175" s="32"/>
      <c r="CC175" s="16">
        <f ca="1">SUM($N$7:$N175)</f>
        <v>0</v>
      </c>
      <c r="CD175" s="16">
        <f t="shared" ca="1" si="130"/>
        <v>0</v>
      </c>
      <c r="CE175" s="16">
        <f t="shared" ca="1" si="131"/>
        <v>0</v>
      </c>
      <c r="CF175" s="7">
        <f t="shared" ca="1" si="138"/>
        <v>0</v>
      </c>
    </row>
    <row r="176" spans="1:84" s="7" customFormat="1" x14ac:dyDescent="0.2">
      <c r="A176" s="149"/>
      <c r="B176" s="14">
        <f t="shared" si="100"/>
        <v>1</v>
      </c>
      <c r="C176" s="12">
        <f t="shared" si="101"/>
        <v>1</v>
      </c>
      <c r="D176" s="17">
        <f t="shared" si="139"/>
        <v>170</v>
      </c>
      <c r="E176" s="17">
        <f t="shared" ca="1" si="102"/>
        <v>74</v>
      </c>
      <c r="F176" s="12">
        <f t="shared" si="141"/>
        <v>1</v>
      </c>
      <c r="G176" s="12">
        <f t="shared" si="140"/>
        <v>29</v>
      </c>
      <c r="H176" s="17">
        <f t="shared" si="142"/>
        <v>15</v>
      </c>
      <c r="I176" s="29">
        <f t="shared" si="103"/>
        <v>0</v>
      </c>
      <c r="J176" s="211">
        <f>IFERROR(VLOOKUP(H176,Charges!$T$6:$U$35,2,0)*C176,0)</f>
        <v>1</v>
      </c>
      <c r="K176" s="29">
        <f t="shared" si="104"/>
        <v>0</v>
      </c>
      <c r="L176" s="29">
        <f t="shared" si="105"/>
        <v>0</v>
      </c>
      <c r="M176" s="147">
        <f t="shared" ca="1" si="106"/>
        <v>0</v>
      </c>
      <c r="N176" s="148">
        <f ca="1">IF(AND(Option_SPW="Y",H176&gt;=Lock_In_Period,Z175&gt;SPW_Amount_pa+IF(option="Single",1/5*pr,2*pr),H176&gt;=SPW_Start_Year,H176&lt;=SPW_Start_Year+SPW_Duration-1,age+H176&gt;=Legal_Age),IF(AND(F176=0,SPW_Payout_Freq=1),SPW_Amount_pa,IF(AND(SPW_Payout_Freq=2,MOD(F176,6)=0),SPW_Amount_pa/SPW_Payout_Freq,IF(AND(SPW_Payout_Freq=4,MOD(F176,3)=0),SPW_Amount_pa/SPW_Payout_Freq,IF(SPW_Payout_Freq=12,SPW_Amount_pa/SPW_Payout_Freq,0)))),0)+IFERROR(VLOOKUP(H176,Input!$B$68:$C$74,2,0),0)*(F176=0)*(Option_PW="Y")*(Option_SPW="N")*(age+H176&gt;=Legal_Age)</f>
        <v>0</v>
      </c>
      <c r="O176" s="148">
        <f t="shared" ca="1" si="132"/>
        <v>0</v>
      </c>
      <c r="P176" s="14">
        <f ca="1">(MAX(MAX(sa-CF175*Flag_UL_Type,105%*SUM($I$7:I176))-(AD175+L176-N176)*Flag_UL_Type,0)*B176)</f>
        <v>0</v>
      </c>
      <c r="Q176" s="213">
        <f t="shared" ca="1" si="107"/>
        <v>0</v>
      </c>
      <c r="R176" s="14">
        <f t="shared" ca="1" si="108"/>
        <v>0</v>
      </c>
      <c r="S176" s="14">
        <f t="shared" ca="1" si="109"/>
        <v>0</v>
      </c>
      <c r="T176" s="14">
        <f>IFERROR(IF(WoP_Flag="Y",IF(fq=1,VLOOKUP(ppt*fq-H176,Charges!$AN$41:$AO$59,2,FALSE),IF(fq=2,VLOOKUP(ppt*fq-G176,Charges!$AP$41:$AQ$79,2,FALSE),VLOOKUP(ppt*fq-D176,Charges!$AR$41:$AS$279,2,FALSE)))*pr/fq,0),0)</f>
        <v>0</v>
      </c>
      <c r="U176" s="14">
        <f ca="1">IFERROR(((T176*(VLOOKUP(Input!$D$18+H176-1,Tab_Mort_Charge,IF(Gender_2="M",2,3),FALSE)*(1+_emr2)+_rpm2)/IF(Model_Type="LA_PQIS",1000/0.0833,(12*1000))))*Flag_Mort_Rider_Charge*(T176&gt;0),0)</f>
        <v>0</v>
      </c>
      <c r="V176" s="34">
        <f>ROUND(MIN(IF(H176&gt;=7,Charges!$C$12*(1+Charges!$C$14)^((H176-7+1)),VLOOKUP(H176,Charges!$B$7:$C$12,2,0))*pr,Charges!$C$13)*B176,Round)</f>
        <v>500</v>
      </c>
      <c r="W176" s="14">
        <f t="shared" ca="1" si="110"/>
        <v>4760197.4454123201</v>
      </c>
      <c r="X176" s="14">
        <f t="shared" ca="1" si="111"/>
        <v>4775781.0931604877</v>
      </c>
      <c r="Y176" s="213">
        <f t="shared" ca="1" si="133"/>
        <v>5375.6776369684376</v>
      </c>
      <c r="Z176" s="14">
        <f t="shared" ca="1" si="112"/>
        <v>4769437.7935488652</v>
      </c>
      <c r="AA176" s="14">
        <f>IF(AND($H176=pt,$F176=11),SUM($K$7:K176)*VLOOKUP(pt,ROC,2,FALSE),0)</f>
        <v>0</v>
      </c>
      <c r="AB176" s="14">
        <f>IF(AND($H176=pt,$F176=11),SUM($V$7:V176)*VLOOKUP(pt,ROC,2,FALSE),0)</f>
        <v>0</v>
      </c>
      <c r="AC176" s="14">
        <f>IF(AND($H176=pt,$F176=11),SUM($Q$7:Q176)*VLOOKUP(pt,ROC,2,FALSE),0)</f>
        <v>0</v>
      </c>
      <c r="AD176" s="14">
        <f t="shared" ca="1" si="134"/>
        <v>4769437.7935488652</v>
      </c>
      <c r="AE176" s="14">
        <f ca="1">(MAX(sa-CF175*Flag_UL_Type,105%*SUM($I$7:I176),Z176)+AU176)*B176</f>
        <v>4769437.7935488652</v>
      </c>
      <c r="AF176" s="136"/>
      <c r="AG176" s="18">
        <v>170</v>
      </c>
      <c r="AH176" s="30">
        <f t="shared" ca="1" si="113"/>
        <v>0</v>
      </c>
      <c r="AI176" s="58"/>
      <c r="AJ176" s="50">
        <f>IF(AND(Option_Sys_TopUp&gt;="Y",H176&gt;=sytp,H176&lt;=(dtp+sytp-1),F176=0,H176&lt;=ppt+1),atp,0)+IFERROR(VLOOKUP(H176,Input!$B$55:$C$61,2,0),0)*(F176=0)*(Option_TopUP="Y")*(Option_Sys_TopUp="N")*B176*(pt&gt;=H176+5)</f>
        <v>0</v>
      </c>
      <c r="AK176" s="50">
        <f t="shared" si="114"/>
        <v>0</v>
      </c>
      <c r="AL176" s="50">
        <f t="shared" si="135"/>
        <v>0</v>
      </c>
      <c r="AM176" s="50">
        <f t="shared" ca="1" si="115"/>
        <v>0</v>
      </c>
      <c r="AN176" s="50">
        <f ca="1">IF(B176=0,0,AT176*(_rpm1+(1+_emr1)*VLOOKUP(E176,Tab_Mort_Charge,IF(Input!$C$12="M",2,3),0))*(0.001*0.0833)*Flag_Mort_Rider_Charge*(AT176&gt;0))</f>
        <v>0</v>
      </c>
      <c r="AO176" s="50">
        <f t="shared" ca="1" si="136"/>
        <v>0</v>
      </c>
      <c r="AP176" s="50">
        <f t="shared" ca="1" si="143"/>
        <v>0</v>
      </c>
      <c r="AQ176" s="50">
        <f t="shared" ca="1" si="116"/>
        <v>0</v>
      </c>
      <c r="AR176" s="50">
        <f t="shared" ca="1" si="117"/>
        <v>0</v>
      </c>
      <c r="AS176" s="50">
        <f t="shared" si="118"/>
        <v>0</v>
      </c>
      <c r="AT176" s="50">
        <f ca="1">(MAX((MAX(AS176,105%*SUM($AJ$7:AJ176))-AM176*Flag_UL_Type),0)*B176)</f>
        <v>0</v>
      </c>
      <c r="AU176" s="50">
        <f ca="1">(MAX(AS176,AR176,105%*SUM($AJ$7:AJ176))*B176)</f>
        <v>0</v>
      </c>
      <c r="AV176" s="125"/>
      <c r="AW176" s="13"/>
      <c r="AX176" s="13"/>
      <c r="AY176" s="13"/>
      <c r="AZ176" s="13"/>
      <c r="BA176" s="13"/>
      <c r="BG176" s="51">
        <f t="shared" si="119"/>
        <v>0</v>
      </c>
      <c r="BH176" s="51">
        <f t="shared" ca="1" si="120"/>
        <v>0</v>
      </c>
      <c r="BI176" s="51">
        <f t="shared" ca="1" si="121"/>
        <v>0</v>
      </c>
      <c r="BJ176" s="51">
        <f t="shared" ca="1" si="122"/>
        <v>0</v>
      </c>
      <c r="BK176" s="51">
        <f t="shared" si="123"/>
        <v>90</v>
      </c>
      <c r="BL176" s="51">
        <f t="shared" ca="1" si="124"/>
        <v>967.62197465431871</v>
      </c>
      <c r="BM176" s="51">
        <f t="shared" si="125"/>
        <v>0</v>
      </c>
      <c r="BN176" s="51">
        <f t="shared" ca="1" si="126"/>
        <v>0</v>
      </c>
      <c r="BO176" s="51">
        <f t="shared" ca="1" si="127"/>
        <v>0</v>
      </c>
      <c r="BP176" s="51">
        <f t="shared" ca="1" si="128"/>
        <v>1057.6219746543188</v>
      </c>
      <c r="BQ176" s="120"/>
      <c r="BR176" s="32"/>
      <c r="BS176" s="126"/>
      <c r="BT176" s="16"/>
      <c r="BU176" s="58"/>
      <c r="BW176" s="51">
        <f>VLOOKUP(H176,Charges!$AT$4:$AU$33,2,FALSE)*I176</f>
        <v>0</v>
      </c>
      <c r="BX176" s="51">
        <f t="shared" si="129"/>
        <v>0</v>
      </c>
      <c r="BY176" s="51">
        <f t="shared" si="137"/>
        <v>0</v>
      </c>
      <c r="BZ176" s="151"/>
      <c r="CA176" s="151"/>
      <c r="CB176" s="32"/>
      <c r="CC176" s="16">
        <f ca="1">SUM($N$7:$N176)</f>
        <v>0</v>
      </c>
      <c r="CD176" s="16">
        <f t="shared" ca="1" si="130"/>
        <v>0</v>
      </c>
      <c r="CE176" s="16">
        <f t="shared" ca="1" si="131"/>
        <v>0</v>
      </c>
      <c r="CF176" s="7">
        <f t="shared" ca="1" si="138"/>
        <v>0</v>
      </c>
    </row>
    <row r="177" spans="1:84" s="7" customFormat="1" x14ac:dyDescent="0.2">
      <c r="A177" s="149"/>
      <c r="B177" s="14">
        <f t="shared" si="100"/>
        <v>1</v>
      </c>
      <c r="C177" s="12">
        <f t="shared" si="101"/>
        <v>1</v>
      </c>
      <c r="D177" s="17">
        <f t="shared" si="139"/>
        <v>171</v>
      </c>
      <c r="E177" s="17">
        <f t="shared" ca="1" si="102"/>
        <v>74</v>
      </c>
      <c r="F177" s="12">
        <f t="shared" si="141"/>
        <v>2</v>
      </c>
      <c r="G177" s="12">
        <f t="shared" si="140"/>
        <v>29</v>
      </c>
      <c r="H177" s="17">
        <f t="shared" si="142"/>
        <v>15</v>
      </c>
      <c r="I177" s="29">
        <f t="shared" si="103"/>
        <v>0</v>
      </c>
      <c r="J177" s="211">
        <f>IFERROR(VLOOKUP(H177,Charges!$T$6:$U$35,2,0)*C177,0)</f>
        <v>1</v>
      </c>
      <c r="K177" s="29">
        <f t="shared" si="104"/>
        <v>0</v>
      </c>
      <c r="L177" s="29">
        <f t="shared" si="105"/>
        <v>0</v>
      </c>
      <c r="M177" s="147">
        <f t="shared" ca="1" si="106"/>
        <v>0</v>
      </c>
      <c r="N177" s="148">
        <f ca="1">IF(AND(Option_SPW="Y",H177&gt;=Lock_In_Period,Z176&gt;SPW_Amount_pa+IF(option="Single",1/5*pr,2*pr),H177&gt;=SPW_Start_Year,H177&lt;=SPW_Start_Year+SPW_Duration-1,age+H177&gt;=Legal_Age),IF(AND(F177=0,SPW_Payout_Freq=1),SPW_Amount_pa,IF(AND(SPW_Payout_Freq=2,MOD(F177,6)=0),SPW_Amount_pa/SPW_Payout_Freq,IF(AND(SPW_Payout_Freq=4,MOD(F177,3)=0),SPW_Amount_pa/SPW_Payout_Freq,IF(SPW_Payout_Freq=12,SPW_Amount_pa/SPW_Payout_Freq,0)))),0)+IFERROR(VLOOKUP(H177,Input!$B$68:$C$74,2,0),0)*(F177=0)*(Option_PW="Y")*(Option_SPW="N")*(age+H177&gt;=Legal_Age)</f>
        <v>0</v>
      </c>
      <c r="O177" s="148">
        <f t="shared" ca="1" si="132"/>
        <v>0</v>
      </c>
      <c r="P177" s="14">
        <f ca="1">(MAX(MAX(sa-CF176*Flag_UL_Type,105%*SUM($I$7:I177))-(AD176+L177-N177)*Flag_UL_Type,0)*B177)</f>
        <v>0</v>
      </c>
      <c r="Q177" s="213">
        <f t="shared" ca="1" si="107"/>
        <v>0</v>
      </c>
      <c r="R177" s="14">
        <f t="shared" ca="1" si="108"/>
        <v>0</v>
      </c>
      <c r="S177" s="14">
        <f t="shared" ca="1" si="109"/>
        <v>0</v>
      </c>
      <c r="T177" s="14">
        <f>IFERROR(IF(WoP_Flag="Y",IF(fq=1,VLOOKUP(ppt*fq-H177,Charges!$AN$41:$AO$59,2,FALSE),IF(fq=2,VLOOKUP(ppt*fq-G177,Charges!$AP$41:$AQ$79,2,FALSE),VLOOKUP(ppt*fq-D177,Charges!$AR$41:$AS$279,2,FALSE)))*pr/fq,0),0)</f>
        <v>0</v>
      </c>
      <c r="U177" s="14">
        <f ca="1">IFERROR(((T177*(VLOOKUP(Input!$D$18+H177-1,Tab_Mort_Charge,IF(Gender_2="M",2,3),FALSE)*(1+_emr2)+_rpm2)/IF(Model_Type="LA_PQIS",1000/0.0833,(12*1000))))*Flag_Mort_Rider_Charge*(T177&gt;0),0)</f>
        <v>0</v>
      </c>
      <c r="V177" s="34">
        <f>ROUND(MIN(IF(H177&gt;=7,Charges!$C$12*(1+Charges!$C$14)^((H177-7+1)),VLOOKUP(H177,Charges!$B$7:$C$12,2,0))*pr,Charges!$C$13)*B177,Round)</f>
        <v>500</v>
      </c>
      <c r="W177" s="14">
        <f t="shared" ca="1" si="110"/>
        <v>4768847.7935488652</v>
      </c>
      <c r="X177" s="14">
        <f t="shared" ca="1" si="111"/>
        <v>4784459.7602858581</v>
      </c>
      <c r="Y177" s="213">
        <f t="shared" ca="1" si="133"/>
        <v>5385.4464508806495</v>
      </c>
      <c r="Z177" s="14">
        <f t="shared" ca="1" si="112"/>
        <v>4778104.9334738189</v>
      </c>
      <c r="AA177" s="14">
        <f>IF(AND($H177=pt,$F177=11),SUM($K$7:K177)*VLOOKUP(pt,ROC,2,FALSE),0)</f>
        <v>0</v>
      </c>
      <c r="AB177" s="14">
        <f>IF(AND($H177=pt,$F177=11),SUM($V$7:V177)*VLOOKUP(pt,ROC,2,FALSE),0)</f>
        <v>0</v>
      </c>
      <c r="AC177" s="14">
        <f>IF(AND($H177=pt,$F177=11),SUM($Q$7:Q177)*VLOOKUP(pt,ROC,2,FALSE),0)</f>
        <v>0</v>
      </c>
      <c r="AD177" s="14">
        <f t="shared" ca="1" si="134"/>
        <v>4778104.9334738189</v>
      </c>
      <c r="AE177" s="14">
        <f ca="1">(MAX(sa-CF176*Flag_UL_Type,105%*SUM($I$7:I177),Z177)+AU177)*B177</f>
        <v>4778104.9334738189</v>
      </c>
      <c r="AF177" s="136"/>
      <c r="AG177" s="18">
        <v>171</v>
      </c>
      <c r="AH177" s="30">
        <f t="shared" ca="1" si="113"/>
        <v>0</v>
      </c>
      <c r="AI177" s="58"/>
      <c r="AJ177" s="50">
        <f>IF(AND(Option_Sys_TopUp&gt;="Y",H177&gt;=sytp,H177&lt;=(dtp+sytp-1),F177=0,H177&lt;=ppt+1),atp,0)+IFERROR(VLOOKUP(H177,Input!$B$55:$C$61,2,0),0)*(F177=0)*(Option_TopUP="Y")*(Option_Sys_TopUp="N")*B177*(pt&gt;=H177+5)</f>
        <v>0</v>
      </c>
      <c r="AK177" s="50">
        <f t="shared" si="114"/>
        <v>0</v>
      </c>
      <c r="AL177" s="50">
        <f t="shared" si="135"/>
        <v>0</v>
      </c>
      <c r="AM177" s="50">
        <f t="shared" ca="1" si="115"/>
        <v>0</v>
      </c>
      <c r="AN177" s="50">
        <f ca="1">IF(B177=0,0,AT177*(_rpm1+(1+_emr1)*VLOOKUP(E177,Tab_Mort_Charge,IF(Input!$C$12="M",2,3),0))*(0.001*0.0833)*Flag_Mort_Rider_Charge*(AT177&gt;0))</f>
        <v>0</v>
      </c>
      <c r="AO177" s="50">
        <f t="shared" ca="1" si="136"/>
        <v>0</v>
      </c>
      <c r="AP177" s="50">
        <f t="shared" ca="1" si="143"/>
        <v>0</v>
      </c>
      <c r="AQ177" s="50">
        <f t="shared" ca="1" si="116"/>
        <v>0</v>
      </c>
      <c r="AR177" s="50">
        <f t="shared" ca="1" si="117"/>
        <v>0</v>
      </c>
      <c r="AS177" s="50">
        <f t="shared" si="118"/>
        <v>0</v>
      </c>
      <c r="AT177" s="50">
        <f ca="1">(MAX((MAX(AS177,105%*SUM($AJ$7:AJ177))-AM177*Flag_UL_Type),0)*B177)</f>
        <v>0</v>
      </c>
      <c r="AU177" s="50">
        <f ca="1">(MAX(AS177,AR177,105%*SUM($AJ$7:AJ177))*B177)</f>
        <v>0</v>
      </c>
      <c r="AV177" s="125"/>
      <c r="AW177" s="13"/>
      <c r="AX177" s="13"/>
      <c r="AY177" s="13"/>
      <c r="AZ177" s="13"/>
      <c r="BA177" s="13"/>
      <c r="BG177" s="51">
        <f t="shared" si="119"/>
        <v>0</v>
      </c>
      <c r="BH177" s="51">
        <f t="shared" ca="1" si="120"/>
        <v>0</v>
      </c>
      <c r="BI177" s="51">
        <f t="shared" ca="1" si="121"/>
        <v>0</v>
      </c>
      <c r="BJ177" s="51">
        <f t="shared" ca="1" si="122"/>
        <v>0</v>
      </c>
      <c r="BK177" s="51">
        <f t="shared" si="123"/>
        <v>90</v>
      </c>
      <c r="BL177" s="51">
        <f t="shared" ca="1" si="124"/>
        <v>969.38036115851685</v>
      </c>
      <c r="BM177" s="51">
        <f t="shared" si="125"/>
        <v>0</v>
      </c>
      <c r="BN177" s="51">
        <f t="shared" ca="1" si="126"/>
        <v>0</v>
      </c>
      <c r="BO177" s="51">
        <f t="shared" ca="1" si="127"/>
        <v>0</v>
      </c>
      <c r="BP177" s="51">
        <f t="shared" ca="1" si="128"/>
        <v>1059.3803611585167</v>
      </c>
      <c r="BQ177" s="120"/>
      <c r="BR177" s="32"/>
      <c r="BS177" s="126"/>
      <c r="BT177" s="16"/>
      <c r="BU177" s="58"/>
      <c r="BW177" s="51">
        <f>VLOOKUP(H177,Charges!$AT$4:$AU$33,2,FALSE)*I177</f>
        <v>0</v>
      </c>
      <c r="BX177" s="51">
        <f t="shared" si="129"/>
        <v>0</v>
      </c>
      <c r="BY177" s="51">
        <f t="shared" si="137"/>
        <v>0</v>
      </c>
      <c r="BZ177" s="151"/>
      <c r="CA177" s="151"/>
      <c r="CB177" s="32"/>
      <c r="CC177" s="16">
        <f ca="1">SUM($N$7:$N177)</f>
        <v>0</v>
      </c>
      <c r="CD177" s="16">
        <f t="shared" ca="1" si="130"/>
        <v>0</v>
      </c>
      <c r="CE177" s="16">
        <f t="shared" ca="1" si="131"/>
        <v>0</v>
      </c>
      <c r="CF177" s="7">
        <f t="shared" ca="1" si="138"/>
        <v>0</v>
      </c>
    </row>
    <row r="178" spans="1:84" s="7" customFormat="1" x14ac:dyDescent="0.2">
      <c r="A178" s="149"/>
      <c r="B178" s="14">
        <f t="shared" si="100"/>
        <v>1</v>
      </c>
      <c r="C178" s="12">
        <f t="shared" si="101"/>
        <v>1</v>
      </c>
      <c r="D178" s="17">
        <f t="shared" si="139"/>
        <v>172</v>
      </c>
      <c r="E178" s="17">
        <f t="shared" ca="1" si="102"/>
        <v>74</v>
      </c>
      <c r="F178" s="12">
        <f t="shared" si="141"/>
        <v>3</v>
      </c>
      <c r="G178" s="12">
        <f t="shared" si="140"/>
        <v>29</v>
      </c>
      <c r="H178" s="17">
        <f t="shared" si="142"/>
        <v>15</v>
      </c>
      <c r="I178" s="29">
        <f t="shared" si="103"/>
        <v>0</v>
      </c>
      <c r="J178" s="211">
        <f>IFERROR(VLOOKUP(H178,Charges!$T$6:$U$35,2,0)*C178,0)</f>
        <v>1</v>
      </c>
      <c r="K178" s="29">
        <f t="shared" si="104"/>
        <v>0</v>
      </c>
      <c r="L178" s="29">
        <f t="shared" si="105"/>
        <v>0</v>
      </c>
      <c r="M178" s="147">
        <f t="shared" ca="1" si="106"/>
        <v>0</v>
      </c>
      <c r="N178" s="148">
        <f ca="1">IF(AND(Option_SPW="Y",H178&gt;=Lock_In_Period,Z177&gt;SPW_Amount_pa+IF(option="Single",1/5*pr,2*pr),H178&gt;=SPW_Start_Year,H178&lt;=SPW_Start_Year+SPW_Duration-1,age+H178&gt;=Legal_Age),IF(AND(F178=0,SPW_Payout_Freq=1),SPW_Amount_pa,IF(AND(SPW_Payout_Freq=2,MOD(F178,6)=0),SPW_Amount_pa/SPW_Payout_Freq,IF(AND(SPW_Payout_Freq=4,MOD(F178,3)=0),SPW_Amount_pa/SPW_Payout_Freq,IF(SPW_Payout_Freq=12,SPW_Amount_pa/SPW_Payout_Freq,0)))),0)+IFERROR(VLOOKUP(H178,Input!$B$68:$C$74,2,0),0)*(F178=0)*(Option_PW="Y")*(Option_SPW="N")*(age+H178&gt;=Legal_Age)</f>
        <v>0</v>
      </c>
      <c r="O178" s="148">
        <f t="shared" ca="1" si="132"/>
        <v>0</v>
      </c>
      <c r="P178" s="14">
        <f ca="1">(MAX(MAX(sa-CF177*Flag_UL_Type,105%*SUM($I$7:I178))-(AD177+L178-N178)*Flag_UL_Type,0)*B178)</f>
        <v>0</v>
      </c>
      <c r="Q178" s="213">
        <f t="shared" ca="1" si="107"/>
        <v>0</v>
      </c>
      <c r="R178" s="14">
        <f t="shared" ca="1" si="108"/>
        <v>0</v>
      </c>
      <c r="S178" s="14">
        <f t="shared" ca="1" si="109"/>
        <v>0</v>
      </c>
      <c r="T178" s="14">
        <f>IFERROR(IF(WoP_Flag="Y",IF(fq=1,VLOOKUP(ppt*fq-H178,Charges!$AN$41:$AO$59,2,FALSE),IF(fq=2,VLOOKUP(ppt*fq-G178,Charges!$AP$41:$AQ$79,2,FALSE),VLOOKUP(ppt*fq-D178,Charges!$AR$41:$AS$279,2,FALSE)))*pr/fq,0),0)</f>
        <v>0</v>
      </c>
      <c r="U178" s="14">
        <f ca="1">IFERROR(((T178*(VLOOKUP(Input!$D$18+H178-1,Tab_Mort_Charge,IF(Gender_2="M",2,3),FALSE)*(1+_emr2)+_rpm2)/IF(Model_Type="LA_PQIS",1000/0.0833,(12*1000))))*Flag_Mort_Rider_Charge*(T178&gt;0),0)</f>
        <v>0</v>
      </c>
      <c r="V178" s="34">
        <f>ROUND(MIN(IF(H178&gt;=7,Charges!$C$12*(1+Charges!$C$14)^((H178-7+1)),VLOOKUP(H178,Charges!$B$7:$C$12,2,0))*pr,Charges!$C$13)*B178,Round)</f>
        <v>500</v>
      </c>
      <c r="W178" s="14">
        <f t="shared" ca="1" si="110"/>
        <v>4777514.9334738189</v>
      </c>
      <c r="X178" s="14">
        <f t="shared" ca="1" si="111"/>
        <v>4793155.2741715815</v>
      </c>
      <c r="Y178" s="213">
        <f t="shared" ca="1" si="133"/>
        <v>5395.2342277124599</v>
      </c>
      <c r="Z178" s="14">
        <f t="shared" ca="1" si="112"/>
        <v>4786788.8977828808</v>
      </c>
      <c r="AA178" s="14">
        <f>IF(AND($H178=pt,$F178=11),SUM($K$7:K178)*VLOOKUP(pt,ROC,2,FALSE),0)</f>
        <v>0</v>
      </c>
      <c r="AB178" s="14">
        <f>IF(AND($H178=pt,$F178=11),SUM($V$7:V178)*VLOOKUP(pt,ROC,2,FALSE),0)</f>
        <v>0</v>
      </c>
      <c r="AC178" s="14">
        <f>IF(AND($H178=pt,$F178=11),SUM($Q$7:Q178)*VLOOKUP(pt,ROC,2,FALSE),0)</f>
        <v>0</v>
      </c>
      <c r="AD178" s="14">
        <f t="shared" ca="1" si="134"/>
        <v>4786788.8977828808</v>
      </c>
      <c r="AE178" s="14">
        <f ca="1">(MAX(sa-CF177*Flag_UL_Type,105%*SUM($I$7:I178),Z178)+AU178)*B178</f>
        <v>4786788.8977828808</v>
      </c>
      <c r="AF178" s="136"/>
      <c r="AG178" s="18">
        <v>172</v>
      </c>
      <c r="AH178" s="30">
        <f t="shared" ca="1" si="113"/>
        <v>0</v>
      </c>
      <c r="AI178" s="58"/>
      <c r="AJ178" s="50">
        <f>IF(AND(Option_Sys_TopUp&gt;="Y",H178&gt;=sytp,H178&lt;=(dtp+sytp-1),F178=0,H178&lt;=ppt+1),atp,0)+IFERROR(VLOOKUP(H178,Input!$B$55:$C$61,2,0),0)*(F178=0)*(Option_TopUP="Y")*(Option_Sys_TopUp="N")*B178*(pt&gt;=H178+5)</f>
        <v>0</v>
      </c>
      <c r="AK178" s="50">
        <f t="shared" si="114"/>
        <v>0</v>
      </c>
      <c r="AL178" s="50">
        <f t="shared" si="135"/>
        <v>0</v>
      </c>
      <c r="AM178" s="50">
        <f t="shared" ca="1" si="115"/>
        <v>0</v>
      </c>
      <c r="AN178" s="50">
        <f ca="1">IF(B178=0,0,AT178*(_rpm1+(1+_emr1)*VLOOKUP(E178,Tab_Mort_Charge,IF(Input!$C$12="M",2,3),0))*(0.001*0.0833)*Flag_Mort_Rider_Charge*(AT178&gt;0))</f>
        <v>0</v>
      </c>
      <c r="AO178" s="50">
        <f t="shared" ca="1" si="136"/>
        <v>0</v>
      </c>
      <c r="AP178" s="50">
        <f t="shared" ca="1" si="143"/>
        <v>0</v>
      </c>
      <c r="AQ178" s="50">
        <f t="shared" ca="1" si="116"/>
        <v>0</v>
      </c>
      <c r="AR178" s="50">
        <f t="shared" ca="1" si="117"/>
        <v>0</v>
      </c>
      <c r="AS178" s="50">
        <f t="shared" si="118"/>
        <v>0</v>
      </c>
      <c r="AT178" s="50">
        <f ca="1">(MAX((MAX(AS178,105%*SUM($AJ$7:AJ178))-AM178*Flag_UL_Type),0)*B178)</f>
        <v>0</v>
      </c>
      <c r="AU178" s="50">
        <f ca="1">(MAX(AS178,AR178,105%*SUM($AJ$7:AJ178))*B178)</f>
        <v>0</v>
      </c>
      <c r="AV178" s="125"/>
      <c r="AW178" s="13"/>
      <c r="AX178" s="13"/>
      <c r="AY178" s="13"/>
      <c r="AZ178" s="13"/>
      <c r="BA178" s="13"/>
      <c r="BG178" s="51">
        <f t="shared" si="119"/>
        <v>0</v>
      </c>
      <c r="BH178" s="51">
        <f t="shared" ca="1" si="120"/>
        <v>0</v>
      </c>
      <c r="BI178" s="51">
        <f t="shared" ca="1" si="121"/>
        <v>0</v>
      </c>
      <c r="BJ178" s="51">
        <f t="shared" ca="1" si="122"/>
        <v>0</v>
      </c>
      <c r="BK178" s="51">
        <f t="shared" si="123"/>
        <v>90</v>
      </c>
      <c r="BL178" s="51">
        <f t="shared" ca="1" si="124"/>
        <v>971.14216098824272</v>
      </c>
      <c r="BM178" s="51">
        <f t="shared" si="125"/>
        <v>0</v>
      </c>
      <c r="BN178" s="51">
        <f t="shared" ca="1" si="126"/>
        <v>0</v>
      </c>
      <c r="BO178" s="51">
        <f t="shared" ca="1" si="127"/>
        <v>0</v>
      </c>
      <c r="BP178" s="51">
        <f t="shared" ca="1" si="128"/>
        <v>1061.1421609882427</v>
      </c>
      <c r="BQ178" s="120"/>
      <c r="BR178" s="32"/>
      <c r="BS178" s="126"/>
      <c r="BT178" s="16"/>
      <c r="BU178" s="58"/>
      <c r="BW178" s="51">
        <f>VLOOKUP(H178,Charges!$AT$4:$AU$33,2,FALSE)*I178</f>
        <v>0</v>
      </c>
      <c r="BX178" s="51">
        <f t="shared" si="129"/>
        <v>0</v>
      </c>
      <c r="BY178" s="51">
        <f t="shared" si="137"/>
        <v>0</v>
      </c>
      <c r="BZ178" s="151"/>
      <c r="CA178" s="151"/>
      <c r="CB178" s="32"/>
      <c r="CC178" s="16">
        <f ca="1">SUM($N$7:$N178)</f>
        <v>0</v>
      </c>
      <c r="CD178" s="16">
        <f t="shared" ca="1" si="130"/>
        <v>0</v>
      </c>
      <c r="CE178" s="16">
        <f t="shared" ca="1" si="131"/>
        <v>0</v>
      </c>
      <c r="CF178" s="7">
        <f t="shared" ca="1" si="138"/>
        <v>0</v>
      </c>
    </row>
    <row r="179" spans="1:84" s="7" customFormat="1" x14ac:dyDescent="0.2">
      <c r="A179" s="149"/>
      <c r="B179" s="14">
        <f t="shared" si="100"/>
        <v>1</v>
      </c>
      <c r="C179" s="12">
        <f t="shared" si="101"/>
        <v>1</v>
      </c>
      <c r="D179" s="17">
        <f t="shared" si="139"/>
        <v>173</v>
      </c>
      <c r="E179" s="17">
        <f t="shared" ca="1" si="102"/>
        <v>74</v>
      </c>
      <c r="F179" s="12">
        <f t="shared" si="141"/>
        <v>4</v>
      </c>
      <c r="G179" s="12">
        <f t="shared" si="140"/>
        <v>29</v>
      </c>
      <c r="H179" s="17">
        <f t="shared" si="142"/>
        <v>15</v>
      </c>
      <c r="I179" s="29">
        <f t="shared" si="103"/>
        <v>0</v>
      </c>
      <c r="J179" s="211">
        <f>IFERROR(VLOOKUP(H179,Charges!$T$6:$U$35,2,0)*C179,0)</f>
        <v>1</v>
      </c>
      <c r="K179" s="29">
        <f t="shared" si="104"/>
        <v>0</v>
      </c>
      <c r="L179" s="29">
        <f t="shared" si="105"/>
        <v>0</v>
      </c>
      <c r="M179" s="147">
        <f t="shared" ca="1" si="106"/>
        <v>0</v>
      </c>
      <c r="N179" s="148">
        <f ca="1">IF(AND(Option_SPW="Y",H179&gt;=Lock_In_Period,Z178&gt;SPW_Amount_pa+IF(option="Single",1/5*pr,2*pr),H179&gt;=SPW_Start_Year,H179&lt;=SPW_Start_Year+SPW_Duration-1,age+H179&gt;=Legal_Age),IF(AND(F179=0,SPW_Payout_Freq=1),SPW_Amount_pa,IF(AND(SPW_Payout_Freq=2,MOD(F179,6)=0),SPW_Amount_pa/SPW_Payout_Freq,IF(AND(SPW_Payout_Freq=4,MOD(F179,3)=0),SPW_Amount_pa/SPW_Payout_Freq,IF(SPW_Payout_Freq=12,SPW_Amount_pa/SPW_Payout_Freq,0)))),0)+IFERROR(VLOOKUP(H179,Input!$B$68:$C$74,2,0),0)*(F179=0)*(Option_PW="Y")*(Option_SPW="N")*(age+H179&gt;=Legal_Age)</f>
        <v>0</v>
      </c>
      <c r="O179" s="148">
        <f t="shared" ca="1" si="132"/>
        <v>0</v>
      </c>
      <c r="P179" s="14">
        <f ca="1">(MAX(MAX(sa-CF178*Flag_UL_Type,105%*SUM($I$7:I179))-(AD178+L179-N179)*Flag_UL_Type,0)*B179)</f>
        <v>0</v>
      </c>
      <c r="Q179" s="213">
        <f t="shared" ca="1" si="107"/>
        <v>0</v>
      </c>
      <c r="R179" s="14">
        <f t="shared" ca="1" si="108"/>
        <v>0</v>
      </c>
      <c r="S179" s="14">
        <f t="shared" ca="1" si="109"/>
        <v>0</v>
      </c>
      <c r="T179" s="14">
        <f>IFERROR(IF(WoP_Flag="Y",IF(fq=1,VLOOKUP(ppt*fq-H179,Charges!$AN$41:$AO$59,2,FALSE),IF(fq=2,VLOOKUP(ppt*fq-G179,Charges!$AP$41:$AQ$79,2,FALSE),VLOOKUP(ppt*fq-D179,Charges!$AR$41:$AS$279,2,FALSE)))*pr/fq,0),0)</f>
        <v>0</v>
      </c>
      <c r="U179" s="14">
        <f ca="1">IFERROR(((T179*(VLOOKUP(Input!$D$18+H179-1,Tab_Mort_Charge,IF(Gender_2="M",2,3),FALSE)*(1+_emr2)+_rpm2)/IF(Model_Type="LA_PQIS",1000/0.0833,(12*1000))))*Flag_Mort_Rider_Charge*(T179&gt;0),0)</f>
        <v>0</v>
      </c>
      <c r="V179" s="34">
        <f>ROUND(MIN(IF(H179&gt;=7,Charges!$C$12*(1+Charges!$C$14)^((H179-7+1)),VLOOKUP(H179,Charges!$B$7:$C$12,2,0))*pr,Charges!$C$13)*B179,Round)</f>
        <v>500</v>
      </c>
      <c r="W179" s="14">
        <f t="shared" ca="1" si="110"/>
        <v>4786198.8977828808</v>
      </c>
      <c r="X179" s="14">
        <f t="shared" ca="1" si="111"/>
        <v>4801867.6675200695</v>
      </c>
      <c r="Y179" s="213">
        <f t="shared" ca="1" si="133"/>
        <v>5405.0410042741014</v>
      </c>
      <c r="Z179" s="14">
        <f t="shared" ca="1" si="112"/>
        <v>4795489.7191350264</v>
      </c>
      <c r="AA179" s="14">
        <f>IF(AND($H179=pt,$F179=11),SUM($K$7:K179)*VLOOKUP(pt,ROC,2,FALSE),0)</f>
        <v>0</v>
      </c>
      <c r="AB179" s="14">
        <f>IF(AND($H179=pt,$F179=11),SUM($V$7:V179)*VLOOKUP(pt,ROC,2,FALSE),0)</f>
        <v>0</v>
      </c>
      <c r="AC179" s="14">
        <f>IF(AND($H179=pt,$F179=11),SUM($Q$7:Q179)*VLOOKUP(pt,ROC,2,FALSE),0)</f>
        <v>0</v>
      </c>
      <c r="AD179" s="14">
        <f t="shared" ca="1" si="134"/>
        <v>4795489.7191350264</v>
      </c>
      <c r="AE179" s="14">
        <f ca="1">(MAX(sa-CF178*Flag_UL_Type,105%*SUM($I$7:I179),Z179)+AU179)*B179</f>
        <v>4795489.7191350264</v>
      </c>
      <c r="AF179" s="136"/>
      <c r="AG179" s="18">
        <v>173</v>
      </c>
      <c r="AH179" s="30">
        <f t="shared" ca="1" si="113"/>
        <v>0</v>
      </c>
      <c r="AI179" s="58"/>
      <c r="AJ179" s="50">
        <f>IF(AND(Option_Sys_TopUp&gt;="Y",H179&gt;=sytp,H179&lt;=(dtp+sytp-1),F179=0,H179&lt;=ppt+1),atp,0)+IFERROR(VLOOKUP(H179,Input!$B$55:$C$61,2,0),0)*(F179=0)*(Option_TopUP="Y")*(Option_Sys_TopUp="N")*B179*(pt&gt;=H179+5)</f>
        <v>0</v>
      </c>
      <c r="AK179" s="50">
        <f t="shared" si="114"/>
        <v>0</v>
      </c>
      <c r="AL179" s="50">
        <f t="shared" si="135"/>
        <v>0</v>
      </c>
      <c r="AM179" s="50">
        <f t="shared" ca="1" si="115"/>
        <v>0</v>
      </c>
      <c r="AN179" s="50">
        <f ca="1">IF(B179=0,0,AT179*(_rpm1+(1+_emr1)*VLOOKUP(E179,Tab_Mort_Charge,IF(Input!$C$12="M",2,3),0))*(0.001*0.0833)*Flag_Mort_Rider_Charge*(AT179&gt;0))</f>
        <v>0</v>
      </c>
      <c r="AO179" s="50">
        <f t="shared" ca="1" si="136"/>
        <v>0</v>
      </c>
      <c r="AP179" s="50">
        <f t="shared" ca="1" si="143"/>
        <v>0</v>
      </c>
      <c r="AQ179" s="50">
        <f t="shared" ca="1" si="116"/>
        <v>0</v>
      </c>
      <c r="AR179" s="50">
        <f t="shared" ca="1" si="117"/>
        <v>0</v>
      </c>
      <c r="AS179" s="50">
        <f t="shared" si="118"/>
        <v>0</v>
      </c>
      <c r="AT179" s="50">
        <f ca="1">(MAX((MAX(AS179,105%*SUM($AJ$7:AJ179))-AM179*Flag_UL_Type),0)*B179)</f>
        <v>0</v>
      </c>
      <c r="AU179" s="50">
        <f ca="1">(MAX(AS179,AR179,105%*SUM($AJ$7:AJ179))*B179)</f>
        <v>0</v>
      </c>
      <c r="AV179" s="125"/>
      <c r="AW179" s="13"/>
      <c r="AX179" s="13"/>
      <c r="AY179" s="13"/>
      <c r="AZ179" s="13"/>
      <c r="BA179" s="13"/>
      <c r="BG179" s="51">
        <f t="shared" si="119"/>
        <v>0</v>
      </c>
      <c r="BH179" s="51">
        <f t="shared" ca="1" si="120"/>
        <v>0</v>
      </c>
      <c r="BI179" s="51">
        <f t="shared" ca="1" si="121"/>
        <v>0</v>
      </c>
      <c r="BJ179" s="51">
        <f t="shared" ca="1" si="122"/>
        <v>0</v>
      </c>
      <c r="BK179" s="51">
        <f t="shared" si="123"/>
        <v>90</v>
      </c>
      <c r="BL179" s="51">
        <f t="shared" ca="1" si="124"/>
        <v>972.90738076933826</v>
      </c>
      <c r="BM179" s="51">
        <f t="shared" si="125"/>
        <v>0</v>
      </c>
      <c r="BN179" s="51">
        <f t="shared" ca="1" si="126"/>
        <v>0</v>
      </c>
      <c r="BO179" s="51">
        <f t="shared" ca="1" si="127"/>
        <v>0</v>
      </c>
      <c r="BP179" s="51">
        <f t="shared" ca="1" si="128"/>
        <v>1062.9073807693383</v>
      </c>
      <c r="BQ179" s="120"/>
      <c r="BR179" s="32"/>
      <c r="BS179" s="126"/>
      <c r="BT179" s="16"/>
      <c r="BU179" s="58"/>
      <c r="BW179" s="51">
        <f>VLOOKUP(H179,Charges!$AT$4:$AU$33,2,FALSE)*I179</f>
        <v>0</v>
      </c>
      <c r="BX179" s="51">
        <f t="shared" si="129"/>
        <v>0</v>
      </c>
      <c r="BY179" s="51">
        <f t="shared" si="137"/>
        <v>0</v>
      </c>
      <c r="BZ179" s="151"/>
      <c r="CA179" s="151"/>
      <c r="CB179" s="32"/>
      <c r="CC179" s="16">
        <f ca="1">SUM($N$7:$N179)</f>
        <v>0</v>
      </c>
      <c r="CD179" s="16">
        <f t="shared" ca="1" si="130"/>
        <v>0</v>
      </c>
      <c r="CE179" s="16">
        <f t="shared" ca="1" si="131"/>
        <v>0</v>
      </c>
      <c r="CF179" s="7">
        <f t="shared" ca="1" si="138"/>
        <v>0</v>
      </c>
    </row>
    <row r="180" spans="1:84" s="7" customFormat="1" x14ac:dyDescent="0.2">
      <c r="A180" s="149"/>
      <c r="B180" s="14">
        <f t="shared" si="100"/>
        <v>1</v>
      </c>
      <c r="C180" s="12">
        <f t="shared" si="101"/>
        <v>1</v>
      </c>
      <c r="D180" s="17">
        <f t="shared" si="139"/>
        <v>174</v>
      </c>
      <c r="E180" s="17">
        <f t="shared" ca="1" si="102"/>
        <v>74</v>
      </c>
      <c r="F180" s="12">
        <f t="shared" si="141"/>
        <v>5</v>
      </c>
      <c r="G180" s="12">
        <f t="shared" si="140"/>
        <v>29</v>
      </c>
      <c r="H180" s="17">
        <f t="shared" si="142"/>
        <v>15</v>
      </c>
      <c r="I180" s="29">
        <f t="shared" si="103"/>
        <v>0</v>
      </c>
      <c r="J180" s="211">
        <f>IFERROR(VLOOKUP(H180,Charges!$T$6:$U$35,2,0)*C180,0)</f>
        <v>1</v>
      </c>
      <c r="K180" s="29">
        <f t="shared" si="104"/>
        <v>0</v>
      </c>
      <c r="L180" s="29">
        <f t="shared" si="105"/>
        <v>0</v>
      </c>
      <c r="M180" s="147">
        <f t="shared" ca="1" si="106"/>
        <v>0</v>
      </c>
      <c r="N180" s="148">
        <f ca="1">IF(AND(Option_SPW="Y",H180&gt;=Lock_In_Period,Z179&gt;SPW_Amount_pa+IF(option="Single",1/5*pr,2*pr),H180&gt;=SPW_Start_Year,H180&lt;=SPW_Start_Year+SPW_Duration-1,age+H180&gt;=Legal_Age),IF(AND(F180=0,SPW_Payout_Freq=1),SPW_Amount_pa,IF(AND(SPW_Payout_Freq=2,MOD(F180,6)=0),SPW_Amount_pa/SPW_Payout_Freq,IF(AND(SPW_Payout_Freq=4,MOD(F180,3)=0),SPW_Amount_pa/SPW_Payout_Freq,IF(SPW_Payout_Freq=12,SPW_Amount_pa/SPW_Payout_Freq,0)))),0)+IFERROR(VLOOKUP(H180,Input!$B$68:$C$74,2,0),0)*(F180=0)*(Option_PW="Y")*(Option_SPW="N")*(age+H180&gt;=Legal_Age)</f>
        <v>0</v>
      </c>
      <c r="O180" s="148">
        <f t="shared" ca="1" si="132"/>
        <v>0</v>
      </c>
      <c r="P180" s="14">
        <f ca="1">(MAX(MAX(sa-CF179*Flag_UL_Type,105%*SUM($I$7:I180))-(AD179+L180-N180)*Flag_UL_Type,0)*B180)</f>
        <v>0</v>
      </c>
      <c r="Q180" s="213">
        <f t="shared" ca="1" si="107"/>
        <v>0</v>
      </c>
      <c r="R180" s="14">
        <f t="shared" ca="1" si="108"/>
        <v>0</v>
      </c>
      <c r="S180" s="14">
        <f t="shared" ca="1" si="109"/>
        <v>0</v>
      </c>
      <c r="T180" s="14">
        <f>IFERROR(IF(WoP_Flag="Y",IF(fq=1,VLOOKUP(ppt*fq-H180,Charges!$AN$41:$AO$59,2,FALSE),IF(fq=2,VLOOKUP(ppt*fq-G180,Charges!$AP$41:$AQ$79,2,FALSE),VLOOKUP(ppt*fq-D180,Charges!$AR$41:$AS$279,2,FALSE)))*pr/fq,0),0)</f>
        <v>0</v>
      </c>
      <c r="U180" s="14">
        <f ca="1">IFERROR(((T180*(VLOOKUP(Input!$D$18+H180-1,Tab_Mort_Charge,IF(Gender_2="M",2,3),FALSE)*(1+_emr2)+_rpm2)/IF(Model_Type="LA_PQIS",1000/0.0833,(12*1000))))*Flag_Mort_Rider_Charge*(T180&gt;0),0)</f>
        <v>0</v>
      </c>
      <c r="V180" s="34">
        <f>ROUND(MIN(IF(H180&gt;=7,Charges!$C$12*(1+Charges!$C$14)^((H180-7+1)),VLOOKUP(H180,Charges!$B$7:$C$12,2,0))*pr,Charges!$C$13)*B180,Round)</f>
        <v>500</v>
      </c>
      <c r="W180" s="14">
        <f t="shared" ca="1" si="110"/>
        <v>4794899.7191350264</v>
      </c>
      <c r="X180" s="14">
        <f t="shared" ca="1" si="111"/>
        <v>4810596.9730972135</v>
      </c>
      <c r="Y180" s="213">
        <f t="shared" ca="1" si="133"/>
        <v>5414.8668174472641</v>
      </c>
      <c r="Z180" s="14">
        <f t="shared" ca="1" si="112"/>
        <v>4804207.4302526256</v>
      </c>
      <c r="AA180" s="14">
        <f>IF(AND($H180=pt,$F180=11),SUM($K$7:K180)*VLOOKUP(pt,ROC,2,FALSE),0)</f>
        <v>0</v>
      </c>
      <c r="AB180" s="14">
        <f>IF(AND($H180=pt,$F180=11),SUM($V$7:V180)*VLOOKUP(pt,ROC,2,FALSE),0)</f>
        <v>0</v>
      </c>
      <c r="AC180" s="14">
        <f>IF(AND($H180=pt,$F180=11),SUM($Q$7:Q180)*VLOOKUP(pt,ROC,2,FALSE),0)</f>
        <v>0</v>
      </c>
      <c r="AD180" s="14">
        <f t="shared" ca="1" si="134"/>
        <v>4804207.4302526256</v>
      </c>
      <c r="AE180" s="14">
        <f ca="1">(MAX(sa-CF179*Flag_UL_Type,105%*SUM($I$7:I180),Z180)+AU180)*B180</f>
        <v>4804207.4302526256</v>
      </c>
      <c r="AF180" s="136"/>
      <c r="AG180" s="18">
        <v>174</v>
      </c>
      <c r="AH180" s="30">
        <f t="shared" ca="1" si="113"/>
        <v>0</v>
      </c>
      <c r="AI180" s="58"/>
      <c r="AJ180" s="50">
        <f>IF(AND(Option_Sys_TopUp&gt;="Y",H180&gt;=sytp,H180&lt;=(dtp+sytp-1),F180=0,H180&lt;=ppt+1),atp,0)+IFERROR(VLOOKUP(H180,Input!$B$55:$C$61,2,0),0)*(F180=0)*(Option_TopUP="Y")*(Option_Sys_TopUp="N")*B180*(pt&gt;=H180+5)</f>
        <v>0</v>
      </c>
      <c r="AK180" s="50">
        <f t="shared" si="114"/>
        <v>0</v>
      </c>
      <c r="AL180" s="50">
        <f t="shared" si="135"/>
        <v>0</v>
      </c>
      <c r="AM180" s="50">
        <f t="shared" ca="1" si="115"/>
        <v>0</v>
      </c>
      <c r="AN180" s="50">
        <f ca="1">IF(B180=0,0,AT180*(_rpm1+(1+_emr1)*VLOOKUP(E180,Tab_Mort_Charge,IF(Input!$C$12="M",2,3),0))*(0.001*0.0833)*Flag_Mort_Rider_Charge*(AT180&gt;0))</f>
        <v>0</v>
      </c>
      <c r="AO180" s="50">
        <f t="shared" ca="1" si="136"/>
        <v>0</v>
      </c>
      <c r="AP180" s="50">
        <f t="shared" ca="1" si="143"/>
        <v>0</v>
      </c>
      <c r="AQ180" s="50">
        <f t="shared" ca="1" si="116"/>
        <v>0</v>
      </c>
      <c r="AR180" s="50">
        <f t="shared" ca="1" si="117"/>
        <v>0</v>
      </c>
      <c r="AS180" s="50">
        <f t="shared" si="118"/>
        <v>0</v>
      </c>
      <c r="AT180" s="50">
        <f ca="1">(MAX((MAX(AS180,105%*SUM($AJ$7:AJ180))-AM180*Flag_UL_Type),0)*B180)</f>
        <v>0</v>
      </c>
      <c r="AU180" s="50">
        <f ca="1">(MAX(AS180,AR180,105%*SUM($AJ$7:AJ180))*B180)</f>
        <v>0</v>
      </c>
      <c r="AV180" s="125"/>
      <c r="AW180" s="13"/>
      <c r="AX180" s="13"/>
      <c r="AY180" s="13"/>
      <c r="AZ180" s="13"/>
      <c r="BA180" s="13"/>
      <c r="BG180" s="51">
        <f t="shared" si="119"/>
        <v>0</v>
      </c>
      <c r="BH180" s="51">
        <f t="shared" ca="1" si="120"/>
        <v>0</v>
      </c>
      <c r="BI180" s="51">
        <f t="shared" ca="1" si="121"/>
        <v>0</v>
      </c>
      <c r="BJ180" s="51">
        <f t="shared" ca="1" si="122"/>
        <v>0</v>
      </c>
      <c r="BK180" s="51">
        <f t="shared" si="123"/>
        <v>90</v>
      </c>
      <c r="BL180" s="51">
        <f t="shared" ca="1" si="124"/>
        <v>974.67602714050747</v>
      </c>
      <c r="BM180" s="51">
        <f t="shared" si="125"/>
        <v>0</v>
      </c>
      <c r="BN180" s="51">
        <f t="shared" ca="1" si="126"/>
        <v>0</v>
      </c>
      <c r="BO180" s="51">
        <f t="shared" ca="1" si="127"/>
        <v>0</v>
      </c>
      <c r="BP180" s="51">
        <f t="shared" ca="1" si="128"/>
        <v>1064.6760271405074</v>
      </c>
      <c r="BQ180" s="120"/>
      <c r="BR180" s="32"/>
      <c r="BS180" s="126"/>
      <c r="BT180" s="16"/>
      <c r="BU180" s="58"/>
      <c r="BW180" s="51">
        <f>VLOOKUP(H180,Charges!$AT$4:$AU$33,2,FALSE)*I180</f>
        <v>0</v>
      </c>
      <c r="BX180" s="51">
        <f t="shared" si="129"/>
        <v>0</v>
      </c>
      <c r="BY180" s="51">
        <f t="shared" si="137"/>
        <v>0</v>
      </c>
      <c r="BZ180" s="151"/>
      <c r="CA180" s="151"/>
      <c r="CB180" s="32"/>
      <c r="CC180" s="16">
        <f ca="1">SUM($N$7:$N180)</f>
        <v>0</v>
      </c>
      <c r="CD180" s="16">
        <f t="shared" ca="1" si="130"/>
        <v>0</v>
      </c>
      <c r="CE180" s="16">
        <f t="shared" ca="1" si="131"/>
        <v>0</v>
      </c>
      <c r="CF180" s="7">
        <f t="shared" ca="1" si="138"/>
        <v>0</v>
      </c>
    </row>
    <row r="181" spans="1:84" s="7" customFormat="1" x14ac:dyDescent="0.2">
      <c r="A181" s="149"/>
      <c r="B181" s="14">
        <f t="shared" si="100"/>
        <v>1</v>
      </c>
      <c r="C181" s="12">
        <f t="shared" si="101"/>
        <v>1</v>
      </c>
      <c r="D181" s="17">
        <f t="shared" si="139"/>
        <v>175</v>
      </c>
      <c r="E181" s="17">
        <f t="shared" ca="1" si="102"/>
        <v>74</v>
      </c>
      <c r="F181" s="12">
        <f t="shared" si="141"/>
        <v>6</v>
      </c>
      <c r="G181" s="12">
        <f t="shared" si="140"/>
        <v>30</v>
      </c>
      <c r="H181" s="17">
        <f t="shared" si="142"/>
        <v>15</v>
      </c>
      <c r="I181" s="29">
        <f t="shared" si="103"/>
        <v>0</v>
      </c>
      <c r="J181" s="211">
        <f>IFERROR(VLOOKUP(H181,Charges!$T$6:$U$35,2,0)*C181,0)</f>
        <v>1</v>
      </c>
      <c r="K181" s="29">
        <f t="shared" si="104"/>
        <v>0</v>
      </c>
      <c r="L181" s="29">
        <f t="shared" si="105"/>
        <v>0</v>
      </c>
      <c r="M181" s="147">
        <f t="shared" ca="1" si="106"/>
        <v>0</v>
      </c>
      <c r="N181" s="148">
        <f ca="1">IF(AND(Option_SPW="Y",H181&gt;=Lock_In_Period,Z180&gt;SPW_Amount_pa+IF(option="Single",1/5*pr,2*pr),H181&gt;=SPW_Start_Year,H181&lt;=SPW_Start_Year+SPW_Duration-1,age+H181&gt;=Legal_Age),IF(AND(F181=0,SPW_Payout_Freq=1),SPW_Amount_pa,IF(AND(SPW_Payout_Freq=2,MOD(F181,6)=0),SPW_Amount_pa/SPW_Payout_Freq,IF(AND(SPW_Payout_Freq=4,MOD(F181,3)=0),SPW_Amount_pa/SPW_Payout_Freq,IF(SPW_Payout_Freq=12,SPW_Amount_pa/SPW_Payout_Freq,0)))),0)+IFERROR(VLOOKUP(H181,Input!$B$68:$C$74,2,0),0)*(F181=0)*(Option_PW="Y")*(Option_SPW="N")*(age+H181&gt;=Legal_Age)</f>
        <v>0</v>
      </c>
      <c r="O181" s="148">
        <f t="shared" ca="1" si="132"/>
        <v>0</v>
      </c>
      <c r="P181" s="14">
        <f ca="1">(MAX(MAX(sa-CF180*Flag_UL_Type,105%*SUM($I$7:I181))-(AD180+L181-N181)*Flag_UL_Type,0)*B181)</f>
        <v>0</v>
      </c>
      <c r="Q181" s="213">
        <f t="shared" ca="1" si="107"/>
        <v>0</v>
      </c>
      <c r="R181" s="14">
        <f t="shared" ca="1" si="108"/>
        <v>0</v>
      </c>
      <c r="S181" s="14">
        <f t="shared" ca="1" si="109"/>
        <v>0</v>
      </c>
      <c r="T181" s="14">
        <f>IFERROR(IF(WoP_Flag="Y",IF(fq=1,VLOOKUP(ppt*fq-H181,Charges!$AN$41:$AO$59,2,FALSE),IF(fq=2,VLOOKUP(ppt*fq-G181,Charges!$AP$41:$AQ$79,2,FALSE),VLOOKUP(ppt*fq-D181,Charges!$AR$41:$AS$279,2,FALSE)))*pr/fq,0),0)</f>
        <v>0</v>
      </c>
      <c r="U181" s="14">
        <f ca="1">IFERROR(((T181*(VLOOKUP(Input!$D$18+H181-1,Tab_Mort_Charge,IF(Gender_2="M",2,3),FALSE)*(1+_emr2)+_rpm2)/IF(Model_Type="LA_PQIS",1000/0.0833,(12*1000))))*Flag_Mort_Rider_Charge*(T181&gt;0),0)</f>
        <v>0</v>
      </c>
      <c r="V181" s="34">
        <f>ROUND(MIN(IF(H181&gt;=7,Charges!$C$12*(1+Charges!$C$14)^((H181-7+1)),VLOOKUP(H181,Charges!$B$7:$C$12,2,0))*pr,Charges!$C$13)*B181,Round)</f>
        <v>500</v>
      </c>
      <c r="W181" s="14">
        <f t="shared" ca="1" si="110"/>
        <v>4803617.4302526256</v>
      </c>
      <c r="X181" s="14">
        <f t="shared" ca="1" si="111"/>
        <v>4819343.2237325078</v>
      </c>
      <c r="Y181" s="213">
        <f t="shared" ca="1" si="133"/>
        <v>5424.711704185228</v>
      </c>
      <c r="Z181" s="14">
        <f t="shared" ca="1" si="112"/>
        <v>4812942.0639215689</v>
      </c>
      <c r="AA181" s="14">
        <f>IF(AND($H181=pt,$F181=11),SUM($K$7:K181)*VLOOKUP(pt,ROC,2,FALSE),0)</f>
        <v>0</v>
      </c>
      <c r="AB181" s="14">
        <f>IF(AND($H181=pt,$F181=11),SUM($V$7:V181)*VLOOKUP(pt,ROC,2,FALSE),0)</f>
        <v>0</v>
      </c>
      <c r="AC181" s="14">
        <f>IF(AND($H181=pt,$F181=11),SUM($Q$7:Q181)*VLOOKUP(pt,ROC,2,FALSE),0)</f>
        <v>0</v>
      </c>
      <c r="AD181" s="14">
        <f t="shared" ca="1" si="134"/>
        <v>4812942.0639215689</v>
      </c>
      <c r="AE181" s="14">
        <f ca="1">(MAX(sa-CF180*Flag_UL_Type,105%*SUM($I$7:I181),Z181)+AU181)*B181</f>
        <v>4812942.0639215689</v>
      </c>
      <c r="AF181" s="136"/>
      <c r="AG181" s="18">
        <v>175</v>
      </c>
      <c r="AH181" s="30">
        <f t="shared" ca="1" si="113"/>
        <v>0</v>
      </c>
      <c r="AI181" s="58"/>
      <c r="AJ181" s="50">
        <f>IF(AND(Option_Sys_TopUp&gt;="Y",H181&gt;=sytp,H181&lt;=(dtp+sytp-1),F181=0,H181&lt;=ppt+1),atp,0)+IFERROR(VLOOKUP(H181,Input!$B$55:$C$61,2,0),0)*(F181=0)*(Option_TopUP="Y")*(Option_Sys_TopUp="N")*B181*(pt&gt;=H181+5)</f>
        <v>0</v>
      </c>
      <c r="AK181" s="50">
        <f t="shared" si="114"/>
        <v>0</v>
      </c>
      <c r="AL181" s="50">
        <f t="shared" si="135"/>
        <v>0</v>
      </c>
      <c r="AM181" s="50">
        <f t="shared" ca="1" si="115"/>
        <v>0</v>
      </c>
      <c r="AN181" s="50">
        <f ca="1">IF(B181=0,0,AT181*(_rpm1+(1+_emr1)*VLOOKUP(E181,Tab_Mort_Charge,IF(Input!$C$12="M",2,3),0))*(0.001*0.0833)*Flag_Mort_Rider_Charge*(AT181&gt;0))</f>
        <v>0</v>
      </c>
      <c r="AO181" s="50">
        <f t="shared" ca="1" si="136"/>
        <v>0</v>
      </c>
      <c r="AP181" s="50">
        <f t="shared" ca="1" si="143"/>
        <v>0</v>
      </c>
      <c r="AQ181" s="50">
        <f t="shared" ca="1" si="116"/>
        <v>0</v>
      </c>
      <c r="AR181" s="50">
        <f t="shared" ca="1" si="117"/>
        <v>0</v>
      </c>
      <c r="AS181" s="50">
        <f t="shared" si="118"/>
        <v>0</v>
      </c>
      <c r="AT181" s="50">
        <f ca="1">(MAX((MAX(AS181,105%*SUM($AJ$7:AJ181))-AM181*Flag_UL_Type),0)*B181)</f>
        <v>0</v>
      </c>
      <c r="AU181" s="50">
        <f ca="1">(MAX(AS181,AR181,105%*SUM($AJ$7:AJ181))*B181)</f>
        <v>0</v>
      </c>
      <c r="AV181" s="125"/>
      <c r="AW181" s="13"/>
      <c r="AX181" s="13"/>
      <c r="AY181" s="13"/>
      <c r="AZ181" s="13"/>
      <c r="BA181" s="13"/>
      <c r="BG181" s="51">
        <f t="shared" si="119"/>
        <v>0</v>
      </c>
      <c r="BH181" s="51">
        <f t="shared" ca="1" si="120"/>
        <v>0</v>
      </c>
      <c r="BI181" s="51">
        <f t="shared" ca="1" si="121"/>
        <v>0</v>
      </c>
      <c r="BJ181" s="51">
        <f t="shared" ca="1" si="122"/>
        <v>0</v>
      </c>
      <c r="BK181" s="51">
        <f t="shared" si="123"/>
        <v>90</v>
      </c>
      <c r="BL181" s="51">
        <f t="shared" ca="1" si="124"/>
        <v>976.44810675334099</v>
      </c>
      <c r="BM181" s="51">
        <f t="shared" si="125"/>
        <v>0</v>
      </c>
      <c r="BN181" s="51">
        <f t="shared" ca="1" si="126"/>
        <v>0</v>
      </c>
      <c r="BO181" s="51">
        <f t="shared" ca="1" si="127"/>
        <v>0</v>
      </c>
      <c r="BP181" s="51">
        <f t="shared" ca="1" si="128"/>
        <v>1066.4481067533411</v>
      </c>
      <c r="BQ181" s="120"/>
      <c r="BR181" s="32"/>
      <c r="BS181" s="126"/>
      <c r="BT181" s="16"/>
      <c r="BU181" s="58"/>
      <c r="BW181" s="51">
        <f>VLOOKUP(H181,Charges!$AT$4:$AU$33,2,FALSE)*I181</f>
        <v>0</v>
      </c>
      <c r="BX181" s="51">
        <f t="shared" si="129"/>
        <v>0</v>
      </c>
      <c r="BY181" s="51">
        <f t="shared" si="137"/>
        <v>0</v>
      </c>
      <c r="BZ181" s="151"/>
      <c r="CA181" s="151"/>
      <c r="CB181" s="32"/>
      <c r="CC181" s="16">
        <f ca="1">SUM($N$7:$N181)</f>
        <v>0</v>
      </c>
      <c r="CD181" s="16">
        <f t="shared" ca="1" si="130"/>
        <v>0</v>
      </c>
      <c r="CE181" s="16">
        <f t="shared" ca="1" si="131"/>
        <v>0</v>
      </c>
      <c r="CF181" s="7">
        <f t="shared" ca="1" si="138"/>
        <v>0</v>
      </c>
    </row>
    <row r="182" spans="1:84" s="7" customFormat="1" x14ac:dyDescent="0.2">
      <c r="A182" s="149"/>
      <c r="B182" s="14">
        <f t="shared" si="100"/>
        <v>1</v>
      </c>
      <c r="C182" s="12">
        <f t="shared" si="101"/>
        <v>1</v>
      </c>
      <c r="D182" s="17">
        <f t="shared" si="139"/>
        <v>176</v>
      </c>
      <c r="E182" s="17">
        <f t="shared" ca="1" si="102"/>
        <v>74</v>
      </c>
      <c r="F182" s="12">
        <f t="shared" si="141"/>
        <v>7</v>
      </c>
      <c r="G182" s="12">
        <f t="shared" si="140"/>
        <v>30</v>
      </c>
      <c r="H182" s="17">
        <f t="shared" si="142"/>
        <v>15</v>
      </c>
      <c r="I182" s="29">
        <f t="shared" si="103"/>
        <v>0</v>
      </c>
      <c r="J182" s="211">
        <f>IFERROR(VLOOKUP(H182,Charges!$T$6:$U$35,2,0)*C182,0)</f>
        <v>1</v>
      </c>
      <c r="K182" s="29">
        <f t="shared" si="104"/>
        <v>0</v>
      </c>
      <c r="L182" s="29">
        <f t="shared" si="105"/>
        <v>0</v>
      </c>
      <c r="M182" s="147">
        <f t="shared" ca="1" si="106"/>
        <v>0</v>
      </c>
      <c r="N182" s="148">
        <f ca="1">IF(AND(Option_SPW="Y",H182&gt;=Lock_In_Period,Z181&gt;SPW_Amount_pa+IF(option="Single",1/5*pr,2*pr),H182&gt;=SPW_Start_Year,H182&lt;=SPW_Start_Year+SPW_Duration-1,age+H182&gt;=Legal_Age),IF(AND(F182=0,SPW_Payout_Freq=1),SPW_Amount_pa,IF(AND(SPW_Payout_Freq=2,MOD(F182,6)=0),SPW_Amount_pa/SPW_Payout_Freq,IF(AND(SPW_Payout_Freq=4,MOD(F182,3)=0),SPW_Amount_pa/SPW_Payout_Freq,IF(SPW_Payout_Freq=12,SPW_Amount_pa/SPW_Payout_Freq,0)))),0)+IFERROR(VLOOKUP(H182,Input!$B$68:$C$74,2,0),0)*(F182=0)*(Option_PW="Y")*(Option_SPW="N")*(age+H182&gt;=Legal_Age)</f>
        <v>0</v>
      </c>
      <c r="O182" s="148">
        <f t="shared" ca="1" si="132"/>
        <v>0</v>
      </c>
      <c r="P182" s="14">
        <f ca="1">(MAX(MAX(sa-CF181*Flag_UL_Type,105%*SUM($I$7:I182))-(AD181+L182-N182)*Flag_UL_Type,0)*B182)</f>
        <v>0</v>
      </c>
      <c r="Q182" s="213">
        <f t="shared" ca="1" si="107"/>
        <v>0</v>
      </c>
      <c r="R182" s="14">
        <f t="shared" ca="1" si="108"/>
        <v>0</v>
      </c>
      <c r="S182" s="14">
        <f t="shared" ca="1" si="109"/>
        <v>0</v>
      </c>
      <c r="T182" s="14">
        <f>IFERROR(IF(WoP_Flag="Y",IF(fq=1,VLOOKUP(ppt*fq-H182,Charges!$AN$41:$AO$59,2,FALSE),IF(fq=2,VLOOKUP(ppt*fq-G182,Charges!$AP$41:$AQ$79,2,FALSE),VLOOKUP(ppt*fq-D182,Charges!$AR$41:$AS$279,2,FALSE)))*pr/fq,0),0)</f>
        <v>0</v>
      </c>
      <c r="U182" s="14">
        <f ca="1">IFERROR(((T182*(VLOOKUP(Input!$D$18+H182-1,Tab_Mort_Charge,IF(Gender_2="M",2,3),FALSE)*(1+_emr2)+_rpm2)/IF(Model_Type="LA_PQIS",1000/0.0833,(12*1000))))*Flag_Mort_Rider_Charge*(T182&gt;0),0)</f>
        <v>0</v>
      </c>
      <c r="V182" s="34">
        <f>ROUND(MIN(IF(H182&gt;=7,Charges!$C$12*(1+Charges!$C$14)^((H182-7+1)),VLOOKUP(H182,Charges!$B$7:$C$12,2,0))*pr,Charges!$C$13)*B182,Round)</f>
        <v>500</v>
      </c>
      <c r="W182" s="14">
        <f t="shared" ca="1" si="110"/>
        <v>4812352.0639215689</v>
      </c>
      <c r="X182" s="14">
        <f t="shared" ca="1" si="111"/>
        <v>4828106.4523191759</v>
      </c>
      <c r="Y182" s="213">
        <f t="shared" ca="1" si="133"/>
        <v>5434.5757015130066</v>
      </c>
      <c r="Z182" s="14">
        <f t="shared" ca="1" si="112"/>
        <v>4821693.6529913908</v>
      </c>
      <c r="AA182" s="14">
        <f>IF(AND($H182=pt,$F182=11),SUM($K$7:K182)*VLOOKUP(pt,ROC,2,FALSE),0)</f>
        <v>0</v>
      </c>
      <c r="AB182" s="14">
        <f>IF(AND($H182=pt,$F182=11),SUM($V$7:V182)*VLOOKUP(pt,ROC,2,FALSE),0)</f>
        <v>0</v>
      </c>
      <c r="AC182" s="14">
        <f>IF(AND($H182=pt,$F182=11),SUM($Q$7:Q182)*VLOOKUP(pt,ROC,2,FALSE),0)</f>
        <v>0</v>
      </c>
      <c r="AD182" s="14">
        <f t="shared" ca="1" si="134"/>
        <v>4821693.6529913908</v>
      </c>
      <c r="AE182" s="14">
        <f ca="1">(MAX(sa-CF181*Flag_UL_Type,105%*SUM($I$7:I182),Z182)+AU182)*B182</f>
        <v>4821693.6529913908</v>
      </c>
      <c r="AF182" s="136"/>
      <c r="AG182" s="18">
        <v>176</v>
      </c>
      <c r="AH182" s="30">
        <f t="shared" ca="1" si="113"/>
        <v>0</v>
      </c>
      <c r="AI182" s="58"/>
      <c r="AJ182" s="50">
        <f>IF(AND(Option_Sys_TopUp&gt;="Y",H182&gt;=sytp,H182&lt;=(dtp+sytp-1),F182=0,H182&lt;=ppt+1),atp,0)+IFERROR(VLOOKUP(H182,Input!$B$55:$C$61,2,0),0)*(F182=0)*(Option_TopUP="Y")*(Option_Sys_TopUp="N")*B182*(pt&gt;=H182+5)</f>
        <v>0</v>
      </c>
      <c r="AK182" s="50">
        <f t="shared" si="114"/>
        <v>0</v>
      </c>
      <c r="AL182" s="50">
        <f t="shared" si="135"/>
        <v>0</v>
      </c>
      <c r="AM182" s="50">
        <f t="shared" ca="1" si="115"/>
        <v>0</v>
      </c>
      <c r="AN182" s="50">
        <f ca="1">IF(B182=0,0,AT182*(_rpm1+(1+_emr1)*VLOOKUP(E182,Tab_Mort_Charge,IF(Input!$C$12="M",2,3),0))*(0.001*0.0833)*Flag_Mort_Rider_Charge*(AT182&gt;0))</f>
        <v>0</v>
      </c>
      <c r="AO182" s="50">
        <f t="shared" ca="1" si="136"/>
        <v>0</v>
      </c>
      <c r="AP182" s="50">
        <f t="shared" ca="1" si="143"/>
        <v>0</v>
      </c>
      <c r="AQ182" s="50">
        <f t="shared" ca="1" si="116"/>
        <v>0</v>
      </c>
      <c r="AR182" s="50">
        <f t="shared" ca="1" si="117"/>
        <v>0</v>
      </c>
      <c r="AS182" s="50">
        <f t="shared" si="118"/>
        <v>0</v>
      </c>
      <c r="AT182" s="50">
        <f ca="1">(MAX((MAX(AS182,105%*SUM($AJ$7:AJ182))-AM182*Flag_UL_Type),0)*B182)</f>
        <v>0</v>
      </c>
      <c r="AU182" s="50">
        <f ca="1">(MAX(AS182,AR182,105%*SUM($AJ$7:AJ182))*B182)</f>
        <v>0</v>
      </c>
      <c r="AV182" s="125"/>
      <c r="AW182" s="13"/>
      <c r="AX182" s="13"/>
      <c r="AY182" s="13"/>
      <c r="AZ182" s="13"/>
      <c r="BA182" s="13"/>
      <c r="BG182" s="51">
        <f t="shared" si="119"/>
        <v>0</v>
      </c>
      <c r="BH182" s="51">
        <f t="shared" ca="1" si="120"/>
        <v>0</v>
      </c>
      <c r="BI182" s="51">
        <f t="shared" ca="1" si="121"/>
        <v>0</v>
      </c>
      <c r="BJ182" s="51">
        <f t="shared" ca="1" si="122"/>
        <v>0</v>
      </c>
      <c r="BK182" s="51">
        <f t="shared" si="123"/>
        <v>90</v>
      </c>
      <c r="BL182" s="51">
        <f t="shared" ca="1" si="124"/>
        <v>978.22362627234111</v>
      </c>
      <c r="BM182" s="51">
        <f t="shared" si="125"/>
        <v>0</v>
      </c>
      <c r="BN182" s="51">
        <f t="shared" ca="1" si="126"/>
        <v>0</v>
      </c>
      <c r="BO182" s="51">
        <f t="shared" ca="1" si="127"/>
        <v>0</v>
      </c>
      <c r="BP182" s="51">
        <f t="shared" ca="1" si="128"/>
        <v>1068.2236262723411</v>
      </c>
      <c r="BQ182" s="120"/>
      <c r="BR182" s="32"/>
      <c r="BS182" s="126"/>
      <c r="BT182" s="16"/>
      <c r="BU182" s="58"/>
      <c r="BW182" s="51">
        <f>VLOOKUP(H182,Charges!$AT$4:$AU$33,2,FALSE)*I182</f>
        <v>0</v>
      </c>
      <c r="BX182" s="51">
        <f t="shared" si="129"/>
        <v>0</v>
      </c>
      <c r="BY182" s="51">
        <f t="shared" si="137"/>
        <v>0</v>
      </c>
      <c r="BZ182" s="151"/>
      <c r="CA182" s="151"/>
      <c r="CB182" s="32"/>
      <c r="CC182" s="16">
        <f ca="1">SUM($N$7:$N182)</f>
        <v>0</v>
      </c>
      <c r="CD182" s="16">
        <f t="shared" ca="1" si="130"/>
        <v>0</v>
      </c>
      <c r="CE182" s="16">
        <f t="shared" ca="1" si="131"/>
        <v>0</v>
      </c>
      <c r="CF182" s="7">
        <f t="shared" ca="1" si="138"/>
        <v>0</v>
      </c>
    </row>
    <row r="183" spans="1:84" s="7" customFormat="1" x14ac:dyDescent="0.2">
      <c r="A183" s="149"/>
      <c r="B183" s="14">
        <f t="shared" si="100"/>
        <v>1</v>
      </c>
      <c r="C183" s="12">
        <f t="shared" si="101"/>
        <v>1</v>
      </c>
      <c r="D183" s="17">
        <f t="shared" si="139"/>
        <v>177</v>
      </c>
      <c r="E183" s="17">
        <f t="shared" ca="1" si="102"/>
        <v>74</v>
      </c>
      <c r="F183" s="12">
        <f t="shared" si="141"/>
        <v>8</v>
      </c>
      <c r="G183" s="12">
        <f t="shared" si="140"/>
        <v>30</v>
      </c>
      <c r="H183" s="17">
        <f t="shared" si="142"/>
        <v>15</v>
      </c>
      <c r="I183" s="29">
        <f t="shared" si="103"/>
        <v>0</v>
      </c>
      <c r="J183" s="211">
        <f>IFERROR(VLOOKUP(H183,Charges!$T$6:$U$35,2,0)*C183,0)</f>
        <v>1</v>
      </c>
      <c r="K183" s="29">
        <f t="shared" si="104"/>
        <v>0</v>
      </c>
      <c r="L183" s="29">
        <f t="shared" si="105"/>
        <v>0</v>
      </c>
      <c r="M183" s="147">
        <f t="shared" ca="1" si="106"/>
        <v>0</v>
      </c>
      <c r="N183" s="148">
        <f ca="1">IF(AND(Option_SPW="Y",H183&gt;=Lock_In_Period,Z182&gt;SPW_Amount_pa+IF(option="Single",1/5*pr,2*pr),H183&gt;=SPW_Start_Year,H183&lt;=SPW_Start_Year+SPW_Duration-1,age+H183&gt;=Legal_Age),IF(AND(F183=0,SPW_Payout_Freq=1),SPW_Amount_pa,IF(AND(SPW_Payout_Freq=2,MOD(F183,6)=0),SPW_Amount_pa/SPW_Payout_Freq,IF(AND(SPW_Payout_Freq=4,MOD(F183,3)=0),SPW_Amount_pa/SPW_Payout_Freq,IF(SPW_Payout_Freq=12,SPW_Amount_pa/SPW_Payout_Freq,0)))),0)+IFERROR(VLOOKUP(H183,Input!$B$68:$C$74,2,0),0)*(F183=0)*(Option_PW="Y")*(Option_SPW="N")*(age+H183&gt;=Legal_Age)</f>
        <v>0</v>
      </c>
      <c r="O183" s="148">
        <f t="shared" ca="1" si="132"/>
        <v>0</v>
      </c>
      <c r="P183" s="14">
        <f ca="1">(MAX(MAX(sa-CF182*Flag_UL_Type,105%*SUM($I$7:I183))-(AD182+L183-N183)*Flag_UL_Type,0)*B183)</f>
        <v>0</v>
      </c>
      <c r="Q183" s="213">
        <f t="shared" ca="1" si="107"/>
        <v>0</v>
      </c>
      <c r="R183" s="14">
        <f t="shared" ca="1" si="108"/>
        <v>0</v>
      </c>
      <c r="S183" s="14">
        <f t="shared" ca="1" si="109"/>
        <v>0</v>
      </c>
      <c r="T183" s="14">
        <f>IFERROR(IF(WoP_Flag="Y",IF(fq=1,VLOOKUP(ppt*fq-H183,Charges!$AN$41:$AO$59,2,FALSE),IF(fq=2,VLOOKUP(ppt*fq-G183,Charges!$AP$41:$AQ$79,2,FALSE),VLOOKUP(ppt*fq-D183,Charges!$AR$41:$AS$279,2,FALSE)))*pr/fq,0),0)</f>
        <v>0</v>
      </c>
      <c r="U183" s="14">
        <f ca="1">IFERROR(((T183*(VLOOKUP(Input!$D$18+H183-1,Tab_Mort_Charge,IF(Gender_2="M",2,3),FALSE)*(1+_emr2)+_rpm2)/IF(Model_Type="LA_PQIS",1000/0.0833,(12*1000))))*Flag_Mort_Rider_Charge*(T183&gt;0),0)</f>
        <v>0</v>
      </c>
      <c r="V183" s="34">
        <f>ROUND(MIN(IF(H183&gt;=7,Charges!$C$12*(1+Charges!$C$14)^((H183-7+1)),VLOOKUP(H183,Charges!$B$7:$C$12,2,0))*pr,Charges!$C$13)*B183,Round)</f>
        <v>500</v>
      </c>
      <c r="W183" s="14">
        <f t="shared" ca="1" si="110"/>
        <v>4821103.6529913908</v>
      </c>
      <c r="X183" s="14">
        <f t="shared" ca="1" si="111"/>
        <v>4836886.6918142932</v>
      </c>
      <c r="Y183" s="213">
        <f t="shared" ca="1" si="133"/>
        <v>5444.4588465274892</v>
      </c>
      <c r="Z183" s="14">
        <f t="shared" ca="1" si="112"/>
        <v>4830462.2303753905</v>
      </c>
      <c r="AA183" s="14">
        <f>IF(AND($H183=pt,$F183=11),SUM($K$7:K183)*VLOOKUP(pt,ROC,2,FALSE),0)</f>
        <v>0</v>
      </c>
      <c r="AB183" s="14">
        <f>IF(AND($H183=pt,$F183=11),SUM($V$7:V183)*VLOOKUP(pt,ROC,2,FALSE),0)</f>
        <v>0</v>
      </c>
      <c r="AC183" s="14">
        <f>IF(AND($H183=pt,$F183=11),SUM($Q$7:Q183)*VLOOKUP(pt,ROC,2,FALSE),0)</f>
        <v>0</v>
      </c>
      <c r="AD183" s="14">
        <f t="shared" ca="1" si="134"/>
        <v>4830462.2303753905</v>
      </c>
      <c r="AE183" s="14">
        <f ca="1">(MAX(sa-CF182*Flag_UL_Type,105%*SUM($I$7:I183),Z183)+AU183)*B183</f>
        <v>4830462.2303753905</v>
      </c>
      <c r="AF183" s="136"/>
      <c r="AG183" s="18">
        <v>177</v>
      </c>
      <c r="AH183" s="30">
        <f t="shared" ca="1" si="113"/>
        <v>0</v>
      </c>
      <c r="AI183" s="58"/>
      <c r="AJ183" s="50">
        <f>IF(AND(Option_Sys_TopUp&gt;="Y",H183&gt;=sytp,H183&lt;=(dtp+sytp-1),F183=0,H183&lt;=ppt+1),atp,0)+IFERROR(VLOOKUP(H183,Input!$B$55:$C$61,2,0),0)*(F183=0)*(Option_TopUP="Y")*(Option_Sys_TopUp="N")*B183*(pt&gt;=H183+5)</f>
        <v>0</v>
      </c>
      <c r="AK183" s="50">
        <f t="shared" si="114"/>
        <v>0</v>
      </c>
      <c r="AL183" s="50">
        <f t="shared" si="135"/>
        <v>0</v>
      </c>
      <c r="AM183" s="50">
        <f t="shared" ca="1" si="115"/>
        <v>0</v>
      </c>
      <c r="AN183" s="50">
        <f ca="1">IF(B183=0,0,AT183*(_rpm1+(1+_emr1)*VLOOKUP(E183,Tab_Mort_Charge,IF(Input!$C$12="M",2,3),0))*(0.001*0.0833)*Flag_Mort_Rider_Charge*(AT183&gt;0))</f>
        <v>0</v>
      </c>
      <c r="AO183" s="50">
        <f t="shared" ca="1" si="136"/>
        <v>0</v>
      </c>
      <c r="AP183" s="50">
        <f t="shared" ca="1" si="143"/>
        <v>0</v>
      </c>
      <c r="AQ183" s="50">
        <f t="shared" ca="1" si="116"/>
        <v>0</v>
      </c>
      <c r="AR183" s="50">
        <f t="shared" ca="1" si="117"/>
        <v>0</v>
      </c>
      <c r="AS183" s="50">
        <f t="shared" si="118"/>
        <v>0</v>
      </c>
      <c r="AT183" s="50">
        <f ca="1">(MAX((MAX(AS183,105%*SUM($AJ$7:AJ183))-AM183*Flag_UL_Type),0)*B183)</f>
        <v>0</v>
      </c>
      <c r="AU183" s="50">
        <f ca="1">(MAX(AS183,AR183,105%*SUM($AJ$7:AJ183))*B183)</f>
        <v>0</v>
      </c>
      <c r="AV183" s="125"/>
      <c r="AW183" s="13"/>
      <c r="AX183" s="13"/>
      <c r="AY183" s="13"/>
      <c r="AZ183" s="13"/>
      <c r="BA183" s="13"/>
      <c r="BG183" s="51">
        <f t="shared" si="119"/>
        <v>0</v>
      </c>
      <c r="BH183" s="51">
        <f t="shared" ca="1" si="120"/>
        <v>0</v>
      </c>
      <c r="BI183" s="51">
        <f t="shared" ca="1" si="121"/>
        <v>0</v>
      </c>
      <c r="BJ183" s="51">
        <f t="shared" ca="1" si="122"/>
        <v>0</v>
      </c>
      <c r="BK183" s="51">
        <f t="shared" si="123"/>
        <v>90</v>
      </c>
      <c r="BL183" s="51">
        <f t="shared" ca="1" si="124"/>
        <v>980.00259237494799</v>
      </c>
      <c r="BM183" s="51">
        <f t="shared" si="125"/>
        <v>0</v>
      </c>
      <c r="BN183" s="51">
        <f t="shared" ca="1" si="126"/>
        <v>0</v>
      </c>
      <c r="BO183" s="51">
        <f t="shared" ca="1" si="127"/>
        <v>0</v>
      </c>
      <c r="BP183" s="51">
        <f t="shared" ca="1" si="128"/>
        <v>1070.0025923749481</v>
      </c>
      <c r="BQ183" s="120"/>
      <c r="BR183" s="32"/>
      <c r="BS183" s="126"/>
      <c r="BT183" s="16"/>
      <c r="BU183" s="58"/>
      <c r="BW183" s="51">
        <f>VLOOKUP(H183,Charges!$AT$4:$AU$33,2,FALSE)*I183</f>
        <v>0</v>
      </c>
      <c r="BX183" s="51">
        <f t="shared" si="129"/>
        <v>0</v>
      </c>
      <c r="BY183" s="51">
        <f t="shared" si="137"/>
        <v>0</v>
      </c>
      <c r="BZ183" s="151"/>
      <c r="CA183" s="151"/>
      <c r="CB183" s="32"/>
      <c r="CC183" s="16">
        <f ca="1">SUM($N$7:$N183)</f>
        <v>0</v>
      </c>
      <c r="CD183" s="16">
        <f t="shared" ca="1" si="130"/>
        <v>0</v>
      </c>
      <c r="CE183" s="16">
        <f t="shared" ca="1" si="131"/>
        <v>0</v>
      </c>
      <c r="CF183" s="7">
        <f t="shared" ca="1" si="138"/>
        <v>0</v>
      </c>
    </row>
    <row r="184" spans="1:84" s="7" customFormat="1" x14ac:dyDescent="0.2">
      <c r="A184" s="149"/>
      <c r="B184" s="14">
        <f t="shared" si="100"/>
        <v>1</v>
      </c>
      <c r="C184" s="12">
        <f t="shared" si="101"/>
        <v>1</v>
      </c>
      <c r="D184" s="17">
        <f t="shared" si="139"/>
        <v>178</v>
      </c>
      <c r="E184" s="17">
        <f t="shared" ca="1" si="102"/>
        <v>74</v>
      </c>
      <c r="F184" s="12">
        <f t="shared" si="141"/>
        <v>9</v>
      </c>
      <c r="G184" s="12">
        <f t="shared" si="140"/>
        <v>30</v>
      </c>
      <c r="H184" s="17">
        <f t="shared" si="142"/>
        <v>15</v>
      </c>
      <c r="I184" s="29">
        <f t="shared" si="103"/>
        <v>0</v>
      </c>
      <c r="J184" s="211">
        <f>IFERROR(VLOOKUP(H184,Charges!$T$6:$U$35,2,0)*C184,0)</f>
        <v>1</v>
      </c>
      <c r="K184" s="29">
        <f t="shared" si="104"/>
        <v>0</v>
      </c>
      <c r="L184" s="29">
        <f t="shared" si="105"/>
        <v>0</v>
      </c>
      <c r="M184" s="147">
        <f t="shared" ca="1" si="106"/>
        <v>0</v>
      </c>
      <c r="N184" s="148">
        <f ca="1">IF(AND(Option_SPW="Y",H184&gt;=Lock_In_Period,Z183&gt;SPW_Amount_pa+IF(option="Single",1/5*pr,2*pr),H184&gt;=SPW_Start_Year,H184&lt;=SPW_Start_Year+SPW_Duration-1,age+H184&gt;=Legal_Age),IF(AND(F184=0,SPW_Payout_Freq=1),SPW_Amount_pa,IF(AND(SPW_Payout_Freq=2,MOD(F184,6)=0),SPW_Amount_pa/SPW_Payout_Freq,IF(AND(SPW_Payout_Freq=4,MOD(F184,3)=0),SPW_Amount_pa/SPW_Payout_Freq,IF(SPW_Payout_Freq=12,SPW_Amount_pa/SPW_Payout_Freq,0)))),0)+IFERROR(VLOOKUP(H184,Input!$B$68:$C$74,2,0),0)*(F184=0)*(Option_PW="Y")*(Option_SPW="N")*(age+H184&gt;=Legal_Age)</f>
        <v>0</v>
      </c>
      <c r="O184" s="148">
        <f t="shared" ca="1" si="132"/>
        <v>0</v>
      </c>
      <c r="P184" s="14">
        <f ca="1">(MAX(MAX(sa-CF183*Flag_UL_Type,105%*SUM($I$7:I184))-(AD183+L184-N184)*Flag_UL_Type,0)*B184)</f>
        <v>0</v>
      </c>
      <c r="Q184" s="213">
        <f t="shared" ca="1" si="107"/>
        <v>0</v>
      </c>
      <c r="R184" s="14">
        <f t="shared" ca="1" si="108"/>
        <v>0</v>
      </c>
      <c r="S184" s="14">
        <f t="shared" ca="1" si="109"/>
        <v>0</v>
      </c>
      <c r="T184" s="14">
        <f>IFERROR(IF(WoP_Flag="Y",IF(fq=1,VLOOKUP(ppt*fq-H184,Charges!$AN$41:$AO$59,2,FALSE),IF(fq=2,VLOOKUP(ppt*fq-G184,Charges!$AP$41:$AQ$79,2,FALSE),VLOOKUP(ppt*fq-D184,Charges!$AR$41:$AS$279,2,FALSE)))*pr/fq,0),0)</f>
        <v>0</v>
      </c>
      <c r="U184" s="14">
        <f ca="1">IFERROR(((T184*(VLOOKUP(Input!$D$18+H184-1,Tab_Mort_Charge,IF(Gender_2="M",2,3),FALSE)*(1+_emr2)+_rpm2)/IF(Model_Type="LA_PQIS",1000/0.0833,(12*1000))))*Flag_Mort_Rider_Charge*(T184&gt;0),0)</f>
        <v>0</v>
      </c>
      <c r="V184" s="34">
        <f>ROUND(MIN(IF(H184&gt;=7,Charges!$C$12*(1+Charges!$C$14)^((H184-7+1)),VLOOKUP(H184,Charges!$B$7:$C$12,2,0))*pr,Charges!$C$13)*B184,Round)</f>
        <v>500</v>
      </c>
      <c r="W184" s="14">
        <f t="shared" ca="1" si="110"/>
        <v>4829872.2303753905</v>
      </c>
      <c r="X184" s="14">
        <f t="shared" ca="1" si="111"/>
        <v>4845683.9752389081</v>
      </c>
      <c r="Y184" s="213">
        <f t="shared" ca="1" si="133"/>
        <v>5454.3611763975714</v>
      </c>
      <c r="Z184" s="14">
        <f t="shared" ca="1" si="112"/>
        <v>4839247.8290507589</v>
      </c>
      <c r="AA184" s="14">
        <f>IF(AND($H184=pt,$F184=11),SUM($K$7:K184)*VLOOKUP(pt,ROC,2,FALSE),0)</f>
        <v>0</v>
      </c>
      <c r="AB184" s="14">
        <f>IF(AND($H184=pt,$F184=11),SUM($V$7:V184)*VLOOKUP(pt,ROC,2,FALSE),0)</f>
        <v>0</v>
      </c>
      <c r="AC184" s="14">
        <f>IF(AND($H184=pt,$F184=11),SUM($Q$7:Q184)*VLOOKUP(pt,ROC,2,FALSE),0)</f>
        <v>0</v>
      </c>
      <c r="AD184" s="14">
        <f t="shared" ca="1" si="134"/>
        <v>4839247.8290507589</v>
      </c>
      <c r="AE184" s="14">
        <f ca="1">(MAX(sa-CF183*Flag_UL_Type,105%*SUM($I$7:I184),Z184)+AU184)*B184</f>
        <v>4839247.8290507589</v>
      </c>
      <c r="AF184" s="136"/>
      <c r="AG184" s="18">
        <v>178</v>
      </c>
      <c r="AH184" s="30">
        <f t="shared" ca="1" si="113"/>
        <v>0</v>
      </c>
      <c r="AI184" s="58"/>
      <c r="AJ184" s="50">
        <f>IF(AND(Option_Sys_TopUp&gt;="Y",H184&gt;=sytp,H184&lt;=(dtp+sytp-1),F184=0,H184&lt;=ppt+1),atp,0)+IFERROR(VLOOKUP(H184,Input!$B$55:$C$61,2,0),0)*(F184=0)*(Option_TopUP="Y")*(Option_Sys_TopUp="N")*B184*(pt&gt;=H184+5)</f>
        <v>0</v>
      </c>
      <c r="AK184" s="50">
        <f t="shared" si="114"/>
        <v>0</v>
      </c>
      <c r="AL184" s="50">
        <f t="shared" si="135"/>
        <v>0</v>
      </c>
      <c r="AM184" s="50">
        <f t="shared" ca="1" si="115"/>
        <v>0</v>
      </c>
      <c r="AN184" s="50">
        <f ca="1">IF(B184=0,0,AT184*(_rpm1+(1+_emr1)*VLOOKUP(E184,Tab_Mort_Charge,IF(Input!$C$12="M",2,3),0))*(0.001*0.0833)*Flag_Mort_Rider_Charge*(AT184&gt;0))</f>
        <v>0</v>
      </c>
      <c r="AO184" s="50">
        <f t="shared" ca="1" si="136"/>
        <v>0</v>
      </c>
      <c r="AP184" s="50">
        <f t="shared" ca="1" si="143"/>
        <v>0</v>
      </c>
      <c r="AQ184" s="50">
        <f t="shared" ca="1" si="116"/>
        <v>0</v>
      </c>
      <c r="AR184" s="50">
        <f t="shared" ca="1" si="117"/>
        <v>0</v>
      </c>
      <c r="AS184" s="50">
        <f t="shared" si="118"/>
        <v>0</v>
      </c>
      <c r="AT184" s="50">
        <f ca="1">(MAX((MAX(AS184,105%*SUM($AJ$7:AJ184))-AM184*Flag_UL_Type),0)*B184)</f>
        <v>0</v>
      </c>
      <c r="AU184" s="50">
        <f ca="1">(MAX(AS184,AR184,105%*SUM($AJ$7:AJ184))*B184)</f>
        <v>0</v>
      </c>
      <c r="AV184" s="125"/>
      <c r="AW184" s="13"/>
      <c r="AX184" s="13"/>
      <c r="AY184" s="13"/>
      <c r="AZ184" s="13"/>
      <c r="BA184" s="13"/>
      <c r="BG184" s="51">
        <f t="shared" si="119"/>
        <v>0</v>
      </c>
      <c r="BH184" s="51">
        <f t="shared" ca="1" si="120"/>
        <v>0</v>
      </c>
      <c r="BI184" s="51">
        <f t="shared" ca="1" si="121"/>
        <v>0</v>
      </c>
      <c r="BJ184" s="51">
        <f t="shared" ca="1" si="122"/>
        <v>0</v>
      </c>
      <c r="BK184" s="51">
        <f t="shared" si="123"/>
        <v>90</v>
      </c>
      <c r="BL184" s="51">
        <f t="shared" ca="1" si="124"/>
        <v>981.78501175156282</v>
      </c>
      <c r="BM184" s="51">
        <f t="shared" si="125"/>
        <v>0</v>
      </c>
      <c r="BN184" s="51">
        <f t="shared" ca="1" si="126"/>
        <v>0</v>
      </c>
      <c r="BO184" s="51">
        <f t="shared" ca="1" si="127"/>
        <v>0</v>
      </c>
      <c r="BP184" s="51">
        <f t="shared" ca="1" si="128"/>
        <v>1071.7850117515627</v>
      </c>
      <c r="BQ184" s="120"/>
      <c r="BR184" s="32"/>
      <c r="BS184" s="126"/>
      <c r="BT184" s="16"/>
      <c r="BU184" s="58"/>
      <c r="BW184" s="51">
        <f>VLOOKUP(H184,Charges!$AT$4:$AU$33,2,FALSE)*I184</f>
        <v>0</v>
      </c>
      <c r="BX184" s="51">
        <f t="shared" si="129"/>
        <v>0</v>
      </c>
      <c r="BY184" s="51">
        <f t="shared" si="137"/>
        <v>0</v>
      </c>
      <c r="BZ184" s="151"/>
      <c r="CA184" s="151"/>
      <c r="CB184" s="32"/>
      <c r="CC184" s="16">
        <f ca="1">SUM($N$7:$N184)</f>
        <v>0</v>
      </c>
      <c r="CD184" s="16">
        <f t="shared" ca="1" si="130"/>
        <v>0</v>
      </c>
      <c r="CE184" s="16">
        <f t="shared" ca="1" si="131"/>
        <v>0</v>
      </c>
      <c r="CF184" s="7">
        <f t="shared" ca="1" si="138"/>
        <v>0</v>
      </c>
    </row>
    <row r="185" spans="1:84" s="7" customFormat="1" x14ac:dyDescent="0.2">
      <c r="A185" s="149"/>
      <c r="B185" s="14">
        <f t="shared" si="100"/>
        <v>1</v>
      </c>
      <c r="C185" s="12">
        <f t="shared" si="101"/>
        <v>1</v>
      </c>
      <c r="D185" s="17">
        <f t="shared" si="139"/>
        <v>179</v>
      </c>
      <c r="E185" s="17">
        <f t="shared" ca="1" si="102"/>
        <v>74</v>
      </c>
      <c r="F185" s="12">
        <f t="shared" si="141"/>
        <v>10</v>
      </c>
      <c r="G185" s="12">
        <f t="shared" si="140"/>
        <v>30</v>
      </c>
      <c r="H185" s="17">
        <f t="shared" si="142"/>
        <v>15</v>
      </c>
      <c r="I185" s="29">
        <f t="shared" si="103"/>
        <v>0</v>
      </c>
      <c r="J185" s="211">
        <f>IFERROR(VLOOKUP(H185,Charges!$T$6:$U$35,2,0)*C185,0)</f>
        <v>1</v>
      </c>
      <c r="K185" s="29">
        <f t="shared" si="104"/>
        <v>0</v>
      </c>
      <c r="L185" s="29">
        <f t="shared" si="105"/>
        <v>0</v>
      </c>
      <c r="M185" s="147">
        <f t="shared" ca="1" si="106"/>
        <v>0</v>
      </c>
      <c r="N185" s="148">
        <f ca="1">IF(AND(Option_SPW="Y",H185&gt;=Lock_In_Period,Z184&gt;SPW_Amount_pa+IF(option="Single",1/5*pr,2*pr),H185&gt;=SPW_Start_Year,H185&lt;=SPW_Start_Year+SPW_Duration-1,age+H185&gt;=Legal_Age),IF(AND(F185=0,SPW_Payout_Freq=1),SPW_Amount_pa,IF(AND(SPW_Payout_Freq=2,MOD(F185,6)=0),SPW_Amount_pa/SPW_Payout_Freq,IF(AND(SPW_Payout_Freq=4,MOD(F185,3)=0),SPW_Amount_pa/SPW_Payout_Freq,IF(SPW_Payout_Freq=12,SPW_Amount_pa/SPW_Payout_Freq,0)))),0)+IFERROR(VLOOKUP(H185,Input!$B$68:$C$74,2,0),0)*(F185=0)*(Option_PW="Y")*(Option_SPW="N")*(age+H185&gt;=Legal_Age)</f>
        <v>0</v>
      </c>
      <c r="O185" s="148">
        <f t="shared" ca="1" si="132"/>
        <v>0</v>
      </c>
      <c r="P185" s="14">
        <f ca="1">(MAX(MAX(sa-CF184*Flag_UL_Type,105%*SUM($I$7:I185))-(AD184+L185-N185)*Flag_UL_Type,0)*B185)</f>
        <v>0</v>
      </c>
      <c r="Q185" s="213">
        <f t="shared" ca="1" si="107"/>
        <v>0</v>
      </c>
      <c r="R185" s="14">
        <f t="shared" ca="1" si="108"/>
        <v>0</v>
      </c>
      <c r="S185" s="14">
        <f t="shared" ca="1" si="109"/>
        <v>0</v>
      </c>
      <c r="T185" s="14">
        <f>IFERROR(IF(WoP_Flag="Y",IF(fq=1,VLOOKUP(ppt*fq-H185,Charges!$AN$41:$AO$59,2,FALSE),IF(fq=2,VLOOKUP(ppt*fq-G185,Charges!$AP$41:$AQ$79,2,FALSE),VLOOKUP(ppt*fq-D185,Charges!$AR$41:$AS$279,2,FALSE)))*pr/fq,0),0)</f>
        <v>0</v>
      </c>
      <c r="U185" s="14">
        <f ca="1">IFERROR(((T185*(VLOOKUP(Input!$D$18+H185-1,Tab_Mort_Charge,IF(Gender_2="M",2,3),FALSE)*(1+_emr2)+_rpm2)/IF(Model_Type="LA_PQIS",1000/0.0833,(12*1000))))*Flag_Mort_Rider_Charge*(T185&gt;0),0)</f>
        <v>0</v>
      </c>
      <c r="V185" s="34">
        <f>ROUND(MIN(IF(H185&gt;=7,Charges!$C$12*(1+Charges!$C$14)^((H185-7+1)),VLOOKUP(H185,Charges!$B$7:$C$12,2,0))*pr,Charges!$C$13)*B185,Round)</f>
        <v>500</v>
      </c>
      <c r="W185" s="14">
        <f t="shared" ca="1" si="110"/>
        <v>4838657.8290507589</v>
      </c>
      <c r="X185" s="14">
        <f t="shared" ca="1" si="111"/>
        <v>4854498.3356781704</v>
      </c>
      <c r="Y185" s="213">
        <f t="shared" ca="1" si="133"/>
        <v>5464.2827283643019</v>
      </c>
      <c r="Z185" s="14">
        <f t="shared" ca="1" si="112"/>
        <v>4848050.4820587002</v>
      </c>
      <c r="AA185" s="14">
        <f>IF(AND($H185=pt,$F185=11),SUM($K$7:K185)*VLOOKUP(pt,ROC,2,FALSE),0)</f>
        <v>0</v>
      </c>
      <c r="AB185" s="14">
        <f>IF(AND($H185=pt,$F185=11),SUM($V$7:V185)*VLOOKUP(pt,ROC,2,FALSE),0)</f>
        <v>0</v>
      </c>
      <c r="AC185" s="14">
        <f>IF(AND($H185=pt,$F185=11),SUM($Q$7:Q185)*VLOOKUP(pt,ROC,2,FALSE),0)</f>
        <v>0</v>
      </c>
      <c r="AD185" s="14">
        <f t="shared" ca="1" si="134"/>
        <v>4848050.4820587002</v>
      </c>
      <c r="AE185" s="14">
        <f ca="1">(MAX(sa-CF184*Flag_UL_Type,105%*SUM($I$7:I185),Z185)+AU185)*B185</f>
        <v>4848050.4820587002</v>
      </c>
      <c r="AF185" s="136"/>
      <c r="AG185" s="18">
        <v>179</v>
      </c>
      <c r="AH185" s="30">
        <f t="shared" ca="1" si="113"/>
        <v>0</v>
      </c>
      <c r="AI185" s="58"/>
      <c r="AJ185" s="50">
        <f>IF(AND(Option_Sys_TopUp&gt;="Y",H185&gt;=sytp,H185&lt;=(dtp+sytp-1),F185=0,H185&lt;=ppt+1),atp,0)+IFERROR(VLOOKUP(H185,Input!$B$55:$C$61,2,0),0)*(F185=0)*(Option_TopUP="Y")*(Option_Sys_TopUp="N")*B185*(pt&gt;=H185+5)</f>
        <v>0</v>
      </c>
      <c r="AK185" s="50">
        <f t="shared" si="114"/>
        <v>0</v>
      </c>
      <c r="AL185" s="50">
        <f t="shared" si="135"/>
        <v>0</v>
      </c>
      <c r="AM185" s="50">
        <f t="shared" ca="1" si="115"/>
        <v>0</v>
      </c>
      <c r="AN185" s="50">
        <f ca="1">IF(B185=0,0,AT185*(_rpm1+(1+_emr1)*VLOOKUP(E185,Tab_Mort_Charge,IF(Input!$C$12="M",2,3),0))*(0.001*0.0833)*Flag_Mort_Rider_Charge*(AT185&gt;0))</f>
        <v>0</v>
      </c>
      <c r="AO185" s="50">
        <f t="shared" ca="1" si="136"/>
        <v>0</v>
      </c>
      <c r="AP185" s="50">
        <f t="shared" ca="1" si="143"/>
        <v>0</v>
      </c>
      <c r="AQ185" s="50">
        <f t="shared" ca="1" si="116"/>
        <v>0</v>
      </c>
      <c r="AR185" s="50">
        <f t="shared" ca="1" si="117"/>
        <v>0</v>
      </c>
      <c r="AS185" s="50">
        <f t="shared" si="118"/>
        <v>0</v>
      </c>
      <c r="AT185" s="50">
        <f ca="1">(MAX((MAX(AS185,105%*SUM($AJ$7:AJ185))-AM185*Flag_UL_Type),0)*B185)</f>
        <v>0</v>
      </c>
      <c r="AU185" s="50">
        <f ca="1">(MAX(AS185,AR185,105%*SUM($AJ$7:AJ185))*B185)</f>
        <v>0</v>
      </c>
      <c r="AV185" s="125"/>
      <c r="AW185" s="13"/>
      <c r="AX185" s="13"/>
      <c r="AY185" s="13"/>
      <c r="AZ185" s="13"/>
      <c r="BA185" s="13"/>
      <c r="BG185" s="51">
        <f t="shared" si="119"/>
        <v>0</v>
      </c>
      <c r="BH185" s="51">
        <f t="shared" ca="1" si="120"/>
        <v>0</v>
      </c>
      <c r="BI185" s="51">
        <f t="shared" ca="1" si="121"/>
        <v>0</v>
      </c>
      <c r="BJ185" s="51">
        <f t="shared" ca="1" si="122"/>
        <v>0</v>
      </c>
      <c r="BK185" s="51">
        <f t="shared" si="123"/>
        <v>90</v>
      </c>
      <c r="BL185" s="51">
        <f t="shared" ca="1" si="124"/>
        <v>983.57089110557433</v>
      </c>
      <c r="BM185" s="51">
        <f t="shared" si="125"/>
        <v>0</v>
      </c>
      <c r="BN185" s="51">
        <f t="shared" ca="1" si="126"/>
        <v>0</v>
      </c>
      <c r="BO185" s="51">
        <f t="shared" ca="1" si="127"/>
        <v>0</v>
      </c>
      <c r="BP185" s="51">
        <f t="shared" ca="1" si="128"/>
        <v>1073.5708911055744</v>
      </c>
      <c r="BQ185" s="120"/>
      <c r="BR185" s="32"/>
      <c r="BS185" s="126"/>
      <c r="BT185" s="16"/>
      <c r="BU185" s="58"/>
      <c r="BW185" s="51">
        <f>VLOOKUP(H185,Charges!$AT$4:$AU$33,2,FALSE)*I185</f>
        <v>0</v>
      </c>
      <c r="BX185" s="51">
        <f t="shared" si="129"/>
        <v>0</v>
      </c>
      <c r="BY185" s="51">
        <f t="shared" si="137"/>
        <v>0</v>
      </c>
      <c r="BZ185" s="151"/>
      <c r="CA185" s="151"/>
      <c r="CB185" s="32"/>
      <c r="CC185" s="16">
        <f ca="1">SUM($N$7:$N185)</f>
        <v>0</v>
      </c>
      <c r="CD185" s="16">
        <f t="shared" ca="1" si="130"/>
        <v>0</v>
      </c>
      <c r="CE185" s="16">
        <f t="shared" ca="1" si="131"/>
        <v>0</v>
      </c>
      <c r="CF185" s="7">
        <f t="shared" ca="1" si="138"/>
        <v>0</v>
      </c>
    </row>
    <row r="186" spans="1:84" s="7" customFormat="1" x14ac:dyDescent="0.2">
      <c r="A186" s="149"/>
      <c r="B186" s="14">
        <f t="shared" si="100"/>
        <v>1</v>
      </c>
      <c r="C186" s="12">
        <f t="shared" si="101"/>
        <v>1</v>
      </c>
      <c r="D186" s="17">
        <f t="shared" si="139"/>
        <v>180</v>
      </c>
      <c r="E186" s="17">
        <f t="shared" ca="1" si="102"/>
        <v>74</v>
      </c>
      <c r="F186" s="12">
        <f t="shared" si="141"/>
        <v>11</v>
      </c>
      <c r="G186" s="12">
        <f t="shared" si="140"/>
        <v>30</v>
      </c>
      <c r="H186" s="17">
        <f t="shared" si="142"/>
        <v>15</v>
      </c>
      <c r="I186" s="29">
        <f t="shared" si="103"/>
        <v>0</v>
      </c>
      <c r="J186" s="211">
        <f>IFERROR(VLOOKUP(H186,Charges!$T$6:$U$35,2,0)*C186,0)</f>
        <v>1</v>
      </c>
      <c r="K186" s="29">
        <f t="shared" si="104"/>
        <v>0</v>
      </c>
      <c r="L186" s="29">
        <f t="shared" si="105"/>
        <v>0</v>
      </c>
      <c r="M186" s="147">
        <f t="shared" ca="1" si="106"/>
        <v>0</v>
      </c>
      <c r="N186" s="148">
        <f ca="1">IF(AND(Option_SPW="Y",H186&gt;=Lock_In_Period,Z185&gt;SPW_Amount_pa+IF(option="Single",1/5*pr,2*pr),H186&gt;=SPW_Start_Year,H186&lt;=SPW_Start_Year+SPW_Duration-1,age+H186&gt;=Legal_Age),IF(AND(F186=0,SPW_Payout_Freq=1),SPW_Amount_pa,IF(AND(SPW_Payout_Freq=2,MOD(F186,6)=0),SPW_Amount_pa/SPW_Payout_Freq,IF(AND(SPW_Payout_Freq=4,MOD(F186,3)=0),SPW_Amount_pa/SPW_Payout_Freq,IF(SPW_Payout_Freq=12,SPW_Amount_pa/SPW_Payout_Freq,0)))),0)+IFERROR(VLOOKUP(H186,Input!$B$68:$C$74,2,0),0)*(F186=0)*(Option_PW="Y")*(Option_SPW="N")*(age+H186&gt;=Legal_Age)</f>
        <v>0</v>
      </c>
      <c r="O186" s="148">
        <f t="shared" ca="1" si="132"/>
        <v>0</v>
      </c>
      <c r="P186" s="14">
        <f ca="1">(MAX(MAX(sa-CF185*Flag_UL_Type,105%*SUM($I$7:I186))-(AD185+L186-N186)*Flag_UL_Type,0)*B186)</f>
        <v>0</v>
      </c>
      <c r="Q186" s="213">
        <f t="shared" ca="1" si="107"/>
        <v>0</v>
      </c>
      <c r="R186" s="14">
        <f t="shared" ca="1" si="108"/>
        <v>0</v>
      </c>
      <c r="S186" s="14">
        <f t="shared" ca="1" si="109"/>
        <v>0</v>
      </c>
      <c r="T186" s="14">
        <f>IFERROR(IF(WoP_Flag="Y",IF(fq=1,VLOOKUP(ppt*fq-H186,Charges!$AN$41:$AO$59,2,FALSE),IF(fq=2,VLOOKUP(ppt*fq-G186,Charges!$AP$41:$AQ$79,2,FALSE),VLOOKUP(ppt*fq-D186,Charges!$AR$41:$AS$279,2,FALSE)))*pr/fq,0),0)</f>
        <v>0</v>
      </c>
      <c r="U186" s="14">
        <f ca="1">IFERROR(((T186*(VLOOKUP(Input!$D$18+H186-1,Tab_Mort_Charge,IF(Gender_2="M",2,3),FALSE)*(1+_emr2)+_rpm2)/IF(Model_Type="LA_PQIS",1000/0.0833,(12*1000))))*Flag_Mort_Rider_Charge*(T186&gt;0),0)</f>
        <v>0</v>
      </c>
      <c r="V186" s="34">
        <f>ROUND(MIN(IF(H186&gt;=7,Charges!$C$12*(1+Charges!$C$14)^((H186-7+1)),VLOOKUP(H186,Charges!$B$7:$C$12,2,0))*pr,Charges!$C$13)*B186,Round)</f>
        <v>500</v>
      </c>
      <c r="W186" s="14">
        <f t="shared" ca="1" si="110"/>
        <v>4847460.4820587002</v>
      </c>
      <c r="X186" s="14">
        <f t="shared" ca="1" si="111"/>
        <v>4863329.806281453</v>
      </c>
      <c r="Y186" s="213">
        <f t="shared" ca="1" si="133"/>
        <v>5474.2235397410213</v>
      </c>
      <c r="Z186" s="14">
        <f t="shared" ca="1" si="112"/>
        <v>4856870.222504559</v>
      </c>
      <c r="AA186" s="14">
        <f>IF(AND($H186=pt,$F186=11),SUM($K$7:K186)*VLOOKUP(pt,ROC,2,FALSE),0)</f>
        <v>100650.00000000009</v>
      </c>
      <c r="AB186" s="14">
        <f>IF(AND($H186=pt,$F186=11),SUM($V$7:V186)*VLOOKUP(pt,ROC,2,FALSE),0)</f>
        <v>95700.000000000015</v>
      </c>
      <c r="AC186" s="14">
        <f ca="1">IF(AND($H186=pt,$F186=11),SUM($Q$7:Q186)*VLOOKUP(pt,ROC,2,FALSE),0)</f>
        <v>236827.53667099515</v>
      </c>
      <c r="AD186" s="14">
        <f t="shared" ca="1" si="134"/>
        <v>5290047.7591755539</v>
      </c>
      <c r="AE186" s="14">
        <f ca="1">(MAX(sa-CF185*Flag_UL_Type,105%*SUM($I$7:I186),Z186)+AU186)*B186</f>
        <v>4856870.222504559</v>
      </c>
      <c r="AF186" s="136"/>
      <c r="AG186" s="18">
        <v>180</v>
      </c>
      <c r="AH186" s="30">
        <f t="shared" ca="1" si="113"/>
        <v>0</v>
      </c>
      <c r="AI186" s="58"/>
      <c r="AJ186" s="50">
        <f>IF(AND(Option_Sys_TopUp&gt;="Y",H186&gt;=sytp,H186&lt;=(dtp+sytp-1),F186=0,H186&lt;=ppt+1),atp,0)+IFERROR(VLOOKUP(H186,Input!$B$55:$C$61,2,0),0)*(F186=0)*(Option_TopUP="Y")*(Option_Sys_TopUp="N")*B186*(pt&gt;=H186+5)</f>
        <v>0</v>
      </c>
      <c r="AK186" s="50">
        <f t="shared" si="114"/>
        <v>0</v>
      </c>
      <c r="AL186" s="50">
        <f t="shared" si="135"/>
        <v>0</v>
      </c>
      <c r="AM186" s="50">
        <f t="shared" ca="1" si="115"/>
        <v>0</v>
      </c>
      <c r="AN186" s="50">
        <f ca="1">IF(B186=0,0,AT186*(_rpm1+(1+_emr1)*VLOOKUP(E186,Tab_Mort_Charge,IF(Input!$C$12="M",2,3),0))*(0.001*0.0833)*Flag_Mort_Rider_Charge*(AT186&gt;0))</f>
        <v>0</v>
      </c>
      <c r="AO186" s="50">
        <f t="shared" ca="1" si="136"/>
        <v>0</v>
      </c>
      <c r="AP186" s="50">
        <f t="shared" ca="1" si="143"/>
        <v>0</v>
      </c>
      <c r="AQ186" s="50">
        <f t="shared" ca="1" si="116"/>
        <v>0</v>
      </c>
      <c r="AR186" s="50">
        <f t="shared" ca="1" si="117"/>
        <v>0</v>
      </c>
      <c r="AS186" s="50">
        <f t="shared" si="118"/>
        <v>0</v>
      </c>
      <c r="AT186" s="50">
        <f ca="1">(MAX((MAX(AS186,105%*SUM($AJ$7:AJ186))-AM186*Flag_UL_Type),0)*B186)</f>
        <v>0</v>
      </c>
      <c r="AU186" s="50">
        <f ca="1">(MAX(AS186,AR186,105%*SUM($AJ$7:AJ186))*B186)</f>
        <v>0</v>
      </c>
      <c r="AV186" s="125"/>
      <c r="AW186" s="13"/>
      <c r="AX186" s="13"/>
      <c r="AY186" s="13"/>
      <c r="AZ186" s="13"/>
      <c r="BA186" s="13"/>
      <c r="BG186" s="51">
        <f t="shared" si="119"/>
        <v>0</v>
      </c>
      <c r="BH186" s="51">
        <f t="shared" ca="1" si="120"/>
        <v>0</v>
      </c>
      <c r="BI186" s="51">
        <f t="shared" ca="1" si="121"/>
        <v>0</v>
      </c>
      <c r="BJ186" s="51">
        <f t="shared" ca="1" si="122"/>
        <v>0</v>
      </c>
      <c r="BK186" s="51">
        <f t="shared" si="123"/>
        <v>90</v>
      </c>
      <c r="BL186" s="51">
        <f t="shared" ca="1" si="124"/>
        <v>985.36023715338376</v>
      </c>
      <c r="BM186" s="51">
        <f t="shared" si="125"/>
        <v>0</v>
      </c>
      <c r="BN186" s="51">
        <f t="shared" ca="1" si="126"/>
        <v>0</v>
      </c>
      <c r="BO186" s="51">
        <f t="shared" ca="1" si="127"/>
        <v>0</v>
      </c>
      <c r="BP186" s="51">
        <f t="shared" ca="1" si="128"/>
        <v>1075.3602371533839</v>
      </c>
      <c r="BQ186" s="120"/>
      <c r="BR186" s="32"/>
      <c r="BS186" s="126"/>
      <c r="BT186" s="16"/>
      <c r="BU186" s="58"/>
      <c r="BW186" s="51">
        <f>VLOOKUP(H186,Charges!$AT$4:$AU$33,2,FALSE)*I186</f>
        <v>0</v>
      </c>
      <c r="BX186" s="51">
        <f t="shared" si="129"/>
        <v>0</v>
      </c>
      <c r="BY186" s="51">
        <f t="shared" si="137"/>
        <v>0</v>
      </c>
      <c r="BZ186" s="151"/>
      <c r="CA186" s="151"/>
      <c r="CB186" s="32"/>
      <c r="CC186" s="16">
        <f ca="1">SUM($N$7:$N186)</f>
        <v>0</v>
      </c>
      <c r="CD186" s="16">
        <f t="shared" ca="1" si="130"/>
        <v>0</v>
      </c>
      <c r="CE186" s="16">
        <f t="shared" ca="1" si="131"/>
        <v>0</v>
      </c>
      <c r="CF186" s="7">
        <f t="shared" ca="1" si="138"/>
        <v>0</v>
      </c>
    </row>
    <row r="187" spans="1:84" s="7" customFormat="1" x14ac:dyDescent="0.2">
      <c r="A187" s="149"/>
      <c r="B187" s="14">
        <f t="shared" si="100"/>
        <v>0</v>
      </c>
      <c r="C187" s="12">
        <f t="shared" si="101"/>
        <v>0</v>
      </c>
      <c r="D187" s="17">
        <f t="shared" si="139"/>
        <v>181</v>
      </c>
      <c r="E187" s="17">
        <f t="shared" ca="1" si="102"/>
        <v>75</v>
      </c>
      <c r="F187" s="12">
        <f t="shared" si="141"/>
        <v>0</v>
      </c>
      <c r="G187" s="12">
        <f t="shared" si="140"/>
        <v>31</v>
      </c>
      <c r="H187" s="17">
        <f t="shared" si="142"/>
        <v>16</v>
      </c>
      <c r="I187" s="29">
        <f t="shared" si="103"/>
        <v>0</v>
      </c>
      <c r="J187" s="211">
        <f>IFERROR(VLOOKUP(H187,Charges!$T$6:$U$35,2,0)*C187,0)</f>
        <v>0</v>
      </c>
      <c r="K187" s="29">
        <f t="shared" si="104"/>
        <v>0</v>
      </c>
      <c r="L187" s="29">
        <f t="shared" si="105"/>
        <v>0</v>
      </c>
      <c r="M187" s="147">
        <f t="shared" ca="1" si="106"/>
        <v>0</v>
      </c>
      <c r="N187" s="148">
        <f ca="1">IF(AND(Option_SPW="Y",H187&gt;=Lock_In_Period,Z186&gt;SPW_Amount_pa+IF(option="Single",1/5*pr,2*pr),H187&gt;=SPW_Start_Year,H187&lt;=SPW_Start_Year+SPW_Duration-1,age+H187&gt;=Legal_Age),IF(AND(F187=0,SPW_Payout_Freq=1),SPW_Amount_pa,IF(AND(SPW_Payout_Freq=2,MOD(F187,6)=0),SPW_Amount_pa/SPW_Payout_Freq,IF(AND(SPW_Payout_Freq=4,MOD(F187,3)=0),SPW_Amount_pa/SPW_Payout_Freq,IF(SPW_Payout_Freq=12,SPW_Amount_pa/SPW_Payout_Freq,0)))),0)+IFERROR(VLOOKUP(H187,Input!$B$68:$C$74,2,0),0)*(F187=0)*(Option_PW="Y")*(Option_SPW="N")*(age+H187&gt;=Legal_Age)</f>
        <v>0</v>
      </c>
      <c r="O187" s="148">
        <f t="shared" ca="1" si="132"/>
        <v>0</v>
      </c>
      <c r="P187" s="14">
        <f ca="1">(MAX(MAX(sa-CF186*Flag_UL_Type,105%*SUM($I$7:I187))-(AD186+L187-N187)*Flag_UL_Type,0)*B187)</f>
        <v>0</v>
      </c>
      <c r="Q187" s="213">
        <f t="shared" si="107"/>
        <v>0</v>
      </c>
      <c r="R187" s="14">
        <f t="shared" ca="1" si="108"/>
        <v>0</v>
      </c>
      <c r="S187" s="14">
        <f t="shared" ca="1" si="109"/>
        <v>0</v>
      </c>
      <c r="T187" s="14">
        <f>IFERROR(IF(WoP_Flag="Y",IF(fq=1,VLOOKUP(ppt*fq-H187,Charges!$AN$41:$AO$59,2,FALSE),IF(fq=2,VLOOKUP(ppt*fq-G187,Charges!$AP$41:$AQ$79,2,FALSE),VLOOKUP(ppt*fq-D187,Charges!$AR$41:$AS$279,2,FALSE)))*pr/fq,0),0)</f>
        <v>0</v>
      </c>
      <c r="U187" s="14">
        <f ca="1">IFERROR(((T187*(VLOOKUP(Input!$D$18+H187-1,Tab_Mort_Charge,IF(Gender_2="M",2,3),FALSE)*(1+_emr2)+_rpm2)/IF(Model_Type="LA_PQIS",1000/0.0833,(12*1000))))*Flag_Mort_Rider_Charge*(T187&gt;0),0)</f>
        <v>0</v>
      </c>
      <c r="V187" s="34">
        <f>ROUND(MIN(IF(H187&gt;=7,Charges!$C$12*(1+Charges!$C$14)^((H187-7+1)),VLOOKUP(H187,Charges!$B$7:$C$12,2,0))*pr,Charges!$C$13)*B187,Round)</f>
        <v>0</v>
      </c>
      <c r="W187" s="14">
        <f t="shared" ca="1" si="110"/>
        <v>0</v>
      </c>
      <c r="X187" s="14">
        <f t="shared" ca="1" si="111"/>
        <v>0</v>
      </c>
      <c r="Y187" s="213">
        <f t="shared" ca="1" si="133"/>
        <v>0</v>
      </c>
      <c r="Z187" s="14">
        <f t="shared" ca="1" si="112"/>
        <v>0</v>
      </c>
      <c r="AA187" s="14">
        <f>IF(AND($H187=pt,$F187=11),SUM($K$7:K187)*VLOOKUP(pt,ROC,2,FALSE),0)</f>
        <v>0</v>
      </c>
      <c r="AB187" s="14">
        <f>IF(AND($H187=pt,$F187=11),SUM($V$7:V187)*VLOOKUP(pt,ROC,2,FALSE),0)</f>
        <v>0</v>
      </c>
      <c r="AC187" s="14">
        <f>IF(AND($H187=pt,$F187=11),SUM($Q$7:Q187)*VLOOKUP(pt,ROC,2,FALSE),0)</f>
        <v>0</v>
      </c>
      <c r="AD187" s="14">
        <f t="shared" ca="1" si="134"/>
        <v>0</v>
      </c>
      <c r="AE187" s="14">
        <f ca="1">(MAX(sa-CF186*Flag_UL_Type,105%*SUM($I$7:I187),Z187)+AU187)*B187</f>
        <v>0</v>
      </c>
      <c r="AF187" s="136"/>
      <c r="AG187" s="18">
        <v>181</v>
      </c>
      <c r="AH187" s="30">
        <f t="shared" ca="1" si="113"/>
        <v>-5290047.7591755539</v>
      </c>
      <c r="AI187" s="58"/>
      <c r="AJ187" s="50">
        <f>IF(AND(Option_Sys_TopUp&gt;="Y",H187&gt;=sytp,H187&lt;=(dtp+sytp-1),F187=0,H187&lt;=ppt+1),atp,0)+IFERROR(VLOOKUP(H187,Input!$B$55:$C$61,2,0),0)*(F187=0)*(Option_TopUP="Y")*(Option_Sys_TopUp="N")*B187*(pt&gt;=H187+5)</f>
        <v>0</v>
      </c>
      <c r="AK187" s="50">
        <f t="shared" si="114"/>
        <v>0</v>
      </c>
      <c r="AL187" s="50">
        <f t="shared" si="135"/>
        <v>0</v>
      </c>
      <c r="AM187" s="50">
        <f t="shared" ca="1" si="115"/>
        <v>0</v>
      </c>
      <c r="AN187" s="50">
        <f>IF(B187=0,0,AT187*(_rpm1+(1+_emr1)*VLOOKUP(E187,Tab_Mort_Charge,IF(Input!$C$12="M",2,3),0))*(0.001*0.0833)*Flag_Mort_Rider_Charge*(AT187&gt;0))</f>
        <v>0</v>
      </c>
      <c r="AO187" s="50">
        <f t="shared" ca="1" si="136"/>
        <v>0</v>
      </c>
      <c r="AP187" s="50">
        <f t="shared" ca="1" si="143"/>
        <v>0</v>
      </c>
      <c r="AQ187" s="50">
        <f t="shared" ca="1" si="116"/>
        <v>0</v>
      </c>
      <c r="AR187" s="50">
        <f t="shared" ca="1" si="117"/>
        <v>0</v>
      </c>
      <c r="AS187" s="50">
        <f t="shared" si="118"/>
        <v>0</v>
      </c>
      <c r="AT187" s="50">
        <f ca="1">(MAX((MAX(AS187,105%*SUM($AJ$7:AJ187))-AM187*Flag_UL_Type),0)*B187)</f>
        <v>0</v>
      </c>
      <c r="AU187" s="50">
        <f ca="1">(MAX(AS187,AR187,105%*SUM($AJ$7:AJ187))*B187)</f>
        <v>0</v>
      </c>
      <c r="AV187" s="125"/>
      <c r="AW187" s="13"/>
      <c r="AX187" s="13"/>
      <c r="AY187" s="13"/>
      <c r="AZ187" s="13"/>
      <c r="BA187" s="13"/>
      <c r="BG187" s="51">
        <f t="shared" si="119"/>
        <v>0</v>
      </c>
      <c r="BH187" s="51">
        <f t="shared" si="120"/>
        <v>0</v>
      </c>
      <c r="BI187" s="51">
        <f t="shared" ca="1" si="121"/>
        <v>0</v>
      </c>
      <c r="BJ187" s="51">
        <f t="shared" ca="1" si="122"/>
        <v>0</v>
      </c>
      <c r="BK187" s="51">
        <f t="shared" si="123"/>
        <v>0</v>
      </c>
      <c r="BL187" s="51">
        <f t="shared" ca="1" si="124"/>
        <v>0</v>
      </c>
      <c r="BM187" s="51">
        <f t="shared" si="125"/>
        <v>0</v>
      </c>
      <c r="BN187" s="51">
        <f t="shared" si="126"/>
        <v>0</v>
      </c>
      <c r="BO187" s="51">
        <f t="shared" ca="1" si="127"/>
        <v>0</v>
      </c>
      <c r="BP187" s="51">
        <f t="shared" ca="1" si="128"/>
        <v>0</v>
      </c>
      <c r="BQ187" s="120"/>
      <c r="BR187" s="32"/>
      <c r="BS187" s="126"/>
      <c r="BT187" s="16"/>
      <c r="BU187" s="58"/>
      <c r="BW187" s="51">
        <f>VLOOKUP(H187,Charges!$AT$4:$AU$33,2,FALSE)*I187</f>
        <v>0</v>
      </c>
      <c r="BX187" s="51">
        <f t="shared" si="129"/>
        <v>0</v>
      </c>
      <c r="BY187" s="51">
        <f t="shared" si="137"/>
        <v>0</v>
      </c>
      <c r="BZ187" s="151"/>
      <c r="CA187" s="151"/>
      <c r="CB187" s="32"/>
      <c r="CC187" s="16">
        <f ca="1">SUM($N$7:$N187)</f>
        <v>0</v>
      </c>
      <c r="CD187" s="16">
        <f t="shared" ca="1" si="130"/>
        <v>0</v>
      </c>
      <c r="CE187" s="16">
        <f t="shared" ca="1" si="131"/>
        <v>0</v>
      </c>
      <c r="CF187" s="7">
        <f t="shared" ca="1" si="138"/>
        <v>0</v>
      </c>
    </row>
    <row r="188" spans="1:84" s="7" customFormat="1" x14ac:dyDescent="0.2">
      <c r="A188" s="149"/>
      <c r="B188" s="14">
        <f t="shared" si="100"/>
        <v>0</v>
      </c>
      <c r="C188" s="12">
        <f t="shared" si="101"/>
        <v>0</v>
      </c>
      <c r="D188" s="17">
        <f t="shared" si="139"/>
        <v>182</v>
      </c>
      <c r="E188" s="17">
        <f t="shared" ca="1" si="102"/>
        <v>75</v>
      </c>
      <c r="F188" s="12">
        <f t="shared" si="141"/>
        <v>1</v>
      </c>
      <c r="G188" s="12">
        <f t="shared" si="140"/>
        <v>31</v>
      </c>
      <c r="H188" s="17">
        <f t="shared" si="142"/>
        <v>16</v>
      </c>
      <c r="I188" s="29">
        <f t="shared" si="103"/>
        <v>0</v>
      </c>
      <c r="J188" s="211">
        <f>IFERROR(VLOOKUP(H188,Charges!$T$6:$U$35,2,0)*C188,0)</f>
        <v>0</v>
      </c>
      <c r="K188" s="29">
        <f t="shared" si="104"/>
        <v>0</v>
      </c>
      <c r="L188" s="29">
        <f t="shared" si="105"/>
        <v>0</v>
      </c>
      <c r="M188" s="147">
        <f t="shared" ca="1" si="106"/>
        <v>0</v>
      </c>
      <c r="N188" s="148">
        <f ca="1">IF(AND(Option_SPW="Y",H188&gt;=Lock_In_Period,Z187&gt;SPW_Amount_pa+IF(option="Single",1/5*pr,2*pr),H188&gt;=SPW_Start_Year,H188&lt;=SPW_Start_Year+SPW_Duration-1,age+H188&gt;=Legal_Age),IF(AND(F188=0,SPW_Payout_Freq=1),SPW_Amount_pa,IF(AND(SPW_Payout_Freq=2,MOD(F188,6)=0),SPW_Amount_pa/SPW_Payout_Freq,IF(AND(SPW_Payout_Freq=4,MOD(F188,3)=0),SPW_Amount_pa/SPW_Payout_Freq,IF(SPW_Payout_Freq=12,SPW_Amount_pa/SPW_Payout_Freq,0)))),0)+IFERROR(VLOOKUP(H188,Input!$B$68:$C$74,2,0),0)*(F188=0)*(Option_PW="Y")*(Option_SPW="N")*(age+H188&gt;=Legal_Age)</f>
        <v>0</v>
      </c>
      <c r="O188" s="148">
        <f t="shared" ca="1" si="132"/>
        <v>0</v>
      </c>
      <c r="P188" s="14">
        <f ca="1">(MAX(MAX(sa-CF187*Flag_UL_Type,105%*SUM($I$7:I188))-(AD187+L188-N188)*Flag_UL_Type,0)*B188)</f>
        <v>0</v>
      </c>
      <c r="Q188" s="213">
        <f t="shared" si="107"/>
        <v>0</v>
      </c>
      <c r="R188" s="14">
        <f t="shared" ca="1" si="108"/>
        <v>0</v>
      </c>
      <c r="S188" s="14">
        <f t="shared" ca="1" si="109"/>
        <v>0</v>
      </c>
      <c r="T188" s="14">
        <f>IFERROR(IF(WoP_Flag="Y",IF(fq=1,VLOOKUP(ppt*fq-H188,Charges!$AN$41:$AO$59,2,FALSE),IF(fq=2,VLOOKUP(ppt*fq-G188,Charges!$AP$41:$AQ$79,2,FALSE),VLOOKUP(ppt*fq-D188,Charges!$AR$41:$AS$279,2,FALSE)))*pr/fq,0),0)</f>
        <v>0</v>
      </c>
      <c r="U188" s="14">
        <f ca="1">IFERROR(((T188*(VLOOKUP(Input!$D$18+H188-1,Tab_Mort_Charge,IF(Gender_2="M",2,3),FALSE)*(1+_emr2)+_rpm2)/IF(Model_Type="LA_PQIS",1000/0.0833,(12*1000))))*Flag_Mort_Rider_Charge*(T188&gt;0),0)</f>
        <v>0</v>
      </c>
      <c r="V188" s="34">
        <f>ROUND(MIN(IF(H188&gt;=7,Charges!$C$12*(1+Charges!$C$14)^((H188-7+1)),VLOOKUP(H188,Charges!$B$7:$C$12,2,0))*pr,Charges!$C$13)*B188,Round)</f>
        <v>0</v>
      </c>
      <c r="W188" s="14">
        <f t="shared" ca="1" si="110"/>
        <v>0</v>
      </c>
      <c r="X188" s="14">
        <f t="shared" ca="1" si="111"/>
        <v>0</v>
      </c>
      <c r="Y188" s="213">
        <f t="shared" ca="1" si="133"/>
        <v>0</v>
      </c>
      <c r="Z188" s="14">
        <f t="shared" ca="1" si="112"/>
        <v>0</v>
      </c>
      <c r="AA188" s="14">
        <f>IF(AND($H188=pt,$F188=11),SUM($K$7:K188)*VLOOKUP(pt,ROC,2,FALSE),0)</f>
        <v>0</v>
      </c>
      <c r="AB188" s="14">
        <f>IF(AND($H188=pt,$F188=11),SUM($V$7:V188)*VLOOKUP(pt,ROC,2,FALSE),0)</f>
        <v>0</v>
      </c>
      <c r="AC188" s="14">
        <f>IF(AND($H188=pt,$F188=11),SUM($Q$7:Q188)*VLOOKUP(pt,ROC,2,FALSE),0)</f>
        <v>0</v>
      </c>
      <c r="AD188" s="14">
        <f t="shared" ca="1" si="134"/>
        <v>0</v>
      </c>
      <c r="AE188" s="14">
        <f ca="1">(MAX(sa-CF187*Flag_UL_Type,105%*SUM($I$7:I188),Z188)+AU188)*B188</f>
        <v>0</v>
      </c>
      <c r="AF188" s="136"/>
      <c r="AG188" s="18">
        <v>182</v>
      </c>
      <c r="AH188" s="30">
        <f t="shared" ca="1" si="113"/>
        <v>0</v>
      </c>
      <c r="AI188" s="58"/>
      <c r="AJ188" s="50">
        <f>IF(AND(Option_Sys_TopUp&gt;="Y",H188&gt;=sytp,H188&lt;=(dtp+sytp-1),F188=0,H188&lt;=ppt+1),atp,0)+IFERROR(VLOOKUP(H188,Input!$B$55:$C$61,2,0),0)*(F188=0)*(Option_TopUP="Y")*(Option_Sys_TopUp="N")*B188*(pt&gt;=H188+5)</f>
        <v>0</v>
      </c>
      <c r="AK188" s="50">
        <f t="shared" si="114"/>
        <v>0</v>
      </c>
      <c r="AL188" s="50">
        <f t="shared" si="135"/>
        <v>0</v>
      </c>
      <c r="AM188" s="50">
        <f t="shared" ca="1" si="115"/>
        <v>0</v>
      </c>
      <c r="AN188" s="50">
        <f>IF(B188=0,0,AT188*(_rpm1+(1+_emr1)*VLOOKUP(E188,Tab_Mort_Charge,IF(Input!$C$12="M",2,3),0))*(0.001*0.0833)*Flag_Mort_Rider_Charge*(AT188&gt;0))</f>
        <v>0</v>
      </c>
      <c r="AO188" s="50">
        <f t="shared" ca="1" si="136"/>
        <v>0</v>
      </c>
      <c r="AP188" s="50">
        <f t="shared" ca="1" si="143"/>
        <v>0</v>
      </c>
      <c r="AQ188" s="50">
        <f t="shared" ca="1" si="116"/>
        <v>0</v>
      </c>
      <c r="AR188" s="50">
        <f t="shared" ca="1" si="117"/>
        <v>0</v>
      </c>
      <c r="AS188" s="50">
        <f t="shared" si="118"/>
        <v>0</v>
      </c>
      <c r="AT188" s="50">
        <f ca="1">(MAX((MAX(AS188,105%*SUM($AJ$7:AJ188))-AM188*Flag_UL_Type),0)*B188)</f>
        <v>0</v>
      </c>
      <c r="AU188" s="50">
        <f ca="1">(MAX(AS188,AR188,105%*SUM($AJ$7:AJ188))*B188)</f>
        <v>0</v>
      </c>
      <c r="AV188" s="125"/>
      <c r="AW188" s="13"/>
      <c r="AX188" s="13"/>
      <c r="AY188" s="13"/>
      <c r="AZ188" s="13"/>
      <c r="BA188" s="13"/>
      <c r="BG188" s="51">
        <f t="shared" si="119"/>
        <v>0</v>
      </c>
      <c r="BH188" s="51">
        <f t="shared" si="120"/>
        <v>0</v>
      </c>
      <c r="BI188" s="51">
        <f t="shared" ca="1" si="121"/>
        <v>0</v>
      </c>
      <c r="BJ188" s="51">
        <f t="shared" ca="1" si="122"/>
        <v>0</v>
      </c>
      <c r="BK188" s="51">
        <f t="shared" si="123"/>
        <v>0</v>
      </c>
      <c r="BL188" s="51">
        <f t="shared" ca="1" si="124"/>
        <v>0</v>
      </c>
      <c r="BM188" s="51">
        <f t="shared" si="125"/>
        <v>0</v>
      </c>
      <c r="BN188" s="51">
        <f t="shared" si="126"/>
        <v>0</v>
      </c>
      <c r="BO188" s="51">
        <f t="shared" ca="1" si="127"/>
        <v>0</v>
      </c>
      <c r="BP188" s="51">
        <f t="shared" ca="1" si="128"/>
        <v>0</v>
      </c>
      <c r="BQ188" s="120"/>
      <c r="BR188" s="32"/>
      <c r="BS188" s="126"/>
      <c r="BT188" s="16"/>
      <c r="BU188" s="58"/>
      <c r="BW188" s="51">
        <f>VLOOKUP(H188,Charges!$AT$4:$AU$33,2,FALSE)*I188</f>
        <v>0</v>
      </c>
      <c r="BX188" s="51">
        <f t="shared" si="129"/>
        <v>0</v>
      </c>
      <c r="BY188" s="51">
        <f t="shared" si="137"/>
        <v>0</v>
      </c>
      <c r="BZ188" s="151"/>
      <c r="CA188" s="151"/>
      <c r="CB188" s="32"/>
      <c r="CC188" s="16">
        <f ca="1">SUM($N$7:$N188)</f>
        <v>0</v>
      </c>
      <c r="CD188" s="16">
        <f t="shared" ca="1" si="130"/>
        <v>0</v>
      </c>
      <c r="CE188" s="16">
        <f t="shared" ca="1" si="131"/>
        <v>0</v>
      </c>
      <c r="CF188" s="7">
        <f t="shared" ca="1" si="138"/>
        <v>0</v>
      </c>
    </row>
    <row r="189" spans="1:84" s="7" customFormat="1" x14ac:dyDescent="0.2">
      <c r="A189" s="149"/>
      <c r="B189" s="14">
        <f t="shared" si="100"/>
        <v>0</v>
      </c>
      <c r="C189" s="12">
        <f t="shared" si="101"/>
        <v>0</v>
      </c>
      <c r="D189" s="17">
        <f t="shared" si="139"/>
        <v>183</v>
      </c>
      <c r="E189" s="17">
        <f t="shared" ca="1" si="102"/>
        <v>75</v>
      </c>
      <c r="F189" s="12">
        <f t="shared" si="141"/>
        <v>2</v>
      </c>
      <c r="G189" s="12">
        <f t="shared" si="140"/>
        <v>31</v>
      </c>
      <c r="H189" s="17">
        <f t="shared" si="142"/>
        <v>16</v>
      </c>
      <c r="I189" s="29">
        <f t="shared" si="103"/>
        <v>0</v>
      </c>
      <c r="J189" s="211">
        <f>IFERROR(VLOOKUP(H189,Charges!$T$6:$U$35,2,0)*C189,0)</f>
        <v>0</v>
      </c>
      <c r="K189" s="29">
        <f t="shared" si="104"/>
        <v>0</v>
      </c>
      <c r="L189" s="29">
        <f t="shared" si="105"/>
        <v>0</v>
      </c>
      <c r="M189" s="147">
        <f t="shared" ca="1" si="106"/>
        <v>0</v>
      </c>
      <c r="N189" s="148">
        <f ca="1">IF(AND(Option_SPW="Y",H189&gt;=Lock_In_Period,Z188&gt;SPW_Amount_pa+IF(option="Single",1/5*pr,2*pr),H189&gt;=SPW_Start_Year,H189&lt;=SPW_Start_Year+SPW_Duration-1,age+H189&gt;=Legal_Age),IF(AND(F189=0,SPW_Payout_Freq=1),SPW_Amount_pa,IF(AND(SPW_Payout_Freq=2,MOD(F189,6)=0),SPW_Amount_pa/SPW_Payout_Freq,IF(AND(SPW_Payout_Freq=4,MOD(F189,3)=0),SPW_Amount_pa/SPW_Payout_Freq,IF(SPW_Payout_Freq=12,SPW_Amount_pa/SPW_Payout_Freq,0)))),0)+IFERROR(VLOOKUP(H189,Input!$B$68:$C$74,2,0),0)*(F189=0)*(Option_PW="Y")*(Option_SPW="N")*(age+H189&gt;=Legal_Age)</f>
        <v>0</v>
      </c>
      <c r="O189" s="148">
        <f t="shared" ca="1" si="132"/>
        <v>0</v>
      </c>
      <c r="P189" s="14">
        <f ca="1">(MAX(MAX(sa-CF188*Flag_UL_Type,105%*SUM($I$7:I189))-(AD188+L189-N189)*Flag_UL_Type,0)*B189)</f>
        <v>0</v>
      </c>
      <c r="Q189" s="213">
        <f t="shared" si="107"/>
        <v>0</v>
      </c>
      <c r="R189" s="14">
        <f t="shared" ca="1" si="108"/>
        <v>0</v>
      </c>
      <c r="S189" s="14">
        <f t="shared" ca="1" si="109"/>
        <v>0</v>
      </c>
      <c r="T189" s="14">
        <f>IFERROR(IF(WoP_Flag="Y",IF(fq=1,VLOOKUP(ppt*fq-H189,Charges!$AN$41:$AO$59,2,FALSE),IF(fq=2,VLOOKUP(ppt*fq-G189,Charges!$AP$41:$AQ$79,2,FALSE),VLOOKUP(ppt*fq-D189,Charges!$AR$41:$AS$279,2,FALSE)))*pr/fq,0),0)</f>
        <v>0</v>
      </c>
      <c r="U189" s="14">
        <f ca="1">IFERROR(((T189*(VLOOKUP(Input!$D$18+H189-1,Tab_Mort_Charge,IF(Gender_2="M",2,3),FALSE)*(1+_emr2)+_rpm2)/IF(Model_Type="LA_PQIS",1000/0.0833,(12*1000))))*Flag_Mort_Rider_Charge*(T189&gt;0),0)</f>
        <v>0</v>
      </c>
      <c r="V189" s="34">
        <f>ROUND(MIN(IF(H189&gt;=7,Charges!$C$12*(1+Charges!$C$14)^((H189-7+1)),VLOOKUP(H189,Charges!$B$7:$C$12,2,0))*pr,Charges!$C$13)*B189,Round)</f>
        <v>0</v>
      </c>
      <c r="W189" s="14">
        <f t="shared" ca="1" si="110"/>
        <v>0</v>
      </c>
      <c r="X189" s="14">
        <f t="shared" ca="1" si="111"/>
        <v>0</v>
      </c>
      <c r="Y189" s="213">
        <f t="shared" ca="1" si="133"/>
        <v>0</v>
      </c>
      <c r="Z189" s="14">
        <f t="shared" ca="1" si="112"/>
        <v>0</v>
      </c>
      <c r="AA189" s="14">
        <f>IF(AND($H189=pt,$F189=11),SUM($K$7:K189)*VLOOKUP(pt,ROC,2,FALSE),0)</f>
        <v>0</v>
      </c>
      <c r="AB189" s="14">
        <f>IF(AND($H189=pt,$F189=11),SUM($V$7:V189)*VLOOKUP(pt,ROC,2,FALSE),0)</f>
        <v>0</v>
      </c>
      <c r="AC189" s="14">
        <f>IF(AND($H189=pt,$F189=11),SUM($Q$7:Q189)*VLOOKUP(pt,ROC,2,FALSE),0)</f>
        <v>0</v>
      </c>
      <c r="AD189" s="14">
        <f t="shared" ca="1" si="134"/>
        <v>0</v>
      </c>
      <c r="AE189" s="14">
        <f ca="1">(MAX(sa-CF188*Flag_UL_Type,105%*SUM($I$7:I189),Z189)+AU189)*B189</f>
        <v>0</v>
      </c>
      <c r="AF189" s="136"/>
      <c r="AG189" s="18">
        <v>183</v>
      </c>
      <c r="AH189" s="30">
        <f t="shared" ca="1" si="113"/>
        <v>0</v>
      </c>
      <c r="AI189" s="58"/>
      <c r="AJ189" s="50">
        <f>IF(AND(Option_Sys_TopUp&gt;="Y",H189&gt;=sytp,H189&lt;=(dtp+sytp-1),F189=0,H189&lt;=ppt+1),atp,0)+IFERROR(VLOOKUP(H189,Input!$B$55:$C$61,2,0),0)*(F189=0)*(Option_TopUP="Y")*(Option_Sys_TopUp="N")*B189*(pt&gt;=H189+5)</f>
        <v>0</v>
      </c>
      <c r="AK189" s="50">
        <f t="shared" si="114"/>
        <v>0</v>
      </c>
      <c r="AL189" s="50">
        <f t="shared" si="135"/>
        <v>0</v>
      </c>
      <c r="AM189" s="50">
        <f t="shared" ca="1" si="115"/>
        <v>0</v>
      </c>
      <c r="AN189" s="50">
        <f>IF(B189=0,0,AT189*(_rpm1+(1+_emr1)*VLOOKUP(E189,Tab_Mort_Charge,IF(Input!$C$12="M",2,3),0))*(0.001*0.0833)*Flag_Mort_Rider_Charge*(AT189&gt;0))</f>
        <v>0</v>
      </c>
      <c r="AO189" s="50">
        <f t="shared" ca="1" si="136"/>
        <v>0</v>
      </c>
      <c r="AP189" s="50">
        <f t="shared" ca="1" si="143"/>
        <v>0</v>
      </c>
      <c r="AQ189" s="50">
        <f t="shared" ca="1" si="116"/>
        <v>0</v>
      </c>
      <c r="AR189" s="50">
        <f t="shared" ca="1" si="117"/>
        <v>0</v>
      </c>
      <c r="AS189" s="50">
        <f t="shared" si="118"/>
        <v>0</v>
      </c>
      <c r="AT189" s="50">
        <f ca="1">(MAX((MAX(AS189,105%*SUM($AJ$7:AJ189))-AM189*Flag_UL_Type),0)*B189)</f>
        <v>0</v>
      </c>
      <c r="AU189" s="50">
        <f ca="1">(MAX(AS189,AR189,105%*SUM($AJ$7:AJ189))*B189)</f>
        <v>0</v>
      </c>
      <c r="AV189" s="125"/>
      <c r="AW189" s="13"/>
      <c r="AX189" s="13"/>
      <c r="AY189" s="13"/>
      <c r="AZ189" s="13"/>
      <c r="BA189" s="13"/>
      <c r="BG189" s="51">
        <f t="shared" si="119"/>
        <v>0</v>
      </c>
      <c r="BH189" s="51">
        <f t="shared" si="120"/>
        <v>0</v>
      </c>
      <c r="BI189" s="51">
        <f t="shared" ca="1" si="121"/>
        <v>0</v>
      </c>
      <c r="BJ189" s="51">
        <f t="shared" ca="1" si="122"/>
        <v>0</v>
      </c>
      <c r="BK189" s="51">
        <f t="shared" si="123"/>
        <v>0</v>
      </c>
      <c r="BL189" s="51">
        <f t="shared" ca="1" si="124"/>
        <v>0</v>
      </c>
      <c r="BM189" s="51">
        <f t="shared" si="125"/>
        <v>0</v>
      </c>
      <c r="BN189" s="51">
        <f t="shared" si="126"/>
        <v>0</v>
      </c>
      <c r="BO189" s="51">
        <f t="shared" ca="1" si="127"/>
        <v>0</v>
      </c>
      <c r="BP189" s="51">
        <f t="shared" ca="1" si="128"/>
        <v>0</v>
      </c>
      <c r="BQ189" s="120"/>
      <c r="BR189" s="32"/>
      <c r="BS189" s="126"/>
      <c r="BT189" s="16"/>
      <c r="BU189" s="58"/>
      <c r="BW189" s="51">
        <f>VLOOKUP(H189,Charges!$AT$4:$AU$33,2,FALSE)*I189</f>
        <v>0</v>
      </c>
      <c r="BX189" s="51">
        <f t="shared" si="129"/>
        <v>0</v>
      </c>
      <c r="BY189" s="51">
        <f t="shared" si="137"/>
        <v>0</v>
      </c>
      <c r="BZ189" s="151"/>
      <c r="CA189" s="151"/>
      <c r="CB189" s="32"/>
      <c r="CC189" s="16">
        <f ca="1">SUM($N$7:$N189)</f>
        <v>0</v>
      </c>
      <c r="CD189" s="16">
        <f t="shared" ca="1" si="130"/>
        <v>0</v>
      </c>
      <c r="CE189" s="16">
        <f t="shared" ca="1" si="131"/>
        <v>0</v>
      </c>
      <c r="CF189" s="7">
        <f t="shared" ca="1" si="138"/>
        <v>0</v>
      </c>
    </row>
    <row r="190" spans="1:84" s="7" customFormat="1" x14ac:dyDescent="0.2">
      <c r="A190" s="149"/>
      <c r="B190" s="14">
        <f t="shared" si="100"/>
        <v>0</v>
      </c>
      <c r="C190" s="12">
        <f t="shared" si="101"/>
        <v>0</v>
      </c>
      <c r="D190" s="17">
        <f t="shared" si="139"/>
        <v>184</v>
      </c>
      <c r="E190" s="17">
        <f t="shared" ca="1" si="102"/>
        <v>75</v>
      </c>
      <c r="F190" s="12">
        <f t="shared" si="141"/>
        <v>3</v>
      </c>
      <c r="G190" s="12">
        <f t="shared" si="140"/>
        <v>31</v>
      </c>
      <c r="H190" s="17">
        <f t="shared" si="142"/>
        <v>16</v>
      </c>
      <c r="I190" s="29">
        <f t="shared" si="103"/>
        <v>0</v>
      </c>
      <c r="J190" s="211">
        <f>IFERROR(VLOOKUP(H190,Charges!$T$6:$U$35,2,0)*C190,0)</f>
        <v>0</v>
      </c>
      <c r="K190" s="29">
        <f t="shared" si="104"/>
        <v>0</v>
      </c>
      <c r="L190" s="29">
        <f t="shared" si="105"/>
        <v>0</v>
      </c>
      <c r="M190" s="147">
        <f t="shared" ca="1" si="106"/>
        <v>0</v>
      </c>
      <c r="N190" s="148">
        <f ca="1">IF(AND(Option_SPW="Y",H190&gt;=Lock_In_Period,Z189&gt;SPW_Amount_pa+IF(option="Single",1/5*pr,2*pr),H190&gt;=SPW_Start_Year,H190&lt;=SPW_Start_Year+SPW_Duration-1,age+H190&gt;=Legal_Age),IF(AND(F190=0,SPW_Payout_Freq=1),SPW_Amount_pa,IF(AND(SPW_Payout_Freq=2,MOD(F190,6)=0),SPW_Amount_pa/SPW_Payout_Freq,IF(AND(SPW_Payout_Freq=4,MOD(F190,3)=0),SPW_Amount_pa/SPW_Payout_Freq,IF(SPW_Payout_Freq=12,SPW_Amount_pa/SPW_Payout_Freq,0)))),0)+IFERROR(VLOOKUP(H190,Input!$B$68:$C$74,2,0),0)*(F190=0)*(Option_PW="Y")*(Option_SPW="N")*(age+H190&gt;=Legal_Age)</f>
        <v>0</v>
      </c>
      <c r="O190" s="148">
        <f t="shared" ca="1" si="132"/>
        <v>0</v>
      </c>
      <c r="P190" s="14">
        <f ca="1">(MAX(MAX(sa-CF189*Flag_UL_Type,105%*SUM($I$7:I190))-(AD189+L190-N190)*Flag_UL_Type,0)*B190)</f>
        <v>0</v>
      </c>
      <c r="Q190" s="213">
        <f t="shared" si="107"/>
        <v>0</v>
      </c>
      <c r="R190" s="14">
        <f t="shared" ca="1" si="108"/>
        <v>0</v>
      </c>
      <c r="S190" s="14">
        <f t="shared" ca="1" si="109"/>
        <v>0</v>
      </c>
      <c r="T190" s="14">
        <f>IFERROR(IF(WoP_Flag="Y",IF(fq=1,VLOOKUP(ppt*fq-H190,Charges!$AN$41:$AO$59,2,FALSE),IF(fq=2,VLOOKUP(ppt*fq-G190,Charges!$AP$41:$AQ$79,2,FALSE),VLOOKUP(ppt*fq-D190,Charges!$AR$41:$AS$279,2,FALSE)))*pr/fq,0),0)</f>
        <v>0</v>
      </c>
      <c r="U190" s="14">
        <f ca="1">IFERROR(((T190*(VLOOKUP(Input!$D$18+H190-1,Tab_Mort_Charge,IF(Gender_2="M",2,3),FALSE)*(1+_emr2)+_rpm2)/IF(Model_Type="LA_PQIS",1000/0.0833,(12*1000))))*Flag_Mort_Rider_Charge*(T190&gt;0),0)</f>
        <v>0</v>
      </c>
      <c r="V190" s="34">
        <f>ROUND(MIN(IF(H190&gt;=7,Charges!$C$12*(1+Charges!$C$14)^((H190-7+1)),VLOOKUP(H190,Charges!$B$7:$C$12,2,0))*pr,Charges!$C$13)*B190,Round)</f>
        <v>0</v>
      </c>
      <c r="W190" s="14">
        <f t="shared" ca="1" si="110"/>
        <v>0</v>
      </c>
      <c r="X190" s="14">
        <f t="shared" ca="1" si="111"/>
        <v>0</v>
      </c>
      <c r="Y190" s="213">
        <f t="shared" ca="1" si="133"/>
        <v>0</v>
      </c>
      <c r="Z190" s="14">
        <f t="shared" ca="1" si="112"/>
        <v>0</v>
      </c>
      <c r="AA190" s="14">
        <f>IF(AND($H190=pt,$F190=11),SUM($K$7:K190)*VLOOKUP(pt,ROC,2,FALSE),0)</f>
        <v>0</v>
      </c>
      <c r="AB190" s="14">
        <f>IF(AND($H190=pt,$F190=11),SUM($V$7:V190)*VLOOKUP(pt,ROC,2,FALSE),0)</f>
        <v>0</v>
      </c>
      <c r="AC190" s="14">
        <f>IF(AND($H190=pt,$F190=11),SUM($Q$7:Q190)*VLOOKUP(pt,ROC,2,FALSE),0)</f>
        <v>0</v>
      </c>
      <c r="AD190" s="14">
        <f t="shared" ca="1" si="134"/>
        <v>0</v>
      </c>
      <c r="AE190" s="14">
        <f ca="1">(MAX(sa-CF189*Flag_UL_Type,105%*SUM($I$7:I190),Z190)+AU190)*B190</f>
        <v>0</v>
      </c>
      <c r="AF190" s="136"/>
      <c r="AG190" s="18">
        <v>184</v>
      </c>
      <c r="AH190" s="30">
        <f t="shared" ca="1" si="113"/>
        <v>0</v>
      </c>
      <c r="AI190" s="58"/>
      <c r="AJ190" s="50">
        <f>IF(AND(Option_Sys_TopUp&gt;="Y",H190&gt;=sytp,H190&lt;=(dtp+sytp-1),F190=0,H190&lt;=ppt+1),atp,0)+IFERROR(VLOOKUP(H190,Input!$B$55:$C$61,2,0),0)*(F190=0)*(Option_TopUP="Y")*(Option_Sys_TopUp="N")*B190*(pt&gt;=H190+5)</f>
        <v>0</v>
      </c>
      <c r="AK190" s="50">
        <f t="shared" si="114"/>
        <v>0</v>
      </c>
      <c r="AL190" s="50">
        <f t="shared" si="135"/>
        <v>0</v>
      </c>
      <c r="AM190" s="50">
        <f t="shared" ca="1" si="115"/>
        <v>0</v>
      </c>
      <c r="AN190" s="50">
        <f>IF(B190=0,0,AT190*(_rpm1+(1+_emr1)*VLOOKUP(E190,Tab_Mort_Charge,IF(Input!$C$12="M",2,3),0))*(0.001*0.0833)*Flag_Mort_Rider_Charge*(AT190&gt;0))</f>
        <v>0</v>
      </c>
      <c r="AO190" s="50">
        <f t="shared" ca="1" si="136"/>
        <v>0</v>
      </c>
      <c r="AP190" s="50">
        <f t="shared" ca="1" si="143"/>
        <v>0</v>
      </c>
      <c r="AQ190" s="50">
        <f t="shared" ca="1" si="116"/>
        <v>0</v>
      </c>
      <c r="AR190" s="50">
        <f t="shared" ca="1" si="117"/>
        <v>0</v>
      </c>
      <c r="AS190" s="50">
        <f t="shared" si="118"/>
        <v>0</v>
      </c>
      <c r="AT190" s="50">
        <f ca="1">(MAX((MAX(AS190,105%*SUM($AJ$7:AJ190))-AM190*Flag_UL_Type),0)*B190)</f>
        <v>0</v>
      </c>
      <c r="AU190" s="50">
        <f ca="1">(MAX(AS190,AR190,105%*SUM($AJ$7:AJ190))*B190)</f>
        <v>0</v>
      </c>
      <c r="AV190" s="125"/>
      <c r="AW190" s="13"/>
      <c r="AX190" s="13"/>
      <c r="AY190" s="13"/>
      <c r="AZ190" s="13"/>
      <c r="BA190" s="13"/>
      <c r="BG190" s="51">
        <f t="shared" si="119"/>
        <v>0</v>
      </c>
      <c r="BH190" s="51">
        <f t="shared" si="120"/>
        <v>0</v>
      </c>
      <c r="BI190" s="51">
        <f t="shared" ca="1" si="121"/>
        <v>0</v>
      </c>
      <c r="BJ190" s="51">
        <f t="shared" ca="1" si="122"/>
        <v>0</v>
      </c>
      <c r="BK190" s="51">
        <f t="shared" si="123"/>
        <v>0</v>
      </c>
      <c r="BL190" s="51">
        <f t="shared" ca="1" si="124"/>
        <v>0</v>
      </c>
      <c r="BM190" s="51">
        <f t="shared" si="125"/>
        <v>0</v>
      </c>
      <c r="BN190" s="51">
        <f t="shared" si="126"/>
        <v>0</v>
      </c>
      <c r="BO190" s="51">
        <f t="shared" ca="1" si="127"/>
        <v>0</v>
      </c>
      <c r="BP190" s="51">
        <f t="shared" ca="1" si="128"/>
        <v>0</v>
      </c>
      <c r="BQ190" s="120"/>
      <c r="BR190" s="32"/>
      <c r="BS190" s="126"/>
      <c r="BT190" s="16"/>
      <c r="BU190" s="58"/>
      <c r="BW190" s="51">
        <f>VLOOKUP(H190,Charges!$AT$4:$AU$33,2,FALSE)*I190</f>
        <v>0</v>
      </c>
      <c r="BX190" s="51">
        <f t="shared" si="129"/>
        <v>0</v>
      </c>
      <c r="BY190" s="51">
        <f t="shared" si="137"/>
        <v>0</v>
      </c>
      <c r="BZ190" s="151"/>
      <c r="CA190" s="151"/>
      <c r="CB190" s="32"/>
      <c r="CC190" s="16">
        <f ca="1">SUM($N$7:$N190)</f>
        <v>0</v>
      </c>
      <c r="CD190" s="16">
        <f t="shared" ca="1" si="130"/>
        <v>0</v>
      </c>
      <c r="CE190" s="16">
        <f t="shared" ca="1" si="131"/>
        <v>0</v>
      </c>
      <c r="CF190" s="7">
        <f t="shared" ca="1" si="138"/>
        <v>0</v>
      </c>
    </row>
    <row r="191" spans="1:84" s="7" customFormat="1" x14ac:dyDescent="0.2">
      <c r="A191" s="149"/>
      <c r="B191" s="14">
        <f t="shared" si="100"/>
        <v>0</v>
      </c>
      <c r="C191" s="12">
        <f t="shared" si="101"/>
        <v>0</v>
      </c>
      <c r="D191" s="17">
        <f t="shared" si="139"/>
        <v>185</v>
      </c>
      <c r="E191" s="17">
        <f t="shared" ca="1" si="102"/>
        <v>75</v>
      </c>
      <c r="F191" s="12">
        <f t="shared" si="141"/>
        <v>4</v>
      </c>
      <c r="G191" s="12">
        <f t="shared" si="140"/>
        <v>31</v>
      </c>
      <c r="H191" s="17">
        <f t="shared" si="142"/>
        <v>16</v>
      </c>
      <c r="I191" s="29">
        <f t="shared" si="103"/>
        <v>0</v>
      </c>
      <c r="J191" s="211">
        <f>IFERROR(VLOOKUP(H191,Charges!$T$6:$U$35,2,0)*C191,0)</f>
        <v>0</v>
      </c>
      <c r="K191" s="29">
        <f t="shared" si="104"/>
        <v>0</v>
      </c>
      <c r="L191" s="29">
        <f t="shared" si="105"/>
        <v>0</v>
      </c>
      <c r="M191" s="147">
        <f t="shared" ca="1" si="106"/>
        <v>0</v>
      </c>
      <c r="N191" s="148">
        <f ca="1">IF(AND(Option_SPW="Y",H191&gt;=Lock_In_Period,Z190&gt;SPW_Amount_pa+IF(option="Single",1/5*pr,2*pr),H191&gt;=SPW_Start_Year,H191&lt;=SPW_Start_Year+SPW_Duration-1,age+H191&gt;=Legal_Age),IF(AND(F191=0,SPW_Payout_Freq=1),SPW_Amount_pa,IF(AND(SPW_Payout_Freq=2,MOD(F191,6)=0),SPW_Amount_pa/SPW_Payout_Freq,IF(AND(SPW_Payout_Freq=4,MOD(F191,3)=0),SPW_Amount_pa/SPW_Payout_Freq,IF(SPW_Payout_Freq=12,SPW_Amount_pa/SPW_Payout_Freq,0)))),0)+IFERROR(VLOOKUP(H191,Input!$B$68:$C$74,2,0),0)*(F191=0)*(Option_PW="Y")*(Option_SPW="N")*(age+H191&gt;=Legal_Age)</f>
        <v>0</v>
      </c>
      <c r="O191" s="148">
        <f t="shared" ca="1" si="132"/>
        <v>0</v>
      </c>
      <c r="P191" s="14">
        <f ca="1">(MAX(MAX(sa-CF190*Flag_UL_Type,105%*SUM($I$7:I191))-(AD190+L191-N191)*Flag_UL_Type,0)*B191)</f>
        <v>0</v>
      </c>
      <c r="Q191" s="213">
        <f t="shared" si="107"/>
        <v>0</v>
      </c>
      <c r="R191" s="14">
        <f t="shared" ca="1" si="108"/>
        <v>0</v>
      </c>
      <c r="S191" s="14">
        <f t="shared" ca="1" si="109"/>
        <v>0</v>
      </c>
      <c r="T191" s="14">
        <f>IFERROR(IF(WoP_Flag="Y",IF(fq=1,VLOOKUP(ppt*fq-H191,Charges!$AN$41:$AO$59,2,FALSE),IF(fq=2,VLOOKUP(ppt*fq-G191,Charges!$AP$41:$AQ$79,2,FALSE),VLOOKUP(ppt*fq-D191,Charges!$AR$41:$AS$279,2,FALSE)))*pr/fq,0),0)</f>
        <v>0</v>
      </c>
      <c r="U191" s="14">
        <f ca="1">IFERROR(((T191*(VLOOKUP(Input!$D$18+H191-1,Tab_Mort_Charge,IF(Gender_2="M",2,3),FALSE)*(1+_emr2)+_rpm2)/IF(Model_Type="LA_PQIS",1000/0.0833,(12*1000))))*Flag_Mort_Rider_Charge*(T191&gt;0),0)</f>
        <v>0</v>
      </c>
      <c r="V191" s="34">
        <f>ROUND(MIN(IF(H191&gt;=7,Charges!$C$12*(1+Charges!$C$14)^((H191-7+1)),VLOOKUP(H191,Charges!$B$7:$C$12,2,0))*pr,Charges!$C$13)*B191,Round)</f>
        <v>0</v>
      </c>
      <c r="W191" s="14">
        <f t="shared" ca="1" si="110"/>
        <v>0</v>
      </c>
      <c r="X191" s="14">
        <f t="shared" ca="1" si="111"/>
        <v>0</v>
      </c>
      <c r="Y191" s="213">
        <f t="shared" ca="1" si="133"/>
        <v>0</v>
      </c>
      <c r="Z191" s="14">
        <f t="shared" ca="1" si="112"/>
        <v>0</v>
      </c>
      <c r="AA191" s="14">
        <f>IF(AND($H191=pt,$F191=11),SUM($K$7:K191)*VLOOKUP(pt,ROC,2,FALSE),0)</f>
        <v>0</v>
      </c>
      <c r="AB191" s="14">
        <f>IF(AND($H191=pt,$F191=11),SUM($V$7:V191)*VLOOKUP(pt,ROC,2,FALSE),0)</f>
        <v>0</v>
      </c>
      <c r="AC191" s="14">
        <f>IF(AND($H191=pt,$F191=11),SUM($Q$7:Q191)*VLOOKUP(pt,ROC,2,FALSE),0)</f>
        <v>0</v>
      </c>
      <c r="AD191" s="14">
        <f t="shared" ca="1" si="134"/>
        <v>0</v>
      </c>
      <c r="AE191" s="14">
        <f ca="1">(MAX(sa-CF190*Flag_UL_Type,105%*SUM($I$7:I191),Z191)+AU191)*B191</f>
        <v>0</v>
      </c>
      <c r="AF191" s="136"/>
      <c r="AG191" s="18">
        <v>185</v>
      </c>
      <c r="AH191" s="30">
        <f t="shared" ca="1" si="113"/>
        <v>0</v>
      </c>
      <c r="AI191" s="58"/>
      <c r="AJ191" s="50">
        <f>IF(AND(Option_Sys_TopUp&gt;="Y",H191&gt;=sytp,H191&lt;=(dtp+sytp-1),F191=0,H191&lt;=ppt+1),atp,0)+IFERROR(VLOOKUP(H191,Input!$B$55:$C$61,2,0),0)*(F191=0)*(Option_TopUP="Y")*(Option_Sys_TopUp="N")*B191*(pt&gt;=H191+5)</f>
        <v>0</v>
      </c>
      <c r="AK191" s="50">
        <f t="shared" si="114"/>
        <v>0</v>
      </c>
      <c r="AL191" s="50">
        <f t="shared" si="135"/>
        <v>0</v>
      </c>
      <c r="AM191" s="50">
        <f t="shared" ca="1" si="115"/>
        <v>0</v>
      </c>
      <c r="AN191" s="50">
        <f>IF(B191=0,0,AT191*(_rpm1+(1+_emr1)*VLOOKUP(E191,Tab_Mort_Charge,IF(Input!$C$12="M",2,3),0))*(0.001*0.0833)*Flag_Mort_Rider_Charge*(AT191&gt;0))</f>
        <v>0</v>
      </c>
      <c r="AO191" s="50">
        <f t="shared" ca="1" si="136"/>
        <v>0</v>
      </c>
      <c r="AP191" s="50">
        <f t="shared" ca="1" si="143"/>
        <v>0</v>
      </c>
      <c r="AQ191" s="50">
        <f t="shared" ca="1" si="116"/>
        <v>0</v>
      </c>
      <c r="AR191" s="50">
        <f t="shared" ca="1" si="117"/>
        <v>0</v>
      </c>
      <c r="AS191" s="50">
        <f t="shared" si="118"/>
        <v>0</v>
      </c>
      <c r="AT191" s="50">
        <f ca="1">(MAX((MAX(AS191,105%*SUM($AJ$7:AJ191))-AM191*Flag_UL_Type),0)*B191)</f>
        <v>0</v>
      </c>
      <c r="AU191" s="50">
        <f ca="1">(MAX(AS191,AR191,105%*SUM($AJ$7:AJ191))*B191)</f>
        <v>0</v>
      </c>
      <c r="AV191" s="125"/>
      <c r="AW191" s="13"/>
      <c r="AX191" s="13"/>
      <c r="AY191" s="13"/>
      <c r="AZ191" s="13"/>
      <c r="BA191" s="13"/>
      <c r="BG191" s="51">
        <f t="shared" si="119"/>
        <v>0</v>
      </c>
      <c r="BH191" s="51">
        <f t="shared" si="120"/>
        <v>0</v>
      </c>
      <c r="BI191" s="51">
        <f t="shared" ca="1" si="121"/>
        <v>0</v>
      </c>
      <c r="BJ191" s="51">
        <f t="shared" ca="1" si="122"/>
        <v>0</v>
      </c>
      <c r="BK191" s="51">
        <f t="shared" si="123"/>
        <v>0</v>
      </c>
      <c r="BL191" s="51">
        <f t="shared" ca="1" si="124"/>
        <v>0</v>
      </c>
      <c r="BM191" s="51">
        <f t="shared" si="125"/>
        <v>0</v>
      </c>
      <c r="BN191" s="51">
        <f t="shared" si="126"/>
        <v>0</v>
      </c>
      <c r="BO191" s="51">
        <f t="shared" ca="1" si="127"/>
        <v>0</v>
      </c>
      <c r="BP191" s="51">
        <f t="shared" ca="1" si="128"/>
        <v>0</v>
      </c>
      <c r="BQ191" s="120"/>
      <c r="BR191" s="32"/>
      <c r="BS191" s="126"/>
      <c r="BT191" s="16"/>
      <c r="BU191" s="58"/>
      <c r="BW191" s="51">
        <f>VLOOKUP(H191,Charges!$AT$4:$AU$33,2,FALSE)*I191</f>
        <v>0</v>
      </c>
      <c r="BX191" s="51">
        <f t="shared" si="129"/>
        <v>0</v>
      </c>
      <c r="BY191" s="51">
        <f t="shared" si="137"/>
        <v>0</v>
      </c>
      <c r="BZ191" s="151"/>
      <c r="CA191" s="151"/>
      <c r="CB191" s="32"/>
      <c r="CC191" s="16">
        <f ca="1">SUM($N$7:$N191)</f>
        <v>0</v>
      </c>
      <c r="CD191" s="16">
        <f t="shared" ca="1" si="130"/>
        <v>0</v>
      </c>
      <c r="CE191" s="16">
        <f t="shared" ca="1" si="131"/>
        <v>0</v>
      </c>
      <c r="CF191" s="7">
        <f t="shared" ca="1" si="138"/>
        <v>0</v>
      </c>
    </row>
    <row r="192" spans="1:84" s="7" customFormat="1" x14ac:dyDescent="0.2">
      <c r="A192" s="149"/>
      <c r="B192" s="14">
        <f t="shared" si="100"/>
        <v>0</v>
      </c>
      <c r="C192" s="12">
        <f t="shared" si="101"/>
        <v>0</v>
      </c>
      <c r="D192" s="17">
        <f t="shared" si="139"/>
        <v>186</v>
      </c>
      <c r="E192" s="17">
        <f t="shared" ca="1" si="102"/>
        <v>75</v>
      </c>
      <c r="F192" s="12">
        <f t="shared" si="141"/>
        <v>5</v>
      </c>
      <c r="G192" s="12">
        <f t="shared" si="140"/>
        <v>31</v>
      </c>
      <c r="H192" s="17">
        <f t="shared" si="142"/>
        <v>16</v>
      </c>
      <c r="I192" s="29">
        <f t="shared" si="103"/>
        <v>0</v>
      </c>
      <c r="J192" s="211">
        <f>IFERROR(VLOOKUP(H192,Charges!$T$6:$U$35,2,0)*C192,0)</f>
        <v>0</v>
      </c>
      <c r="K192" s="29">
        <f t="shared" si="104"/>
        <v>0</v>
      </c>
      <c r="L192" s="29">
        <f t="shared" si="105"/>
        <v>0</v>
      </c>
      <c r="M192" s="147">
        <f t="shared" ca="1" si="106"/>
        <v>0</v>
      </c>
      <c r="N192" s="148">
        <f ca="1">IF(AND(Option_SPW="Y",H192&gt;=Lock_In_Period,Z191&gt;SPW_Amount_pa+IF(option="Single",1/5*pr,2*pr),H192&gt;=SPW_Start_Year,H192&lt;=SPW_Start_Year+SPW_Duration-1,age+H192&gt;=Legal_Age),IF(AND(F192=0,SPW_Payout_Freq=1),SPW_Amount_pa,IF(AND(SPW_Payout_Freq=2,MOD(F192,6)=0),SPW_Amount_pa/SPW_Payout_Freq,IF(AND(SPW_Payout_Freq=4,MOD(F192,3)=0),SPW_Amount_pa/SPW_Payout_Freq,IF(SPW_Payout_Freq=12,SPW_Amount_pa/SPW_Payout_Freq,0)))),0)+IFERROR(VLOOKUP(H192,Input!$B$68:$C$74,2,0),0)*(F192=0)*(Option_PW="Y")*(Option_SPW="N")*(age+H192&gt;=Legal_Age)</f>
        <v>0</v>
      </c>
      <c r="O192" s="148">
        <f t="shared" ca="1" si="132"/>
        <v>0</v>
      </c>
      <c r="P192" s="14">
        <f ca="1">(MAX(MAX(sa-CF191*Flag_UL_Type,105%*SUM($I$7:I192))-(AD191+L192-N192)*Flag_UL_Type,0)*B192)</f>
        <v>0</v>
      </c>
      <c r="Q192" s="213">
        <f t="shared" si="107"/>
        <v>0</v>
      </c>
      <c r="R192" s="14">
        <f t="shared" ca="1" si="108"/>
        <v>0</v>
      </c>
      <c r="S192" s="14">
        <f t="shared" ca="1" si="109"/>
        <v>0</v>
      </c>
      <c r="T192" s="14">
        <f>IFERROR(IF(WoP_Flag="Y",IF(fq=1,VLOOKUP(ppt*fq-H192,Charges!$AN$41:$AO$59,2,FALSE),IF(fq=2,VLOOKUP(ppt*fq-G192,Charges!$AP$41:$AQ$79,2,FALSE),VLOOKUP(ppt*fq-D192,Charges!$AR$41:$AS$279,2,FALSE)))*pr/fq,0),0)</f>
        <v>0</v>
      </c>
      <c r="U192" s="14">
        <f ca="1">IFERROR(((T192*(VLOOKUP(Input!$D$18+H192-1,Tab_Mort_Charge,IF(Gender_2="M",2,3),FALSE)*(1+_emr2)+_rpm2)/IF(Model_Type="LA_PQIS",1000/0.0833,(12*1000))))*Flag_Mort_Rider_Charge*(T192&gt;0),0)</f>
        <v>0</v>
      </c>
      <c r="V192" s="34">
        <f>ROUND(MIN(IF(H192&gt;=7,Charges!$C$12*(1+Charges!$C$14)^((H192-7+1)),VLOOKUP(H192,Charges!$B$7:$C$12,2,0))*pr,Charges!$C$13)*B192,Round)</f>
        <v>0</v>
      </c>
      <c r="W192" s="14">
        <f t="shared" ca="1" si="110"/>
        <v>0</v>
      </c>
      <c r="X192" s="14">
        <f t="shared" ca="1" si="111"/>
        <v>0</v>
      </c>
      <c r="Y192" s="213">
        <f t="shared" ca="1" si="133"/>
        <v>0</v>
      </c>
      <c r="Z192" s="14">
        <f t="shared" ca="1" si="112"/>
        <v>0</v>
      </c>
      <c r="AA192" s="14">
        <f>IF(AND($H192=pt,$F192=11),SUM($K$7:K192)*VLOOKUP(pt,ROC,2,FALSE),0)</f>
        <v>0</v>
      </c>
      <c r="AB192" s="14">
        <f>IF(AND($H192=pt,$F192=11),SUM($V$7:V192)*VLOOKUP(pt,ROC,2,FALSE),0)</f>
        <v>0</v>
      </c>
      <c r="AC192" s="14">
        <f>IF(AND($H192=pt,$F192=11),SUM($Q$7:Q192)*VLOOKUP(pt,ROC,2,FALSE),0)</f>
        <v>0</v>
      </c>
      <c r="AD192" s="14">
        <f t="shared" ca="1" si="134"/>
        <v>0</v>
      </c>
      <c r="AE192" s="14">
        <f ca="1">(MAX(sa-CF191*Flag_UL_Type,105%*SUM($I$7:I192),Z192)+AU192)*B192</f>
        <v>0</v>
      </c>
      <c r="AF192" s="136"/>
      <c r="AG192" s="18">
        <v>186</v>
      </c>
      <c r="AH192" s="30">
        <f t="shared" ca="1" si="113"/>
        <v>0</v>
      </c>
      <c r="AI192" s="58"/>
      <c r="AJ192" s="50">
        <f>IF(AND(Option_Sys_TopUp&gt;="Y",H192&gt;=sytp,H192&lt;=(dtp+sytp-1),F192=0,H192&lt;=ppt+1),atp,0)+IFERROR(VLOOKUP(H192,Input!$B$55:$C$61,2,0),0)*(F192=0)*(Option_TopUP="Y")*(Option_Sys_TopUp="N")*B192*(pt&gt;=H192+5)</f>
        <v>0</v>
      </c>
      <c r="AK192" s="50">
        <f t="shared" si="114"/>
        <v>0</v>
      </c>
      <c r="AL192" s="50">
        <f t="shared" si="135"/>
        <v>0</v>
      </c>
      <c r="AM192" s="50">
        <f t="shared" ca="1" si="115"/>
        <v>0</v>
      </c>
      <c r="AN192" s="50">
        <f>IF(B192=0,0,AT192*(_rpm1+(1+_emr1)*VLOOKUP(E192,Tab_Mort_Charge,IF(Input!$C$12="M",2,3),0))*(0.001*0.0833)*Flag_Mort_Rider_Charge*(AT192&gt;0))</f>
        <v>0</v>
      </c>
      <c r="AO192" s="50">
        <f t="shared" ca="1" si="136"/>
        <v>0</v>
      </c>
      <c r="AP192" s="50">
        <f t="shared" ca="1" si="143"/>
        <v>0</v>
      </c>
      <c r="AQ192" s="50">
        <f t="shared" ca="1" si="116"/>
        <v>0</v>
      </c>
      <c r="AR192" s="50">
        <f t="shared" ca="1" si="117"/>
        <v>0</v>
      </c>
      <c r="AS192" s="50">
        <f t="shared" si="118"/>
        <v>0</v>
      </c>
      <c r="AT192" s="50">
        <f ca="1">(MAX((MAX(AS192,105%*SUM($AJ$7:AJ192))-AM192*Flag_UL_Type),0)*B192)</f>
        <v>0</v>
      </c>
      <c r="AU192" s="50">
        <f ca="1">(MAX(AS192,AR192,105%*SUM($AJ$7:AJ192))*B192)</f>
        <v>0</v>
      </c>
      <c r="AV192" s="125"/>
      <c r="AW192" s="13"/>
      <c r="AX192" s="13"/>
      <c r="AY192" s="13"/>
      <c r="AZ192" s="13"/>
      <c r="BA192" s="13"/>
      <c r="BG192" s="51">
        <f t="shared" si="119"/>
        <v>0</v>
      </c>
      <c r="BH192" s="51">
        <f t="shared" si="120"/>
        <v>0</v>
      </c>
      <c r="BI192" s="51">
        <f t="shared" ca="1" si="121"/>
        <v>0</v>
      </c>
      <c r="BJ192" s="51">
        <f t="shared" ca="1" si="122"/>
        <v>0</v>
      </c>
      <c r="BK192" s="51">
        <f t="shared" si="123"/>
        <v>0</v>
      </c>
      <c r="BL192" s="51">
        <f t="shared" ca="1" si="124"/>
        <v>0</v>
      </c>
      <c r="BM192" s="51">
        <f t="shared" si="125"/>
        <v>0</v>
      </c>
      <c r="BN192" s="51">
        <f t="shared" si="126"/>
        <v>0</v>
      </c>
      <c r="BO192" s="51">
        <f t="shared" ca="1" si="127"/>
        <v>0</v>
      </c>
      <c r="BP192" s="51">
        <f t="shared" ca="1" si="128"/>
        <v>0</v>
      </c>
      <c r="BQ192" s="120"/>
      <c r="BR192" s="32"/>
      <c r="BS192" s="126"/>
      <c r="BT192" s="16"/>
      <c r="BU192" s="58"/>
      <c r="BW192" s="51">
        <f>VLOOKUP(H192,Charges!$AT$4:$AU$33,2,FALSE)*I192</f>
        <v>0</v>
      </c>
      <c r="BX192" s="51">
        <f t="shared" si="129"/>
        <v>0</v>
      </c>
      <c r="BY192" s="51">
        <f t="shared" si="137"/>
        <v>0</v>
      </c>
      <c r="BZ192" s="151"/>
      <c r="CA192" s="151"/>
      <c r="CB192" s="32"/>
      <c r="CC192" s="16">
        <f ca="1">SUM($N$7:$N192)</f>
        <v>0</v>
      </c>
      <c r="CD192" s="16">
        <f t="shared" ca="1" si="130"/>
        <v>0</v>
      </c>
      <c r="CE192" s="16">
        <f t="shared" ca="1" si="131"/>
        <v>0</v>
      </c>
      <c r="CF192" s="7">
        <f t="shared" ca="1" si="138"/>
        <v>0</v>
      </c>
    </row>
    <row r="193" spans="1:84" s="7" customFormat="1" x14ac:dyDescent="0.2">
      <c r="A193" s="149"/>
      <c r="B193" s="14">
        <f t="shared" si="100"/>
        <v>0</v>
      </c>
      <c r="C193" s="12">
        <f t="shared" si="101"/>
        <v>0</v>
      </c>
      <c r="D193" s="17">
        <f t="shared" si="139"/>
        <v>187</v>
      </c>
      <c r="E193" s="17">
        <f t="shared" ca="1" si="102"/>
        <v>75</v>
      </c>
      <c r="F193" s="12">
        <f t="shared" si="141"/>
        <v>6</v>
      </c>
      <c r="G193" s="12">
        <f t="shared" si="140"/>
        <v>32</v>
      </c>
      <c r="H193" s="17">
        <f t="shared" si="142"/>
        <v>16</v>
      </c>
      <c r="I193" s="29">
        <f t="shared" si="103"/>
        <v>0</v>
      </c>
      <c r="J193" s="211">
        <f>IFERROR(VLOOKUP(H193,Charges!$T$6:$U$35,2,0)*C193,0)</f>
        <v>0</v>
      </c>
      <c r="K193" s="29">
        <f t="shared" si="104"/>
        <v>0</v>
      </c>
      <c r="L193" s="29">
        <f t="shared" si="105"/>
        <v>0</v>
      </c>
      <c r="M193" s="147">
        <f t="shared" ca="1" si="106"/>
        <v>0</v>
      </c>
      <c r="N193" s="148">
        <f ca="1">IF(AND(Option_SPW="Y",H193&gt;=Lock_In_Period,Z192&gt;SPW_Amount_pa+IF(option="Single",1/5*pr,2*pr),H193&gt;=SPW_Start_Year,H193&lt;=SPW_Start_Year+SPW_Duration-1,age+H193&gt;=Legal_Age),IF(AND(F193=0,SPW_Payout_Freq=1),SPW_Amount_pa,IF(AND(SPW_Payout_Freq=2,MOD(F193,6)=0),SPW_Amount_pa/SPW_Payout_Freq,IF(AND(SPW_Payout_Freq=4,MOD(F193,3)=0),SPW_Amount_pa/SPW_Payout_Freq,IF(SPW_Payout_Freq=12,SPW_Amount_pa/SPW_Payout_Freq,0)))),0)+IFERROR(VLOOKUP(H193,Input!$B$68:$C$74,2,0),0)*(F193=0)*(Option_PW="Y")*(Option_SPW="N")*(age+H193&gt;=Legal_Age)</f>
        <v>0</v>
      </c>
      <c r="O193" s="148">
        <f t="shared" ca="1" si="132"/>
        <v>0</v>
      </c>
      <c r="P193" s="14">
        <f ca="1">(MAX(MAX(sa-CF192*Flag_UL_Type,105%*SUM($I$7:I193))-(AD192+L193-N193)*Flag_UL_Type,0)*B193)</f>
        <v>0</v>
      </c>
      <c r="Q193" s="213">
        <f t="shared" si="107"/>
        <v>0</v>
      </c>
      <c r="R193" s="14">
        <f t="shared" ca="1" si="108"/>
        <v>0</v>
      </c>
      <c r="S193" s="14">
        <f t="shared" ca="1" si="109"/>
        <v>0</v>
      </c>
      <c r="T193" s="14">
        <f>IFERROR(IF(WoP_Flag="Y",IF(fq=1,VLOOKUP(ppt*fq-H193,Charges!$AN$41:$AO$59,2,FALSE),IF(fq=2,VLOOKUP(ppt*fq-G193,Charges!$AP$41:$AQ$79,2,FALSE),VLOOKUP(ppt*fq-D193,Charges!$AR$41:$AS$279,2,FALSE)))*pr/fq,0),0)</f>
        <v>0</v>
      </c>
      <c r="U193" s="14">
        <f ca="1">IFERROR(((T193*(VLOOKUP(Input!$D$18+H193-1,Tab_Mort_Charge,IF(Gender_2="M",2,3),FALSE)*(1+_emr2)+_rpm2)/IF(Model_Type="LA_PQIS",1000/0.0833,(12*1000))))*Flag_Mort_Rider_Charge*(T193&gt;0),0)</f>
        <v>0</v>
      </c>
      <c r="V193" s="34">
        <f>ROUND(MIN(IF(H193&gt;=7,Charges!$C$12*(1+Charges!$C$14)^((H193-7+1)),VLOOKUP(H193,Charges!$B$7:$C$12,2,0))*pr,Charges!$C$13)*B193,Round)</f>
        <v>0</v>
      </c>
      <c r="W193" s="14">
        <f t="shared" ca="1" si="110"/>
        <v>0</v>
      </c>
      <c r="X193" s="14">
        <f t="shared" ca="1" si="111"/>
        <v>0</v>
      </c>
      <c r="Y193" s="213">
        <f t="shared" ca="1" si="133"/>
        <v>0</v>
      </c>
      <c r="Z193" s="14">
        <f t="shared" ca="1" si="112"/>
        <v>0</v>
      </c>
      <c r="AA193" s="14">
        <f>IF(AND($H193=pt,$F193=11),SUM($K$7:K193)*VLOOKUP(pt,ROC,2,FALSE),0)</f>
        <v>0</v>
      </c>
      <c r="AB193" s="14">
        <f>IF(AND($H193=pt,$F193=11),SUM($V$7:V193)*VLOOKUP(pt,ROC,2,FALSE),0)</f>
        <v>0</v>
      </c>
      <c r="AC193" s="14">
        <f>IF(AND($H193=pt,$F193=11),SUM($Q$7:Q193)*VLOOKUP(pt,ROC,2,FALSE),0)</f>
        <v>0</v>
      </c>
      <c r="AD193" s="14">
        <f t="shared" ca="1" si="134"/>
        <v>0</v>
      </c>
      <c r="AE193" s="14">
        <f ca="1">(MAX(sa-CF192*Flag_UL_Type,105%*SUM($I$7:I193),Z193)+AU193)*B193</f>
        <v>0</v>
      </c>
      <c r="AF193" s="136"/>
      <c r="AG193" s="18">
        <v>187</v>
      </c>
      <c r="AH193" s="30">
        <f t="shared" ca="1" si="113"/>
        <v>0</v>
      </c>
      <c r="AI193" s="58"/>
      <c r="AJ193" s="50">
        <f>IF(AND(Option_Sys_TopUp&gt;="Y",H193&gt;=sytp,H193&lt;=(dtp+sytp-1),F193=0,H193&lt;=ppt+1),atp,0)+IFERROR(VLOOKUP(H193,Input!$B$55:$C$61,2,0),0)*(F193=0)*(Option_TopUP="Y")*(Option_Sys_TopUp="N")*B193*(pt&gt;=H193+5)</f>
        <v>0</v>
      </c>
      <c r="AK193" s="50">
        <f t="shared" si="114"/>
        <v>0</v>
      </c>
      <c r="AL193" s="50">
        <f t="shared" si="135"/>
        <v>0</v>
      </c>
      <c r="AM193" s="50">
        <f t="shared" ca="1" si="115"/>
        <v>0</v>
      </c>
      <c r="AN193" s="50">
        <f>IF(B193=0,0,AT193*(_rpm1+(1+_emr1)*VLOOKUP(E193,Tab_Mort_Charge,IF(Input!$C$12="M",2,3),0))*(0.001*0.0833)*Flag_Mort_Rider_Charge*(AT193&gt;0))</f>
        <v>0</v>
      </c>
      <c r="AO193" s="50">
        <f t="shared" ca="1" si="136"/>
        <v>0</v>
      </c>
      <c r="AP193" s="50">
        <f t="shared" ca="1" si="143"/>
        <v>0</v>
      </c>
      <c r="AQ193" s="50">
        <f t="shared" ca="1" si="116"/>
        <v>0</v>
      </c>
      <c r="AR193" s="50">
        <f t="shared" ca="1" si="117"/>
        <v>0</v>
      </c>
      <c r="AS193" s="50">
        <f t="shared" si="118"/>
        <v>0</v>
      </c>
      <c r="AT193" s="50">
        <f ca="1">(MAX((MAX(AS193,105%*SUM($AJ$7:AJ193))-AM193*Flag_UL_Type),0)*B193)</f>
        <v>0</v>
      </c>
      <c r="AU193" s="50">
        <f ca="1">(MAX(AS193,AR193,105%*SUM($AJ$7:AJ193))*B193)</f>
        <v>0</v>
      </c>
      <c r="AV193" s="125"/>
      <c r="AW193" s="13"/>
      <c r="AX193" s="13"/>
      <c r="AY193" s="13"/>
      <c r="AZ193" s="13"/>
      <c r="BA193" s="13"/>
      <c r="BG193" s="51">
        <f t="shared" si="119"/>
        <v>0</v>
      </c>
      <c r="BH193" s="51">
        <f t="shared" si="120"/>
        <v>0</v>
      </c>
      <c r="BI193" s="51">
        <f t="shared" ca="1" si="121"/>
        <v>0</v>
      </c>
      <c r="BJ193" s="51">
        <f t="shared" ca="1" si="122"/>
        <v>0</v>
      </c>
      <c r="BK193" s="51">
        <f t="shared" si="123"/>
        <v>0</v>
      </c>
      <c r="BL193" s="51">
        <f t="shared" ca="1" si="124"/>
        <v>0</v>
      </c>
      <c r="BM193" s="51">
        <f t="shared" si="125"/>
        <v>0</v>
      </c>
      <c r="BN193" s="51">
        <f t="shared" si="126"/>
        <v>0</v>
      </c>
      <c r="BO193" s="51">
        <f t="shared" ca="1" si="127"/>
        <v>0</v>
      </c>
      <c r="BP193" s="51">
        <f t="shared" ca="1" si="128"/>
        <v>0</v>
      </c>
      <c r="BQ193" s="120"/>
      <c r="BR193" s="32"/>
      <c r="BS193" s="126"/>
      <c r="BT193" s="16"/>
      <c r="BU193" s="58"/>
      <c r="BW193" s="51">
        <f>VLOOKUP(H193,Charges!$AT$4:$AU$33,2,FALSE)*I193</f>
        <v>0</v>
      </c>
      <c r="BX193" s="51">
        <f t="shared" si="129"/>
        <v>0</v>
      </c>
      <c r="BY193" s="51">
        <f t="shared" si="137"/>
        <v>0</v>
      </c>
      <c r="BZ193" s="151"/>
      <c r="CA193" s="151"/>
      <c r="CB193" s="32"/>
      <c r="CC193" s="16">
        <f ca="1">SUM($N$7:$N193)</f>
        <v>0</v>
      </c>
      <c r="CD193" s="16">
        <f t="shared" ca="1" si="130"/>
        <v>0</v>
      </c>
      <c r="CE193" s="16">
        <f t="shared" ca="1" si="131"/>
        <v>0</v>
      </c>
      <c r="CF193" s="7">
        <f t="shared" ca="1" si="138"/>
        <v>0</v>
      </c>
    </row>
    <row r="194" spans="1:84" s="7" customFormat="1" x14ac:dyDescent="0.2">
      <c r="A194" s="149"/>
      <c r="B194" s="14">
        <f t="shared" si="100"/>
        <v>0</v>
      </c>
      <c r="C194" s="12">
        <f t="shared" si="101"/>
        <v>0</v>
      </c>
      <c r="D194" s="17">
        <f t="shared" si="139"/>
        <v>188</v>
      </c>
      <c r="E194" s="17">
        <f t="shared" ca="1" si="102"/>
        <v>75</v>
      </c>
      <c r="F194" s="12">
        <f t="shared" si="141"/>
        <v>7</v>
      </c>
      <c r="G194" s="12">
        <f t="shared" si="140"/>
        <v>32</v>
      </c>
      <c r="H194" s="17">
        <f t="shared" si="142"/>
        <v>16</v>
      </c>
      <c r="I194" s="29">
        <f t="shared" si="103"/>
        <v>0</v>
      </c>
      <c r="J194" s="211">
        <f>IFERROR(VLOOKUP(H194,Charges!$T$6:$U$35,2,0)*C194,0)</f>
        <v>0</v>
      </c>
      <c r="K194" s="29">
        <f t="shared" si="104"/>
        <v>0</v>
      </c>
      <c r="L194" s="29">
        <f t="shared" si="105"/>
        <v>0</v>
      </c>
      <c r="M194" s="147">
        <f t="shared" ca="1" si="106"/>
        <v>0</v>
      </c>
      <c r="N194" s="148">
        <f ca="1">IF(AND(Option_SPW="Y",H194&gt;=Lock_In_Period,Z193&gt;SPW_Amount_pa+IF(option="Single",1/5*pr,2*pr),H194&gt;=SPW_Start_Year,H194&lt;=SPW_Start_Year+SPW_Duration-1,age+H194&gt;=Legal_Age),IF(AND(F194=0,SPW_Payout_Freq=1),SPW_Amount_pa,IF(AND(SPW_Payout_Freq=2,MOD(F194,6)=0),SPW_Amount_pa/SPW_Payout_Freq,IF(AND(SPW_Payout_Freq=4,MOD(F194,3)=0),SPW_Amount_pa/SPW_Payout_Freq,IF(SPW_Payout_Freq=12,SPW_Amount_pa/SPW_Payout_Freq,0)))),0)+IFERROR(VLOOKUP(H194,Input!$B$68:$C$74,2,0),0)*(F194=0)*(Option_PW="Y")*(Option_SPW="N")*(age+H194&gt;=Legal_Age)</f>
        <v>0</v>
      </c>
      <c r="O194" s="148">
        <f t="shared" ca="1" si="132"/>
        <v>0</v>
      </c>
      <c r="P194" s="14">
        <f ca="1">(MAX(MAX(sa-CF193*Flag_UL_Type,105%*SUM($I$7:I194))-(AD193+L194-N194)*Flag_UL_Type,0)*B194)</f>
        <v>0</v>
      </c>
      <c r="Q194" s="213">
        <f t="shared" si="107"/>
        <v>0</v>
      </c>
      <c r="R194" s="14">
        <f t="shared" ca="1" si="108"/>
        <v>0</v>
      </c>
      <c r="S194" s="14">
        <f t="shared" ca="1" si="109"/>
        <v>0</v>
      </c>
      <c r="T194" s="14">
        <f>IFERROR(IF(WoP_Flag="Y",IF(fq=1,VLOOKUP(ppt*fq-H194,Charges!$AN$41:$AO$59,2,FALSE),IF(fq=2,VLOOKUP(ppt*fq-G194,Charges!$AP$41:$AQ$79,2,FALSE),VLOOKUP(ppt*fq-D194,Charges!$AR$41:$AS$279,2,FALSE)))*pr/fq,0),0)</f>
        <v>0</v>
      </c>
      <c r="U194" s="14">
        <f ca="1">IFERROR(((T194*(VLOOKUP(Input!$D$18+H194-1,Tab_Mort_Charge,IF(Gender_2="M",2,3),FALSE)*(1+_emr2)+_rpm2)/IF(Model_Type="LA_PQIS",1000/0.0833,(12*1000))))*Flag_Mort_Rider_Charge*(T194&gt;0),0)</f>
        <v>0</v>
      </c>
      <c r="V194" s="34">
        <f>ROUND(MIN(IF(H194&gt;=7,Charges!$C$12*(1+Charges!$C$14)^((H194-7+1)),VLOOKUP(H194,Charges!$B$7:$C$12,2,0))*pr,Charges!$C$13)*B194,Round)</f>
        <v>0</v>
      </c>
      <c r="W194" s="14">
        <f t="shared" ca="1" si="110"/>
        <v>0</v>
      </c>
      <c r="X194" s="14">
        <f t="shared" ca="1" si="111"/>
        <v>0</v>
      </c>
      <c r="Y194" s="213">
        <f t="shared" ca="1" si="133"/>
        <v>0</v>
      </c>
      <c r="Z194" s="14">
        <f t="shared" ca="1" si="112"/>
        <v>0</v>
      </c>
      <c r="AA194" s="14">
        <f>IF(AND($H194=pt,$F194=11),SUM($K$7:K194)*VLOOKUP(pt,ROC,2,FALSE),0)</f>
        <v>0</v>
      </c>
      <c r="AB194" s="14">
        <f>IF(AND($H194=pt,$F194=11),SUM($V$7:V194)*VLOOKUP(pt,ROC,2,FALSE),0)</f>
        <v>0</v>
      </c>
      <c r="AC194" s="14">
        <f>IF(AND($H194=pt,$F194=11),SUM($Q$7:Q194)*VLOOKUP(pt,ROC,2,FALSE),0)</f>
        <v>0</v>
      </c>
      <c r="AD194" s="14">
        <f t="shared" ca="1" si="134"/>
        <v>0</v>
      </c>
      <c r="AE194" s="14">
        <f ca="1">(MAX(sa-CF193*Flag_UL_Type,105%*SUM($I$7:I194),Z194)+AU194)*B194</f>
        <v>0</v>
      </c>
      <c r="AF194" s="136"/>
      <c r="AG194" s="18">
        <v>188</v>
      </c>
      <c r="AH194" s="30">
        <f t="shared" ca="1" si="113"/>
        <v>0</v>
      </c>
      <c r="AI194" s="58"/>
      <c r="AJ194" s="50">
        <f>IF(AND(Option_Sys_TopUp&gt;="Y",H194&gt;=sytp,H194&lt;=(dtp+sytp-1),F194=0,H194&lt;=ppt+1),atp,0)+IFERROR(VLOOKUP(H194,Input!$B$55:$C$61,2,0),0)*(F194=0)*(Option_TopUP="Y")*(Option_Sys_TopUp="N")*B194*(pt&gt;=H194+5)</f>
        <v>0</v>
      </c>
      <c r="AK194" s="50">
        <f t="shared" si="114"/>
        <v>0</v>
      </c>
      <c r="AL194" s="50">
        <f t="shared" si="135"/>
        <v>0</v>
      </c>
      <c r="AM194" s="50">
        <f t="shared" ca="1" si="115"/>
        <v>0</v>
      </c>
      <c r="AN194" s="50">
        <f>IF(B194=0,0,AT194*(_rpm1+(1+_emr1)*VLOOKUP(E194,Tab_Mort_Charge,IF(Input!$C$12="M",2,3),0))*(0.001*0.0833)*Flag_Mort_Rider_Charge*(AT194&gt;0))</f>
        <v>0</v>
      </c>
      <c r="AO194" s="50">
        <f t="shared" ca="1" si="136"/>
        <v>0</v>
      </c>
      <c r="AP194" s="50">
        <f t="shared" ca="1" si="143"/>
        <v>0</v>
      </c>
      <c r="AQ194" s="50">
        <f t="shared" ca="1" si="116"/>
        <v>0</v>
      </c>
      <c r="AR194" s="50">
        <f t="shared" ca="1" si="117"/>
        <v>0</v>
      </c>
      <c r="AS194" s="50">
        <f t="shared" si="118"/>
        <v>0</v>
      </c>
      <c r="AT194" s="50">
        <f ca="1">(MAX((MAX(AS194,105%*SUM($AJ$7:AJ194))-AM194*Flag_UL_Type),0)*B194)</f>
        <v>0</v>
      </c>
      <c r="AU194" s="50">
        <f ca="1">(MAX(AS194,AR194,105%*SUM($AJ$7:AJ194))*B194)</f>
        <v>0</v>
      </c>
      <c r="AV194" s="125"/>
      <c r="AW194" s="13"/>
      <c r="AX194" s="13"/>
      <c r="AY194" s="13"/>
      <c r="AZ194" s="13"/>
      <c r="BA194" s="13"/>
      <c r="BG194" s="51">
        <f t="shared" si="119"/>
        <v>0</v>
      </c>
      <c r="BH194" s="51">
        <f t="shared" si="120"/>
        <v>0</v>
      </c>
      <c r="BI194" s="51">
        <f t="shared" ca="1" si="121"/>
        <v>0</v>
      </c>
      <c r="BJ194" s="51">
        <f t="shared" ca="1" si="122"/>
        <v>0</v>
      </c>
      <c r="BK194" s="51">
        <f t="shared" si="123"/>
        <v>0</v>
      </c>
      <c r="BL194" s="51">
        <f t="shared" ca="1" si="124"/>
        <v>0</v>
      </c>
      <c r="BM194" s="51">
        <f t="shared" si="125"/>
        <v>0</v>
      </c>
      <c r="BN194" s="51">
        <f t="shared" si="126"/>
        <v>0</v>
      </c>
      <c r="BO194" s="51">
        <f t="shared" ca="1" si="127"/>
        <v>0</v>
      </c>
      <c r="BP194" s="51">
        <f t="shared" ca="1" si="128"/>
        <v>0</v>
      </c>
      <c r="BQ194" s="120"/>
      <c r="BR194" s="32"/>
      <c r="BS194" s="126"/>
      <c r="BT194" s="16"/>
      <c r="BU194" s="58"/>
      <c r="BW194" s="51">
        <f>VLOOKUP(H194,Charges!$AT$4:$AU$33,2,FALSE)*I194</f>
        <v>0</v>
      </c>
      <c r="BX194" s="51">
        <f t="shared" si="129"/>
        <v>0</v>
      </c>
      <c r="BY194" s="51">
        <f t="shared" si="137"/>
        <v>0</v>
      </c>
      <c r="BZ194" s="151"/>
      <c r="CA194" s="151"/>
      <c r="CB194" s="32"/>
      <c r="CC194" s="16">
        <f ca="1">SUM($N$7:$N194)</f>
        <v>0</v>
      </c>
      <c r="CD194" s="16">
        <f t="shared" ca="1" si="130"/>
        <v>0</v>
      </c>
      <c r="CE194" s="16">
        <f t="shared" ca="1" si="131"/>
        <v>0</v>
      </c>
      <c r="CF194" s="7">
        <f t="shared" ca="1" si="138"/>
        <v>0</v>
      </c>
    </row>
    <row r="195" spans="1:84" s="7" customFormat="1" x14ac:dyDescent="0.2">
      <c r="A195" s="149"/>
      <c r="B195" s="14">
        <f t="shared" si="100"/>
        <v>0</v>
      </c>
      <c r="C195" s="12">
        <f t="shared" si="101"/>
        <v>0</v>
      </c>
      <c r="D195" s="17">
        <f t="shared" si="139"/>
        <v>189</v>
      </c>
      <c r="E195" s="17">
        <f t="shared" ca="1" si="102"/>
        <v>75</v>
      </c>
      <c r="F195" s="12">
        <f t="shared" si="141"/>
        <v>8</v>
      </c>
      <c r="G195" s="12">
        <f t="shared" si="140"/>
        <v>32</v>
      </c>
      <c r="H195" s="17">
        <f t="shared" si="142"/>
        <v>16</v>
      </c>
      <c r="I195" s="29">
        <f t="shared" si="103"/>
        <v>0</v>
      </c>
      <c r="J195" s="211">
        <f>IFERROR(VLOOKUP(H195,Charges!$T$6:$U$35,2,0)*C195,0)</f>
        <v>0</v>
      </c>
      <c r="K195" s="29">
        <f t="shared" si="104"/>
        <v>0</v>
      </c>
      <c r="L195" s="29">
        <f t="shared" si="105"/>
        <v>0</v>
      </c>
      <c r="M195" s="147">
        <f t="shared" ca="1" si="106"/>
        <v>0</v>
      </c>
      <c r="N195" s="148">
        <f ca="1">IF(AND(Option_SPW="Y",H195&gt;=Lock_In_Period,Z194&gt;SPW_Amount_pa+IF(option="Single",1/5*pr,2*pr),H195&gt;=SPW_Start_Year,H195&lt;=SPW_Start_Year+SPW_Duration-1,age+H195&gt;=Legal_Age),IF(AND(F195=0,SPW_Payout_Freq=1),SPW_Amount_pa,IF(AND(SPW_Payout_Freq=2,MOD(F195,6)=0),SPW_Amount_pa/SPW_Payout_Freq,IF(AND(SPW_Payout_Freq=4,MOD(F195,3)=0),SPW_Amount_pa/SPW_Payout_Freq,IF(SPW_Payout_Freq=12,SPW_Amount_pa/SPW_Payout_Freq,0)))),0)+IFERROR(VLOOKUP(H195,Input!$B$68:$C$74,2,0),0)*(F195=0)*(Option_PW="Y")*(Option_SPW="N")*(age+H195&gt;=Legal_Age)</f>
        <v>0</v>
      </c>
      <c r="O195" s="148">
        <f t="shared" ca="1" si="132"/>
        <v>0</v>
      </c>
      <c r="P195" s="14">
        <f ca="1">(MAX(MAX(sa-CF194*Flag_UL_Type,105%*SUM($I$7:I195))-(AD194+L195-N195)*Flag_UL_Type,0)*B195)</f>
        <v>0</v>
      </c>
      <c r="Q195" s="213">
        <f t="shared" si="107"/>
        <v>0</v>
      </c>
      <c r="R195" s="14">
        <f t="shared" ca="1" si="108"/>
        <v>0</v>
      </c>
      <c r="S195" s="14">
        <f t="shared" ca="1" si="109"/>
        <v>0</v>
      </c>
      <c r="T195" s="14">
        <f>IFERROR(IF(WoP_Flag="Y",IF(fq=1,VLOOKUP(ppt*fq-H195,Charges!$AN$41:$AO$59,2,FALSE),IF(fq=2,VLOOKUP(ppt*fq-G195,Charges!$AP$41:$AQ$79,2,FALSE),VLOOKUP(ppt*fq-D195,Charges!$AR$41:$AS$279,2,FALSE)))*pr/fq,0),0)</f>
        <v>0</v>
      </c>
      <c r="U195" s="14">
        <f ca="1">IFERROR(((T195*(VLOOKUP(Input!$D$18+H195-1,Tab_Mort_Charge,IF(Gender_2="M",2,3),FALSE)*(1+_emr2)+_rpm2)/IF(Model_Type="LA_PQIS",1000/0.0833,(12*1000))))*Flag_Mort_Rider_Charge*(T195&gt;0),0)</f>
        <v>0</v>
      </c>
      <c r="V195" s="34">
        <f>ROUND(MIN(IF(H195&gt;=7,Charges!$C$12*(1+Charges!$C$14)^((H195-7+1)),VLOOKUP(H195,Charges!$B$7:$C$12,2,0))*pr,Charges!$C$13)*B195,Round)</f>
        <v>0</v>
      </c>
      <c r="W195" s="14">
        <f t="shared" ca="1" si="110"/>
        <v>0</v>
      </c>
      <c r="X195" s="14">
        <f t="shared" ca="1" si="111"/>
        <v>0</v>
      </c>
      <c r="Y195" s="213">
        <f t="shared" ca="1" si="133"/>
        <v>0</v>
      </c>
      <c r="Z195" s="14">
        <f t="shared" ca="1" si="112"/>
        <v>0</v>
      </c>
      <c r="AA195" s="14">
        <f>IF(AND($H195=pt,$F195=11),SUM($K$7:K195)*VLOOKUP(pt,ROC,2,FALSE),0)</f>
        <v>0</v>
      </c>
      <c r="AB195" s="14">
        <f>IF(AND($H195=pt,$F195=11),SUM($V$7:V195)*VLOOKUP(pt,ROC,2,FALSE),0)</f>
        <v>0</v>
      </c>
      <c r="AC195" s="14">
        <f>IF(AND($H195=pt,$F195=11),SUM($Q$7:Q195)*VLOOKUP(pt,ROC,2,FALSE),0)</f>
        <v>0</v>
      </c>
      <c r="AD195" s="14">
        <f t="shared" ca="1" si="134"/>
        <v>0</v>
      </c>
      <c r="AE195" s="14">
        <f ca="1">(MAX(sa-CF194*Flag_UL_Type,105%*SUM($I$7:I195),Z195)+AU195)*B195</f>
        <v>0</v>
      </c>
      <c r="AF195" s="136"/>
      <c r="AG195" s="18">
        <v>189</v>
      </c>
      <c r="AH195" s="30">
        <f t="shared" ca="1" si="113"/>
        <v>0</v>
      </c>
      <c r="AI195" s="58"/>
      <c r="AJ195" s="50">
        <f>IF(AND(Option_Sys_TopUp&gt;="Y",H195&gt;=sytp,H195&lt;=(dtp+sytp-1),F195=0,H195&lt;=ppt+1),atp,0)+IFERROR(VLOOKUP(H195,Input!$B$55:$C$61,2,0),0)*(F195=0)*(Option_TopUP="Y")*(Option_Sys_TopUp="N")*B195*(pt&gt;=H195+5)</f>
        <v>0</v>
      </c>
      <c r="AK195" s="50">
        <f t="shared" si="114"/>
        <v>0</v>
      </c>
      <c r="AL195" s="50">
        <f t="shared" si="135"/>
        <v>0</v>
      </c>
      <c r="AM195" s="50">
        <f t="shared" ca="1" si="115"/>
        <v>0</v>
      </c>
      <c r="AN195" s="50">
        <f>IF(B195=0,0,AT195*(_rpm1+(1+_emr1)*VLOOKUP(E195,Tab_Mort_Charge,IF(Input!$C$12="M",2,3),0))*(0.001*0.0833)*Flag_Mort_Rider_Charge*(AT195&gt;0))</f>
        <v>0</v>
      </c>
      <c r="AO195" s="50">
        <f t="shared" ca="1" si="136"/>
        <v>0</v>
      </c>
      <c r="AP195" s="50">
        <f t="shared" ca="1" si="143"/>
        <v>0</v>
      </c>
      <c r="AQ195" s="50">
        <f t="shared" ca="1" si="116"/>
        <v>0</v>
      </c>
      <c r="AR195" s="50">
        <f t="shared" ca="1" si="117"/>
        <v>0</v>
      </c>
      <c r="AS195" s="50">
        <f t="shared" si="118"/>
        <v>0</v>
      </c>
      <c r="AT195" s="50">
        <f ca="1">(MAX((MAX(AS195,105%*SUM($AJ$7:AJ195))-AM195*Flag_UL_Type),0)*B195)</f>
        <v>0</v>
      </c>
      <c r="AU195" s="50">
        <f ca="1">(MAX(AS195,AR195,105%*SUM($AJ$7:AJ195))*B195)</f>
        <v>0</v>
      </c>
      <c r="AV195" s="125"/>
      <c r="AW195" s="13"/>
      <c r="AX195" s="13"/>
      <c r="AY195" s="13"/>
      <c r="AZ195" s="13"/>
      <c r="BA195" s="13"/>
      <c r="BG195" s="51">
        <f t="shared" si="119"/>
        <v>0</v>
      </c>
      <c r="BH195" s="51">
        <f t="shared" si="120"/>
        <v>0</v>
      </c>
      <c r="BI195" s="51">
        <f t="shared" ca="1" si="121"/>
        <v>0</v>
      </c>
      <c r="BJ195" s="51">
        <f t="shared" ca="1" si="122"/>
        <v>0</v>
      </c>
      <c r="BK195" s="51">
        <f t="shared" si="123"/>
        <v>0</v>
      </c>
      <c r="BL195" s="51">
        <f t="shared" ca="1" si="124"/>
        <v>0</v>
      </c>
      <c r="BM195" s="51">
        <f t="shared" si="125"/>
        <v>0</v>
      </c>
      <c r="BN195" s="51">
        <f t="shared" si="126"/>
        <v>0</v>
      </c>
      <c r="BO195" s="51">
        <f t="shared" ca="1" si="127"/>
        <v>0</v>
      </c>
      <c r="BP195" s="51">
        <f t="shared" ca="1" si="128"/>
        <v>0</v>
      </c>
      <c r="BQ195" s="120"/>
      <c r="BR195" s="32"/>
      <c r="BS195" s="126"/>
      <c r="BT195" s="16"/>
      <c r="BU195" s="58"/>
      <c r="BW195" s="51">
        <f>VLOOKUP(H195,Charges!$AT$4:$AU$33,2,FALSE)*I195</f>
        <v>0</v>
      </c>
      <c r="BX195" s="51">
        <f t="shared" si="129"/>
        <v>0</v>
      </c>
      <c r="BY195" s="51">
        <f t="shared" si="137"/>
        <v>0</v>
      </c>
      <c r="BZ195" s="151"/>
      <c r="CA195" s="151"/>
      <c r="CB195" s="32"/>
      <c r="CC195" s="16">
        <f ca="1">SUM($N$7:$N195)</f>
        <v>0</v>
      </c>
      <c r="CD195" s="16">
        <f t="shared" ca="1" si="130"/>
        <v>0</v>
      </c>
      <c r="CE195" s="16">
        <f t="shared" ca="1" si="131"/>
        <v>0</v>
      </c>
      <c r="CF195" s="7">
        <f t="shared" ca="1" si="138"/>
        <v>0</v>
      </c>
    </row>
    <row r="196" spans="1:84" s="7" customFormat="1" x14ac:dyDescent="0.2">
      <c r="A196" s="149"/>
      <c r="B196" s="14">
        <f t="shared" si="100"/>
        <v>0</v>
      </c>
      <c r="C196" s="12">
        <f t="shared" si="101"/>
        <v>0</v>
      </c>
      <c r="D196" s="17">
        <f t="shared" si="139"/>
        <v>190</v>
      </c>
      <c r="E196" s="17">
        <f t="shared" ca="1" si="102"/>
        <v>75</v>
      </c>
      <c r="F196" s="12">
        <f t="shared" si="141"/>
        <v>9</v>
      </c>
      <c r="G196" s="12">
        <f t="shared" si="140"/>
        <v>32</v>
      </c>
      <c r="H196" s="17">
        <f t="shared" si="142"/>
        <v>16</v>
      </c>
      <c r="I196" s="29">
        <f t="shared" si="103"/>
        <v>0</v>
      </c>
      <c r="J196" s="211">
        <f>IFERROR(VLOOKUP(H196,Charges!$T$6:$U$35,2,0)*C196,0)</f>
        <v>0</v>
      </c>
      <c r="K196" s="29">
        <f t="shared" si="104"/>
        <v>0</v>
      </c>
      <c r="L196" s="29">
        <f t="shared" si="105"/>
        <v>0</v>
      </c>
      <c r="M196" s="147">
        <f t="shared" ca="1" si="106"/>
        <v>0</v>
      </c>
      <c r="N196" s="148">
        <f ca="1">IF(AND(Option_SPW="Y",H196&gt;=Lock_In_Period,Z195&gt;SPW_Amount_pa+IF(option="Single",1/5*pr,2*pr),H196&gt;=SPW_Start_Year,H196&lt;=SPW_Start_Year+SPW_Duration-1,age+H196&gt;=Legal_Age),IF(AND(F196=0,SPW_Payout_Freq=1),SPW_Amount_pa,IF(AND(SPW_Payout_Freq=2,MOD(F196,6)=0),SPW_Amount_pa/SPW_Payout_Freq,IF(AND(SPW_Payout_Freq=4,MOD(F196,3)=0),SPW_Amount_pa/SPW_Payout_Freq,IF(SPW_Payout_Freq=12,SPW_Amount_pa/SPW_Payout_Freq,0)))),0)+IFERROR(VLOOKUP(H196,Input!$B$68:$C$74,2,0),0)*(F196=0)*(Option_PW="Y")*(Option_SPW="N")*(age+H196&gt;=Legal_Age)</f>
        <v>0</v>
      </c>
      <c r="O196" s="148">
        <f t="shared" ca="1" si="132"/>
        <v>0</v>
      </c>
      <c r="P196" s="14">
        <f ca="1">(MAX(MAX(sa-CF195*Flag_UL_Type,105%*SUM($I$7:I196))-(AD195+L196-N196)*Flag_UL_Type,0)*B196)</f>
        <v>0</v>
      </c>
      <c r="Q196" s="213">
        <f t="shared" si="107"/>
        <v>0</v>
      </c>
      <c r="R196" s="14">
        <f t="shared" ca="1" si="108"/>
        <v>0</v>
      </c>
      <c r="S196" s="14">
        <f t="shared" ca="1" si="109"/>
        <v>0</v>
      </c>
      <c r="T196" s="14">
        <f>IFERROR(IF(WoP_Flag="Y",IF(fq=1,VLOOKUP(ppt*fq-H196,Charges!$AN$41:$AO$59,2,FALSE),IF(fq=2,VLOOKUP(ppt*fq-G196,Charges!$AP$41:$AQ$79,2,FALSE),VLOOKUP(ppt*fq-D196,Charges!$AR$41:$AS$279,2,FALSE)))*pr/fq,0),0)</f>
        <v>0</v>
      </c>
      <c r="U196" s="14">
        <f ca="1">IFERROR(((T196*(VLOOKUP(Input!$D$18+H196-1,Tab_Mort_Charge,IF(Gender_2="M",2,3),FALSE)*(1+_emr2)+_rpm2)/IF(Model_Type="LA_PQIS",1000/0.0833,(12*1000))))*Flag_Mort_Rider_Charge*(T196&gt;0),0)</f>
        <v>0</v>
      </c>
      <c r="V196" s="34">
        <f>ROUND(MIN(IF(H196&gt;=7,Charges!$C$12*(1+Charges!$C$14)^((H196-7+1)),VLOOKUP(H196,Charges!$B$7:$C$12,2,0))*pr,Charges!$C$13)*B196,Round)</f>
        <v>0</v>
      </c>
      <c r="W196" s="14">
        <f t="shared" ca="1" si="110"/>
        <v>0</v>
      </c>
      <c r="X196" s="14">
        <f t="shared" ca="1" si="111"/>
        <v>0</v>
      </c>
      <c r="Y196" s="213">
        <f t="shared" ca="1" si="133"/>
        <v>0</v>
      </c>
      <c r="Z196" s="14">
        <f t="shared" ca="1" si="112"/>
        <v>0</v>
      </c>
      <c r="AA196" s="14">
        <f>IF(AND($H196=pt,$F196=11),SUM($K$7:K196)*VLOOKUP(pt,ROC,2,FALSE),0)</f>
        <v>0</v>
      </c>
      <c r="AB196" s="14">
        <f>IF(AND($H196=pt,$F196=11),SUM($V$7:V196)*VLOOKUP(pt,ROC,2,FALSE),0)</f>
        <v>0</v>
      </c>
      <c r="AC196" s="14">
        <f>IF(AND($H196=pt,$F196=11),SUM($Q$7:Q196)*VLOOKUP(pt,ROC,2,FALSE),0)</f>
        <v>0</v>
      </c>
      <c r="AD196" s="14">
        <f t="shared" ca="1" si="134"/>
        <v>0</v>
      </c>
      <c r="AE196" s="14">
        <f ca="1">(MAX(sa-CF195*Flag_UL_Type,105%*SUM($I$7:I196),Z196)+AU196)*B196</f>
        <v>0</v>
      </c>
      <c r="AF196" s="136"/>
      <c r="AG196" s="18">
        <v>190</v>
      </c>
      <c r="AH196" s="30">
        <f t="shared" ca="1" si="113"/>
        <v>0</v>
      </c>
      <c r="AI196" s="58"/>
      <c r="AJ196" s="50">
        <f>IF(AND(Option_Sys_TopUp&gt;="Y",H196&gt;=sytp,H196&lt;=(dtp+sytp-1),F196=0,H196&lt;=ppt+1),atp,0)+IFERROR(VLOOKUP(H196,Input!$B$55:$C$61,2,0),0)*(F196=0)*(Option_TopUP="Y")*(Option_Sys_TopUp="N")*B196*(pt&gt;=H196+5)</f>
        <v>0</v>
      </c>
      <c r="AK196" s="50">
        <f t="shared" si="114"/>
        <v>0</v>
      </c>
      <c r="AL196" s="50">
        <f t="shared" si="135"/>
        <v>0</v>
      </c>
      <c r="AM196" s="50">
        <f t="shared" ca="1" si="115"/>
        <v>0</v>
      </c>
      <c r="AN196" s="50">
        <f>IF(B196=0,0,AT196*(_rpm1+(1+_emr1)*VLOOKUP(E196,Tab_Mort_Charge,IF(Input!$C$12="M",2,3),0))*(0.001*0.0833)*Flag_Mort_Rider_Charge*(AT196&gt;0))</f>
        <v>0</v>
      </c>
      <c r="AO196" s="50">
        <f t="shared" ca="1" si="136"/>
        <v>0</v>
      </c>
      <c r="AP196" s="50">
        <f t="shared" ca="1" si="143"/>
        <v>0</v>
      </c>
      <c r="AQ196" s="50">
        <f t="shared" ca="1" si="116"/>
        <v>0</v>
      </c>
      <c r="AR196" s="50">
        <f t="shared" ca="1" si="117"/>
        <v>0</v>
      </c>
      <c r="AS196" s="50">
        <f t="shared" si="118"/>
        <v>0</v>
      </c>
      <c r="AT196" s="50">
        <f ca="1">(MAX((MAX(AS196,105%*SUM($AJ$7:AJ196))-AM196*Flag_UL_Type),0)*B196)</f>
        <v>0</v>
      </c>
      <c r="AU196" s="50">
        <f ca="1">(MAX(AS196,AR196,105%*SUM($AJ$7:AJ196))*B196)</f>
        <v>0</v>
      </c>
      <c r="AV196" s="125"/>
      <c r="AW196" s="13"/>
      <c r="AX196" s="13"/>
      <c r="AY196" s="13"/>
      <c r="AZ196" s="13"/>
      <c r="BA196" s="13"/>
      <c r="BG196" s="51">
        <f t="shared" si="119"/>
        <v>0</v>
      </c>
      <c r="BH196" s="51">
        <f t="shared" si="120"/>
        <v>0</v>
      </c>
      <c r="BI196" s="51">
        <f t="shared" ca="1" si="121"/>
        <v>0</v>
      </c>
      <c r="BJ196" s="51">
        <f t="shared" ca="1" si="122"/>
        <v>0</v>
      </c>
      <c r="BK196" s="51">
        <f t="shared" si="123"/>
        <v>0</v>
      </c>
      <c r="BL196" s="51">
        <f t="shared" ca="1" si="124"/>
        <v>0</v>
      </c>
      <c r="BM196" s="51">
        <f t="shared" si="125"/>
        <v>0</v>
      </c>
      <c r="BN196" s="51">
        <f t="shared" si="126"/>
        <v>0</v>
      </c>
      <c r="BO196" s="51">
        <f t="shared" ca="1" si="127"/>
        <v>0</v>
      </c>
      <c r="BP196" s="51">
        <f t="shared" ca="1" si="128"/>
        <v>0</v>
      </c>
      <c r="BQ196" s="120"/>
      <c r="BR196" s="32"/>
      <c r="BS196" s="126"/>
      <c r="BT196" s="16"/>
      <c r="BU196" s="58"/>
      <c r="BW196" s="51">
        <f>VLOOKUP(H196,Charges!$AT$4:$AU$33,2,FALSE)*I196</f>
        <v>0</v>
      </c>
      <c r="BX196" s="51">
        <f t="shared" si="129"/>
        <v>0</v>
      </c>
      <c r="BY196" s="51">
        <f t="shared" si="137"/>
        <v>0</v>
      </c>
      <c r="BZ196" s="151"/>
      <c r="CA196" s="151"/>
      <c r="CB196" s="32"/>
      <c r="CC196" s="16">
        <f ca="1">SUM($N$7:$N196)</f>
        <v>0</v>
      </c>
      <c r="CD196" s="16">
        <f t="shared" ca="1" si="130"/>
        <v>0</v>
      </c>
      <c r="CE196" s="16">
        <f t="shared" ca="1" si="131"/>
        <v>0</v>
      </c>
      <c r="CF196" s="7">
        <f t="shared" ca="1" si="138"/>
        <v>0</v>
      </c>
    </row>
    <row r="197" spans="1:84" s="7" customFormat="1" x14ac:dyDescent="0.2">
      <c r="A197" s="149"/>
      <c r="B197" s="14">
        <f t="shared" si="100"/>
        <v>0</v>
      </c>
      <c r="C197" s="12">
        <f t="shared" si="101"/>
        <v>0</v>
      </c>
      <c r="D197" s="17">
        <f t="shared" si="139"/>
        <v>191</v>
      </c>
      <c r="E197" s="17">
        <f t="shared" ca="1" si="102"/>
        <v>75</v>
      </c>
      <c r="F197" s="12">
        <f t="shared" si="141"/>
        <v>10</v>
      </c>
      <c r="G197" s="12">
        <f t="shared" si="140"/>
        <v>32</v>
      </c>
      <c r="H197" s="17">
        <f t="shared" si="142"/>
        <v>16</v>
      </c>
      <c r="I197" s="29">
        <f t="shared" si="103"/>
        <v>0</v>
      </c>
      <c r="J197" s="211">
        <f>IFERROR(VLOOKUP(H197,Charges!$T$6:$U$35,2,0)*C197,0)</f>
        <v>0</v>
      </c>
      <c r="K197" s="29">
        <f t="shared" si="104"/>
        <v>0</v>
      </c>
      <c r="L197" s="29">
        <f t="shared" si="105"/>
        <v>0</v>
      </c>
      <c r="M197" s="147">
        <f t="shared" ca="1" si="106"/>
        <v>0</v>
      </c>
      <c r="N197" s="148">
        <f ca="1">IF(AND(Option_SPW="Y",H197&gt;=Lock_In_Period,Z196&gt;SPW_Amount_pa+IF(option="Single",1/5*pr,2*pr),H197&gt;=SPW_Start_Year,H197&lt;=SPW_Start_Year+SPW_Duration-1,age+H197&gt;=Legal_Age),IF(AND(F197=0,SPW_Payout_Freq=1),SPW_Amount_pa,IF(AND(SPW_Payout_Freq=2,MOD(F197,6)=0),SPW_Amount_pa/SPW_Payout_Freq,IF(AND(SPW_Payout_Freq=4,MOD(F197,3)=0),SPW_Amount_pa/SPW_Payout_Freq,IF(SPW_Payout_Freq=12,SPW_Amount_pa/SPW_Payout_Freq,0)))),0)+IFERROR(VLOOKUP(H197,Input!$B$68:$C$74,2,0),0)*(F197=0)*(Option_PW="Y")*(Option_SPW="N")*(age+H197&gt;=Legal_Age)</f>
        <v>0</v>
      </c>
      <c r="O197" s="148">
        <f t="shared" ca="1" si="132"/>
        <v>0</v>
      </c>
      <c r="P197" s="14">
        <f ca="1">(MAX(MAX(sa-CF196*Flag_UL_Type,105%*SUM($I$7:I197))-(AD196+L197-N197)*Flag_UL_Type,0)*B197)</f>
        <v>0</v>
      </c>
      <c r="Q197" s="213">
        <f t="shared" si="107"/>
        <v>0</v>
      </c>
      <c r="R197" s="14">
        <f t="shared" ca="1" si="108"/>
        <v>0</v>
      </c>
      <c r="S197" s="14">
        <f t="shared" ca="1" si="109"/>
        <v>0</v>
      </c>
      <c r="T197" s="14">
        <f>IFERROR(IF(WoP_Flag="Y",IF(fq=1,VLOOKUP(ppt*fq-H197,Charges!$AN$41:$AO$59,2,FALSE),IF(fq=2,VLOOKUP(ppt*fq-G197,Charges!$AP$41:$AQ$79,2,FALSE),VLOOKUP(ppt*fq-D197,Charges!$AR$41:$AS$279,2,FALSE)))*pr/fq,0),0)</f>
        <v>0</v>
      </c>
      <c r="U197" s="14">
        <f ca="1">IFERROR(((T197*(VLOOKUP(Input!$D$18+H197-1,Tab_Mort_Charge,IF(Gender_2="M",2,3),FALSE)*(1+_emr2)+_rpm2)/IF(Model_Type="LA_PQIS",1000/0.0833,(12*1000))))*Flag_Mort_Rider_Charge*(T197&gt;0),0)</f>
        <v>0</v>
      </c>
      <c r="V197" s="34">
        <f>ROUND(MIN(IF(H197&gt;=7,Charges!$C$12*(1+Charges!$C$14)^((H197-7+1)),VLOOKUP(H197,Charges!$B$7:$C$12,2,0))*pr,Charges!$C$13)*B197,Round)</f>
        <v>0</v>
      </c>
      <c r="W197" s="14">
        <f t="shared" ca="1" si="110"/>
        <v>0</v>
      </c>
      <c r="X197" s="14">
        <f t="shared" ca="1" si="111"/>
        <v>0</v>
      </c>
      <c r="Y197" s="213">
        <f t="shared" ca="1" si="133"/>
        <v>0</v>
      </c>
      <c r="Z197" s="14">
        <f t="shared" ca="1" si="112"/>
        <v>0</v>
      </c>
      <c r="AA197" s="14">
        <f>IF(AND($H197=pt,$F197=11),SUM($K$7:K197)*VLOOKUP(pt,ROC,2,FALSE),0)</f>
        <v>0</v>
      </c>
      <c r="AB197" s="14">
        <f>IF(AND($H197=pt,$F197=11),SUM($V$7:V197)*VLOOKUP(pt,ROC,2,FALSE),0)</f>
        <v>0</v>
      </c>
      <c r="AC197" s="14">
        <f>IF(AND($H197=pt,$F197=11),SUM($Q$7:Q197)*VLOOKUP(pt,ROC,2,FALSE),0)</f>
        <v>0</v>
      </c>
      <c r="AD197" s="14">
        <f t="shared" ca="1" si="134"/>
        <v>0</v>
      </c>
      <c r="AE197" s="14">
        <f ca="1">(MAX(sa-CF196*Flag_UL_Type,105%*SUM($I$7:I197),Z197)+AU197)*B197</f>
        <v>0</v>
      </c>
      <c r="AF197" s="136"/>
      <c r="AG197" s="18">
        <v>191</v>
      </c>
      <c r="AH197" s="30">
        <f t="shared" ca="1" si="113"/>
        <v>0</v>
      </c>
      <c r="AI197" s="58"/>
      <c r="AJ197" s="50">
        <f>IF(AND(Option_Sys_TopUp&gt;="Y",H197&gt;=sytp,H197&lt;=(dtp+sytp-1),F197=0,H197&lt;=ppt+1),atp,0)+IFERROR(VLOOKUP(H197,Input!$B$55:$C$61,2,0),0)*(F197=0)*(Option_TopUP="Y")*(Option_Sys_TopUp="N")*B197*(pt&gt;=H197+5)</f>
        <v>0</v>
      </c>
      <c r="AK197" s="50">
        <f t="shared" si="114"/>
        <v>0</v>
      </c>
      <c r="AL197" s="50">
        <f t="shared" si="135"/>
        <v>0</v>
      </c>
      <c r="AM197" s="50">
        <f t="shared" ca="1" si="115"/>
        <v>0</v>
      </c>
      <c r="AN197" s="50">
        <f>IF(B197=0,0,AT197*(_rpm1+(1+_emr1)*VLOOKUP(E197,Tab_Mort_Charge,IF(Input!$C$12="M",2,3),0))*(0.001*0.0833)*Flag_Mort_Rider_Charge*(AT197&gt;0))</f>
        <v>0</v>
      </c>
      <c r="AO197" s="50">
        <f t="shared" ca="1" si="136"/>
        <v>0</v>
      </c>
      <c r="AP197" s="50">
        <f t="shared" ca="1" si="143"/>
        <v>0</v>
      </c>
      <c r="AQ197" s="50">
        <f t="shared" ca="1" si="116"/>
        <v>0</v>
      </c>
      <c r="AR197" s="50">
        <f t="shared" ca="1" si="117"/>
        <v>0</v>
      </c>
      <c r="AS197" s="50">
        <f t="shared" si="118"/>
        <v>0</v>
      </c>
      <c r="AT197" s="50">
        <f ca="1">(MAX((MAX(AS197,105%*SUM($AJ$7:AJ197))-AM197*Flag_UL_Type),0)*B197)</f>
        <v>0</v>
      </c>
      <c r="AU197" s="50">
        <f ca="1">(MAX(AS197,AR197,105%*SUM($AJ$7:AJ197))*B197)</f>
        <v>0</v>
      </c>
      <c r="AV197" s="125"/>
      <c r="AW197" s="13"/>
      <c r="AX197" s="13"/>
      <c r="AY197" s="13"/>
      <c r="AZ197" s="13"/>
      <c r="BA197" s="13"/>
      <c r="BG197" s="51">
        <f t="shared" si="119"/>
        <v>0</v>
      </c>
      <c r="BH197" s="51">
        <f t="shared" si="120"/>
        <v>0</v>
      </c>
      <c r="BI197" s="51">
        <f t="shared" ca="1" si="121"/>
        <v>0</v>
      </c>
      <c r="BJ197" s="51">
        <f t="shared" ca="1" si="122"/>
        <v>0</v>
      </c>
      <c r="BK197" s="51">
        <f t="shared" si="123"/>
        <v>0</v>
      </c>
      <c r="BL197" s="51">
        <f t="shared" ca="1" si="124"/>
        <v>0</v>
      </c>
      <c r="BM197" s="51">
        <f t="shared" si="125"/>
        <v>0</v>
      </c>
      <c r="BN197" s="51">
        <f t="shared" si="126"/>
        <v>0</v>
      </c>
      <c r="BO197" s="51">
        <f t="shared" ca="1" si="127"/>
        <v>0</v>
      </c>
      <c r="BP197" s="51">
        <f t="shared" ca="1" si="128"/>
        <v>0</v>
      </c>
      <c r="BQ197" s="120"/>
      <c r="BR197" s="32"/>
      <c r="BS197" s="126"/>
      <c r="BT197" s="16"/>
      <c r="BU197" s="58"/>
      <c r="BW197" s="51">
        <f>VLOOKUP(H197,Charges!$AT$4:$AU$33,2,FALSE)*I197</f>
        <v>0</v>
      </c>
      <c r="BX197" s="51">
        <f t="shared" si="129"/>
        <v>0</v>
      </c>
      <c r="BY197" s="51">
        <f t="shared" si="137"/>
        <v>0</v>
      </c>
      <c r="BZ197" s="151"/>
      <c r="CA197" s="151"/>
      <c r="CB197" s="32"/>
      <c r="CC197" s="16">
        <f ca="1">SUM($N$7:$N197)</f>
        <v>0</v>
      </c>
      <c r="CD197" s="16">
        <f t="shared" ca="1" si="130"/>
        <v>0</v>
      </c>
      <c r="CE197" s="16">
        <f t="shared" ca="1" si="131"/>
        <v>0</v>
      </c>
      <c r="CF197" s="7">
        <f t="shared" ca="1" si="138"/>
        <v>0</v>
      </c>
    </row>
    <row r="198" spans="1:84" s="7" customFormat="1" x14ac:dyDescent="0.2">
      <c r="A198" s="149"/>
      <c r="B198" s="14">
        <f t="shared" si="100"/>
        <v>0</v>
      </c>
      <c r="C198" s="12">
        <f t="shared" si="101"/>
        <v>0</v>
      </c>
      <c r="D198" s="17">
        <f t="shared" si="139"/>
        <v>192</v>
      </c>
      <c r="E198" s="17">
        <f t="shared" ca="1" si="102"/>
        <v>75</v>
      </c>
      <c r="F198" s="12">
        <f t="shared" si="141"/>
        <v>11</v>
      </c>
      <c r="G198" s="12">
        <f t="shared" si="140"/>
        <v>32</v>
      </c>
      <c r="H198" s="17">
        <f t="shared" si="142"/>
        <v>16</v>
      </c>
      <c r="I198" s="29">
        <f t="shared" si="103"/>
        <v>0</v>
      </c>
      <c r="J198" s="211">
        <f>IFERROR(VLOOKUP(H198,Charges!$T$6:$U$35,2,0)*C198,0)</f>
        <v>0</v>
      </c>
      <c r="K198" s="29">
        <f t="shared" si="104"/>
        <v>0</v>
      </c>
      <c r="L198" s="29">
        <f t="shared" si="105"/>
        <v>0</v>
      </c>
      <c r="M198" s="147">
        <f t="shared" ca="1" si="106"/>
        <v>0</v>
      </c>
      <c r="N198" s="148">
        <f ca="1">IF(AND(Option_SPW="Y",H198&gt;=Lock_In_Period,Z197&gt;SPW_Amount_pa+IF(option="Single",1/5*pr,2*pr),H198&gt;=SPW_Start_Year,H198&lt;=SPW_Start_Year+SPW_Duration-1,age+H198&gt;=Legal_Age),IF(AND(F198=0,SPW_Payout_Freq=1),SPW_Amount_pa,IF(AND(SPW_Payout_Freq=2,MOD(F198,6)=0),SPW_Amount_pa/SPW_Payout_Freq,IF(AND(SPW_Payout_Freq=4,MOD(F198,3)=0),SPW_Amount_pa/SPW_Payout_Freq,IF(SPW_Payout_Freq=12,SPW_Amount_pa/SPW_Payout_Freq,0)))),0)+IFERROR(VLOOKUP(H198,Input!$B$68:$C$74,2,0),0)*(F198=0)*(Option_PW="Y")*(Option_SPW="N")*(age+H198&gt;=Legal_Age)</f>
        <v>0</v>
      </c>
      <c r="O198" s="148">
        <f t="shared" ca="1" si="132"/>
        <v>0</v>
      </c>
      <c r="P198" s="14">
        <f ca="1">(MAX(MAX(sa-CF197*Flag_UL_Type,105%*SUM($I$7:I198))-(AD197+L198-N198)*Flag_UL_Type,0)*B198)</f>
        <v>0</v>
      </c>
      <c r="Q198" s="213">
        <f t="shared" si="107"/>
        <v>0</v>
      </c>
      <c r="R198" s="14">
        <f t="shared" ca="1" si="108"/>
        <v>0</v>
      </c>
      <c r="S198" s="14">
        <f t="shared" ca="1" si="109"/>
        <v>0</v>
      </c>
      <c r="T198" s="14">
        <f>IFERROR(IF(WoP_Flag="Y",IF(fq=1,VLOOKUP(ppt*fq-H198,Charges!$AN$41:$AO$59,2,FALSE),IF(fq=2,VLOOKUP(ppt*fq-G198,Charges!$AP$41:$AQ$79,2,FALSE),VLOOKUP(ppt*fq-D198,Charges!$AR$41:$AS$279,2,FALSE)))*pr/fq,0),0)</f>
        <v>0</v>
      </c>
      <c r="U198" s="14">
        <f ca="1">IFERROR(((T198*(VLOOKUP(Input!$D$18+H198-1,Tab_Mort_Charge,IF(Gender_2="M",2,3),FALSE)*(1+_emr2)+_rpm2)/IF(Model_Type="LA_PQIS",1000/0.0833,(12*1000))))*Flag_Mort_Rider_Charge*(T198&gt;0),0)</f>
        <v>0</v>
      </c>
      <c r="V198" s="34">
        <f>ROUND(MIN(IF(H198&gt;=7,Charges!$C$12*(1+Charges!$C$14)^((H198-7+1)),VLOOKUP(H198,Charges!$B$7:$C$12,2,0))*pr,Charges!$C$13)*B198,Round)</f>
        <v>0</v>
      </c>
      <c r="W198" s="14">
        <f t="shared" ca="1" si="110"/>
        <v>0</v>
      </c>
      <c r="X198" s="14">
        <f t="shared" ca="1" si="111"/>
        <v>0</v>
      </c>
      <c r="Y198" s="213">
        <f t="shared" ca="1" si="133"/>
        <v>0</v>
      </c>
      <c r="Z198" s="14">
        <f t="shared" ca="1" si="112"/>
        <v>0</v>
      </c>
      <c r="AA198" s="14">
        <f>IF(AND($H198=pt,$F198=11),SUM($K$7:K198)*VLOOKUP(pt,ROC,2,FALSE),0)</f>
        <v>0</v>
      </c>
      <c r="AB198" s="14">
        <f>IF(AND($H198=pt,$F198=11),SUM($V$7:V198)*VLOOKUP(pt,ROC,2,FALSE),0)</f>
        <v>0</v>
      </c>
      <c r="AC198" s="14">
        <f>IF(AND($H198=pt,$F198=11),SUM($Q$7:Q198)*VLOOKUP(pt,ROC,2,FALSE),0)</f>
        <v>0</v>
      </c>
      <c r="AD198" s="14">
        <f t="shared" ca="1" si="134"/>
        <v>0</v>
      </c>
      <c r="AE198" s="14">
        <f ca="1">(MAX(sa-CF197*Flag_UL_Type,105%*SUM($I$7:I198),Z198)+AU198)*B198</f>
        <v>0</v>
      </c>
      <c r="AF198" s="136"/>
      <c r="AG198" s="18">
        <v>192</v>
      </c>
      <c r="AH198" s="30">
        <f t="shared" ca="1" si="113"/>
        <v>0</v>
      </c>
      <c r="AI198" s="58"/>
      <c r="AJ198" s="50">
        <f>IF(AND(Option_Sys_TopUp&gt;="Y",H198&gt;=sytp,H198&lt;=(dtp+sytp-1),F198=0,H198&lt;=ppt+1),atp,0)+IFERROR(VLOOKUP(H198,Input!$B$55:$C$61,2,0),0)*(F198=0)*(Option_TopUP="Y")*(Option_Sys_TopUp="N")*B198*(pt&gt;=H198+5)</f>
        <v>0</v>
      </c>
      <c r="AK198" s="50">
        <f t="shared" si="114"/>
        <v>0</v>
      </c>
      <c r="AL198" s="50">
        <f t="shared" si="135"/>
        <v>0</v>
      </c>
      <c r="AM198" s="50">
        <f t="shared" ca="1" si="115"/>
        <v>0</v>
      </c>
      <c r="AN198" s="50">
        <f>IF(B198=0,0,AT198*(_rpm1+(1+_emr1)*VLOOKUP(E198,Tab_Mort_Charge,IF(Input!$C$12="M",2,3),0))*(0.001*0.0833)*Flag_Mort_Rider_Charge*(AT198&gt;0))</f>
        <v>0</v>
      </c>
      <c r="AO198" s="50">
        <f t="shared" ca="1" si="136"/>
        <v>0</v>
      </c>
      <c r="AP198" s="50">
        <f t="shared" ca="1" si="143"/>
        <v>0</v>
      </c>
      <c r="AQ198" s="50">
        <f t="shared" ca="1" si="116"/>
        <v>0</v>
      </c>
      <c r="AR198" s="50">
        <f t="shared" ca="1" si="117"/>
        <v>0</v>
      </c>
      <c r="AS198" s="50">
        <f t="shared" si="118"/>
        <v>0</v>
      </c>
      <c r="AT198" s="50">
        <f ca="1">(MAX((MAX(AS198,105%*SUM($AJ$7:AJ198))-AM198*Flag_UL_Type),0)*B198)</f>
        <v>0</v>
      </c>
      <c r="AU198" s="50">
        <f ca="1">(MAX(AS198,AR198,105%*SUM($AJ$7:AJ198))*B198)</f>
        <v>0</v>
      </c>
      <c r="AV198" s="125"/>
      <c r="AW198" s="13"/>
      <c r="AX198" s="13"/>
      <c r="AY198" s="13"/>
      <c r="AZ198" s="13"/>
      <c r="BA198" s="13"/>
      <c r="BG198" s="51">
        <f t="shared" si="119"/>
        <v>0</v>
      </c>
      <c r="BH198" s="51">
        <f t="shared" si="120"/>
        <v>0</v>
      </c>
      <c r="BI198" s="51">
        <f t="shared" ca="1" si="121"/>
        <v>0</v>
      </c>
      <c r="BJ198" s="51">
        <f t="shared" ca="1" si="122"/>
        <v>0</v>
      </c>
      <c r="BK198" s="51">
        <f t="shared" si="123"/>
        <v>0</v>
      </c>
      <c r="BL198" s="51">
        <f t="shared" ca="1" si="124"/>
        <v>0</v>
      </c>
      <c r="BM198" s="51">
        <f t="shared" si="125"/>
        <v>0</v>
      </c>
      <c r="BN198" s="51">
        <f t="shared" si="126"/>
        <v>0</v>
      </c>
      <c r="BO198" s="51">
        <f t="shared" ca="1" si="127"/>
        <v>0</v>
      </c>
      <c r="BP198" s="51">
        <f t="shared" ca="1" si="128"/>
        <v>0</v>
      </c>
      <c r="BQ198" s="120"/>
      <c r="BR198" s="32"/>
      <c r="BS198" s="126"/>
      <c r="BT198" s="16"/>
      <c r="BU198" s="58"/>
      <c r="BW198" s="51">
        <f>VLOOKUP(H198,Charges!$AT$4:$AU$33,2,FALSE)*I198</f>
        <v>0</v>
      </c>
      <c r="BX198" s="51">
        <f t="shared" si="129"/>
        <v>0</v>
      </c>
      <c r="BY198" s="51">
        <f t="shared" si="137"/>
        <v>0</v>
      </c>
      <c r="BZ198" s="151"/>
      <c r="CA198" s="151"/>
      <c r="CB198" s="32"/>
      <c r="CC198" s="16">
        <f ca="1">SUM($N$7:$N198)</f>
        <v>0</v>
      </c>
      <c r="CD198" s="16">
        <f t="shared" ca="1" si="130"/>
        <v>0</v>
      </c>
      <c r="CE198" s="16">
        <f t="shared" ca="1" si="131"/>
        <v>0</v>
      </c>
      <c r="CF198" s="7">
        <f t="shared" ca="1" si="138"/>
        <v>0</v>
      </c>
    </row>
    <row r="199" spans="1:84" s="7" customFormat="1" x14ac:dyDescent="0.2">
      <c r="A199" s="149"/>
      <c r="B199" s="14">
        <f t="shared" ref="B199:B262" si="144">IF(H199&lt;=pt,1,0)</f>
        <v>0</v>
      </c>
      <c r="C199" s="12">
        <f t="shared" ref="C199:C262" si="145">IF(H199&lt;=ppt,1,0)</f>
        <v>0</v>
      </c>
      <c r="D199" s="17">
        <f t="shared" si="139"/>
        <v>193</v>
      </c>
      <c r="E199" s="17">
        <f t="shared" ref="E199:E262" ca="1" si="146">(age+(H199-1))</f>
        <v>76</v>
      </c>
      <c r="F199" s="12">
        <f t="shared" si="141"/>
        <v>0</v>
      </c>
      <c r="G199" s="12">
        <f t="shared" si="140"/>
        <v>33</v>
      </c>
      <c r="H199" s="17">
        <f t="shared" si="142"/>
        <v>17</v>
      </c>
      <c r="I199" s="29">
        <f t="shared" ref="I199:I262" si="147">IF(AND(H199&lt;=pt,H199&lt;=ppt,F199=0,fq=1),pr,IF(AND(H199&lt;=pt,H199&lt;=ppt,fq=2,MOD(F199,6)=0),pr/fq,IF(AND(H199&lt;=pt,H199&lt;=ppt,fq=12),pr/fq,0)))</f>
        <v>0</v>
      </c>
      <c r="J199" s="211">
        <f>IFERROR(VLOOKUP(H199,Charges!$T$6:$U$35,2,0)*C199,0)</f>
        <v>0</v>
      </c>
      <c r="K199" s="29">
        <f t="shared" ref="K199:K262" si="148">ROUND((100%-J199)*I199,Round)</f>
        <v>0</v>
      </c>
      <c r="L199" s="29">
        <f t="shared" ref="L199:L262" si="149">(I199-(K199+BG199*IF(Model_Type="Pricing_Unit",1,0)))*C199</f>
        <v>0</v>
      </c>
      <c r="M199" s="147">
        <f t="shared" ref="M199:M262" ca="1" si="150">IF(AND(OR(Option_PW="Y",Option_SPW="Y"),H199&gt;Lock_In_Period,H199&lt;=pt,(W199-IF(option="Single",1/5*pr,2*pr))&gt;0,(age+H199)&gt;=Legal_Age),(W198+L199-IF(option="Single",1/5*pr,2*pr)),0)</f>
        <v>0</v>
      </c>
      <c r="N199" s="148">
        <f ca="1">IF(AND(Option_SPW="Y",H199&gt;=Lock_In_Period,Z198&gt;SPW_Amount_pa+IF(option="Single",1/5*pr,2*pr),H199&gt;=SPW_Start_Year,H199&lt;=SPW_Start_Year+SPW_Duration-1,age+H199&gt;=Legal_Age),IF(AND(F199=0,SPW_Payout_Freq=1),SPW_Amount_pa,IF(AND(SPW_Payout_Freq=2,MOD(F199,6)=0),SPW_Amount_pa/SPW_Payout_Freq,IF(AND(SPW_Payout_Freq=4,MOD(F199,3)=0),SPW_Amount_pa/SPW_Payout_Freq,IF(SPW_Payout_Freq=12,SPW_Amount_pa/SPW_Payout_Freq,0)))),0)+IFERROR(VLOOKUP(H199,Input!$B$68:$C$74,2,0),0)*(F199=0)*(Option_PW="Y")*(Option_SPW="N")*(age+H199&gt;=Legal_Age)</f>
        <v>0</v>
      </c>
      <c r="O199" s="148">
        <f t="shared" ca="1" si="132"/>
        <v>0</v>
      </c>
      <c r="P199" s="14">
        <f ca="1">(MAX(MAX(sa-CF198*Flag_UL_Type,105%*SUM($I$7:I199))-(AD198+L199-N199)*Flag_UL_Type,0)*B199)</f>
        <v>0</v>
      </c>
      <c r="Q199" s="213">
        <f t="shared" ref="Q199:Q262" si="151">IF(B199=0,0,ROUND(P199*(_rpm1+(1+_emr1)*VLOOKUP(E199,Tab_Mort_Charge,IF(Gender="M",2,3),0))*Flag_Mort_Rider_Charge*(P199&gt;0),Round))*(0.001*IF(Model_Type="LA_PQIS",0.0833,(1/12)))</f>
        <v>0</v>
      </c>
      <c r="R199" s="14">
        <f t="shared" ref="R199:R262" ca="1" si="152">IF(AND(B199,ADB_Flag="Y",age&lt;=ADB_MAX_AGE,age&gt;=ADB_MIN_AGE,E199&lt;=age+pt),sa_adb,0)</f>
        <v>0</v>
      </c>
      <c r="S199" s="14">
        <f t="shared" ref="S199:S262" ca="1" si="153">ROUND((adb_rate*(1+adb_emr)+adb_rpm)*R199*(0.001*IF(Model_Type="LA_PQIS",0.0833,(1/12)))*Flag_Mort_Rider_Charge*IF(age+H199-1&lt;Max_Maturity_Age,1,0),Round)</f>
        <v>0</v>
      </c>
      <c r="T199" s="14">
        <f>IFERROR(IF(WoP_Flag="Y",IF(fq=1,VLOOKUP(ppt*fq-H199,Charges!$AN$41:$AO$59,2,FALSE),IF(fq=2,VLOOKUP(ppt*fq-G199,Charges!$AP$41:$AQ$79,2,FALSE),VLOOKUP(ppt*fq-D199,Charges!$AR$41:$AS$279,2,FALSE)))*pr/fq,0),0)</f>
        <v>0</v>
      </c>
      <c r="U199" s="14">
        <f ca="1">IFERROR(((T199*(VLOOKUP(Input!$D$18+H199-1,Tab_Mort_Charge,IF(Gender_2="M",2,3),FALSE)*(1+_emr2)+_rpm2)/IF(Model_Type="LA_PQIS",1000/0.0833,(12*1000))))*Flag_Mort_Rider_Charge*(T199&gt;0),0)</f>
        <v>0</v>
      </c>
      <c r="V199" s="34">
        <f>ROUND(MIN(IF(H199&gt;=7,Charges!$C$12*(1+Charges!$C$14)^((H199-7+1)),VLOOKUP(H199,Charges!$B$7:$C$12,2,0))*pr,Charges!$C$13)*B199,Round)</f>
        <v>0</v>
      </c>
      <c r="W199" s="14">
        <f t="shared" ref="W199:W262" ca="1" si="154">+(AD198+L199-(N199+Q199+S199+U199+V199+BG199*IF(Model_Type="La_PQIS",1,0)+BH199+BK199+BI199+BJ199+BM199*IF(Model_Type="La_PQIS",1,0)))*B199</f>
        <v>0</v>
      </c>
      <c r="X199" s="14">
        <f t="shared" ref="X199:X262" ca="1" si="155">W199*(1+$F$3)</f>
        <v>0</v>
      </c>
      <c r="Y199" s="213">
        <f t="shared" ca="1" si="133"/>
        <v>0</v>
      </c>
      <c r="Z199" s="14">
        <f t="shared" ref="Z199:Z262" ca="1" si="156">X199-(Y199+BL199)</f>
        <v>0</v>
      </c>
      <c r="AA199" s="14">
        <f>IF(AND($H199=pt,$F199=11),SUM($K$7:K199)*VLOOKUP(pt,ROC,2,FALSE),0)</f>
        <v>0</v>
      </c>
      <c r="AB199" s="14">
        <f>IF(AND($H199=pt,$F199=11),SUM($V$7:V199)*VLOOKUP(pt,ROC,2,FALSE),0)</f>
        <v>0</v>
      </c>
      <c r="AC199" s="14">
        <f>IF(AND($H199=pt,$F199=11),SUM($Q$7:Q199)*VLOOKUP(pt,ROC,2,FALSE),0)</f>
        <v>0</v>
      </c>
      <c r="AD199" s="14">
        <f t="shared" ca="1" si="134"/>
        <v>0</v>
      </c>
      <c r="AE199" s="14">
        <f ca="1">(MAX(sa-CF198*Flag_UL_Type,105%*SUM($I$7:I199),Z199)+AU199)*B199</f>
        <v>0</v>
      </c>
      <c r="AF199" s="136"/>
      <c r="AG199" s="18">
        <v>193</v>
      </c>
      <c r="AH199" s="30">
        <f t="shared" ref="AH199:AH262" ca="1" si="157">(I199+AJ199)-IF(AG199=pt*12+1,AD198,0)-IF(AG199=pt*12+1,AR198,0)-N199</f>
        <v>0</v>
      </c>
      <c r="AI199" s="58"/>
      <c r="AJ199" s="50">
        <f>IF(AND(Option_Sys_TopUp&gt;="Y",H199&gt;=sytp,H199&lt;=(dtp+sytp-1),F199=0,H199&lt;=ppt+1),atp,0)+IFERROR(VLOOKUP(H199,Input!$B$55:$C$61,2,0),0)*(F199=0)*(Option_TopUP="Y")*(Option_Sys_TopUp="N")*B199*(pt&gt;=H199+5)</f>
        <v>0</v>
      </c>
      <c r="AK199" s="50">
        <f t="shared" ref="AK199:AK262" si="158">ROUND(allctp*AJ199,0)</f>
        <v>0</v>
      </c>
      <c r="AL199" s="50">
        <f t="shared" si="135"/>
        <v>0</v>
      </c>
      <c r="AM199" s="50">
        <f t="shared" ref="AM199:AM262" ca="1" si="159">AR198+AL199</f>
        <v>0</v>
      </c>
      <c r="AN199" s="50">
        <f>IF(B199=0,0,AT199*(_rpm1+(1+_emr1)*VLOOKUP(E199,Tab_Mort_Charge,IF(Input!$C$12="M",2,3),0))*(0.001*0.0833)*Flag_Mort_Rider_Charge*(AT199&gt;0))</f>
        <v>0</v>
      </c>
      <c r="AO199" s="50">
        <f t="shared" ca="1" si="136"/>
        <v>0</v>
      </c>
      <c r="AP199" s="50">
        <f t="shared" ca="1" si="143"/>
        <v>0</v>
      </c>
      <c r="AQ199" s="50">
        <f t="shared" ref="AQ199:AQ262" ca="1" si="160">AP199*$Y$2</f>
        <v>0</v>
      </c>
      <c r="AR199" s="50">
        <f t="shared" ref="AR199:AR262" ca="1" si="161">AP199-(AQ199+BO199)</f>
        <v>0</v>
      </c>
      <c r="AS199" s="50">
        <f t="shared" ref="AS199:AS262" si="162">(AJ199*TOPUP_Cover_Level+AS198)*B199</f>
        <v>0</v>
      </c>
      <c r="AT199" s="50">
        <f ca="1">(MAX((MAX(AS199,105%*SUM($AJ$7:AJ199))-AM199*Flag_UL_Type),0)*B199)</f>
        <v>0</v>
      </c>
      <c r="AU199" s="50">
        <f ca="1">(MAX(AS199,AR199,105%*SUM($AJ$7:AJ199))*B199)</f>
        <v>0</v>
      </c>
      <c r="AV199" s="125"/>
      <c r="AW199" s="13"/>
      <c r="AX199" s="13"/>
      <c r="AY199" s="13"/>
      <c r="AZ199" s="13"/>
      <c r="BA199" s="13"/>
      <c r="BG199" s="51">
        <f t="shared" ref="BG199:BG262" si="163">ROUND(K199*Service_Tax_Rate*Flag_Service_Tax,Round)+ROUND(K199*Cess1_Rate*Flag_Service_Tax,Round)+ROUND(K199*Cess2_Rate*Flag_Service_Tax,Round)</f>
        <v>0</v>
      </c>
      <c r="BH199" s="51">
        <f t="shared" ref="BH199:BH262" si="164">ROUND(Q199*Service_Tax_Rate*Flag_Service_Tax,Round)+ROUND(Q199*Cess1_Rate*Flag_Service_Tax,Round)+ROUND(Q199*Cess2_Rate*Flag_Service_Tax,Round)</f>
        <v>0</v>
      </c>
      <c r="BI199" s="51">
        <f t="shared" ref="BI199:BI262" ca="1" si="165">ROUND(S199*Service_Tax_Rate*Flag_Service_Tax,Round)+ROUND(S199*Cess1_Rate*Flag_Service_Tax,Round)+ROUND(S199*Cess2_Rate*Flag_Service_Tax,Round)</f>
        <v>0</v>
      </c>
      <c r="BJ199" s="51">
        <f t="shared" ref="BJ199:BJ262" ca="1" si="166">ROUND(U199*Service_Tax_Rate*Flag_Service_Tax,Round)+ROUND(U199*Cess1_Rate*Flag_Service_Tax,Round)+ROUND(U199*Cess2_Rate*Flag_Service_Tax,Round)</f>
        <v>0</v>
      </c>
      <c r="BK199" s="51">
        <f t="shared" ref="BK199:BK262" si="167">ROUND(V199*Service_Tax_Rate*Flag_Service_Tax,Round)+ROUND(V199*Cess1_Rate*Flag_Service_Tax,Round)+ROUND(V199*Cess2_Rate*Flag_Service_Tax,Round)</f>
        <v>0</v>
      </c>
      <c r="BL199" s="51">
        <f t="shared" ref="BL199:BL262" ca="1" si="168">Y199*Service_Tax_Rate*Flag_Service_Tax+Y199*Cess1_Rate*Flag_Service_Tax+Y199*Cess2_Rate*Flag_Service_Tax</f>
        <v>0</v>
      </c>
      <c r="BM199" s="51">
        <f t="shared" ref="BM199:BM262" si="169">ROUND(AK199*Service_Tax_Rate*Flag_Service_Tax,Round)+ROUND(AK199*Cess1_Rate*Flag_Service_Tax,Round)+ROUND(AK199*Cess2_Rate*Flag_Service_Tax,Round)</f>
        <v>0</v>
      </c>
      <c r="BN199" s="51">
        <f t="shared" ref="BN199:BN262" si="170">ROUND(AN199*Service_Tax_Rate*Flag_Service_Tax,Round)+ROUND(AN199*Cess1_Rate*Flag_Service_Tax,Round)+ROUND(AN199*Cess2_Rate*Flag_Service_Tax,Round)</f>
        <v>0</v>
      </c>
      <c r="BO199" s="51">
        <f t="shared" ref="BO199:BO262" ca="1" si="171">AQ199*Service_Tax_Rate*Flag_Service_Tax+AQ199*Cess1_Rate*Flag_Service_Tax+AQ199*Cess2_Rate*Flag_Service_Tax</f>
        <v>0</v>
      </c>
      <c r="BP199" s="51">
        <f t="shared" ref="BP199:BP262" ca="1" si="172">SUM(BG199:BO199)</f>
        <v>0</v>
      </c>
      <c r="BQ199" s="120"/>
      <c r="BR199" s="32"/>
      <c r="BS199" s="126"/>
      <c r="BT199" s="16"/>
      <c r="BU199" s="58"/>
      <c r="BW199" s="51">
        <f>VLOOKUP(H199,Charges!$AT$4:$AU$33,2,FALSE)*I199</f>
        <v>0</v>
      </c>
      <c r="BX199" s="51">
        <f t="shared" ref="BX199:BX262" si="173">AJ199*Commission_TOPUP</f>
        <v>0</v>
      </c>
      <c r="BY199" s="51">
        <f t="shared" si="137"/>
        <v>0</v>
      </c>
      <c r="BZ199" s="151"/>
      <c r="CA199" s="151"/>
      <c r="CB199" s="32"/>
      <c r="CC199" s="16">
        <f ca="1">SUM($N$7:$N199)</f>
        <v>0</v>
      </c>
      <c r="CD199" s="16">
        <f t="shared" ref="CD199:CD262" ca="1" si="174">IF(AND((B199=1)*(H199&gt;Lock_In_Period)),CC199-INDEX($CC$7:$CC$367,D199-24,1),0)*(E199&lt;60)</f>
        <v>0</v>
      </c>
      <c r="CE199" s="16">
        <f t="shared" ref="CE199:CE262" ca="1" si="175">(B199=1)*(H199&gt;Lock_In_Period)*(E199&gt;=60)*IFERROR((CC199-INDEX($CC$7:$CC$367,D199-24,1)),0)</f>
        <v>0</v>
      </c>
      <c r="CF199" s="7">
        <f t="shared" ca="1" si="138"/>
        <v>0</v>
      </c>
    </row>
    <row r="200" spans="1:84" s="7" customFormat="1" x14ac:dyDescent="0.2">
      <c r="A200" s="149"/>
      <c r="B200" s="14">
        <f t="shared" si="144"/>
        <v>0</v>
      </c>
      <c r="C200" s="12">
        <f t="shared" si="145"/>
        <v>0</v>
      </c>
      <c r="D200" s="17">
        <f t="shared" si="139"/>
        <v>194</v>
      </c>
      <c r="E200" s="17">
        <f t="shared" ca="1" si="146"/>
        <v>76</v>
      </c>
      <c r="F200" s="12">
        <f t="shared" si="141"/>
        <v>1</v>
      </c>
      <c r="G200" s="12">
        <f t="shared" si="140"/>
        <v>33</v>
      </c>
      <c r="H200" s="17">
        <f t="shared" si="142"/>
        <v>17</v>
      </c>
      <c r="I200" s="29">
        <f t="shared" si="147"/>
        <v>0</v>
      </c>
      <c r="J200" s="211">
        <f>IFERROR(VLOOKUP(H200,Charges!$T$6:$U$35,2,0)*C200,0)</f>
        <v>0</v>
      </c>
      <c r="K200" s="29">
        <f t="shared" si="148"/>
        <v>0</v>
      </c>
      <c r="L200" s="29">
        <f t="shared" si="149"/>
        <v>0</v>
      </c>
      <c r="M200" s="147">
        <f t="shared" ca="1" si="150"/>
        <v>0</v>
      </c>
      <c r="N200" s="148">
        <f ca="1">IF(AND(Option_SPW="Y",H200&gt;=Lock_In_Period,Z199&gt;SPW_Amount_pa+IF(option="Single",1/5*pr,2*pr),H200&gt;=SPW_Start_Year,H200&lt;=SPW_Start_Year+SPW_Duration-1,age+H200&gt;=Legal_Age),IF(AND(F200=0,SPW_Payout_Freq=1),SPW_Amount_pa,IF(AND(SPW_Payout_Freq=2,MOD(F200,6)=0),SPW_Amount_pa/SPW_Payout_Freq,IF(AND(SPW_Payout_Freq=4,MOD(F200,3)=0),SPW_Amount_pa/SPW_Payout_Freq,IF(SPW_Payout_Freq=12,SPW_Amount_pa/SPW_Payout_Freq,0)))),0)+IFERROR(VLOOKUP(H200,Input!$B$68:$C$74,2,0),0)*(F200=0)*(Option_PW="Y")*(Option_SPW="N")*(age+H200&gt;=Legal_Age)</f>
        <v>0</v>
      </c>
      <c r="O200" s="148">
        <f t="shared" ref="O200:O263" ca="1" si="176">IF(N200&lt;=M200,0,1)</f>
        <v>0</v>
      </c>
      <c r="P200" s="14">
        <f ca="1">(MAX(MAX(sa-CF199*Flag_UL_Type,105%*SUM($I$7:I200))-(AD199+L200-N200)*Flag_UL_Type,0)*B200)</f>
        <v>0</v>
      </c>
      <c r="Q200" s="213">
        <f t="shared" si="151"/>
        <v>0</v>
      </c>
      <c r="R200" s="14">
        <f t="shared" ca="1" si="152"/>
        <v>0</v>
      </c>
      <c r="S200" s="14">
        <f t="shared" ca="1" si="153"/>
        <v>0</v>
      </c>
      <c r="T200" s="14">
        <f>IFERROR(IF(WoP_Flag="Y",IF(fq=1,VLOOKUP(ppt*fq-H200,Charges!$AN$41:$AO$59,2,FALSE),IF(fq=2,VLOOKUP(ppt*fq-G200,Charges!$AP$41:$AQ$79,2,FALSE),VLOOKUP(ppt*fq-D200,Charges!$AR$41:$AS$279,2,FALSE)))*pr/fq,0),0)</f>
        <v>0</v>
      </c>
      <c r="U200" s="14">
        <f ca="1">IFERROR(((T200*(VLOOKUP(Input!$D$18+H200-1,Tab_Mort_Charge,IF(Gender_2="M",2,3),FALSE)*(1+_emr2)+_rpm2)/IF(Model_Type="LA_PQIS",1000/0.0833,(12*1000))))*Flag_Mort_Rider_Charge*(T200&gt;0),0)</f>
        <v>0</v>
      </c>
      <c r="V200" s="34">
        <f>ROUND(MIN(IF(H200&gt;=7,Charges!$C$12*(1+Charges!$C$14)^((H200-7+1)),VLOOKUP(H200,Charges!$B$7:$C$12,2,0))*pr,Charges!$C$13)*B200,Round)</f>
        <v>0</v>
      </c>
      <c r="W200" s="14">
        <f t="shared" ca="1" si="154"/>
        <v>0</v>
      </c>
      <c r="X200" s="14">
        <f t="shared" ca="1" si="155"/>
        <v>0</v>
      </c>
      <c r="Y200" s="213">
        <f t="shared" ref="Y200:Y263" ca="1" si="177">X200*$Y$2</f>
        <v>0</v>
      </c>
      <c r="Z200" s="14">
        <f t="shared" ca="1" si="156"/>
        <v>0</v>
      </c>
      <c r="AA200" s="14">
        <f>IF(AND($H200=pt,$F200=11),SUM($K$7:K200)*VLOOKUP(pt,ROC,2,FALSE),0)</f>
        <v>0</v>
      </c>
      <c r="AB200" s="14">
        <f>IF(AND($H200=pt,$F200=11),SUM($V$7:V200)*VLOOKUP(pt,ROC,2,FALSE),0)</f>
        <v>0</v>
      </c>
      <c r="AC200" s="14">
        <f>IF(AND($H200=pt,$F200=11),SUM($Q$7:Q200)*VLOOKUP(pt,ROC,2,FALSE),0)</f>
        <v>0</v>
      </c>
      <c r="AD200" s="14">
        <f t="shared" ref="AD200:AD263" ca="1" si="178">Z200+AA200+AB200+AC200</f>
        <v>0</v>
      </c>
      <c r="AE200" s="14">
        <f ca="1">(MAX(sa-CF199*Flag_UL_Type,105%*SUM($I$7:I200),Z200)+AU200)*B200</f>
        <v>0</v>
      </c>
      <c r="AF200" s="136"/>
      <c r="AG200" s="18">
        <v>194</v>
      </c>
      <c r="AH200" s="30">
        <f t="shared" ca="1" si="157"/>
        <v>0</v>
      </c>
      <c r="AI200" s="58"/>
      <c r="AJ200" s="50">
        <f>IF(AND(Option_Sys_TopUp&gt;="Y",H200&gt;=sytp,H200&lt;=(dtp+sytp-1),F200=0,H200&lt;=ppt+1),atp,0)+IFERROR(VLOOKUP(H200,Input!$B$55:$C$61,2,0),0)*(F200=0)*(Option_TopUP="Y")*(Option_Sys_TopUp="N")*B200*(pt&gt;=H200+5)</f>
        <v>0</v>
      </c>
      <c r="AK200" s="50">
        <f t="shared" si="158"/>
        <v>0</v>
      </c>
      <c r="AL200" s="50">
        <f t="shared" ref="AL200:AL263" si="179">AJ200-(AK200+BM200*0)</f>
        <v>0</v>
      </c>
      <c r="AM200" s="50">
        <f t="shared" ca="1" si="159"/>
        <v>0</v>
      </c>
      <c r="AN200" s="50">
        <f>IF(B200=0,0,AT200*(_rpm1+(1+_emr1)*VLOOKUP(E200,Tab_Mort_Charge,IF(Input!$C$12="M",2,3),0))*(0.001*0.0833)*Flag_Mort_Rider_Charge*(AT200&gt;0))</f>
        <v>0</v>
      </c>
      <c r="AO200" s="50">
        <f t="shared" ref="AO200:AO263" ca="1" si="180">AM200-AN200-BM200*1-BN200*1</f>
        <v>0</v>
      </c>
      <c r="AP200" s="50">
        <f t="shared" ca="1" si="143"/>
        <v>0</v>
      </c>
      <c r="AQ200" s="50">
        <f t="shared" ca="1" si="160"/>
        <v>0</v>
      </c>
      <c r="AR200" s="50">
        <f t="shared" ca="1" si="161"/>
        <v>0</v>
      </c>
      <c r="AS200" s="50">
        <f t="shared" si="162"/>
        <v>0</v>
      </c>
      <c r="AT200" s="50">
        <f ca="1">(MAX((MAX(AS200,105%*SUM($AJ$7:AJ200))-AM200*Flag_UL_Type),0)*B200)</f>
        <v>0</v>
      </c>
      <c r="AU200" s="50">
        <f ca="1">(MAX(AS200,AR200,105%*SUM($AJ$7:AJ200))*B200)</f>
        <v>0</v>
      </c>
      <c r="AV200" s="125"/>
      <c r="AW200" s="13"/>
      <c r="AX200" s="13"/>
      <c r="AY200" s="13"/>
      <c r="AZ200" s="13"/>
      <c r="BA200" s="13"/>
      <c r="BG200" s="51">
        <f t="shared" si="163"/>
        <v>0</v>
      </c>
      <c r="BH200" s="51">
        <f t="shared" si="164"/>
        <v>0</v>
      </c>
      <c r="BI200" s="51">
        <f t="shared" ca="1" si="165"/>
        <v>0</v>
      </c>
      <c r="BJ200" s="51">
        <f t="shared" ca="1" si="166"/>
        <v>0</v>
      </c>
      <c r="BK200" s="51">
        <f t="shared" si="167"/>
        <v>0</v>
      </c>
      <c r="BL200" s="51">
        <f t="shared" ca="1" si="168"/>
        <v>0</v>
      </c>
      <c r="BM200" s="51">
        <f t="shared" si="169"/>
        <v>0</v>
      </c>
      <c r="BN200" s="51">
        <f t="shared" si="170"/>
        <v>0</v>
      </c>
      <c r="BO200" s="51">
        <f t="shared" ca="1" si="171"/>
        <v>0</v>
      </c>
      <c r="BP200" s="51">
        <f t="shared" ca="1" si="172"/>
        <v>0</v>
      </c>
      <c r="BQ200" s="120"/>
      <c r="BR200" s="32"/>
      <c r="BS200" s="126"/>
      <c r="BT200" s="16"/>
      <c r="BU200" s="58"/>
      <c r="BW200" s="51">
        <f>VLOOKUP(H200,Charges!$AT$4:$AU$33,2,FALSE)*I200</f>
        <v>0</v>
      </c>
      <c r="BX200" s="51">
        <f t="shared" si="173"/>
        <v>0</v>
      </c>
      <c r="BY200" s="51">
        <f t="shared" ref="BY200:BY263" si="181">SUM(BW200:BX200)</f>
        <v>0</v>
      </c>
      <c r="BZ200" s="151"/>
      <c r="CA200" s="151"/>
      <c r="CB200" s="32"/>
      <c r="CC200" s="16">
        <f ca="1">SUM($N$7:$N200)</f>
        <v>0</v>
      </c>
      <c r="CD200" s="16">
        <f t="shared" ca="1" si="174"/>
        <v>0</v>
      </c>
      <c r="CE200" s="16">
        <f t="shared" ca="1" si="175"/>
        <v>0</v>
      </c>
      <c r="CF200" s="7">
        <f t="shared" ref="CF200:CF263" ca="1" si="182">IF(E200&lt;60,CD200,CE200)</f>
        <v>0</v>
      </c>
    </row>
    <row r="201" spans="1:84" s="7" customFormat="1" x14ac:dyDescent="0.2">
      <c r="A201" s="149"/>
      <c r="B201" s="14">
        <f t="shared" si="144"/>
        <v>0</v>
      </c>
      <c r="C201" s="12">
        <f t="shared" si="145"/>
        <v>0</v>
      </c>
      <c r="D201" s="17">
        <f t="shared" ref="D201:D264" si="183">D200+1</f>
        <v>195</v>
      </c>
      <c r="E201" s="17">
        <f t="shared" ca="1" si="146"/>
        <v>76</v>
      </c>
      <c r="F201" s="12">
        <f t="shared" si="141"/>
        <v>2</v>
      </c>
      <c r="G201" s="12">
        <f t="shared" si="140"/>
        <v>33</v>
      </c>
      <c r="H201" s="17">
        <f t="shared" si="142"/>
        <v>17</v>
      </c>
      <c r="I201" s="29">
        <f t="shared" si="147"/>
        <v>0</v>
      </c>
      <c r="J201" s="211">
        <f>IFERROR(VLOOKUP(H201,Charges!$T$6:$U$35,2,0)*C201,0)</f>
        <v>0</v>
      </c>
      <c r="K201" s="29">
        <f t="shared" si="148"/>
        <v>0</v>
      </c>
      <c r="L201" s="29">
        <f t="shared" si="149"/>
        <v>0</v>
      </c>
      <c r="M201" s="147">
        <f t="shared" ca="1" si="150"/>
        <v>0</v>
      </c>
      <c r="N201" s="148">
        <f ca="1">IF(AND(Option_SPW="Y",H201&gt;=Lock_In_Period,Z200&gt;SPW_Amount_pa+IF(option="Single",1/5*pr,2*pr),H201&gt;=SPW_Start_Year,H201&lt;=SPW_Start_Year+SPW_Duration-1,age+H201&gt;=Legal_Age),IF(AND(F201=0,SPW_Payout_Freq=1),SPW_Amount_pa,IF(AND(SPW_Payout_Freq=2,MOD(F201,6)=0),SPW_Amount_pa/SPW_Payout_Freq,IF(AND(SPW_Payout_Freq=4,MOD(F201,3)=0),SPW_Amount_pa/SPW_Payout_Freq,IF(SPW_Payout_Freq=12,SPW_Amount_pa/SPW_Payout_Freq,0)))),0)+IFERROR(VLOOKUP(H201,Input!$B$68:$C$74,2,0),0)*(F201=0)*(Option_PW="Y")*(Option_SPW="N")*(age+H201&gt;=Legal_Age)</f>
        <v>0</v>
      </c>
      <c r="O201" s="148">
        <f t="shared" ca="1" si="176"/>
        <v>0</v>
      </c>
      <c r="P201" s="14">
        <f ca="1">(MAX(MAX(sa-CF200*Flag_UL_Type,105%*SUM($I$7:I201))-(AD200+L201-N201)*Flag_UL_Type,0)*B201)</f>
        <v>0</v>
      </c>
      <c r="Q201" s="213">
        <f t="shared" si="151"/>
        <v>0</v>
      </c>
      <c r="R201" s="14">
        <f t="shared" ca="1" si="152"/>
        <v>0</v>
      </c>
      <c r="S201" s="14">
        <f t="shared" ca="1" si="153"/>
        <v>0</v>
      </c>
      <c r="T201" s="14">
        <f>IFERROR(IF(WoP_Flag="Y",IF(fq=1,VLOOKUP(ppt*fq-H201,Charges!$AN$41:$AO$59,2,FALSE),IF(fq=2,VLOOKUP(ppt*fq-G201,Charges!$AP$41:$AQ$79,2,FALSE),VLOOKUP(ppt*fq-D201,Charges!$AR$41:$AS$279,2,FALSE)))*pr/fq,0),0)</f>
        <v>0</v>
      </c>
      <c r="U201" s="14">
        <f ca="1">IFERROR(((T201*(VLOOKUP(Input!$D$18+H201-1,Tab_Mort_Charge,IF(Gender_2="M",2,3),FALSE)*(1+_emr2)+_rpm2)/IF(Model_Type="LA_PQIS",1000/0.0833,(12*1000))))*Flag_Mort_Rider_Charge*(T201&gt;0),0)</f>
        <v>0</v>
      </c>
      <c r="V201" s="34">
        <f>ROUND(MIN(IF(H201&gt;=7,Charges!$C$12*(1+Charges!$C$14)^((H201-7+1)),VLOOKUP(H201,Charges!$B$7:$C$12,2,0))*pr,Charges!$C$13)*B201,Round)</f>
        <v>0</v>
      </c>
      <c r="W201" s="14">
        <f t="shared" ca="1" si="154"/>
        <v>0</v>
      </c>
      <c r="X201" s="14">
        <f t="shared" ca="1" si="155"/>
        <v>0</v>
      </c>
      <c r="Y201" s="213">
        <f t="shared" ca="1" si="177"/>
        <v>0</v>
      </c>
      <c r="Z201" s="14">
        <f t="shared" ca="1" si="156"/>
        <v>0</v>
      </c>
      <c r="AA201" s="14">
        <f>IF(AND($H201=pt,$F201=11),SUM($K$7:K201)*VLOOKUP(pt,ROC,2,FALSE),0)</f>
        <v>0</v>
      </c>
      <c r="AB201" s="14">
        <f>IF(AND($H201=pt,$F201=11),SUM($V$7:V201)*VLOOKUP(pt,ROC,2,FALSE),0)</f>
        <v>0</v>
      </c>
      <c r="AC201" s="14">
        <f>IF(AND($H201=pt,$F201=11),SUM($Q$7:Q201)*VLOOKUP(pt,ROC,2,FALSE),0)</f>
        <v>0</v>
      </c>
      <c r="AD201" s="14">
        <f t="shared" ca="1" si="178"/>
        <v>0</v>
      </c>
      <c r="AE201" s="14">
        <f ca="1">(MAX(sa-CF200*Flag_UL_Type,105%*SUM($I$7:I201),Z201)+AU201)*B201</f>
        <v>0</v>
      </c>
      <c r="AF201" s="136"/>
      <c r="AG201" s="18">
        <v>195</v>
      </c>
      <c r="AH201" s="30">
        <f t="shared" ca="1" si="157"/>
        <v>0</v>
      </c>
      <c r="AI201" s="58"/>
      <c r="AJ201" s="50">
        <f>IF(AND(Option_Sys_TopUp&gt;="Y",H201&gt;=sytp,H201&lt;=(dtp+sytp-1),F201=0,H201&lt;=ppt+1),atp,0)+IFERROR(VLOOKUP(H201,Input!$B$55:$C$61,2,0),0)*(F201=0)*(Option_TopUP="Y")*(Option_Sys_TopUp="N")*B201*(pt&gt;=H201+5)</f>
        <v>0</v>
      </c>
      <c r="AK201" s="50">
        <f t="shared" si="158"/>
        <v>0</v>
      </c>
      <c r="AL201" s="50">
        <f t="shared" si="179"/>
        <v>0</v>
      </c>
      <c r="AM201" s="50">
        <f t="shared" ca="1" si="159"/>
        <v>0</v>
      </c>
      <c r="AN201" s="50">
        <f>IF(B201=0,0,AT201*(_rpm1+(1+_emr1)*VLOOKUP(E201,Tab_Mort_Charge,IF(Input!$C$12="M",2,3),0))*(0.001*0.0833)*Flag_Mort_Rider_Charge*(AT201&gt;0))</f>
        <v>0</v>
      </c>
      <c r="AO201" s="50">
        <f t="shared" ca="1" si="180"/>
        <v>0</v>
      </c>
      <c r="AP201" s="50">
        <f t="shared" ca="1" si="143"/>
        <v>0</v>
      </c>
      <c r="AQ201" s="50">
        <f t="shared" ca="1" si="160"/>
        <v>0</v>
      </c>
      <c r="AR201" s="50">
        <f t="shared" ca="1" si="161"/>
        <v>0</v>
      </c>
      <c r="AS201" s="50">
        <f t="shared" si="162"/>
        <v>0</v>
      </c>
      <c r="AT201" s="50">
        <f ca="1">(MAX((MAX(AS201,105%*SUM($AJ$7:AJ201))-AM201*Flag_UL_Type),0)*B201)</f>
        <v>0</v>
      </c>
      <c r="AU201" s="50">
        <f ca="1">(MAX(AS201,AR201,105%*SUM($AJ$7:AJ201))*B201)</f>
        <v>0</v>
      </c>
      <c r="AV201" s="125"/>
      <c r="AW201" s="13"/>
      <c r="AX201" s="13"/>
      <c r="AY201" s="13"/>
      <c r="AZ201" s="13"/>
      <c r="BA201" s="13"/>
      <c r="BG201" s="51">
        <f t="shared" si="163"/>
        <v>0</v>
      </c>
      <c r="BH201" s="51">
        <f t="shared" si="164"/>
        <v>0</v>
      </c>
      <c r="BI201" s="51">
        <f t="shared" ca="1" si="165"/>
        <v>0</v>
      </c>
      <c r="BJ201" s="51">
        <f t="shared" ca="1" si="166"/>
        <v>0</v>
      </c>
      <c r="BK201" s="51">
        <f t="shared" si="167"/>
        <v>0</v>
      </c>
      <c r="BL201" s="51">
        <f t="shared" ca="1" si="168"/>
        <v>0</v>
      </c>
      <c r="BM201" s="51">
        <f t="shared" si="169"/>
        <v>0</v>
      </c>
      <c r="BN201" s="51">
        <f t="shared" si="170"/>
        <v>0</v>
      </c>
      <c r="BO201" s="51">
        <f t="shared" ca="1" si="171"/>
        <v>0</v>
      </c>
      <c r="BP201" s="51">
        <f t="shared" ca="1" si="172"/>
        <v>0</v>
      </c>
      <c r="BQ201" s="120"/>
      <c r="BR201" s="32"/>
      <c r="BS201" s="126"/>
      <c r="BT201" s="16"/>
      <c r="BU201" s="58"/>
      <c r="BW201" s="51">
        <f>VLOOKUP(H201,Charges!$AT$4:$AU$33,2,FALSE)*I201</f>
        <v>0</v>
      </c>
      <c r="BX201" s="51">
        <f t="shared" si="173"/>
        <v>0</v>
      </c>
      <c r="BY201" s="51">
        <f t="shared" si="181"/>
        <v>0</v>
      </c>
      <c r="BZ201" s="151"/>
      <c r="CA201" s="151"/>
      <c r="CB201" s="32"/>
      <c r="CC201" s="16">
        <f ca="1">SUM($N$7:$N201)</f>
        <v>0</v>
      </c>
      <c r="CD201" s="16">
        <f t="shared" ca="1" si="174"/>
        <v>0</v>
      </c>
      <c r="CE201" s="16">
        <f t="shared" ca="1" si="175"/>
        <v>0</v>
      </c>
      <c r="CF201" s="7">
        <f t="shared" ca="1" si="182"/>
        <v>0</v>
      </c>
    </row>
    <row r="202" spans="1:84" s="7" customFormat="1" x14ac:dyDescent="0.2">
      <c r="A202" s="149"/>
      <c r="B202" s="14">
        <f t="shared" si="144"/>
        <v>0</v>
      </c>
      <c r="C202" s="12">
        <f t="shared" si="145"/>
        <v>0</v>
      </c>
      <c r="D202" s="17">
        <f t="shared" si="183"/>
        <v>196</v>
      </c>
      <c r="E202" s="17">
        <f t="shared" ca="1" si="146"/>
        <v>76</v>
      </c>
      <c r="F202" s="12">
        <f t="shared" si="141"/>
        <v>3</v>
      </c>
      <c r="G202" s="12">
        <f t="shared" si="140"/>
        <v>33</v>
      </c>
      <c r="H202" s="17">
        <f t="shared" si="142"/>
        <v>17</v>
      </c>
      <c r="I202" s="29">
        <f t="shared" si="147"/>
        <v>0</v>
      </c>
      <c r="J202" s="211">
        <f>IFERROR(VLOOKUP(H202,Charges!$T$6:$U$35,2,0)*C202,0)</f>
        <v>0</v>
      </c>
      <c r="K202" s="29">
        <f t="shared" si="148"/>
        <v>0</v>
      </c>
      <c r="L202" s="29">
        <f t="shared" si="149"/>
        <v>0</v>
      </c>
      <c r="M202" s="147">
        <f t="shared" ca="1" si="150"/>
        <v>0</v>
      </c>
      <c r="N202" s="148">
        <f ca="1">IF(AND(Option_SPW="Y",H202&gt;=Lock_In_Period,Z201&gt;SPW_Amount_pa+IF(option="Single",1/5*pr,2*pr),H202&gt;=SPW_Start_Year,H202&lt;=SPW_Start_Year+SPW_Duration-1,age+H202&gt;=Legal_Age),IF(AND(F202=0,SPW_Payout_Freq=1),SPW_Amount_pa,IF(AND(SPW_Payout_Freq=2,MOD(F202,6)=0),SPW_Amount_pa/SPW_Payout_Freq,IF(AND(SPW_Payout_Freq=4,MOD(F202,3)=0),SPW_Amount_pa/SPW_Payout_Freq,IF(SPW_Payout_Freq=12,SPW_Amount_pa/SPW_Payout_Freq,0)))),0)+IFERROR(VLOOKUP(H202,Input!$B$68:$C$74,2,0),0)*(F202=0)*(Option_PW="Y")*(Option_SPW="N")*(age+H202&gt;=Legal_Age)</f>
        <v>0</v>
      </c>
      <c r="O202" s="148">
        <f t="shared" ca="1" si="176"/>
        <v>0</v>
      </c>
      <c r="P202" s="14">
        <f ca="1">(MAX(MAX(sa-CF201*Flag_UL_Type,105%*SUM($I$7:I202))-(AD201+L202-N202)*Flag_UL_Type,0)*B202)</f>
        <v>0</v>
      </c>
      <c r="Q202" s="213">
        <f t="shared" si="151"/>
        <v>0</v>
      </c>
      <c r="R202" s="14">
        <f t="shared" ca="1" si="152"/>
        <v>0</v>
      </c>
      <c r="S202" s="14">
        <f t="shared" ca="1" si="153"/>
        <v>0</v>
      </c>
      <c r="T202" s="14">
        <f>IFERROR(IF(WoP_Flag="Y",IF(fq=1,VLOOKUP(ppt*fq-H202,Charges!$AN$41:$AO$59,2,FALSE),IF(fq=2,VLOOKUP(ppt*fq-G202,Charges!$AP$41:$AQ$79,2,FALSE),VLOOKUP(ppt*fq-D202,Charges!$AR$41:$AS$279,2,FALSE)))*pr/fq,0),0)</f>
        <v>0</v>
      </c>
      <c r="U202" s="14">
        <f ca="1">IFERROR(((T202*(VLOOKUP(Input!$D$18+H202-1,Tab_Mort_Charge,IF(Gender_2="M",2,3),FALSE)*(1+_emr2)+_rpm2)/IF(Model_Type="LA_PQIS",1000/0.0833,(12*1000))))*Flag_Mort_Rider_Charge*(T202&gt;0),0)</f>
        <v>0</v>
      </c>
      <c r="V202" s="34">
        <f>ROUND(MIN(IF(H202&gt;=7,Charges!$C$12*(1+Charges!$C$14)^((H202-7+1)),VLOOKUP(H202,Charges!$B$7:$C$12,2,0))*pr,Charges!$C$13)*B202,Round)</f>
        <v>0</v>
      </c>
      <c r="W202" s="14">
        <f t="shared" ca="1" si="154"/>
        <v>0</v>
      </c>
      <c r="X202" s="14">
        <f t="shared" ca="1" si="155"/>
        <v>0</v>
      </c>
      <c r="Y202" s="213">
        <f t="shared" ca="1" si="177"/>
        <v>0</v>
      </c>
      <c r="Z202" s="14">
        <f t="shared" ca="1" si="156"/>
        <v>0</v>
      </c>
      <c r="AA202" s="14">
        <f>IF(AND($H202=pt,$F202=11),SUM($K$7:K202)*VLOOKUP(pt,ROC,2,FALSE),0)</f>
        <v>0</v>
      </c>
      <c r="AB202" s="14">
        <f>IF(AND($H202=pt,$F202=11),SUM($V$7:V202)*VLOOKUP(pt,ROC,2,FALSE),0)</f>
        <v>0</v>
      </c>
      <c r="AC202" s="14">
        <f>IF(AND($H202=pt,$F202=11),SUM($Q$7:Q202)*VLOOKUP(pt,ROC,2,FALSE),0)</f>
        <v>0</v>
      </c>
      <c r="AD202" s="14">
        <f t="shared" ca="1" si="178"/>
        <v>0</v>
      </c>
      <c r="AE202" s="14">
        <f ca="1">(MAX(sa-CF201*Flag_UL_Type,105%*SUM($I$7:I202),Z202)+AU202)*B202</f>
        <v>0</v>
      </c>
      <c r="AF202" s="136"/>
      <c r="AG202" s="18">
        <v>196</v>
      </c>
      <c r="AH202" s="30">
        <f t="shared" ca="1" si="157"/>
        <v>0</v>
      </c>
      <c r="AI202" s="58"/>
      <c r="AJ202" s="50">
        <f>IF(AND(Option_Sys_TopUp&gt;="Y",H202&gt;=sytp,H202&lt;=(dtp+sytp-1),F202=0,H202&lt;=ppt+1),atp,0)+IFERROR(VLOOKUP(H202,Input!$B$55:$C$61,2,0),0)*(F202=0)*(Option_TopUP="Y")*(Option_Sys_TopUp="N")*B202*(pt&gt;=H202+5)</f>
        <v>0</v>
      </c>
      <c r="AK202" s="50">
        <f t="shared" si="158"/>
        <v>0</v>
      </c>
      <c r="AL202" s="50">
        <f t="shared" si="179"/>
        <v>0</v>
      </c>
      <c r="AM202" s="50">
        <f t="shared" ca="1" si="159"/>
        <v>0</v>
      </c>
      <c r="AN202" s="50">
        <f>IF(B202=0,0,AT202*(_rpm1+(1+_emr1)*VLOOKUP(E202,Tab_Mort_Charge,IF(Input!$C$12="M",2,3),0))*(0.001*0.0833)*Flag_Mort_Rider_Charge*(AT202&gt;0))</f>
        <v>0</v>
      </c>
      <c r="AO202" s="50">
        <f t="shared" ca="1" si="180"/>
        <v>0</v>
      </c>
      <c r="AP202" s="50">
        <f t="shared" ca="1" si="143"/>
        <v>0</v>
      </c>
      <c r="AQ202" s="50">
        <f t="shared" ca="1" si="160"/>
        <v>0</v>
      </c>
      <c r="AR202" s="50">
        <f t="shared" ca="1" si="161"/>
        <v>0</v>
      </c>
      <c r="AS202" s="50">
        <f t="shared" si="162"/>
        <v>0</v>
      </c>
      <c r="AT202" s="50">
        <f ca="1">(MAX((MAX(AS202,105%*SUM($AJ$7:AJ202))-AM202*Flag_UL_Type),0)*B202)</f>
        <v>0</v>
      </c>
      <c r="AU202" s="50">
        <f ca="1">(MAX(AS202,AR202,105%*SUM($AJ$7:AJ202))*B202)</f>
        <v>0</v>
      </c>
      <c r="AV202" s="125"/>
      <c r="AW202" s="13"/>
      <c r="AX202" s="13"/>
      <c r="AY202" s="13"/>
      <c r="AZ202" s="13"/>
      <c r="BA202" s="13"/>
      <c r="BG202" s="51">
        <f t="shared" si="163"/>
        <v>0</v>
      </c>
      <c r="BH202" s="51">
        <f t="shared" si="164"/>
        <v>0</v>
      </c>
      <c r="BI202" s="51">
        <f t="shared" ca="1" si="165"/>
        <v>0</v>
      </c>
      <c r="BJ202" s="51">
        <f t="shared" ca="1" si="166"/>
        <v>0</v>
      </c>
      <c r="BK202" s="51">
        <f t="shared" si="167"/>
        <v>0</v>
      </c>
      <c r="BL202" s="51">
        <f t="shared" ca="1" si="168"/>
        <v>0</v>
      </c>
      <c r="BM202" s="51">
        <f t="shared" si="169"/>
        <v>0</v>
      </c>
      <c r="BN202" s="51">
        <f t="shared" si="170"/>
        <v>0</v>
      </c>
      <c r="BO202" s="51">
        <f t="shared" ca="1" si="171"/>
        <v>0</v>
      </c>
      <c r="BP202" s="51">
        <f t="shared" ca="1" si="172"/>
        <v>0</v>
      </c>
      <c r="BQ202" s="120"/>
      <c r="BR202" s="32"/>
      <c r="BS202" s="126"/>
      <c r="BT202" s="16"/>
      <c r="BU202" s="58"/>
      <c r="BW202" s="51">
        <f>VLOOKUP(H202,Charges!$AT$4:$AU$33,2,FALSE)*I202</f>
        <v>0</v>
      </c>
      <c r="BX202" s="51">
        <f t="shared" si="173"/>
        <v>0</v>
      </c>
      <c r="BY202" s="51">
        <f t="shared" si="181"/>
        <v>0</v>
      </c>
      <c r="BZ202" s="151"/>
      <c r="CA202" s="151"/>
      <c r="CB202" s="32"/>
      <c r="CC202" s="16">
        <f ca="1">SUM($N$7:$N202)</f>
        <v>0</v>
      </c>
      <c r="CD202" s="16">
        <f t="shared" ca="1" si="174"/>
        <v>0</v>
      </c>
      <c r="CE202" s="16">
        <f t="shared" ca="1" si="175"/>
        <v>0</v>
      </c>
      <c r="CF202" s="7">
        <f t="shared" ca="1" si="182"/>
        <v>0</v>
      </c>
    </row>
    <row r="203" spans="1:84" s="7" customFormat="1" x14ac:dyDescent="0.2">
      <c r="A203" s="149"/>
      <c r="B203" s="14">
        <f t="shared" si="144"/>
        <v>0</v>
      </c>
      <c r="C203" s="12">
        <f t="shared" si="145"/>
        <v>0</v>
      </c>
      <c r="D203" s="17">
        <f t="shared" si="183"/>
        <v>197</v>
      </c>
      <c r="E203" s="17">
        <f t="shared" ca="1" si="146"/>
        <v>76</v>
      </c>
      <c r="F203" s="12">
        <f t="shared" si="141"/>
        <v>4</v>
      </c>
      <c r="G203" s="12">
        <f t="shared" si="140"/>
        <v>33</v>
      </c>
      <c r="H203" s="17">
        <f t="shared" si="142"/>
        <v>17</v>
      </c>
      <c r="I203" s="29">
        <f t="shared" si="147"/>
        <v>0</v>
      </c>
      <c r="J203" s="211">
        <f>IFERROR(VLOOKUP(H203,Charges!$T$6:$U$35,2,0)*C203,0)</f>
        <v>0</v>
      </c>
      <c r="K203" s="29">
        <f t="shared" si="148"/>
        <v>0</v>
      </c>
      <c r="L203" s="29">
        <f t="shared" si="149"/>
        <v>0</v>
      </c>
      <c r="M203" s="147">
        <f t="shared" ca="1" si="150"/>
        <v>0</v>
      </c>
      <c r="N203" s="148">
        <f ca="1">IF(AND(Option_SPW="Y",H203&gt;=Lock_In_Period,Z202&gt;SPW_Amount_pa+IF(option="Single",1/5*pr,2*pr),H203&gt;=SPW_Start_Year,H203&lt;=SPW_Start_Year+SPW_Duration-1,age+H203&gt;=Legal_Age),IF(AND(F203=0,SPW_Payout_Freq=1),SPW_Amount_pa,IF(AND(SPW_Payout_Freq=2,MOD(F203,6)=0),SPW_Amount_pa/SPW_Payout_Freq,IF(AND(SPW_Payout_Freq=4,MOD(F203,3)=0),SPW_Amount_pa/SPW_Payout_Freq,IF(SPW_Payout_Freq=12,SPW_Amount_pa/SPW_Payout_Freq,0)))),0)+IFERROR(VLOOKUP(H203,Input!$B$68:$C$74,2,0),0)*(F203=0)*(Option_PW="Y")*(Option_SPW="N")*(age+H203&gt;=Legal_Age)</f>
        <v>0</v>
      </c>
      <c r="O203" s="148">
        <f t="shared" ca="1" si="176"/>
        <v>0</v>
      </c>
      <c r="P203" s="14">
        <f ca="1">(MAX(MAX(sa-CF202*Flag_UL_Type,105%*SUM($I$7:I203))-(AD202+L203-N203)*Flag_UL_Type,0)*B203)</f>
        <v>0</v>
      </c>
      <c r="Q203" s="213">
        <f t="shared" si="151"/>
        <v>0</v>
      </c>
      <c r="R203" s="14">
        <f t="shared" ca="1" si="152"/>
        <v>0</v>
      </c>
      <c r="S203" s="14">
        <f t="shared" ca="1" si="153"/>
        <v>0</v>
      </c>
      <c r="T203" s="14">
        <f>IFERROR(IF(WoP_Flag="Y",IF(fq=1,VLOOKUP(ppt*fq-H203,Charges!$AN$41:$AO$59,2,FALSE),IF(fq=2,VLOOKUP(ppt*fq-G203,Charges!$AP$41:$AQ$79,2,FALSE),VLOOKUP(ppt*fq-D203,Charges!$AR$41:$AS$279,2,FALSE)))*pr/fq,0),0)</f>
        <v>0</v>
      </c>
      <c r="U203" s="14">
        <f ca="1">IFERROR(((T203*(VLOOKUP(Input!$D$18+H203-1,Tab_Mort_Charge,IF(Gender_2="M",2,3),FALSE)*(1+_emr2)+_rpm2)/IF(Model_Type="LA_PQIS",1000/0.0833,(12*1000))))*Flag_Mort_Rider_Charge*(T203&gt;0),0)</f>
        <v>0</v>
      </c>
      <c r="V203" s="34">
        <f>ROUND(MIN(IF(H203&gt;=7,Charges!$C$12*(1+Charges!$C$14)^((H203-7+1)),VLOOKUP(H203,Charges!$B$7:$C$12,2,0))*pr,Charges!$C$13)*B203,Round)</f>
        <v>0</v>
      </c>
      <c r="W203" s="14">
        <f t="shared" ca="1" si="154"/>
        <v>0</v>
      </c>
      <c r="X203" s="14">
        <f t="shared" ca="1" si="155"/>
        <v>0</v>
      </c>
      <c r="Y203" s="213">
        <f t="shared" ca="1" si="177"/>
        <v>0</v>
      </c>
      <c r="Z203" s="14">
        <f t="shared" ca="1" si="156"/>
        <v>0</v>
      </c>
      <c r="AA203" s="14">
        <f>IF(AND($H203=pt,$F203=11),SUM($K$7:K203)*VLOOKUP(pt,ROC,2,FALSE),0)</f>
        <v>0</v>
      </c>
      <c r="AB203" s="14">
        <f>IF(AND($H203=pt,$F203=11),SUM($V$7:V203)*VLOOKUP(pt,ROC,2,FALSE),0)</f>
        <v>0</v>
      </c>
      <c r="AC203" s="14">
        <f>IF(AND($H203=pt,$F203=11),SUM($Q$7:Q203)*VLOOKUP(pt,ROC,2,FALSE),0)</f>
        <v>0</v>
      </c>
      <c r="AD203" s="14">
        <f t="shared" ca="1" si="178"/>
        <v>0</v>
      </c>
      <c r="AE203" s="14">
        <f ca="1">(MAX(sa-CF202*Flag_UL_Type,105%*SUM($I$7:I203),Z203)+AU203)*B203</f>
        <v>0</v>
      </c>
      <c r="AF203" s="136"/>
      <c r="AG203" s="18">
        <v>197</v>
      </c>
      <c r="AH203" s="30">
        <f t="shared" ca="1" si="157"/>
        <v>0</v>
      </c>
      <c r="AI203" s="58"/>
      <c r="AJ203" s="50">
        <f>IF(AND(Option_Sys_TopUp&gt;="Y",H203&gt;=sytp,H203&lt;=(dtp+sytp-1),F203=0,H203&lt;=ppt+1),atp,0)+IFERROR(VLOOKUP(H203,Input!$B$55:$C$61,2,0),0)*(F203=0)*(Option_TopUP="Y")*(Option_Sys_TopUp="N")*B203*(pt&gt;=H203+5)</f>
        <v>0</v>
      </c>
      <c r="AK203" s="50">
        <f t="shared" si="158"/>
        <v>0</v>
      </c>
      <c r="AL203" s="50">
        <f t="shared" si="179"/>
        <v>0</v>
      </c>
      <c r="AM203" s="50">
        <f t="shared" ca="1" si="159"/>
        <v>0</v>
      </c>
      <c r="AN203" s="50">
        <f>IF(B203=0,0,AT203*(_rpm1+(1+_emr1)*VLOOKUP(E203,Tab_Mort_Charge,IF(Input!$C$12="M",2,3),0))*(0.001*0.0833)*Flag_Mort_Rider_Charge*(AT203&gt;0))</f>
        <v>0</v>
      </c>
      <c r="AO203" s="50">
        <f t="shared" ca="1" si="180"/>
        <v>0</v>
      </c>
      <c r="AP203" s="50">
        <f t="shared" ca="1" si="143"/>
        <v>0</v>
      </c>
      <c r="AQ203" s="50">
        <f t="shared" ca="1" si="160"/>
        <v>0</v>
      </c>
      <c r="AR203" s="50">
        <f t="shared" ca="1" si="161"/>
        <v>0</v>
      </c>
      <c r="AS203" s="50">
        <f t="shared" si="162"/>
        <v>0</v>
      </c>
      <c r="AT203" s="50">
        <f ca="1">(MAX((MAX(AS203,105%*SUM($AJ$7:AJ203))-AM203*Flag_UL_Type),0)*B203)</f>
        <v>0</v>
      </c>
      <c r="AU203" s="50">
        <f ca="1">(MAX(AS203,AR203,105%*SUM($AJ$7:AJ203))*B203)</f>
        <v>0</v>
      </c>
      <c r="AV203" s="125"/>
      <c r="AW203" s="13"/>
      <c r="AX203" s="13"/>
      <c r="AY203" s="13"/>
      <c r="AZ203" s="13"/>
      <c r="BA203" s="13"/>
      <c r="BG203" s="51">
        <f t="shared" si="163"/>
        <v>0</v>
      </c>
      <c r="BH203" s="51">
        <f t="shared" si="164"/>
        <v>0</v>
      </c>
      <c r="BI203" s="51">
        <f t="shared" ca="1" si="165"/>
        <v>0</v>
      </c>
      <c r="BJ203" s="51">
        <f t="shared" ca="1" si="166"/>
        <v>0</v>
      </c>
      <c r="BK203" s="51">
        <f t="shared" si="167"/>
        <v>0</v>
      </c>
      <c r="BL203" s="51">
        <f t="shared" ca="1" si="168"/>
        <v>0</v>
      </c>
      <c r="BM203" s="51">
        <f t="shared" si="169"/>
        <v>0</v>
      </c>
      <c r="BN203" s="51">
        <f t="shared" si="170"/>
        <v>0</v>
      </c>
      <c r="BO203" s="51">
        <f t="shared" ca="1" si="171"/>
        <v>0</v>
      </c>
      <c r="BP203" s="51">
        <f t="shared" ca="1" si="172"/>
        <v>0</v>
      </c>
      <c r="BQ203" s="120"/>
      <c r="BR203" s="32"/>
      <c r="BS203" s="126"/>
      <c r="BT203" s="16"/>
      <c r="BU203" s="58"/>
      <c r="BW203" s="51">
        <f>VLOOKUP(H203,Charges!$AT$4:$AU$33,2,FALSE)*I203</f>
        <v>0</v>
      </c>
      <c r="BX203" s="51">
        <f t="shared" si="173"/>
        <v>0</v>
      </c>
      <c r="BY203" s="51">
        <f t="shared" si="181"/>
        <v>0</v>
      </c>
      <c r="BZ203" s="151"/>
      <c r="CA203" s="151"/>
      <c r="CB203" s="32"/>
      <c r="CC203" s="16">
        <f ca="1">SUM($N$7:$N203)</f>
        <v>0</v>
      </c>
      <c r="CD203" s="16">
        <f t="shared" ca="1" si="174"/>
        <v>0</v>
      </c>
      <c r="CE203" s="16">
        <f t="shared" ca="1" si="175"/>
        <v>0</v>
      </c>
      <c r="CF203" s="7">
        <f t="shared" ca="1" si="182"/>
        <v>0</v>
      </c>
    </row>
    <row r="204" spans="1:84" s="7" customFormat="1" x14ac:dyDescent="0.2">
      <c r="A204" s="149"/>
      <c r="B204" s="14">
        <f t="shared" si="144"/>
        <v>0</v>
      </c>
      <c r="C204" s="12">
        <f t="shared" si="145"/>
        <v>0</v>
      </c>
      <c r="D204" s="17">
        <f t="shared" si="183"/>
        <v>198</v>
      </c>
      <c r="E204" s="17">
        <f t="shared" ca="1" si="146"/>
        <v>76</v>
      </c>
      <c r="F204" s="12">
        <f t="shared" si="141"/>
        <v>5</v>
      </c>
      <c r="G204" s="12">
        <f t="shared" si="140"/>
        <v>33</v>
      </c>
      <c r="H204" s="17">
        <f t="shared" si="142"/>
        <v>17</v>
      </c>
      <c r="I204" s="29">
        <f t="shared" si="147"/>
        <v>0</v>
      </c>
      <c r="J204" s="211">
        <f>IFERROR(VLOOKUP(H204,Charges!$T$6:$U$35,2,0)*C204,0)</f>
        <v>0</v>
      </c>
      <c r="K204" s="29">
        <f t="shared" si="148"/>
        <v>0</v>
      </c>
      <c r="L204" s="29">
        <f t="shared" si="149"/>
        <v>0</v>
      </c>
      <c r="M204" s="147">
        <f t="shared" ca="1" si="150"/>
        <v>0</v>
      </c>
      <c r="N204" s="148">
        <f ca="1">IF(AND(Option_SPW="Y",H204&gt;=Lock_In_Period,Z203&gt;SPW_Amount_pa+IF(option="Single",1/5*pr,2*pr),H204&gt;=SPW_Start_Year,H204&lt;=SPW_Start_Year+SPW_Duration-1,age+H204&gt;=Legal_Age),IF(AND(F204=0,SPW_Payout_Freq=1),SPW_Amount_pa,IF(AND(SPW_Payout_Freq=2,MOD(F204,6)=0),SPW_Amount_pa/SPW_Payout_Freq,IF(AND(SPW_Payout_Freq=4,MOD(F204,3)=0),SPW_Amount_pa/SPW_Payout_Freq,IF(SPW_Payout_Freq=12,SPW_Amount_pa/SPW_Payout_Freq,0)))),0)+IFERROR(VLOOKUP(H204,Input!$B$68:$C$74,2,0),0)*(F204=0)*(Option_PW="Y")*(Option_SPW="N")*(age+H204&gt;=Legal_Age)</f>
        <v>0</v>
      </c>
      <c r="O204" s="148">
        <f t="shared" ca="1" si="176"/>
        <v>0</v>
      </c>
      <c r="P204" s="14">
        <f ca="1">(MAX(MAX(sa-CF203*Flag_UL_Type,105%*SUM($I$7:I204))-(AD203+L204-N204)*Flag_UL_Type,0)*B204)</f>
        <v>0</v>
      </c>
      <c r="Q204" s="213">
        <f t="shared" si="151"/>
        <v>0</v>
      </c>
      <c r="R204" s="14">
        <f t="shared" ca="1" si="152"/>
        <v>0</v>
      </c>
      <c r="S204" s="14">
        <f t="shared" ca="1" si="153"/>
        <v>0</v>
      </c>
      <c r="T204" s="14">
        <f>IFERROR(IF(WoP_Flag="Y",IF(fq=1,VLOOKUP(ppt*fq-H204,Charges!$AN$41:$AO$59,2,FALSE),IF(fq=2,VLOOKUP(ppt*fq-G204,Charges!$AP$41:$AQ$79,2,FALSE),VLOOKUP(ppt*fq-D204,Charges!$AR$41:$AS$279,2,FALSE)))*pr/fq,0),0)</f>
        <v>0</v>
      </c>
      <c r="U204" s="14">
        <f ca="1">IFERROR(((T204*(VLOOKUP(Input!$D$18+H204-1,Tab_Mort_Charge,IF(Gender_2="M",2,3),FALSE)*(1+_emr2)+_rpm2)/IF(Model_Type="LA_PQIS",1000/0.0833,(12*1000))))*Flag_Mort_Rider_Charge*(T204&gt;0),0)</f>
        <v>0</v>
      </c>
      <c r="V204" s="34">
        <f>ROUND(MIN(IF(H204&gt;=7,Charges!$C$12*(1+Charges!$C$14)^((H204-7+1)),VLOOKUP(H204,Charges!$B$7:$C$12,2,0))*pr,Charges!$C$13)*B204,Round)</f>
        <v>0</v>
      </c>
      <c r="W204" s="14">
        <f t="shared" ca="1" si="154"/>
        <v>0</v>
      </c>
      <c r="X204" s="14">
        <f t="shared" ca="1" si="155"/>
        <v>0</v>
      </c>
      <c r="Y204" s="213">
        <f t="shared" ca="1" si="177"/>
        <v>0</v>
      </c>
      <c r="Z204" s="14">
        <f t="shared" ca="1" si="156"/>
        <v>0</v>
      </c>
      <c r="AA204" s="14">
        <f>IF(AND($H204=pt,$F204=11),SUM($K$7:K204)*VLOOKUP(pt,ROC,2,FALSE),0)</f>
        <v>0</v>
      </c>
      <c r="AB204" s="14">
        <f>IF(AND($H204=pt,$F204=11),SUM($V$7:V204)*VLOOKUP(pt,ROC,2,FALSE),0)</f>
        <v>0</v>
      </c>
      <c r="AC204" s="14">
        <f>IF(AND($H204=pt,$F204=11),SUM($Q$7:Q204)*VLOOKUP(pt,ROC,2,FALSE),0)</f>
        <v>0</v>
      </c>
      <c r="AD204" s="14">
        <f t="shared" ca="1" si="178"/>
        <v>0</v>
      </c>
      <c r="AE204" s="14">
        <f ca="1">(MAX(sa-CF203*Flag_UL_Type,105%*SUM($I$7:I204),Z204)+AU204)*B204</f>
        <v>0</v>
      </c>
      <c r="AF204" s="136"/>
      <c r="AG204" s="18">
        <v>198</v>
      </c>
      <c r="AH204" s="30">
        <f t="shared" ca="1" si="157"/>
        <v>0</v>
      </c>
      <c r="AI204" s="58"/>
      <c r="AJ204" s="50">
        <f>IF(AND(Option_Sys_TopUp&gt;="Y",H204&gt;=sytp,H204&lt;=(dtp+sytp-1),F204=0,H204&lt;=ppt+1),atp,0)+IFERROR(VLOOKUP(H204,Input!$B$55:$C$61,2,0),0)*(F204=0)*(Option_TopUP="Y")*(Option_Sys_TopUp="N")*B204*(pt&gt;=H204+5)</f>
        <v>0</v>
      </c>
      <c r="AK204" s="50">
        <f t="shared" si="158"/>
        <v>0</v>
      </c>
      <c r="AL204" s="50">
        <f t="shared" si="179"/>
        <v>0</v>
      </c>
      <c r="AM204" s="50">
        <f t="shared" ca="1" si="159"/>
        <v>0</v>
      </c>
      <c r="AN204" s="50">
        <f>IF(B204=0,0,AT204*(_rpm1+(1+_emr1)*VLOOKUP(E204,Tab_Mort_Charge,IF(Input!$C$12="M",2,3),0))*(0.001*0.0833)*Flag_Mort_Rider_Charge*(AT204&gt;0))</f>
        <v>0</v>
      </c>
      <c r="AO204" s="50">
        <f t="shared" ca="1" si="180"/>
        <v>0</v>
      </c>
      <c r="AP204" s="50">
        <f t="shared" ca="1" si="143"/>
        <v>0</v>
      </c>
      <c r="AQ204" s="50">
        <f t="shared" ca="1" si="160"/>
        <v>0</v>
      </c>
      <c r="AR204" s="50">
        <f t="shared" ca="1" si="161"/>
        <v>0</v>
      </c>
      <c r="AS204" s="50">
        <f t="shared" si="162"/>
        <v>0</v>
      </c>
      <c r="AT204" s="50">
        <f ca="1">(MAX((MAX(AS204,105%*SUM($AJ$7:AJ204))-AM204*Flag_UL_Type),0)*B204)</f>
        <v>0</v>
      </c>
      <c r="AU204" s="50">
        <f ca="1">(MAX(AS204,AR204,105%*SUM($AJ$7:AJ204))*B204)</f>
        <v>0</v>
      </c>
      <c r="AV204" s="125"/>
      <c r="AW204" s="13"/>
      <c r="AX204" s="13"/>
      <c r="AY204" s="13"/>
      <c r="AZ204" s="13"/>
      <c r="BA204" s="13"/>
      <c r="BG204" s="51">
        <f t="shared" si="163"/>
        <v>0</v>
      </c>
      <c r="BH204" s="51">
        <f t="shared" si="164"/>
        <v>0</v>
      </c>
      <c r="BI204" s="51">
        <f t="shared" ca="1" si="165"/>
        <v>0</v>
      </c>
      <c r="BJ204" s="51">
        <f t="shared" ca="1" si="166"/>
        <v>0</v>
      </c>
      <c r="BK204" s="51">
        <f t="shared" si="167"/>
        <v>0</v>
      </c>
      <c r="BL204" s="51">
        <f t="shared" ca="1" si="168"/>
        <v>0</v>
      </c>
      <c r="BM204" s="51">
        <f t="shared" si="169"/>
        <v>0</v>
      </c>
      <c r="BN204" s="51">
        <f t="shared" si="170"/>
        <v>0</v>
      </c>
      <c r="BO204" s="51">
        <f t="shared" ca="1" si="171"/>
        <v>0</v>
      </c>
      <c r="BP204" s="51">
        <f t="shared" ca="1" si="172"/>
        <v>0</v>
      </c>
      <c r="BQ204" s="120"/>
      <c r="BR204" s="32"/>
      <c r="BS204" s="126"/>
      <c r="BT204" s="16"/>
      <c r="BU204" s="58"/>
      <c r="BW204" s="51">
        <f>VLOOKUP(H204,Charges!$AT$4:$AU$33,2,FALSE)*I204</f>
        <v>0</v>
      </c>
      <c r="BX204" s="51">
        <f t="shared" si="173"/>
        <v>0</v>
      </c>
      <c r="BY204" s="51">
        <f t="shared" si="181"/>
        <v>0</v>
      </c>
      <c r="BZ204" s="151"/>
      <c r="CA204" s="151"/>
      <c r="CB204" s="32"/>
      <c r="CC204" s="16">
        <f ca="1">SUM($N$7:$N204)</f>
        <v>0</v>
      </c>
      <c r="CD204" s="16">
        <f t="shared" ca="1" si="174"/>
        <v>0</v>
      </c>
      <c r="CE204" s="16">
        <f t="shared" ca="1" si="175"/>
        <v>0</v>
      </c>
      <c r="CF204" s="7">
        <f t="shared" ca="1" si="182"/>
        <v>0</v>
      </c>
    </row>
    <row r="205" spans="1:84" s="7" customFormat="1" x14ac:dyDescent="0.2">
      <c r="A205" s="149"/>
      <c r="B205" s="14">
        <f t="shared" si="144"/>
        <v>0</v>
      </c>
      <c r="C205" s="12">
        <f t="shared" si="145"/>
        <v>0</v>
      </c>
      <c r="D205" s="17">
        <f t="shared" si="183"/>
        <v>199</v>
      </c>
      <c r="E205" s="17">
        <f t="shared" ca="1" si="146"/>
        <v>76</v>
      </c>
      <c r="F205" s="12">
        <f t="shared" si="141"/>
        <v>6</v>
      </c>
      <c r="G205" s="12">
        <f t="shared" si="140"/>
        <v>34</v>
      </c>
      <c r="H205" s="17">
        <f t="shared" si="142"/>
        <v>17</v>
      </c>
      <c r="I205" s="29">
        <f t="shared" si="147"/>
        <v>0</v>
      </c>
      <c r="J205" s="211">
        <f>IFERROR(VLOOKUP(H205,Charges!$T$6:$U$35,2,0)*C205,0)</f>
        <v>0</v>
      </c>
      <c r="K205" s="29">
        <f t="shared" si="148"/>
        <v>0</v>
      </c>
      <c r="L205" s="29">
        <f t="shared" si="149"/>
        <v>0</v>
      </c>
      <c r="M205" s="147">
        <f t="shared" ca="1" si="150"/>
        <v>0</v>
      </c>
      <c r="N205" s="148">
        <f ca="1">IF(AND(Option_SPW="Y",H205&gt;=Lock_In_Period,Z204&gt;SPW_Amount_pa+IF(option="Single",1/5*pr,2*pr),H205&gt;=SPW_Start_Year,H205&lt;=SPW_Start_Year+SPW_Duration-1,age+H205&gt;=Legal_Age),IF(AND(F205=0,SPW_Payout_Freq=1),SPW_Amount_pa,IF(AND(SPW_Payout_Freq=2,MOD(F205,6)=0),SPW_Amount_pa/SPW_Payout_Freq,IF(AND(SPW_Payout_Freq=4,MOD(F205,3)=0),SPW_Amount_pa/SPW_Payout_Freq,IF(SPW_Payout_Freq=12,SPW_Amount_pa/SPW_Payout_Freq,0)))),0)+IFERROR(VLOOKUP(H205,Input!$B$68:$C$74,2,0),0)*(F205=0)*(Option_PW="Y")*(Option_SPW="N")*(age+H205&gt;=Legal_Age)</f>
        <v>0</v>
      </c>
      <c r="O205" s="148">
        <f t="shared" ca="1" si="176"/>
        <v>0</v>
      </c>
      <c r="P205" s="14">
        <f ca="1">(MAX(MAX(sa-CF204*Flag_UL_Type,105%*SUM($I$7:I205))-(AD204+L205-N205)*Flag_UL_Type,0)*B205)</f>
        <v>0</v>
      </c>
      <c r="Q205" s="213">
        <f t="shared" si="151"/>
        <v>0</v>
      </c>
      <c r="R205" s="14">
        <f t="shared" ca="1" si="152"/>
        <v>0</v>
      </c>
      <c r="S205" s="14">
        <f t="shared" ca="1" si="153"/>
        <v>0</v>
      </c>
      <c r="T205" s="14">
        <f>IFERROR(IF(WoP_Flag="Y",IF(fq=1,VLOOKUP(ppt*fq-H205,Charges!$AN$41:$AO$59,2,FALSE),IF(fq=2,VLOOKUP(ppt*fq-G205,Charges!$AP$41:$AQ$79,2,FALSE),VLOOKUP(ppt*fq-D205,Charges!$AR$41:$AS$279,2,FALSE)))*pr/fq,0),0)</f>
        <v>0</v>
      </c>
      <c r="U205" s="14">
        <f ca="1">IFERROR(((T205*(VLOOKUP(Input!$D$18+H205-1,Tab_Mort_Charge,IF(Gender_2="M",2,3),FALSE)*(1+_emr2)+_rpm2)/IF(Model_Type="LA_PQIS",1000/0.0833,(12*1000))))*Flag_Mort_Rider_Charge*(T205&gt;0),0)</f>
        <v>0</v>
      </c>
      <c r="V205" s="34">
        <f>ROUND(MIN(IF(H205&gt;=7,Charges!$C$12*(1+Charges!$C$14)^((H205-7+1)),VLOOKUP(H205,Charges!$B$7:$C$12,2,0))*pr,Charges!$C$13)*B205,Round)</f>
        <v>0</v>
      </c>
      <c r="W205" s="14">
        <f t="shared" ca="1" si="154"/>
        <v>0</v>
      </c>
      <c r="X205" s="14">
        <f t="shared" ca="1" si="155"/>
        <v>0</v>
      </c>
      <c r="Y205" s="213">
        <f t="shared" ca="1" si="177"/>
        <v>0</v>
      </c>
      <c r="Z205" s="14">
        <f t="shared" ca="1" si="156"/>
        <v>0</v>
      </c>
      <c r="AA205" s="14">
        <f>IF(AND($H205=pt,$F205=11),SUM($K$7:K205)*VLOOKUP(pt,ROC,2,FALSE),0)</f>
        <v>0</v>
      </c>
      <c r="AB205" s="14">
        <f>IF(AND($H205=pt,$F205=11),SUM($V$7:V205)*VLOOKUP(pt,ROC,2,FALSE),0)</f>
        <v>0</v>
      </c>
      <c r="AC205" s="14">
        <f>IF(AND($H205=pt,$F205=11),SUM($Q$7:Q205)*VLOOKUP(pt,ROC,2,FALSE),0)</f>
        <v>0</v>
      </c>
      <c r="AD205" s="14">
        <f t="shared" ca="1" si="178"/>
        <v>0</v>
      </c>
      <c r="AE205" s="14">
        <f ca="1">(MAX(sa-CF204*Flag_UL_Type,105%*SUM($I$7:I205),Z205)+AU205)*B205</f>
        <v>0</v>
      </c>
      <c r="AF205" s="136"/>
      <c r="AG205" s="18">
        <v>199</v>
      </c>
      <c r="AH205" s="30">
        <f t="shared" ca="1" si="157"/>
        <v>0</v>
      </c>
      <c r="AI205" s="58"/>
      <c r="AJ205" s="50">
        <f>IF(AND(Option_Sys_TopUp&gt;="Y",H205&gt;=sytp,H205&lt;=(dtp+sytp-1),F205=0,H205&lt;=ppt+1),atp,0)+IFERROR(VLOOKUP(H205,Input!$B$55:$C$61,2,0),0)*(F205=0)*(Option_TopUP="Y")*(Option_Sys_TopUp="N")*B205*(pt&gt;=H205+5)</f>
        <v>0</v>
      </c>
      <c r="AK205" s="50">
        <f t="shared" si="158"/>
        <v>0</v>
      </c>
      <c r="AL205" s="50">
        <f t="shared" si="179"/>
        <v>0</v>
      </c>
      <c r="AM205" s="50">
        <f t="shared" ca="1" si="159"/>
        <v>0</v>
      </c>
      <c r="AN205" s="50">
        <f>IF(B205=0,0,AT205*(_rpm1+(1+_emr1)*VLOOKUP(E205,Tab_Mort_Charge,IF(Input!$C$12="M",2,3),0))*(0.001*0.0833)*Flag_Mort_Rider_Charge*(AT205&gt;0))</f>
        <v>0</v>
      </c>
      <c r="AO205" s="50">
        <f t="shared" ca="1" si="180"/>
        <v>0</v>
      </c>
      <c r="AP205" s="50">
        <f t="shared" ca="1" si="143"/>
        <v>0</v>
      </c>
      <c r="AQ205" s="50">
        <f t="shared" ca="1" si="160"/>
        <v>0</v>
      </c>
      <c r="AR205" s="50">
        <f t="shared" ca="1" si="161"/>
        <v>0</v>
      </c>
      <c r="AS205" s="50">
        <f t="shared" si="162"/>
        <v>0</v>
      </c>
      <c r="AT205" s="50">
        <f ca="1">(MAX((MAX(AS205,105%*SUM($AJ$7:AJ205))-AM205*Flag_UL_Type),0)*B205)</f>
        <v>0</v>
      </c>
      <c r="AU205" s="50">
        <f ca="1">(MAX(AS205,AR205,105%*SUM($AJ$7:AJ205))*B205)</f>
        <v>0</v>
      </c>
      <c r="AV205" s="125"/>
      <c r="AW205" s="13"/>
      <c r="AX205" s="13"/>
      <c r="AY205" s="13"/>
      <c r="AZ205" s="13"/>
      <c r="BA205" s="13"/>
      <c r="BG205" s="51">
        <f t="shared" si="163"/>
        <v>0</v>
      </c>
      <c r="BH205" s="51">
        <f t="shared" si="164"/>
        <v>0</v>
      </c>
      <c r="BI205" s="51">
        <f t="shared" ca="1" si="165"/>
        <v>0</v>
      </c>
      <c r="BJ205" s="51">
        <f t="shared" ca="1" si="166"/>
        <v>0</v>
      </c>
      <c r="BK205" s="51">
        <f t="shared" si="167"/>
        <v>0</v>
      </c>
      <c r="BL205" s="51">
        <f t="shared" ca="1" si="168"/>
        <v>0</v>
      </c>
      <c r="BM205" s="51">
        <f t="shared" si="169"/>
        <v>0</v>
      </c>
      <c r="BN205" s="51">
        <f t="shared" si="170"/>
        <v>0</v>
      </c>
      <c r="BO205" s="51">
        <f t="shared" ca="1" si="171"/>
        <v>0</v>
      </c>
      <c r="BP205" s="51">
        <f t="shared" ca="1" si="172"/>
        <v>0</v>
      </c>
      <c r="BQ205" s="120"/>
      <c r="BR205" s="32"/>
      <c r="BS205" s="126"/>
      <c r="BT205" s="16"/>
      <c r="BU205" s="58"/>
      <c r="BW205" s="51">
        <f>VLOOKUP(H205,Charges!$AT$4:$AU$33,2,FALSE)*I205</f>
        <v>0</v>
      </c>
      <c r="BX205" s="51">
        <f t="shared" si="173"/>
        <v>0</v>
      </c>
      <c r="BY205" s="51">
        <f t="shared" si="181"/>
        <v>0</v>
      </c>
      <c r="BZ205" s="151"/>
      <c r="CA205" s="151"/>
      <c r="CB205" s="32"/>
      <c r="CC205" s="16">
        <f ca="1">SUM($N$7:$N205)</f>
        <v>0</v>
      </c>
      <c r="CD205" s="16">
        <f t="shared" ca="1" si="174"/>
        <v>0</v>
      </c>
      <c r="CE205" s="16">
        <f t="shared" ca="1" si="175"/>
        <v>0</v>
      </c>
      <c r="CF205" s="7">
        <f t="shared" ca="1" si="182"/>
        <v>0</v>
      </c>
    </row>
    <row r="206" spans="1:84" s="7" customFormat="1" x14ac:dyDescent="0.2">
      <c r="A206" s="149"/>
      <c r="B206" s="14">
        <f t="shared" si="144"/>
        <v>0</v>
      </c>
      <c r="C206" s="12">
        <f t="shared" si="145"/>
        <v>0</v>
      </c>
      <c r="D206" s="17">
        <f t="shared" si="183"/>
        <v>200</v>
      </c>
      <c r="E206" s="17">
        <f t="shared" ca="1" si="146"/>
        <v>76</v>
      </c>
      <c r="F206" s="12">
        <f t="shared" si="141"/>
        <v>7</v>
      </c>
      <c r="G206" s="12">
        <f t="shared" ref="G206:G269" si="184">G200+1</f>
        <v>34</v>
      </c>
      <c r="H206" s="17">
        <f t="shared" si="142"/>
        <v>17</v>
      </c>
      <c r="I206" s="29">
        <f t="shared" si="147"/>
        <v>0</v>
      </c>
      <c r="J206" s="211">
        <f>IFERROR(VLOOKUP(H206,Charges!$T$6:$U$35,2,0)*C206,0)</f>
        <v>0</v>
      </c>
      <c r="K206" s="29">
        <f t="shared" si="148"/>
        <v>0</v>
      </c>
      <c r="L206" s="29">
        <f t="shared" si="149"/>
        <v>0</v>
      </c>
      <c r="M206" s="147">
        <f t="shared" ca="1" si="150"/>
        <v>0</v>
      </c>
      <c r="N206" s="148">
        <f ca="1">IF(AND(Option_SPW="Y",H206&gt;=Lock_In_Period,Z205&gt;SPW_Amount_pa+IF(option="Single",1/5*pr,2*pr),H206&gt;=SPW_Start_Year,H206&lt;=SPW_Start_Year+SPW_Duration-1,age+H206&gt;=Legal_Age),IF(AND(F206=0,SPW_Payout_Freq=1),SPW_Amount_pa,IF(AND(SPW_Payout_Freq=2,MOD(F206,6)=0),SPW_Amount_pa/SPW_Payout_Freq,IF(AND(SPW_Payout_Freq=4,MOD(F206,3)=0),SPW_Amount_pa/SPW_Payout_Freq,IF(SPW_Payout_Freq=12,SPW_Amount_pa/SPW_Payout_Freq,0)))),0)+IFERROR(VLOOKUP(H206,Input!$B$68:$C$74,2,0),0)*(F206=0)*(Option_PW="Y")*(Option_SPW="N")*(age+H206&gt;=Legal_Age)</f>
        <v>0</v>
      </c>
      <c r="O206" s="148">
        <f t="shared" ca="1" si="176"/>
        <v>0</v>
      </c>
      <c r="P206" s="14">
        <f ca="1">(MAX(MAX(sa-CF205*Flag_UL_Type,105%*SUM($I$7:I206))-(AD205+L206-N206)*Flag_UL_Type,0)*B206)</f>
        <v>0</v>
      </c>
      <c r="Q206" s="213">
        <f t="shared" si="151"/>
        <v>0</v>
      </c>
      <c r="R206" s="14">
        <f t="shared" ca="1" si="152"/>
        <v>0</v>
      </c>
      <c r="S206" s="14">
        <f t="shared" ca="1" si="153"/>
        <v>0</v>
      </c>
      <c r="T206" s="14">
        <f>IFERROR(IF(WoP_Flag="Y",IF(fq=1,VLOOKUP(ppt*fq-H206,Charges!$AN$41:$AO$59,2,FALSE),IF(fq=2,VLOOKUP(ppt*fq-G206,Charges!$AP$41:$AQ$79,2,FALSE),VLOOKUP(ppt*fq-D206,Charges!$AR$41:$AS$279,2,FALSE)))*pr/fq,0),0)</f>
        <v>0</v>
      </c>
      <c r="U206" s="14">
        <f ca="1">IFERROR(((T206*(VLOOKUP(Input!$D$18+H206-1,Tab_Mort_Charge,IF(Gender_2="M",2,3),FALSE)*(1+_emr2)+_rpm2)/IF(Model_Type="LA_PQIS",1000/0.0833,(12*1000))))*Flag_Mort_Rider_Charge*(T206&gt;0),0)</f>
        <v>0</v>
      </c>
      <c r="V206" s="34">
        <f>ROUND(MIN(IF(H206&gt;=7,Charges!$C$12*(1+Charges!$C$14)^((H206-7+1)),VLOOKUP(H206,Charges!$B$7:$C$12,2,0))*pr,Charges!$C$13)*B206,Round)</f>
        <v>0</v>
      </c>
      <c r="W206" s="14">
        <f t="shared" ca="1" si="154"/>
        <v>0</v>
      </c>
      <c r="X206" s="14">
        <f t="shared" ca="1" si="155"/>
        <v>0</v>
      </c>
      <c r="Y206" s="213">
        <f t="shared" ca="1" si="177"/>
        <v>0</v>
      </c>
      <c r="Z206" s="14">
        <f t="shared" ca="1" si="156"/>
        <v>0</v>
      </c>
      <c r="AA206" s="14">
        <f>IF(AND($H206=pt,$F206=11),SUM($K$7:K206)*VLOOKUP(pt,ROC,2,FALSE),0)</f>
        <v>0</v>
      </c>
      <c r="AB206" s="14">
        <f>IF(AND($H206=pt,$F206=11),SUM($V$7:V206)*VLOOKUP(pt,ROC,2,FALSE),0)</f>
        <v>0</v>
      </c>
      <c r="AC206" s="14">
        <f>IF(AND($H206=pt,$F206=11),SUM($Q$7:Q206)*VLOOKUP(pt,ROC,2,FALSE),0)</f>
        <v>0</v>
      </c>
      <c r="AD206" s="14">
        <f t="shared" ca="1" si="178"/>
        <v>0</v>
      </c>
      <c r="AE206" s="14">
        <f ca="1">(MAX(sa-CF205*Flag_UL_Type,105%*SUM($I$7:I206),Z206)+AU206)*B206</f>
        <v>0</v>
      </c>
      <c r="AF206" s="136"/>
      <c r="AG206" s="18">
        <v>200</v>
      </c>
      <c r="AH206" s="30">
        <f t="shared" ca="1" si="157"/>
        <v>0</v>
      </c>
      <c r="AI206" s="58"/>
      <c r="AJ206" s="50">
        <f>IF(AND(Option_Sys_TopUp&gt;="Y",H206&gt;=sytp,H206&lt;=(dtp+sytp-1),F206=0,H206&lt;=ppt+1),atp,0)+IFERROR(VLOOKUP(H206,Input!$B$55:$C$61,2,0),0)*(F206=0)*(Option_TopUP="Y")*(Option_Sys_TopUp="N")*B206*(pt&gt;=H206+5)</f>
        <v>0</v>
      </c>
      <c r="AK206" s="50">
        <f t="shared" si="158"/>
        <v>0</v>
      </c>
      <c r="AL206" s="50">
        <f t="shared" si="179"/>
        <v>0</v>
      </c>
      <c r="AM206" s="50">
        <f t="shared" ca="1" si="159"/>
        <v>0</v>
      </c>
      <c r="AN206" s="50">
        <f>IF(B206=0,0,AT206*(_rpm1+(1+_emr1)*VLOOKUP(E206,Tab_Mort_Charge,IF(Input!$C$12="M",2,3),0))*(0.001*0.0833)*Flag_Mort_Rider_Charge*(AT206&gt;0))</f>
        <v>0</v>
      </c>
      <c r="AO206" s="50">
        <f t="shared" ca="1" si="180"/>
        <v>0</v>
      </c>
      <c r="AP206" s="50">
        <f t="shared" ca="1" si="143"/>
        <v>0</v>
      </c>
      <c r="AQ206" s="50">
        <f t="shared" ca="1" si="160"/>
        <v>0</v>
      </c>
      <c r="AR206" s="50">
        <f t="shared" ca="1" si="161"/>
        <v>0</v>
      </c>
      <c r="AS206" s="50">
        <f t="shared" si="162"/>
        <v>0</v>
      </c>
      <c r="AT206" s="50">
        <f ca="1">(MAX((MAX(AS206,105%*SUM($AJ$7:AJ206))-AM206*Flag_UL_Type),0)*B206)</f>
        <v>0</v>
      </c>
      <c r="AU206" s="50">
        <f ca="1">(MAX(AS206,AR206,105%*SUM($AJ$7:AJ206))*B206)</f>
        <v>0</v>
      </c>
      <c r="AV206" s="125"/>
      <c r="AW206" s="13"/>
      <c r="AX206" s="13"/>
      <c r="AY206" s="13"/>
      <c r="AZ206" s="13"/>
      <c r="BA206" s="13"/>
      <c r="BG206" s="51">
        <f t="shared" si="163"/>
        <v>0</v>
      </c>
      <c r="BH206" s="51">
        <f t="shared" si="164"/>
        <v>0</v>
      </c>
      <c r="BI206" s="51">
        <f t="shared" ca="1" si="165"/>
        <v>0</v>
      </c>
      <c r="BJ206" s="51">
        <f t="shared" ca="1" si="166"/>
        <v>0</v>
      </c>
      <c r="BK206" s="51">
        <f t="shared" si="167"/>
        <v>0</v>
      </c>
      <c r="BL206" s="51">
        <f t="shared" ca="1" si="168"/>
        <v>0</v>
      </c>
      <c r="BM206" s="51">
        <f t="shared" si="169"/>
        <v>0</v>
      </c>
      <c r="BN206" s="51">
        <f t="shared" si="170"/>
        <v>0</v>
      </c>
      <c r="BO206" s="51">
        <f t="shared" ca="1" si="171"/>
        <v>0</v>
      </c>
      <c r="BP206" s="51">
        <f t="shared" ca="1" si="172"/>
        <v>0</v>
      </c>
      <c r="BQ206" s="120"/>
      <c r="BR206" s="32"/>
      <c r="BS206" s="126"/>
      <c r="BT206" s="16"/>
      <c r="BU206" s="58"/>
      <c r="BW206" s="51">
        <f>VLOOKUP(H206,Charges!$AT$4:$AU$33,2,FALSE)*I206</f>
        <v>0</v>
      </c>
      <c r="BX206" s="51">
        <f t="shared" si="173"/>
        <v>0</v>
      </c>
      <c r="BY206" s="51">
        <f t="shared" si="181"/>
        <v>0</v>
      </c>
      <c r="BZ206" s="151"/>
      <c r="CA206" s="151"/>
      <c r="CB206" s="32"/>
      <c r="CC206" s="16">
        <f ca="1">SUM($N$7:$N206)</f>
        <v>0</v>
      </c>
      <c r="CD206" s="16">
        <f t="shared" ca="1" si="174"/>
        <v>0</v>
      </c>
      <c r="CE206" s="16">
        <f t="shared" ca="1" si="175"/>
        <v>0</v>
      </c>
      <c r="CF206" s="7">
        <f t="shared" ca="1" si="182"/>
        <v>0</v>
      </c>
    </row>
    <row r="207" spans="1:84" s="7" customFormat="1" x14ac:dyDescent="0.2">
      <c r="A207" s="149"/>
      <c r="B207" s="14">
        <f t="shared" si="144"/>
        <v>0</v>
      </c>
      <c r="C207" s="12">
        <f t="shared" si="145"/>
        <v>0</v>
      </c>
      <c r="D207" s="17">
        <f t="shared" si="183"/>
        <v>201</v>
      </c>
      <c r="E207" s="17">
        <f t="shared" ca="1" si="146"/>
        <v>76</v>
      </c>
      <c r="F207" s="12">
        <f t="shared" si="141"/>
        <v>8</v>
      </c>
      <c r="G207" s="12">
        <f t="shared" si="184"/>
        <v>34</v>
      </c>
      <c r="H207" s="17">
        <f t="shared" si="142"/>
        <v>17</v>
      </c>
      <c r="I207" s="29">
        <f t="shared" si="147"/>
        <v>0</v>
      </c>
      <c r="J207" s="211">
        <f>IFERROR(VLOOKUP(H207,Charges!$T$6:$U$35,2,0)*C207,0)</f>
        <v>0</v>
      </c>
      <c r="K207" s="29">
        <f t="shared" si="148"/>
        <v>0</v>
      </c>
      <c r="L207" s="29">
        <f t="shared" si="149"/>
        <v>0</v>
      </c>
      <c r="M207" s="147">
        <f t="shared" ca="1" si="150"/>
        <v>0</v>
      </c>
      <c r="N207" s="148">
        <f ca="1">IF(AND(Option_SPW="Y",H207&gt;=Lock_In_Period,Z206&gt;SPW_Amount_pa+IF(option="Single",1/5*pr,2*pr),H207&gt;=SPW_Start_Year,H207&lt;=SPW_Start_Year+SPW_Duration-1,age+H207&gt;=Legal_Age),IF(AND(F207=0,SPW_Payout_Freq=1),SPW_Amount_pa,IF(AND(SPW_Payout_Freq=2,MOD(F207,6)=0),SPW_Amount_pa/SPW_Payout_Freq,IF(AND(SPW_Payout_Freq=4,MOD(F207,3)=0),SPW_Amount_pa/SPW_Payout_Freq,IF(SPW_Payout_Freq=12,SPW_Amount_pa/SPW_Payout_Freq,0)))),0)+IFERROR(VLOOKUP(H207,Input!$B$68:$C$74,2,0),0)*(F207=0)*(Option_PW="Y")*(Option_SPW="N")*(age+H207&gt;=Legal_Age)</f>
        <v>0</v>
      </c>
      <c r="O207" s="148">
        <f t="shared" ca="1" si="176"/>
        <v>0</v>
      </c>
      <c r="P207" s="14">
        <f ca="1">(MAX(MAX(sa-CF206*Flag_UL_Type,105%*SUM($I$7:I207))-(AD206+L207-N207)*Flag_UL_Type,0)*B207)</f>
        <v>0</v>
      </c>
      <c r="Q207" s="213">
        <f t="shared" si="151"/>
        <v>0</v>
      </c>
      <c r="R207" s="14">
        <f t="shared" ca="1" si="152"/>
        <v>0</v>
      </c>
      <c r="S207" s="14">
        <f t="shared" ca="1" si="153"/>
        <v>0</v>
      </c>
      <c r="T207" s="14">
        <f>IFERROR(IF(WoP_Flag="Y",IF(fq=1,VLOOKUP(ppt*fq-H207,Charges!$AN$41:$AO$59,2,FALSE),IF(fq=2,VLOOKUP(ppt*fq-G207,Charges!$AP$41:$AQ$79,2,FALSE),VLOOKUP(ppt*fq-D207,Charges!$AR$41:$AS$279,2,FALSE)))*pr/fq,0),0)</f>
        <v>0</v>
      </c>
      <c r="U207" s="14">
        <f ca="1">IFERROR(((T207*(VLOOKUP(Input!$D$18+H207-1,Tab_Mort_Charge,IF(Gender_2="M",2,3),FALSE)*(1+_emr2)+_rpm2)/IF(Model_Type="LA_PQIS",1000/0.0833,(12*1000))))*Flag_Mort_Rider_Charge*(T207&gt;0),0)</f>
        <v>0</v>
      </c>
      <c r="V207" s="34">
        <f>ROUND(MIN(IF(H207&gt;=7,Charges!$C$12*(1+Charges!$C$14)^((H207-7+1)),VLOOKUP(H207,Charges!$B$7:$C$12,2,0))*pr,Charges!$C$13)*B207,Round)</f>
        <v>0</v>
      </c>
      <c r="W207" s="14">
        <f t="shared" ca="1" si="154"/>
        <v>0</v>
      </c>
      <c r="X207" s="14">
        <f t="shared" ca="1" si="155"/>
        <v>0</v>
      </c>
      <c r="Y207" s="213">
        <f t="shared" ca="1" si="177"/>
        <v>0</v>
      </c>
      <c r="Z207" s="14">
        <f t="shared" ca="1" si="156"/>
        <v>0</v>
      </c>
      <c r="AA207" s="14">
        <f>IF(AND($H207=pt,$F207=11),SUM($K$7:K207)*VLOOKUP(pt,ROC,2,FALSE),0)</f>
        <v>0</v>
      </c>
      <c r="AB207" s="14">
        <f>IF(AND($H207=pt,$F207=11),SUM($V$7:V207)*VLOOKUP(pt,ROC,2,FALSE),0)</f>
        <v>0</v>
      </c>
      <c r="AC207" s="14">
        <f>IF(AND($H207=pt,$F207=11),SUM($Q$7:Q207)*VLOOKUP(pt,ROC,2,FALSE),0)</f>
        <v>0</v>
      </c>
      <c r="AD207" s="14">
        <f t="shared" ca="1" si="178"/>
        <v>0</v>
      </c>
      <c r="AE207" s="14">
        <f ca="1">(MAX(sa-CF206*Flag_UL_Type,105%*SUM($I$7:I207),Z207)+AU207)*B207</f>
        <v>0</v>
      </c>
      <c r="AF207" s="136"/>
      <c r="AG207" s="18">
        <v>201</v>
      </c>
      <c r="AH207" s="30">
        <f t="shared" ca="1" si="157"/>
        <v>0</v>
      </c>
      <c r="AI207" s="58"/>
      <c r="AJ207" s="50">
        <f>IF(AND(Option_Sys_TopUp&gt;="Y",H207&gt;=sytp,H207&lt;=(dtp+sytp-1),F207=0,H207&lt;=ppt+1),atp,0)+IFERROR(VLOOKUP(H207,Input!$B$55:$C$61,2,0),0)*(F207=0)*(Option_TopUP="Y")*(Option_Sys_TopUp="N")*B207*(pt&gt;=H207+5)</f>
        <v>0</v>
      </c>
      <c r="AK207" s="50">
        <f t="shared" si="158"/>
        <v>0</v>
      </c>
      <c r="AL207" s="50">
        <f t="shared" si="179"/>
        <v>0</v>
      </c>
      <c r="AM207" s="50">
        <f t="shared" ca="1" si="159"/>
        <v>0</v>
      </c>
      <c r="AN207" s="50">
        <f>IF(B207=0,0,AT207*(_rpm1+(1+_emr1)*VLOOKUP(E207,Tab_Mort_Charge,IF(Input!$C$12="M",2,3),0))*(0.001*0.0833)*Flag_Mort_Rider_Charge*(AT207&gt;0))</f>
        <v>0</v>
      </c>
      <c r="AO207" s="50">
        <f t="shared" ca="1" si="180"/>
        <v>0</v>
      </c>
      <c r="AP207" s="50">
        <f t="shared" ca="1" si="143"/>
        <v>0</v>
      </c>
      <c r="AQ207" s="50">
        <f t="shared" ca="1" si="160"/>
        <v>0</v>
      </c>
      <c r="AR207" s="50">
        <f t="shared" ca="1" si="161"/>
        <v>0</v>
      </c>
      <c r="AS207" s="50">
        <f t="shared" si="162"/>
        <v>0</v>
      </c>
      <c r="AT207" s="50">
        <f ca="1">(MAX((MAX(AS207,105%*SUM($AJ$7:AJ207))-AM207*Flag_UL_Type),0)*B207)</f>
        <v>0</v>
      </c>
      <c r="AU207" s="50">
        <f ca="1">(MAX(AS207,AR207,105%*SUM($AJ$7:AJ207))*B207)</f>
        <v>0</v>
      </c>
      <c r="AV207" s="125"/>
      <c r="AW207" s="13"/>
      <c r="AX207" s="13"/>
      <c r="AY207" s="13"/>
      <c r="AZ207" s="13"/>
      <c r="BA207" s="13"/>
      <c r="BG207" s="51">
        <f t="shared" si="163"/>
        <v>0</v>
      </c>
      <c r="BH207" s="51">
        <f t="shared" si="164"/>
        <v>0</v>
      </c>
      <c r="BI207" s="51">
        <f t="shared" ca="1" si="165"/>
        <v>0</v>
      </c>
      <c r="BJ207" s="51">
        <f t="shared" ca="1" si="166"/>
        <v>0</v>
      </c>
      <c r="BK207" s="51">
        <f t="shared" si="167"/>
        <v>0</v>
      </c>
      <c r="BL207" s="51">
        <f t="shared" ca="1" si="168"/>
        <v>0</v>
      </c>
      <c r="BM207" s="51">
        <f t="shared" si="169"/>
        <v>0</v>
      </c>
      <c r="BN207" s="51">
        <f t="shared" si="170"/>
        <v>0</v>
      </c>
      <c r="BO207" s="51">
        <f t="shared" ca="1" si="171"/>
        <v>0</v>
      </c>
      <c r="BP207" s="51">
        <f t="shared" ca="1" si="172"/>
        <v>0</v>
      </c>
      <c r="BQ207" s="120"/>
      <c r="BR207" s="32"/>
      <c r="BS207" s="126"/>
      <c r="BT207" s="16"/>
      <c r="BU207" s="58"/>
      <c r="BW207" s="51">
        <f>VLOOKUP(H207,Charges!$AT$4:$AU$33,2,FALSE)*I207</f>
        <v>0</v>
      </c>
      <c r="BX207" s="51">
        <f t="shared" si="173"/>
        <v>0</v>
      </c>
      <c r="BY207" s="51">
        <f t="shared" si="181"/>
        <v>0</v>
      </c>
      <c r="BZ207" s="151"/>
      <c r="CA207" s="151"/>
      <c r="CB207" s="32"/>
      <c r="CC207" s="16">
        <f ca="1">SUM($N$7:$N207)</f>
        <v>0</v>
      </c>
      <c r="CD207" s="16">
        <f t="shared" ca="1" si="174"/>
        <v>0</v>
      </c>
      <c r="CE207" s="16">
        <f t="shared" ca="1" si="175"/>
        <v>0</v>
      </c>
      <c r="CF207" s="7">
        <f t="shared" ca="1" si="182"/>
        <v>0</v>
      </c>
    </row>
    <row r="208" spans="1:84" s="7" customFormat="1" x14ac:dyDescent="0.2">
      <c r="A208" s="149"/>
      <c r="B208" s="14">
        <f t="shared" si="144"/>
        <v>0</v>
      </c>
      <c r="C208" s="12">
        <f t="shared" si="145"/>
        <v>0</v>
      </c>
      <c r="D208" s="17">
        <f t="shared" si="183"/>
        <v>202</v>
      </c>
      <c r="E208" s="17">
        <f t="shared" ca="1" si="146"/>
        <v>76</v>
      </c>
      <c r="F208" s="12">
        <f t="shared" si="141"/>
        <v>9</v>
      </c>
      <c r="G208" s="12">
        <f t="shared" si="184"/>
        <v>34</v>
      </c>
      <c r="H208" s="17">
        <f t="shared" si="142"/>
        <v>17</v>
      </c>
      <c r="I208" s="29">
        <f t="shared" si="147"/>
        <v>0</v>
      </c>
      <c r="J208" s="211">
        <f>IFERROR(VLOOKUP(H208,Charges!$T$6:$U$35,2,0)*C208,0)</f>
        <v>0</v>
      </c>
      <c r="K208" s="29">
        <f t="shared" si="148"/>
        <v>0</v>
      </c>
      <c r="L208" s="29">
        <f t="shared" si="149"/>
        <v>0</v>
      </c>
      <c r="M208" s="147">
        <f t="shared" ca="1" si="150"/>
        <v>0</v>
      </c>
      <c r="N208" s="148">
        <f ca="1">IF(AND(Option_SPW="Y",H208&gt;=Lock_In_Period,Z207&gt;SPW_Amount_pa+IF(option="Single",1/5*pr,2*pr),H208&gt;=SPW_Start_Year,H208&lt;=SPW_Start_Year+SPW_Duration-1,age+H208&gt;=Legal_Age),IF(AND(F208=0,SPW_Payout_Freq=1),SPW_Amount_pa,IF(AND(SPW_Payout_Freq=2,MOD(F208,6)=0),SPW_Amount_pa/SPW_Payout_Freq,IF(AND(SPW_Payout_Freq=4,MOD(F208,3)=0),SPW_Amount_pa/SPW_Payout_Freq,IF(SPW_Payout_Freq=12,SPW_Amount_pa/SPW_Payout_Freq,0)))),0)+IFERROR(VLOOKUP(H208,Input!$B$68:$C$74,2,0),0)*(F208=0)*(Option_PW="Y")*(Option_SPW="N")*(age+H208&gt;=Legal_Age)</f>
        <v>0</v>
      </c>
      <c r="O208" s="148">
        <f t="shared" ca="1" si="176"/>
        <v>0</v>
      </c>
      <c r="P208" s="14">
        <f ca="1">(MAX(MAX(sa-CF207*Flag_UL_Type,105%*SUM($I$7:I208))-(AD207+L208-N208)*Flag_UL_Type,0)*B208)</f>
        <v>0</v>
      </c>
      <c r="Q208" s="213">
        <f t="shared" si="151"/>
        <v>0</v>
      </c>
      <c r="R208" s="14">
        <f t="shared" ca="1" si="152"/>
        <v>0</v>
      </c>
      <c r="S208" s="14">
        <f t="shared" ca="1" si="153"/>
        <v>0</v>
      </c>
      <c r="T208" s="14">
        <f>IFERROR(IF(WoP_Flag="Y",IF(fq=1,VLOOKUP(ppt*fq-H208,Charges!$AN$41:$AO$59,2,FALSE),IF(fq=2,VLOOKUP(ppt*fq-G208,Charges!$AP$41:$AQ$79,2,FALSE),VLOOKUP(ppt*fq-D208,Charges!$AR$41:$AS$279,2,FALSE)))*pr/fq,0),0)</f>
        <v>0</v>
      </c>
      <c r="U208" s="14">
        <f ca="1">IFERROR(((T208*(VLOOKUP(Input!$D$18+H208-1,Tab_Mort_Charge,IF(Gender_2="M",2,3),FALSE)*(1+_emr2)+_rpm2)/IF(Model_Type="LA_PQIS",1000/0.0833,(12*1000))))*Flag_Mort_Rider_Charge*(T208&gt;0),0)</f>
        <v>0</v>
      </c>
      <c r="V208" s="34">
        <f>ROUND(MIN(IF(H208&gt;=7,Charges!$C$12*(1+Charges!$C$14)^((H208-7+1)),VLOOKUP(H208,Charges!$B$7:$C$12,2,0))*pr,Charges!$C$13)*B208,Round)</f>
        <v>0</v>
      </c>
      <c r="W208" s="14">
        <f t="shared" ca="1" si="154"/>
        <v>0</v>
      </c>
      <c r="X208" s="14">
        <f t="shared" ca="1" si="155"/>
        <v>0</v>
      </c>
      <c r="Y208" s="213">
        <f t="shared" ca="1" si="177"/>
        <v>0</v>
      </c>
      <c r="Z208" s="14">
        <f t="shared" ca="1" si="156"/>
        <v>0</v>
      </c>
      <c r="AA208" s="14">
        <f>IF(AND($H208=pt,$F208=11),SUM($K$7:K208)*VLOOKUP(pt,ROC,2,FALSE),0)</f>
        <v>0</v>
      </c>
      <c r="AB208" s="14">
        <f>IF(AND($H208=pt,$F208=11),SUM($V$7:V208)*VLOOKUP(pt,ROC,2,FALSE),0)</f>
        <v>0</v>
      </c>
      <c r="AC208" s="14">
        <f>IF(AND($H208=pt,$F208=11),SUM($Q$7:Q208)*VLOOKUP(pt,ROC,2,FALSE),0)</f>
        <v>0</v>
      </c>
      <c r="AD208" s="14">
        <f t="shared" ca="1" si="178"/>
        <v>0</v>
      </c>
      <c r="AE208" s="14">
        <f ca="1">(MAX(sa-CF207*Flag_UL_Type,105%*SUM($I$7:I208),Z208)+AU208)*B208</f>
        <v>0</v>
      </c>
      <c r="AF208" s="136"/>
      <c r="AG208" s="18">
        <v>202</v>
      </c>
      <c r="AH208" s="30">
        <f t="shared" ca="1" si="157"/>
        <v>0</v>
      </c>
      <c r="AI208" s="58"/>
      <c r="AJ208" s="50">
        <f>IF(AND(Option_Sys_TopUp&gt;="Y",H208&gt;=sytp,H208&lt;=(dtp+sytp-1),F208=0,H208&lt;=ppt+1),atp,0)+IFERROR(VLOOKUP(H208,Input!$B$55:$C$61,2,0),0)*(F208=0)*(Option_TopUP="Y")*(Option_Sys_TopUp="N")*B208*(pt&gt;=H208+5)</f>
        <v>0</v>
      </c>
      <c r="AK208" s="50">
        <f t="shared" si="158"/>
        <v>0</v>
      </c>
      <c r="AL208" s="50">
        <f t="shared" si="179"/>
        <v>0</v>
      </c>
      <c r="AM208" s="50">
        <f t="shared" ca="1" si="159"/>
        <v>0</v>
      </c>
      <c r="AN208" s="50">
        <f>IF(B208=0,0,AT208*(_rpm1+(1+_emr1)*VLOOKUP(E208,Tab_Mort_Charge,IF(Input!$C$12="M",2,3),0))*(0.001*0.0833)*Flag_Mort_Rider_Charge*(AT208&gt;0))</f>
        <v>0</v>
      </c>
      <c r="AO208" s="50">
        <f t="shared" ca="1" si="180"/>
        <v>0</v>
      </c>
      <c r="AP208" s="50">
        <f t="shared" ca="1" si="143"/>
        <v>0</v>
      </c>
      <c r="AQ208" s="50">
        <f t="shared" ca="1" si="160"/>
        <v>0</v>
      </c>
      <c r="AR208" s="50">
        <f t="shared" ca="1" si="161"/>
        <v>0</v>
      </c>
      <c r="AS208" s="50">
        <f t="shared" si="162"/>
        <v>0</v>
      </c>
      <c r="AT208" s="50">
        <f ca="1">(MAX((MAX(AS208,105%*SUM($AJ$7:AJ208))-AM208*Flag_UL_Type),0)*B208)</f>
        <v>0</v>
      </c>
      <c r="AU208" s="50">
        <f ca="1">(MAX(AS208,AR208,105%*SUM($AJ$7:AJ208))*B208)</f>
        <v>0</v>
      </c>
      <c r="AV208" s="125"/>
      <c r="AW208" s="13"/>
      <c r="AX208" s="13"/>
      <c r="AY208" s="13"/>
      <c r="AZ208" s="13"/>
      <c r="BA208" s="13"/>
      <c r="BG208" s="51">
        <f t="shared" si="163"/>
        <v>0</v>
      </c>
      <c r="BH208" s="51">
        <f t="shared" si="164"/>
        <v>0</v>
      </c>
      <c r="BI208" s="51">
        <f t="shared" ca="1" si="165"/>
        <v>0</v>
      </c>
      <c r="BJ208" s="51">
        <f t="shared" ca="1" si="166"/>
        <v>0</v>
      </c>
      <c r="BK208" s="51">
        <f t="shared" si="167"/>
        <v>0</v>
      </c>
      <c r="BL208" s="51">
        <f t="shared" ca="1" si="168"/>
        <v>0</v>
      </c>
      <c r="BM208" s="51">
        <f t="shared" si="169"/>
        <v>0</v>
      </c>
      <c r="BN208" s="51">
        <f t="shared" si="170"/>
        <v>0</v>
      </c>
      <c r="BO208" s="51">
        <f t="shared" ca="1" si="171"/>
        <v>0</v>
      </c>
      <c r="BP208" s="51">
        <f t="shared" ca="1" si="172"/>
        <v>0</v>
      </c>
      <c r="BQ208" s="120"/>
      <c r="BR208" s="32"/>
      <c r="BS208" s="126"/>
      <c r="BT208" s="16"/>
      <c r="BU208" s="58"/>
      <c r="BW208" s="51">
        <f>VLOOKUP(H208,Charges!$AT$4:$AU$33,2,FALSE)*I208</f>
        <v>0</v>
      </c>
      <c r="BX208" s="51">
        <f t="shared" si="173"/>
        <v>0</v>
      </c>
      <c r="BY208" s="51">
        <f t="shared" si="181"/>
        <v>0</v>
      </c>
      <c r="BZ208" s="151"/>
      <c r="CA208" s="151"/>
      <c r="CB208" s="32"/>
      <c r="CC208" s="16">
        <f ca="1">SUM($N$7:$N208)</f>
        <v>0</v>
      </c>
      <c r="CD208" s="16">
        <f t="shared" ca="1" si="174"/>
        <v>0</v>
      </c>
      <c r="CE208" s="16">
        <f t="shared" ca="1" si="175"/>
        <v>0</v>
      </c>
      <c r="CF208" s="7">
        <f t="shared" ca="1" si="182"/>
        <v>0</v>
      </c>
    </row>
    <row r="209" spans="1:84" s="7" customFormat="1" x14ac:dyDescent="0.2">
      <c r="A209" s="149"/>
      <c r="B209" s="14">
        <f t="shared" si="144"/>
        <v>0</v>
      </c>
      <c r="C209" s="12">
        <f t="shared" si="145"/>
        <v>0</v>
      </c>
      <c r="D209" s="17">
        <f t="shared" si="183"/>
        <v>203</v>
      </c>
      <c r="E209" s="17">
        <f t="shared" ca="1" si="146"/>
        <v>76</v>
      </c>
      <c r="F209" s="12">
        <f t="shared" si="141"/>
        <v>10</v>
      </c>
      <c r="G209" s="12">
        <f t="shared" si="184"/>
        <v>34</v>
      </c>
      <c r="H209" s="17">
        <f t="shared" si="142"/>
        <v>17</v>
      </c>
      <c r="I209" s="29">
        <f t="shared" si="147"/>
        <v>0</v>
      </c>
      <c r="J209" s="211">
        <f>IFERROR(VLOOKUP(H209,Charges!$T$6:$U$35,2,0)*C209,0)</f>
        <v>0</v>
      </c>
      <c r="K209" s="29">
        <f t="shared" si="148"/>
        <v>0</v>
      </c>
      <c r="L209" s="29">
        <f t="shared" si="149"/>
        <v>0</v>
      </c>
      <c r="M209" s="147">
        <f t="shared" ca="1" si="150"/>
        <v>0</v>
      </c>
      <c r="N209" s="148">
        <f ca="1">IF(AND(Option_SPW="Y",H209&gt;=Lock_In_Period,Z208&gt;SPW_Amount_pa+IF(option="Single",1/5*pr,2*pr),H209&gt;=SPW_Start_Year,H209&lt;=SPW_Start_Year+SPW_Duration-1,age+H209&gt;=Legal_Age),IF(AND(F209=0,SPW_Payout_Freq=1),SPW_Amount_pa,IF(AND(SPW_Payout_Freq=2,MOD(F209,6)=0),SPW_Amount_pa/SPW_Payout_Freq,IF(AND(SPW_Payout_Freq=4,MOD(F209,3)=0),SPW_Amount_pa/SPW_Payout_Freq,IF(SPW_Payout_Freq=12,SPW_Amount_pa/SPW_Payout_Freq,0)))),0)+IFERROR(VLOOKUP(H209,Input!$B$68:$C$74,2,0),0)*(F209=0)*(Option_PW="Y")*(Option_SPW="N")*(age+H209&gt;=Legal_Age)</f>
        <v>0</v>
      </c>
      <c r="O209" s="148">
        <f t="shared" ca="1" si="176"/>
        <v>0</v>
      </c>
      <c r="P209" s="14">
        <f ca="1">(MAX(MAX(sa-CF208*Flag_UL_Type,105%*SUM($I$7:I209))-(AD208+L209-N209)*Flag_UL_Type,0)*B209)</f>
        <v>0</v>
      </c>
      <c r="Q209" s="213">
        <f t="shared" si="151"/>
        <v>0</v>
      </c>
      <c r="R209" s="14">
        <f t="shared" ca="1" si="152"/>
        <v>0</v>
      </c>
      <c r="S209" s="14">
        <f t="shared" ca="1" si="153"/>
        <v>0</v>
      </c>
      <c r="T209" s="14">
        <f>IFERROR(IF(WoP_Flag="Y",IF(fq=1,VLOOKUP(ppt*fq-H209,Charges!$AN$41:$AO$59,2,FALSE),IF(fq=2,VLOOKUP(ppt*fq-G209,Charges!$AP$41:$AQ$79,2,FALSE),VLOOKUP(ppt*fq-D209,Charges!$AR$41:$AS$279,2,FALSE)))*pr/fq,0),0)</f>
        <v>0</v>
      </c>
      <c r="U209" s="14">
        <f ca="1">IFERROR(((T209*(VLOOKUP(Input!$D$18+H209-1,Tab_Mort_Charge,IF(Gender_2="M",2,3),FALSE)*(1+_emr2)+_rpm2)/IF(Model_Type="LA_PQIS",1000/0.0833,(12*1000))))*Flag_Mort_Rider_Charge*(T209&gt;0),0)</f>
        <v>0</v>
      </c>
      <c r="V209" s="34">
        <f>ROUND(MIN(IF(H209&gt;=7,Charges!$C$12*(1+Charges!$C$14)^((H209-7+1)),VLOOKUP(H209,Charges!$B$7:$C$12,2,0))*pr,Charges!$C$13)*B209,Round)</f>
        <v>0</v>
      </c>
      <c r="W209" s="14">
        <f t="shared" ca="1" si="154"/>
        <v>0</v>
      </c>
      <c r="X209" s="14">
        <f t="shared" ca="1" si="155"/>
        <v>0</v>
      </c>
      <c r="Y209" s="213">
        <f t="shared" ca="1" si="177"/>
        <v>0</v>
      </c>
      <c r="Z209" s="14">
        <f t="shared" ca="1" si="156"/>
        <v>0</v>
      </c>
      <c r="AA209" s="14">
        <f>IF(AND($H209=pt,$F209=11),SUM($K$7:K209)*VLOOKUP(pt,ROC,2,FALSE),0)</f>
        <v>0</v>
      </c>
      <c r="AB209" s="14">
        <f>IF(AND($H209=pt,$F209=11),SUM($V$7:V209)*VLOOKUP(pt,ROC,2,FALSE),0)</f>
        <v>0</v>
      </c>
      <c r="AC209" s="14">
        <f>IF(AND($H209=pt,$F209=11),SUM($Q$7:Q209)*VLOOKUP(pt,ROC,2,FALSE),0)</f>
        <v>0</v>
      </c>
      <c r="AD209" s="14">
        <f t="shared" ca="1" si="178"/>
        <v>0</v>
      </c>
      <c r="AE209" s="14">
        <f ca="1">(MAX(sa-CF208*Flag_UL_Type,105%*SUM($I$7:I209),Z209)+AU209)*B209</f>
        <v>0</v>
      </c>
      <c r="AF209" s="136"/>
      <c r="AG209" s="18">
        <v>203</v>
      </c>
      <c r="AH209" s="30">
        <f t="shared" ca="1" si="157"/>
        <v>0</v>
      </c>
      <c r="AI209" s="58"/>
      <c r="AJ209" s="50">
        <f>IF(AND(Option_Sys_TopUp&gt;="Y",H209&gt;=sytp,H209&lt;=(dtp+sytp-1),F209=0,H209&lt;=ppt+1),atp,0)+IFERROR(VLOOKUP(H209,Input!$B$55:$C$61,2,0),0)*(F209=0)*(Option_TopUP="Y")*(Option_Sys_TopUp="N")*B209*(pt&gt;=H209+5)</f>
        <v>0</v>
      </c>
      <c r="AK209" s="50">
        <f t="shared" si="158"/>
        <v>0</v>
      </c>
      <c r="AL209" s="50">
        <f t="shared" si="179"/>
        <v>0</v>
      </c>
      <c r="AM209" s="50">
        <f t="shared" ca="1" si="159"/>
        <v>0</v>
      </c>
      <c r="AN209" s="50">
        <f>IF(B209=0,0,AT209*(_rpm1+(1+_emr1)*VLOOKUP(E209,Tab_Mort_Charge,IF(Input!$C$12="M",2,3),0))*(0.001*0.0833)*Flag_Mort_Rider_Charge*(AT209&gt;0))</f>
        <v>0</v>
      </c>
      <c r="AO209" s="50">
        <f t="shared" ca="1" si="180"/>
        <v>0</v>
      </c>
      <c r="AP209" s="50">
        <f t="shared" ca="1" si="143"/>
        <v>0</v>
      </c>
      <c r="AQ209" s="50">
        <f t="shared" ca="1" si="160"/>
        <v>0</v>
      </c>
      <c r="AR209" s="50">
        <f t="shared" ca="1" si="161"/>
        <v>0</v>
      </c>
      <c r="AS209" s="50">
        <f t="shared" si="162"/>
        <v>0</v>
      </c>
      <c r="AT209" s="50">
        <f ca="1">(MAX((MAX(AS209,105%*SUM($AJ$7:AJ209))-AM209*Flag_UL_Type),0)*B209)</f>
        <v>0</v>
      </c>
      <c r="AU209" s="50">
        <f ca="1">(MAX(AS209,AR209,105%*SUM($AJ$7:AJ209))*B209)</f>
        <v>0</v>
      </c>
      <c r="AV209" s="125"/>
      <c r="AW209" s="13"/>
      <c r="AX209" s="13"/>
      <c r="AY209" s="13"/>
      <c r="AZ209" s="13"/>
      <c r="BA209" s="13"/>
      <c r="BG209" s="51">
        <f t="shared" si="163"/>
        <v>0</v>
      </c>
      <c r="BH209" s="51">
        <f t="shared" si="164"/>
        <v>0</v>
      </c>
      <c r="BI209" s="51">
        <f t="shared" ca="1" si="165"/>
        <v>0</v>
      </c>
      <c r="BJ209" s="51">
        <f t="shared" ca="1" si="166"/>
        <v>0</v>
      </c>
      <c r="BK209" s="51">
        <f t="shared" si="167"/>
        <v>0</v>
      </c>
      <c r="BL209" s="51">
        <f t="shared" ca="1" si="168"/>
        <v>0</v>
      </c>
      <c r="BM209" s="51">
        <f t="shared" si="169"/>
        <v>0</v>
      </c>
      <c r="BN209" s="51">
        <f t="shared" si="170"/>
        <v>0</v>
      </c>
      <c r="BO209" s="51">
        <f t="shared" ca="1" si="171"/>
        <v>0</v>
      </c>
      <c r="BP209" s="51">
        <f t="shared" ca="1" si="172"/>
        <v>0</v>
      </c>
      <c r="BQ209" s="120"/>
      <c r="BR209" s="32"/>
      <c r="BS209" s="126"/>
      <c r="BT209" s="16"/>
      <c r="BU209" s="58"/>
      <c r="BW209" s="51">
        <f>VLOOKUP(H209,Charges!$AT$4:$AU$33,2,FALSE)*I209</f>
        <v>0</v>
      </c>
      <c r="BX209" s="51">
        <f t="shared" si="173"/>
        <v>0</v>
      </c>
      <c r="BY209" s="51">
        <f t="shared" si="181"/>
        <v>0</v>
      </c>
      <c r="BZ209" s="151"/>
      <c r="CA209" s="151"/>
      <c r="CB209" s="32"/>
      <c r="CC209" s="16">
        <f ca="1">SUM($N$7:$N209)</f>
        <v>0</v>
      </c>
      <c r="CD209" s="16">
        <f t="shared" ca="1" si="174"/>
        <v>0</v>
      </c>
      <c r="CE209" s="16">
        <f t="shared" ca="1" si="175"/>
        <v>0</v>
      </c>
      <c r="CF209" s="7">
        <f t="shared" ca="1" si="182"/>
        <v>0</v>
      </c>
    </row>
    <row r="210" spans="1:84" s="7" customFormat="1" x14ac:dyDescent="0.2">
      <c r="A210" s="149"/>
      <c r="B210" s="14">
        <f t="shared" si="144"/>
        <v>0</v>
      </c>
      <c r="C210" s="12">
        <f t="shared" si="145"/>
        <v>0</v>
      </c>
      <c r="D210" s="17">
        <f t="shared" si="183"/>
        <v>204</v>
      </c>
      <c r="E210" s="17">
        <f t="shared" ca="1" si="146"/>
        <v>76</v>
      </c>
      <c r="F210" s="12">
        <f t="shared" si="141"/>
        <v>11</v>
      </c>
      <c r="G210" s="12">
        <f t="shared" si="184"/>
        <v>34</v>
      </c>
      <c r="H210" s="17">
        <f t="shared" si="142"/>
        <v>17</v>
      </c>
      <c r="I210" s="29">
        <f t="shared" si="147"/>
        <v>0</v>
      </c>
      <c r="J210" s="211">
        <f>IFERROR(VLOOKUP(H210,Charges!$T$6:$U$35,2,0)*C210,0)</f>
        <v>0</v>
      </c>
      <c r="K210" s="29">
        <f t="shared" si="148"/>
        <v>0</v>
      </c>
      <c r="L210" s="29">
        <f t="shared" si="149"/>
        <v>0</v>
      </c>
      <c r="M210" s="147">
        <f t="shared" ca="1" si="150"/>
        <v>0</v>
      </c>
      <c r="N210" s="148">
        <f ca="1">IF(AND(Option_SPW="Y",H210&gt;=Lock_In_Period,Z209&gt;SPW_Amount_pa+IF(option="Single",1/5*pr,2*pr),H210&gt;=SPW_Start_Year,H210&lt;=SPW_Start_Year+SPW_Duration-1,age+H210&gt;=Legal_Age),IF(AND(F210=0,SPW_Payout_Freq=1),SPW_Amount_pa,IF(AND(SPW_Payout_Freq=2,MOD(F210,6)=0),SPW_Amount_pa/SPW_Payout_Freq,IF(AND(SPW_Payout_Freq=4,MOD(F210,3)=0),SPW_Amount_pa/SPW_Payout_Freq,IF(SPW_Payout_Freq=12,SPW_Amount_pa/SPW_Payout_Freq,0)))),0)+IFERROR(VLOOKUP(H210,Input!$B$68:$C$74,2,0),0)*(F210=0)*(Option_PW="Y")*(Option_SPW="N")*(age+H210&gt;=Legal_Age)</f>
        <v>0</v>
      </c>
      <c r="O210" s="148">
        <f t="shared" ca="1" si="176"/>
        <v>0</v>
      </c>
      <c r="P210" s="14">
        <f ca="1">(MAX(MAX(sa-CF209*Flag_UL_Type,105%*SUM($I$7:I210))-(AD209+L210-N210)*Flag_UL_Type,0)*B210)</f>
        <v>0</v>
      </c>
      <c r="Q210" s="213">
        <f t="shared" si="151"/>
        <v>0</v>
      </c>
      <c r="R210" s="14">
        <f t="shared" ca="1" si="152"/>
        <v>0</v>
      </c>
      <c r="S210" s="14">
        <f t="shared" ca="1" si="153"/>
        <v>0</v>
      </c>
      <c r="T210" s="14">
        <f>IFERROR(IF(WoP_Flag="Y",IF(fq=1,VLOOKUP(ppt*fq-H210,Charges!$AN$41:$AO$59,2,FALSE),IF(fq=2,VLOOKUP(ppt*fq-G210,Charges!$AP$41:$AQ$79,2,FALSE),VLOOKUP(ppt*fq-D210,Charges!$AR$41:$AS$279,2,FALSE)))*pr/fq,0),0)</f>
        <v>0</v>
      </c>
      <c r="U210" s="14">
        <f ca="1">IFERROR(((T210*(VLOOKUP(Input!$D$18+H210-1,Tab_Mort_Charge,IF(Gender_2="M",2,3),FALSE)*(1+_emr2)+_rpm2)/IF(Model_Type="LA_PQIS",1000/0.0833,(12*1000))))*Flag_Mort_Rider_Charge*(T210&gt;0),0)</f>
        <v>0</v>
      </c>
      <c r="V210" s="34">
        <f>ROUND(MIN(IF(H210&gt;=7,Charges!$C$12*(1+Charges!$C$14)^((H210-7+1)),VLOOKUP(H210,Charges!$B$7:$C$12,2,0))*pr,Charges!$C$13)*B210,Round)</f>
        <v>0</v>
      </c>
      <c r="W210" s="14">
        <f t="shared" ca="1" si="154"/>
        <v>0</v>
      </c>
      <c r="X210" s="14">
        <f t="shared" ca="1" si="155"/>
        <v>0</v>
      </c>
      <c r="Y210" s="213">
        <f t="shared" ca="1" si="177"/>
        <v>0</v>
      </c>
      <c r="Z210" s="14">
        <f t="shared" ca="1" si="156"/>
        <v>0</v>
      </c>
      <c r="AA210" s="14">
        <f>IF(AND($H210=pt,$F210=11),SUM($K$7:K210)*VLOOKUP(pt,ROC,2,FALSE),0)</f>
        <v>0</v>
      </c>
      <c r="AB210" s="14">
        <f>IF(AND($H210=pt,$F210=11),SUM($V$7:V210)*VLOOKUP(pt,ROC,2,FALSE),0)</f>
        <v>0</v>
      </c>
      <c r="AC210" s="14">
        <f>IF(AND($H210=pt,$F210=11),SUM($Q$7:Q210)*VLOOKUP(pt,ROC,2,FALSE),0)</f>
        <v>0</v>
      </c>
      <c r="AD210" s="14">
        <f t="shared" ca="1" si="178"/>
        <v>0</v>
      </c>
      <c r="AE210" s="14">
        <f ca="1">(MAX(sa-CF209*Flag_UL_Type,105%*SUM($I$7:I210),Z210)+AU210)*B210</f>
        <v>0</v>
      </c>
      <c r="AF210" s="136"/>
      <c r="AG210" s="18">
        <v>204</v>
      </c>
      <c r="AH210" s="30">
        <f t="shared" ca="1" si="157"/>
        <v>0</v>
      </c>
      <c r="AI210" s="58"/>
      <c r="AJ210" s="50">
        <f>IF(AND(Option_Sys_TopUp&gt;="Y",H210&gt;=sytp,H210&lt;=(dtp+sytp-1),F210=0,H210&lt;=ppt+1),atp,0)+IFERROR(VLOOKUP(H210,Input!$B$55:$C$61,2,0),0)*(F210=0)*(Option_TopUP="Y")*(Option_Sys_TopUp="N")*B210*(pt&gt;=H210+5)</f>
        <v>0</v>
      </c>
      <c r="AK210" s="50">
        <f t="shared" si="158"/>
        <v>0</v>
      </c>
      <c r="AL210" s="50">
        <f t="shared" si="179"/>
        <v>0</v>
      </c>
      <c r="AM210" s="50">
        <f t="shared" ca="1" si="159"/>
        <v>0</v>
      </c>
      <c r="AN210" s="50">
        <f>IF(B210=0,0,AT210*(_rpm1+(1+_emr1)*VLOOKUP(E210,Tab_Mort_Charge,IF(Input!$C$12="M",2,3),0))*(0.001*0.0833)*Flag_Mort_Rider_Charge*(AT210&gt;0))</f>
        <v>0</v>
      </c>
      <c r="AO210" s="50">
        <f t="shared" ca="1" si="180"/>
        <v>0</v>
      </c>
      <c r="AP210" s="50">
        <f t="shared" ca="1" si="143"/>
        <v>0</v>
      </c>
      <c r="AQ210" s="50">
        <f t="shared" ca="1" si="160"/>
        <v>0</v>
      </c>
      <c r="AR210" s="50">
        <f t="shared" ca="1" si="161"/>
        <v>0</v>
      </c>
      <c r="AS210" s="50">
        <f t="shared" si="162"/>
        <v>0</v>
      </c>
      <c r="AT210" s="50">
        <f ca="1">(MAX((MAX(AS210,105%*SUM($AJ$7:AJ210))-AM210*Flag_UL_Type),0)*B210)</f>
        <v>0</v>
      </c>
      <c r="AU210" s="50">
        <f ca="1">(MAX(AS210,AR210,105%*SUM($AJ$7:AJ210))*B210)</f>
        <v>0</v>
      </c>
      <c r="AV210" s="125"/>
      <c r="AW210" s="13"/>
      <c r="AX210" s="13"/>
      <c r="AY210" s="13"/>
      <c r="AZ210" s="13"/>
      <c r="BA210" s="13"/>
      <c r="BG210" s="51">
        <f t="shared" si="163"/>
        <v>0</v>
      </c>
      <c r="BH210" s="51">
        <f t="shared" si="164"/>
        <v>0</v>
      </c>
      <c r="BI210" s="51">
        <f t="shared" ca="1" si="165"/>
        <v>0</v>
      </c>
      <c r="BJ210" s="51">
        <f t="shared" ca="1" si="166"/>
        <v>0</v>
      </c>
      <c r="BK210" s="51">
        <f t="shared" si="167"/>
        <v>0</v>
      </c>
      <c r="BL210" s="51">
        <f t="shared" ca="1" si="168"/>
        <v>0</v>
      </c>
      <c r="BM210" s="51">
        <f t="shared" si="169"/>
        <v>0</v>
      </c>
      <c r="BN210" s="51">
        <f t="shared" si="170"/>
        <v>0</v>
      </c>
      <c r="BO210" s="51">
        <f t="shared" ca="1" si="171"/>
        <v>0</v>
      </c>
      <c r="BP210" s="51">
        <f t="shared" ca="1" si="172"/>
        <v>0</v>
      </c>
      <c r="BQ210" s="120"/>
      <c r="BR210" s="32"/>
      <c r="BS210" s="126"/>
      <c r="BT210" s="16"/>
      <c r="BU210" s="58"/>
      <c r="BW210" s="51">
        <f>VLOOKUP(H210,Charges!$AT$4:$AU$33,2,FALSE)*I210</f>
        <v>0</v>
      </c>
      <c r="BX210" s="51">
        <f t="shared" si="173"/>
        <v>0</v>
      </c>
      <c r="BY210" s="51">
        <f t="shared" si="181"/>
        <v>0</v>
      </c>
      <c r="BZ210" s="151"/>
      <c r="CA210" s="151"/>
      <c r="CB210" s="32"/>
      <c r="CC210" s="16">
        <f ca="1">SUM($N$7:$N210)</f>
        <v>0</v>
      </c>
      <c r="CD210" s="16">
        <f t="shared" ca="1" si="174"/>
        <v>0</v>
      </c>
      <c r="CE210" s="16">
        <f t="shared" ca="1" si="175"/>
        <v>0</v>
      </c>
      <c r="CF210" s="7">
        <f t="shared" ca="1" si="182"/>
        <v>0</v>
      </c>
    </row>
    <row r="211" spans="1:84" s="7" customFormat="1" x14ac:dyDescent="0.2">
      <c r="A211" s="149"/>
      <c r="B211" s="14">
        <f t="shared" si="144"/>
        <v>0</v>
      </c>
      <c r="C211" s="12">
        <f t="shared" si="145"/>
        <v>0</v>
      </c>
      <c r="D211" s="17">
        <f t="shared" si="183"/>
        <v>205</v>
      </c>
      <c r="E211" s="17">
        <f t="shared" ca="1" si="146"/>
        <v>77</v>
      </c>
      <c r="F211" s="12">
        <f t="shared" si="141"/>
        <v>0</v>
      </c>
      <c r="G211" s="12">
        <f t="shared" si="184"/>
        <v>35</v>
      </c>
      <c r="H211" s="17">
        <f t="shared" si="142"/>
        <v>18</v>
      </c>
      <c r="I211" s="29">
        <f t="shared" si="147"/>
        <v>0</v>
      </c>
      <c r="J211" s="211">
        <f>IFERROR(VLOOKUP(H211,Charges!$T$6:$U$35,2,0)*C211,0)</f>
        <v>0</v>
      </c>
      <c r="K211" s="29">
        <f t="shared" si="148"/>
        <v>0</v>
      </c>
      <c r="L211" s="29">
        <f t="shared" si="149"/>
        <v>0</v>
      </c>
      <c r="M211" s="147">
        <f t="shared" ca="1" si="150"/>
        <v>0</v>
      </c>
      <c r="N211" s="148">
        <f ca="1">IF(AND(Option_SPW="Y",H211&gt;=Lock_In_Period,Z210&gt;SPW_Amount_pa+IF(option="Single",1/5*pr,2*pr),H211&gt;=SPW_Start_Year,H211&lt;=SPW_Start_Year+SPW_Duration-1,age+H211&gt;=Legal_Age),IF(AND(F211=0,SPW_Payout_Freq=1),SPW_Amount_pa,IF(AND(SPW_Payout_Freq=2,MOD(F211,6)=0),SPW_Amount_pa/SPW_Payout_Freq,IF(AND(SPW_Payout_Freq=4,MOD(F211,3)=0),SPW_Amount_pa/SPW_Payout_Freq,IF(SPW_Payout_Freq=12,SPW_Amount_pa/SPW_Payout_Freq,0)))),0)+IFERROR(VLOOKUP(H211,Input!$B$68:$C$74,2,0),0)*(F211=0)*(Option_PW="Y")*(Option_SPW="N")*(age+H211&gt;=Legal_Age)</f>
        <v>0</v>
      </c>
      <c r="O211" s="148">
        <f t="shared" ca="1" si="176"/>
        <v>0</v>
      </c>
      <c r="P211" s="14">
        <f ca="1">(MAX(MAX(sa-CF210*Flag_UL_Type,105%*SUM($I$7:I211))-(AD210+L211-N211)*Flag_UL_Type,0)*B211)</f>
        <v>0</v>
      </c>
      <c r="Q211" s="213">
        <f t="shared" si="151"/>
        <v>0</v>
      </c>
      <c r="R211" s="14">
        <f t="shared" ca="1" si="152"/>
        <v>0</v>
      </c>
      <c r="S211" s="14">
        <f t="shared" ca="1" si="153"/>
        <v>0</v>
      </c>
      <c r="T211" s="14">
        <f>IFERROR(IF(WoP_Flag="Y",IF(fq=1,VLOOKUP(ppt*fq-H211,Charges!$AN$41:$AO$59,2,FALSE),IF(fq=2,VLOOKUP(ppt*fq-G211,Charges!$AP$41:$AQ$79,2,FALSE),VLOOKUP(ppt*fq-D211,Charges!$AR$41:$AS$279,2,FALSE)))*pr/fq,0),0)</f>
        <v>0</v>
      </c>
      <c r="U211" s="14">
        <f ca="1">IFERROR(((T211*(VLOOKUP(Input!$D$18+H211-1,Tab_Mort_Charge,IF(Gender_2="M",2,3),FALSE)*(1+_emr2)+_rpm2)/IF(Model_Type="LA_PQIS",1000/0.0833,(12*1000))))*Flag_Mort_Rider_Charge*(T211&gt;0),0)</f>
        <v>0</v>
      </c>
      <c r="V211" s="34">
        <f>ROUND(MIN(IF(H211&gt;=7,Charges!$C$12*(1+Charges!$C$14)^((H211-7+1)),VLOOKUP(H211,Charges!$B$7:$C$12,2,0))*pr,Charges!$C$13)*B211,Round)</f>
        <v>0</v>
      </c>
      <c r="W211" s="14">
        <f t="shared" ca="1" si="154"/>
        <v>0</v>
      </c>
      <c r="X211" s="14">
        <f t="shared" ca="1" si="155"/>
        <v>0</v>
      </c>
      <c r="Y211" s="213">
        <f t="shared" ca="1" si="177"/>
        <v>0</v>
      </c>
      <c r="Z211" s="14">
        <f t="shared" ca="1" si="156"/>
        <v>0</v>
      </c>
      <c r="AA211" s="14">
        <f>IF(AND($H211=pt,$F211=11),SUM($K$7:K211)*VLOOKUP(pt,ROC,2,FALSE),0)</f>
        <v>0</v>
      </c>
      <c r="AB211" s="14">
        <f>IF(AND($H211=pt,$F211=11),SUM($V$7:V211)*VLOOKUP(pt,ROC,2,FALSE),0)</f>
        <v>0</v>
      </c>
      <c r="AC211" s="14">
        <f>IF(AND($H211=pt,$F211=11),SUM($Q$7:Q211)*VLOOKUP(pt,ROC,2,FALSE),0)</f>
        <v>0</v>
      </c>
      <c r="AD211" s="14">
        <f t="shared" ca="1" si="178"/>
        <v>0</v>
      </c>
      <c r="AE211" s="14">
        <f ca="1">(MAX(sa-CF210*Flag_UL_Type,105%*SUM($I$7:I211),Z211)+AU211)*B211</f>
        <v>0</v>
      </c>
      <c r="AF211" s="136"/>
      <c r="AG211" s="18">
        <v>205</v>
      </c>
      <c r="AH211" s="30">
        <f t="shared" ca="1" si="157"/>
        <v>0</v>
      </c>
      <c r="AI211" s="58"/>
      <c r="AJ211" s="50">
        <f>IF(AND(Option_Sys_TopUp&gt;="Y",H211&gt;=sytp,H211&lt;=(dtp+sytp-1),F211=0,H211&lt;=ppt+1),atp,0)+IFERROR(VLOOKUP(H211,Input!$B$55:$C$61,2,0),0)*(F211=0)*(Option_TopUP="Y")*(Option_Sys_TopUp="N")*B211*(pt&gt;=H211+5)</f>
        <v>0</v>
      </c>
      <c r="AK211" s="50">
        <f t="shared" si="158"/>
        <v>0</v>
      </c>
      <c r="AL211" s="50">
        <f t="shared" si="179"/>
        <v>0</v>
      </c>
      <c r="AM211" s="50">
        <f t="shared" ca="1" si="159"/>
        <v>0</v>
      </c>
      <c r="AN211" s="50">
        <f>IF(B211=0,0,AT211*(_rpm1+(1+_emr1)*VLOOKUP(E211,Tab_Mort_Charge,IF(Input!$C$12="M",2,3),0))*(0.001*0.0833)*Flag_Mort_Rider_Charge*(AT211&gt;0))</f>
        <v>0</v>
      </c>
      <c r="AO211" s="50">
        <f t="shared" ca="1" si="180"/>
        <v>0</v>
      </c>
      <c r="AP211" s="50">
        <f t="shared" ca="1" si="143"/>
        <v>0</v>
      </c>
      <c r="AQ211" s="50">
        <f t="shared" ca="1" si="160"/>
        <v>0</v>
      </c>
      <c r="AR211" s="50">
        <f t="shared" ca="1" si="161"/>
        <v>0</v>
      </c>
      <c r="AS211" s="50">
        <f t="shared" si="162"/>
        <v>0</v>
      </c>
      <c r="AT211" s="50">
        <f ca="1">(MAX((MAX(AS211,105%*SUM($AJ$7:AJ211))-AM211*Flag_UL_Type),0)*B211)</f>
        <v>0</v>
      </c>
      <c r="AU211" s="50">
        <f ca="1">(MAX(AS211,AR211,105%*SUM($AJ$7:AJ211))*B211)</f>
        <v>0</v>
      </c>
      <c r="AV211" s="125"/>
      <c r="AW211" s="13"/>
      <c r="AX211" s="13"/>
      <c r="AY211" s="13"/>
      <c r="AZ211" s="13"/>
      <c r="BA211" s="13"/>
      <c r="BG211" s="51">
        <f t="shared" si="163"/>
        <v>0</v>
      </c>
      <c r="BH211" s="51">
        <f t="shared" si="164"/>
        <v>0</v>
      </c>
      <c r="BI211" s="51">
        <f t="shared" ca="1" si="165"/>
        <v>0</v>
      </c>
      <c r="BJ211" s="51">
        <f t="shared" ca="1" si="166"/>
        <v>0</v>
      </c>
      <c r="BK211" s="51">
        <f t="shared" si="167"/>
        <v>0</v>
      </c>
      <c r="BL211" s="51">
        <f t="shared" ca="1" si="168"/>
        <v>0</v>
      </c>
      <c r="BM211" s="51">
        <f t="shared" si="169"/>
        <v>0</v>
      </c>
      <c r="BN211" s="51">
        <f t="shared" si="170"/>
        <v>0</v>
      </c>
      <c r="BO211" s="51">
        <f t="shared" ca="1" si="171"/>
        <v>0</v>
      </c>
      <c r="BP211" s="51">
        <f t="shared" ca="1" si="172"/>
        <v>0</v>
      </c>
      <c r="BQ211" s="120"/>
      <c r="BR211" s="32"/>
      <c r="BS211" s="126"/>
      <c r="BT211" s="16"/>
      <c r="BU211" s="58"/>
      <c r="BW211" s="51">
        <f>VLOOKUP(H211,Charges!$AT$4:$AU$33,2,FALSE)*I211</f>
        <v>0</v>
      </c>
      <c r="BX211" s="51">
        <f t="shared" si="173"/>
        <v>0</v>
      </c>
      <c r="BY211" s="51">
        <f t="shared" si="181"/>
        <v>0</v>
      </c>
      <c r="BZ211" s="151"/>
      <c r="CA211" s="151"/>
      <c r="CB211" s="32"/>
      <c r="CC211" s="16">
        <f ca="1">SUM($N$7:$N211)</f>
        <v>0</v>
      </c>
      <c r="CD211" s="16">
        <f t="shared" ca="1" si="174"/>
        <v>0</v>
      </c>
      <c r="CE211" s="16">
        <f t="shared" ca="1" si="175"/>
        <v>0</v>
      </c>
      <c r="CF211" s="7">
        <f t="shared" ca="1" si="182"/>
        <v>0</v>
      </c>
    </row>
    <row r="212" spans="1:84" s="7" customFormat="1" x14ac:dyDescent="0.2">
      <c r="A212" s="149"/>
      <c r="B212" s="14">
        <f t="shared" si="144"/>
        <v>0</v>
      </c>
      <c r="C212" s="12">
        <f t="shared" si="145"/>
        <v>0</v>
      </c>
      <c r="D212" s="17">
        <f t="shared" si="183"/>
        <v>206</v>
      </c>
      <c r="E212" s="17">
        <f t="shared" ca="1" si="146"/>
        <v>77</v>
      </c>
      <c r="F212" s="12">
        <f t="shared" ref="F212:F275" si="185">F200</f>
        <v>1</v>
      </c>
      <c r="G212" s="12">
        <f t="shared" si="184"/>
        <v>35</v>
      </c>
      <c r="H212" s="17">
        <f t="shared" ref="H212:H275" si="186">+H200+1</f>
        <v>18</v>
      </c>
      <c r="I212" s="29">
        <f t="shared" si="147"/>
        <v>0</v>
      </c>
      <c r="J212" s="211">
        <f>IFERROR(VLOOKUP(H212,Charges!$T$6:$U$35,2,0)*C212,0)</f>
        <v>0</v>
      </c>
      <c r="K212" s="29">
        <f t="shared" si="148"/>
        <v>0</v>
      </c>
      <c r="L212" s="29">
        <f t="shared" si="149"/>
        <v>0</v>
      </c>
      <c r="M212" s="147">
        <f t="shared" ca="1" si="150"/>
        <v>0</v>
      </c>
      <c r="N212" s="148">
        <f ca="1">IF(AND(Option_SPW="Y",H212&gt;=Lock_In_Period,Z211&gt;SPW_Amount_pa+IF(option="Single",1/5*pr,2*pr),H212&gt;=SPW_Start_Year,H212&lt;=SPW_Start_Year+SPW_Duration-1,age+H212&gt;=Legal_Age),IF(AND(F212=0,SPW_Payout_Freq=1),SPW_Amount_pa,IF(AND(SPW_Payout_Freq=2,MOD(F212,6)=0),SPW_Amount_pa/SPW_Payout_Freq,IF(AND(SPW_Payout_Freq=4,MOD(F212,3)=0),SPW_Amount_pa/SPW_Payout_Freq,IF(SPW_Payout_Freq=12,SPW_Amount_pa/SPW_Payout_Freq,0)))),0)+IFERROR(VLOOKUP(H212,Input!$B$68:$C$74,2,0),0)*(F212=0)*(Option_PW="Y")*(Option_SPW="N")*(age+H212&gt;=Legal_Age)</f>
        <v>0</v>
      </c>
      <c r="O212" s="148">
        <f t="shared" ca="1" si="176"/>
        <v>0</v>
      </c>
      <c r="P212" s="14">
        <f ca="1">(MAX(MAX(sa-CF211*Flag_UL_Type,105%*SUM($I$7:I212))-(AD211+L212-N212)*Flag_UL_Type,0)*B212)</f>
        <v>0</v>
      </c>
      <c r="Q212" s="213">
        <f t="shared" si="151"/>
        <v>0</v>
      </c>
      <c r="R212" s="14">
        <f t="shared" ca="1" si="152"/>
        <v>0</v>
      </c>
      <c r="S212" s="14">
        <f t="shared" ca="1" si="153"/>
        <v>0</v>
      </c>
      <c r="T212" s="14">
        <f>IFERROR(IF(WoP_Flag="Y",IF(fq=1,VLOOKUP(ppt*fq-H212,Charges!$AN$41:$AO$59,2,FALSE),IF(fq=2,VLOOKUP(ppt*fq-G212,Charges!$AP$41:$AQ$79,2,FALSE),VLOOKUP(ppt*fq-D212,Charges!$AR$41:$AS$279,2,FALSE)))*pr/fq,0),0)</f>
        <v>0</v>
      </c>
      <c r="U212" s="14">
        <f ca="1">IFERROR(((T212*(VLOOKUP(Input!$D$18+H212-1,Tab_Mort_Charge,IF(Gender_2="M",2,3),FALSE)*(1+_emr2)+_rpm2)/IF(Model_Type="LA_PQIS",1000/0.0833,(12*1000))))*Flag_Mort_Rider_Charge*(T212&gt;0),0)</f>
        <v>0</v>
      </c>
      <c r="V212" s="34">
        <f>ROUND(MIN(IF(H212&gt;=7,Charges!$C$12*(1+Charges!$C$14)^((H212-7+1)),VLOOKUP(H212,Charges!$B$7:$C$12,2,0))*pr,Charges!$C$13)*B212,Round)</f>
        <v>0</v>
      </c>
      <c r="W212" s="14">
        <f t="shared" ca="1" si="154"/>
        <v>0</v>
      </c>
      <c r="X212" s="14">
        <f t="shared" ca="1" si="155"/>
        <v>0</v>
      </c>
      <c r="Y212" s="213">
        <f t="shared" ca="1" si="177"/>
        <v>0</v>
      </c>
      <c r="Z212" s="14">
        <f t="shared" ca="1" si="156"/>
        <v>0</v>
      </c>
      <c r="AA212" s="14">
        <f>IF(AND($H212=pt,$F212=11),SUM($K$7:K212)*VLOOKUP(pt,ROC,2,FALSE),0)</f>
        <v>0</v>
      </c>
      <c r="AB212" s="14">
        <f>IF(AND($H212=pt,$F212=11),SUM($V$7:V212)*VLOOKUP(pt,ROC,2,FALSE),0)</f>
        <v>0</v>
      </c>
      <c r="AC212" s="14">
        <f>IF(AND($H212=pt,$F212=11),SUM($Q$7:Q212)*VLOOKUP(pt,ROC,2,FALSE),0)</f>
        <v>0</v>
      </c>
      <c r="AD212" s="14">
        <f t="shared" ca="1" si="178"/>
        <v>0</v>
      </c>
      <c r="AE212" s="14">
        <f ca="1">(MAX(sa-CF211*Flag_UL_Type,105%*SUM($I$7:I212),Z212)+AU212)*B212</f>
        <v>0</v>
      </c>
      <c r="AF212" s="136"/>
      <c r="AG212" s="18">
        <v>206</v>
      </c>
      <c r="AH212" s="30">
        <f t="shared" ca="1" si="157"/>
        <v>0</v>
      </c>
      <c r="AI212" s="58"/>
      <c r="AJ212" s="50">
        <f>IF(AND(Option_Sys_TopUp&gt;="Y",H212&gt;=sytp,H212&lt;=(dtp+sytp-1),F212=0,H212&lt;=ppt+1),atp,0)+IFERROR(VLOOKUP(H212,Input!$B$55:$C$61,2,0),0)*(F212=0)*(Option_TopUP="Y")*(Option_Sys_TopUp="N")*B212*(pt&gt;=H212+5)</f>
        <v>0</v>
      </c>
      <c r="AK212" s="50">
        <f t="shared" si="158"/>
        <v>0</v>
      </c>
      <c r="AL212" s="50">
        <f t="shared" si="179"/>
        <v>0</v>
      </c>
      <c r="AM212" s="50">
        <f t="shared" ca="1" si="159"/>
        <v>0</v>
      </c>
      <c r="AN212" s="50">
        <f>IF(B212=0,0,AT212*(_rpm1+(1+_emr1)*VLOOKUP(E212,Tab_Mort_Charge,IF(Input!$C$12="M",2,3),0))*(0.001*0.0833)*Flag_Mort_Rider_Charge*(AT212&gt;0))</f>
        <v>0</v>
      </c>
      <c r="AO212" s="50">
        <f t="shared" ca="1" si="180"/>
        <v>0</v>
      </c>
      <c r="AP212" s="50">
        <f t="shared" ca="1" si="143"/>
        <v>0</v>
      </c>
      <c r="AQ212" s="50">
        <f t="shared" ca="1" si="160"/>
        <v>0</v>
      </c>
      <c r="AR212" s="50">
        <f t="shared" ca="1" si="161"/>
        <v>0</v>
      </c>
      <c r="AS212" s="50">
        <f t="shared" si="162"/>
        <v>0</v>
      </c>
      <c r="AT212" s="50">
        <f ca="1">(MAX((MAX(AS212,105%*SUM($AJ$7:AJ212))-AM212*Flag_UL_Type),0)*B212)</f>
        <v>0</v>
      </c>
      <c r="AU212" s="50">
        <f ca="1">(MAX(AS212,AR212,105%*SUM($AJ$7:AJ212))*B212)</f>
        <v>0</v>
      </c>
      <c r="AV212" s="125"/>
      <c r="AW212" s="13"/>
      <c r="AX212" s="13"/>
      <c r="AY212" s="13"/>
      <c r="AZ212" s="13"/>
      <c r="BA212" s="13"/>
      <c r="BG212" s="51">
        <f t="shared" si="163"/>
        <v>0</v>
      </c>
      <c r="BH212" s="51">
        <f t="shared" si="164"/>
        <v>0</v>
      </c>
      <c r="BI212" s="51">
        <f t="shared" ca="1" si="165"/>
        <v>0</v>
      </c>
      <c r="BJ212" s="51">
        <f t="shared" ca="1" si="166"/>
        <v>0</v>
      </c>
      <c r="BK212" s="51">
        <f t="shared" si="167"/>
        <v>0</v>
      </c>
      <c r="BL212" s="51">
        <f t="shared" ca="1" si="168"/>
        <v>0</v>
      </c>
      <c r="BM212" s="51">
        <f t="shared" si="169"/>
        <v>0</v>
      </c>
      <c r="BN212" s="51">
        <f t="shared" si="170"/>
        <v>0</v>
      </c>
      <c r="BO212" s="51">
        <f t="shared" ca="1" si="171"/>
        <v>0</v>
      </c>
      <c r="BP212" s="51">
        <f t="shared" ca="1" si="172"/>
        <v>0</v>
      </c>
      <c r="BQ212" s="120"/>
      <c r="BR212" s="32"/>
      <c r="BS212" s="126"/>
      <c r="BT212" s="16"/>
      <c r="BU212" s="58"/>
      <c r="BW212" s="51">
        <f>VLOOKUP(H212,Charges!$AT$4:$AU$33,2,FALSE)*I212</f>
        <v>0</v>
      </c>
      <c r="BX212" s="51">
        <f t="shared" si="173"/>
        <v>0</v>
      </c>
      <c r="BY212" s="51">
        <f t="shared" si="181"/>
        <v>0</v>
      </c>
      <c r="BZ212" s="151"/>
      <c r="CA212" s="151"/>
      <c r="CB212" s="32"/>
      <c r="CC212" s="16">
        <f ca="1">SUM($N$7:$N212)</f>
        <v>0</v>
      </c>
      <c r="CD212" s="16">
        <f t="shared" ca="1" si="174"/>
        <v>0</v>
      </c>
      <c r="CE212" s="16">
        <f t="shared" ca="1" si="175"/>
        <v>0</v>
      </c>
      <c r="CF212" s="7">
        <f t="shared" ca="1" si="182"/>
        <v>0</v>
      </c>
    </row>
    <row r="213" spans="1:84" s="7" customFormat="1" x14ac:dyDescent="0.2">
      <c r="A213" s="149"/>
      <c r="B213" s="14">
        <f t="shared" si="144"/>
        <v>0</v>
      </c>
      <c r="C213" s="12">
        <f t="shared" si="145"/>
        <v>0</v>
      </c>
      <c r="D213" s="17">
        <f t="shared" si="183"/>
        <v>207</v>
      </c>
      <c r="E213" s="17">
        <f t="shared" ca="1" si="146"/>
        <v>77</v>
      </c>
      <c r="F213" s="12">
        <f t="shared" si="185"/>
        <v>2</v>
      </c>
      <c r="G213" s="12">
        <f t="shared" si="184"/>
        <v>35</v>
      </c>
      <c r="H213" s="17">
        <f t="shared" si="186"/>
        <v>18</v>
      </c>
      <c r="I213" s="29">
        <f t="shared" si="147"/>
        <v>0</v>
      </c>
      <c r="J213" s="211">
        <f>IFERROR(VLOOKUP(H213,Charges!$T$6:$U$35,2,0)*C213,0)</f>
        <v>0</v>
      </c>
      <c r="K213" s="29">
        <f t="shared" si="148"/>
        <v>0</v>
      </c>
      <c r="L213" s="29">
        <f t="shared" si="149"/>
        <v>0</v>
      </c>
      <c r="M213" s="147">
        <f t="shared" ca="1" si="150"/>
        <v>0</v>
      </c>
      <c r="N213" s="148">
        <f ca="1">IF(AND(Option_SPW="Y",H213&gt;=Lock_In_Period,Z212&gt;SPW_Amount_pa+IF(option="Single",1/5*pr,2*pr),H213&gt;=SPW_Start_Year,H213&lt;=SPW_Start_Year+SPW_Duration-1,age+H213&gt;=Legal_Age),IF(AND(F213=0,SPW_Payout_Freq=1),SPW_Amount_pa,IF(AND(SPW_Payout_Freq=2,MOD(F213,6)=0),SPW_Amount_pa/SPW_Payout_Freq,IF(AND(SPW_Payout_Freq=4,MOD(F213,3)=0),SPW_Amount_pa/SPW_Payout_Freq,IF(SPW_Payout_Freq=12,SPW_Amount_pa/SPW_Payout_Freq,0)))),0)+IFERROR(VLOOKUP(H213,Input!$B$68:$C$74,2,0),0)*(F213=0)*(Option_PW="Y")*(Option_SPW="N")*(age+H213&gt;=Legal_Age)</f>
        <v>0</v>
      </c>
      <c r="O213" s="148">
        <f t="shared" ca="1" si="176"/>
        <v>0</v>
      </c>
      <c r="P213" s="14">
        <f ca="1">(MAX(MAX(sa-CF212*Flag_UL_Type,105%*SUM($I$7:I213))-(AD212+L213-N213)*Flag_UL_Type,0)*B213)</f>
        <v>0</v>
      </c>
      <c r="Q213" s="213">
        <f t="shared" si="151"/>
        <v>0</v>
      </c>
      <c r="R213" s="14">
        <f t="shared" ca="1" si="152"/>
        <v>0</v>
      </c>
      <c r="S213" s="14">
        <f t="shared" ca="1" si="153"/>
        <v>0</v>
      </c>
      <c r="T213" s="14">
        <f>IFERROR(IF(WoP_Flag="Y",IF(fq=1,VLOOKUP(ppt*fq-H213,Charges!$AN$41:$AO$59,2,FALSE),IF(fq=2,VLOOKUP(ppt*fq-G213,Charges!$AP$41:$AQ$79,2,FALSE),VLOOKUP(ppt*fq-D213,Charges!$AR$41:$AS$279,2,FALSE)))*pr/fq,0),0)</f>
        <v>0</v>
      </c>
      <c r="U213" s="14">
        <f ca="1">IFERROR(((T213*(VLOOKUP(Input!$D$18+H213-1,Tab_Mort_Charge,IF(Gender_2="M",2,3),FALSE)*(1+_emr2)+_rpm2)/IF(Model_Type="LA_PQIS",1000/0.0833,(12*1000))))*Flag_Mort_Rider_Charge*(T213&gt;0),0)</f>
        <v>0</v>
      </c>
      <c r="V213" s="34">
        <f>ROUND(MIN(IF(H213&gt;=7,Charges!$C$12*(1+Charges!$C$14)^((H213-7+1)),VLOOKUP(H213,Charges!$B$7:$C$12,2,0))*pr,Charges!$C$13)*B213,Round)</f>
        <v>0</v>
      </c>
      <c r="W213" s="14">
        <f t="shared" ca="1" si="154"/>
        <v>0</v>
      </c>
      <c r="X213" s="14">
        <f t="shared" ca="1" si="155"/>
        <v>0</v>
      </c>
      <c r="Y213" s="213">
        <f t="shared" ca="1" si="177"/>
        <v>0</v>
      </c>
      <c r="Z213" s="14">
        <f t="shared" ca="1" si="156"/>
        <v>0</v>
      </c>
      <c r="AA213" s="14">
        <f>IF(AND($H213=pt,$F213=11),SUM($K$7:K213)*VLOOKUP(pt,ROC,2,FALSE),0)</f>
        <v>0</v>
      </c>
      <c r="AB213" s="14">
        <f>IF(AND($H213=pt,$F213=11),SUM($V$7:V213)*VLOOKUP(pt,ROC,2,FALSE),0)</f>
        <v>0</v>
      </c>
      <c r="AC213" s="14">
        <f>IF(AND($H213=pt,$F213=11),SUM($Q$7:Q213)*VLOOKUP(pt,ROC,2,FALSE),0)</f>
        <v>0</v>
      </c>
      <c r="AD213" s="14">
        <f t="shared" ca="1" si="178"/>
        <v>0</v>
      </c>
      <c r="AE213" s="14">
        <f ca="1">(MAX(sa-CF212*Flag_UL_Type,105%*SUM($I$7:I213),Z213)+AU213)*B213</f>
        <v>0</v>
      </c>
      <c r="AF213" s="136"/>
      <c r="AG213" s="18">
        <v>207</v>
      </c>
      <c r="AH213" s="30">
        <f t="shared" ca="1" si="157"/>
        <v>0</v>
      </c>
      <c r="AI213" s="58"/>
      <c r="AJ213" s="50">
        <f>IF(AND(Option_Sys_TopUp&gt;="Y",H213&gt;=sytp,H213&lt;=(dtp+sytp-1),F213=0,H213&lt;=ppt+1),atp,0)+IFERROR(VLOOKUP(H213,Input!$B$55:$C$61,2,0),0)*(F213=0)*(Option_TopUP="Y")*(Option_Sys_TopUp="N")*B213*(pt&gt;=H213+5)</f>
        <v>0</v>
      </c>
      <c r="AK213" s="50">
        <f t="shared" si="158"/>
        <v>0</v>
      </c>
      <c r="AL213" s="50">
        <f t="shared" si="179"/>
        <v>0</v>
      </c>
      <c r="AM213" s="50">
        <f t="shared" ca="1" si="159"/>
        <v>0</v>
      </c>
      <c r="AN213" s="50">
        <f>IF(B213=0,0,AT213*(_rpm1+(1+_emr1)*VLOOKUP(E213,Tab_Mort_Charge,IF(Input!$C$12="M",2,3),0))*(0.001*0.0833)*Flag_Mort_Rider_Charge*(AT213&gt;0))</f>
        <v>0</v>
      </c>
      <c r="AO213" s="50">
        <f t="shared" ca="1" si="180"/>
        <v>0</v>
      </c>
      <c r="AP213" s="50">
        <f t="shared" ca="1" si="143"/>
        <v>0</v>
      </c>
      <c r="AQ213" s="50">
        <f t="shared" ca="1" si="160"/>
        <v>0</v>
      </c>
      <c r="AR213" s="50">
        <f t="shared" ca="1" si="161"/>
        <v>0</v>
      </c>
      <c r="AS213" s="50">
        <f t="shared" si="162"/>
        <v>0</v>
      </c>
      <c r="AT213" s="50">
        <f ca="1">(MAX((MAX(AS213,105%*SUM($AJ$7:AJ213))-AM213*Flag_UL_Type),0)*B213)</f>
        <v>0</v>
      </c>
      <c r="AU213" s="50">
        <f ca="1">(MAX(AS213,AR213,105%*SUM($AJ$7:AJ213))*B213)</f>
        <v>0</v>
      </c>
      <c r="AV213" s="125"/>
      <c r="AW213" s="13"/>
      <c r="AX213" s="13"/>
      <c r="AY213" s="13"/>
      <c r="AZ213" s="13"/>
      <c r="BA213" s="13"/>
      <c r="BG213" s="51">
        <f t="shared" si="163"/>
        <v>0</v>
      </c>
      <c r="BH213" s="51">
        <f t="shared" si="164"/>
        <v>0</v>
      </c>
      <c r="BI213" s="51">
        <f t="shared" ca="1" si="165"/>
        <v>0</v>
      </c>
      <c r="BJ213" s="51">
        <f t="shared" ca="1" si="166"/>
        <v>0</v>
      </c>
      <c r="BK213" s="51">
        <f t="shared" si="167"/>
        <v>0</v>
      </c>
      <c r="BL213" s="51">
        <f t="shared" ca="1" si="168"/>
        <v>0</v>
      </c>
      <c r="BM213" s="51">
        <f t="shared" si="169"/>
        <v>0</v>
      </c>
      <c r="BN213" s="51">
        <f t="shared" si="170"/>
        <v>0</v>
      </c>
      <c r="BO213" s="51">
        <f t="shared" ca="1" si="171"/>
        <v>0</v>
      </c>
      <c r="BP213" s="51">
        <f t="shared" ca="1" si="172"/>
        <v>0</v>
      </c>
      <c r="BQ213" s="120"/>
      <c r="BR213" s="32"/>
      <c r="BS213" s="126"/>
      <c r="BT213" s="16"/>
      <c r="BU213" s="58"/>
      <c r="BW213" s="51">
        <f>VLOOKUP(H213,Charges!$AT$4:$AU$33,2,FALSE)*I213</f>
        <v>0</v>
      </c>
      <c r="BX213" s="51">
        <f t="shared" si="173"/>
        <v>0</v>
      </c>
      <c r="BY213" s="51">
        <f t="shared" si="181"/>
        <v>0</v>
      </c>
      <c r="BZ213" s="151"/>
      <c r="CA213" s="151"/>
      <c r="CB213" s="32"/>
      <c r="CC213" s="16">
        <f ca="1">SUM($N$7:$N213)</f>
        <v>0</v>
      </c>
      <c r="CD213" s="16">
        <f t="shared" ca="1" si="174"/>
        <v>0</v>
      </c>
      <c r="CE213" s="16">
        <f t="shared" ca="1" si="175"/>
        <v>0</v>
      </c>
      <c r="CF213" s="7">
        <f t="shared" ca="1" si="182"/>
        <v>0</v>
      </c>
    </row>
    <row r="214" spans="1:84" s="7" customFormat="1" x14ac:dyDescent="0.2">
      <c r="A214" s="149"/>
      <c r="B214" s="14">
        <f t="shared" si="144"/>
        <v>0</v>
      </c>
      <c r="C214" s="12">
        <f t="shared" si="145"/>
        <v>0</v>
      </c>
      <c r="D214" s="17">
        <f t="shared" si="183"/>
        <v>208</v>
      </c>
      <c r="E214" s="17">
        <f t="shared" ca="1" si="146"/>
        <v>77</v>
      </c>
      <c r="F214" s="12">
        <f t="shared" si="185"/>
        <v>3</v>
      </c>
      <c r="G214" s="12">
        <f t="shared" si="184"/>
        <v>35</v>
      </c>
      <c r="H214" s="17">
        <f t="shared" si="186"/>
        <v>18</v>
      </c>
      <c r="I214" s="29">
        <f t="shared" si="147"/>
        <v>0</v>
      </c>
      <c r="J214" s="211">
        <f>IFERROR(VLOOKUP(H214,Charges!$T$6:$U$35,2,0)*C214,0)</f>
        <v>0</v>
      </c>
      <c r="K214" s="29">
        <f t="shared" si="148"/>
        <v>0</v>
      </c>
      <c r="L214" s="29">
        <f t="shared" si="149"/>
        <v>0</v>
      </c>
      <c r="M214" s="147">
        <f t="shared" ca="1" si="150"/>
        <v>0</v>
      </c>
      <c r="N214" s="148">
        <f ca="1">IF(AND(Option_SPW="Y",H214&gt;=Lock_In_Period,Z213&gt;SPW_Amount_pa+IF(option="Single",1/5*pr,2*pr),H214&gt;=SPW_Start_Year,H214&lt;=SPW_Start_Year+SPW_Duration-1,age+H214&gt;=Legal_Age),IF(AND(F214=0,SPW_Payout_Freq=1),SPW_Amount_pa,IF(AND(SPW_Payout_Freq=2,MOD(F214,6)=0),SPW_Amount_pa/SPW_Payout_Freq,IF(AND(SPW_Payout_Freq=4,MOD(F214,3)=0),SPW_Amount_pa/SPW_Payout_Freq,IF(SPW_Payout_Freq=12,SPW_Amount_pa/SPW_Payout_Freq,0)))),0)+IFERROR(VLOOKUP(H214,Input!$B$68:$C$74,2,0),0)*(F214=0)*(Option_PW="Y")*(Option_SPW="N")*(age+H214&gt;=Legal_Age)</f>
        <v>0</v>
      </c>
      <c r="O214" s="148">
        <f t="shared" ca="1" si="176"/>
        <v>0</v>
      </c>
      <c r="P214" s="14">
        <f ca="1">(MAX(MAX(sa-CF213*Flag_UL_Type,105%*SUM($I$7:I214))-(AD213+L214-N214)*Flag_UL_Type,0)*B214)</f>
        <v>0</v>
      </c>
      <c r="Q214" s="213">
        <f t="shared" si="151"/>
        <v>0</v>
      </c>
      <c r="R214" s="14">
        <f t="shared" ca="1" si="152"/>
        <v>0</v>
      </c>
      <c r="S214" s="14">
        <f t="shared" ca="1" si="153"/>
        <v>0</v>
      </c>
      <c r="T214" s="14">
        <f>IFERROR(IF(WoP_Flag="Y",IF(fq=1,VLOOKUP(ppt*fq-H214,Charges!$AN$41:$AO$59,2,FALSE),IF(fq=2,VLOOKUP(ppt*fq-G214,Charges!$AP$41:$AQ$79,2,FALSE),VLOOKUP(ppt*fq-D214,Charges!$AR$41:$AS$279,2,FALSE)))*pr/fq,0),0)</f>
        <v>0</v>
      </c>
      <c r="U214" s="14">
        <f ca="1">IFERROR(((T214*(VLOOKUP(Input!$D$18+H214-1,Tab_Mort_Charge,IF(Gender_2="M",2,3),FALSE)*(1+_emr2)+_rpm2)/IF(Model_Type="LA_PQIS",1000/0.0833,(12*1000))))*Flag_Mort_Rider_Charge*(T214&gt;0),0)</f>
        <v>0</v>
      </c>
      <c r="V214" s="34">
        <f>ROUND(MIN(IF(H214&gt;=7,Charges!$C$12*(1+Charges!$C$14)^((H214-7+1)),VLOOKUP(H214,Charges!$B$7:$C$12,2,0))*pr,Charges!$C$13)*B214,Round)</f>
        <v>0</v>
      </c>
      <c r="W214" s="14">
        <f t="shared" ca="1" si="154"/>
        <v>0</v>
      </c>
      <c r="X214" s="14">
        <f t="shared" ca="1" si="155"/>
        <v>0</v>
      </c>
      <c r="Y214" s="213">
        <f t="shared" ca="1" si="177"/>
        <v>0</v>
      </c>
      <c r="Z214" s="14">
        <f t="shared" ca="1" si="156"/>
        <v>0</v>
      </c>
      <c r="AA214" s="14">
        <f>IF(AND($H214=pt,$F214=11),SUM($K$7:K214)*VLOOKUP(pt,ROC,2,FALSE),0)</f>
        <v>0</v>
      </c>
      <c r="AB214" s="14">
        <f>IF(AND($H214=pt,$F214=11),SUM($V$7:V214)*VLOOKUP(pt,ROC,2,FALSE),0)</f>
        <v>0</v>
      </c>
      <c r="AC214" s="14">
        <f>IF(AND($H214=pt,$F214=11),SUM($Q$7:Q214)*VLOOKUP(pt,ROC,2,FALSE),0)</f>
        <v>0</v>
      </c>
      <c r="AD214" s="14">
        <f t="shared" ca="1" si="178"/>
        <v>0</v>
      </c>
      <c r="AE214" s="14">
        <f ca="1">(MAX(sa-CF213*Flag_UL_Type,105%*SUM($I$7:I214),Z214)+AU214)*B214</f>
        <v>0</v>
      </c>
      <c r="AF214" s="136"/>
      <c r="AG214" s="18">
        <v>208</v>
      </c>
      <c r="AH214" s="30">
        <f t="shared" ca="1" si="157"/>
        <v>0</v>
      </c>
      <c r="AI214" s="58"/>
      <c r="AJ214" s="50">
        <f>IF(AND(Option_Sys_TopUp&gt;="Y",H214&gt;=sytp,H214&lt;=(dtp+sytp-1),F214=0,H214&lt;=ppt+1),atp,0)+IFERROR(VLOOKUP(H214,Input!$B$55:$C$61,2,0),0)*(F214=0)*(Option_TopUP="Y")*(Option_Sys_TopUp="N")*B214*(pt&gt;=H214+5)</f>
        <v>0</v>
      </c>
      <c r="AK214" s="50">
        <f t="shared" si="158"/>
        <v>0</v>
      </c>
      <c r="AL214" s="50">
        <f t="shared" si="179"/>
        <v>0</v>
      </c>
      <c r="AM214" s="50">
        <f t="shared" ca="1" si="159"/>
        <v>0</v>
      </c>
      <c r="AN214" s="50">
        <f>IF(B214=0,0,AT214*(_rpm1+(1+_emr1)*VLOOKUP(E214,Tab_Mort_Charge,IF(Input!$C$12="M",2,3),0))*(0.001*0.0833)*Flag_Mort_Rider_Charge*(AT214&gt;0))</f>
        <v>0</v>
      </c>
      <c r="AO214" s="50">
        <f t="shared" ca="1" si="180"/>
        <v>0</v>
      </c>
      <c r="AP214" s="50">
        <f t="shared" ca="1" si="143"/>
        <v>0</v>
      </c>
      <c r="AQ214" s="50">
        <f t="shared" ca="1" si="160"/>
        <v>0</v>
      </c>
      <c r="AR214" s="50">
        <f t="shared" ca="1" si="161"/>
        <v>0</v>
      </c>
      <c r="AS214" s="50">
        <f t="shared" si="162"/>
        <v>0</v>
      </c>
      <c r="AT214" s="50">
        <f ca="1">(MAX((MAX(AS214,105%*SUM($AJ$7:AJ214))-AM214*Flag_UL_Type),0)*B214)</f>
        <v>0</v>
      </c>
      <c r="AU214" s="50">
        <f ca="1">(MAX(AS214,AR214,105%*SUM($AJ$7:AJ214))*B214)</f>
        <v>0</v>
      </c>
      <c r="AV214" s="125"/>
      <c r="AW214" s="13"/>
      <c r="AX214" s="13"/>
      <c r="AY214" s="13"/>
      <c r="AZ214" s="13"/>
      <c r="BA214" s="13"/>
      <c r="BG214" s="51">
        <f t="shared" si="163"/>
        <v>0</v>
      </c>
      <c r="BH214" s="51">
        <f t="shared" si="164"/>
        <v>0</v>
      </c>
      <c r="BI214" s="51">
        <f t="shared" ca="1" si="165"/>
        <v>0</v>
      </c>
      <c r="BJ214" s="51">
        <f t="shared" ca="1" si="166"/>
        <v>0</v>
      </c>
      <c r="BK214" s="51">
        <f t="shared" si="167"/>
        <v>0</v>
      </c>
      <c r="BL214" s="51">
        <f t="shared" ca="1" si="168"/>
        <v>0</v>
      </c>
      <c r="BM214" s="51">
        <f t="shared" si="169"/>
        <v>0</v>
      </c>
      <c r="BN214" s="51">
        <f t="shared" si="170"/>
        <v>0</v>
      </c>
      <c r="BO214" s="51">
        <f t="shared" ca="1" si="171"/>
        <v>0</v>
      </c>
      <c r="BP214" s="51">
        <f t="shared" ca="1" si="172"/>
        <v>0</v>
      </c>
      <c r="BQ214" s="120"/>
      <c r="BR214" s="32"/>
      <c r="BS214" s="126"/>
      <c r="BT214" s="16"/>
      <c r="BU214" s="58"/>
      <c r="BW214" s="51">
        <f>VLOOKUP(H214,Charges!$AT$4:$AU$33,2,FALSE)*I214</f>
        <v>0</v>
      </c>
      <c r="BX214" s="51">
        <f t="shared" si="173"/>
        <v>0</v>
      </c>
      <c r="BY214" s="51">
        <f t="shared" si="181"/>
        <v>0</v>
      </c>
      <c r="BZ214" s="151"/>
      <c r="CA214" s="151"/>
      <c r="CB214" s="32"/>
      <c r="CC214" s="16">
        <f ca="1">SUM($N$7:$N214)</f>
        <v>0</v>
      </c>
      <c r="CD214" s="16">
        <f t="shared" ca="1" si="174"/>
        <v>0</v>
      </c>
      <c r="CE214" s="16">
        <f t="shared" ca="1" si="175"/>
        <v>0</v>
      </c>
      <c r="CF214" s="7">
        <f t="shared" ca="1" si="182"/>
        <v>0</v>
      </c>
    </row>
    <row r="215" spans="1:84" s="7" customFormat="1" x14ac:dyDescent="0.2">
      <c r="A215" s="149"/>
      <c r="B215" s="14">
        <f t="shared" si="144"/>
        <v>0</v>
      </c>
      <c r="C215" s="12">
        <f t="shared" si="145"/>
        <v>0</v>
      </c>
      <c r="D215" s="17">
        <f t="shared" si="183"/>
        <v>209</v>
      </c>
      <c r="E215" s="17">
        <f t="shared" ca="1" si="146"/>
        <v>77</v>
      </c>
      <c r="F215" s="12">
        <f t="shared" si="185"/>
        <v>4</v>
      </c>
      <c r="G215" s="12">
        <f t="shared" si="184"/>
        <v>35</v>
      </c>
      <c r="H215" s="17">
        <f t="shared" si="186"/>
        <v>18</v>
      </c>
      <c r="I215" s="29">
        <f t="shared" si="147"/>
        <v>0</v>
      </c>
      <c r="J215" s="211">
        <f>IFERROR(VLOOKUP(H215,Charges!$T$6:$U$35,2,0)*C215,0)</f>
        <v>0</v>
      </c>
      <c r="K215" s="29">
        <f t="shared" si="148"/>
        <v>0</v>
      </c>
      <c r="L215" s="29">
        <f t="shared" si="149"/>
        <v>0</v>
      </c>
      <c r="M215" s="147">
        <f t="shared" ca="1" si="150"/>
        <v>0</v>
      </c>
      <c r="N215" s="148">
        <f ca="1">IF(AND(Option_SPW="Y",H215&gt;=Lock_In_Period,Z214&gt;SPW_Amount_pa+IF(option="Single",1/5*pr,2*pr),H215&gt;=SPW_Start_Year,H215&lt;=SPW_Start_Year+SPW_Duration-1,age+H215&gt;=Legal_Age),IF(AND(F215=0,SPW_Payout_Freq=1),SPW_Amount_pa,IF(AND(SPW_Payout_Freq=2,MOD(F215,6)=0),SPW_Amount_pa/SPW_Payout_Freq,IF(AND(SPW_Payout_Freq=4,MOD(F215,3)=0),SPW_Amount_pa/SPW_Payout_Freq,IF(SPW_Payout_Freq=12,SPW_Amount_pa/SPW_Payout_Freq,0)))),0)+IFERROR(VLOOKUP(H215,Input!$B$68:$C$74,2,0),0)*(F215=0)*(Option_PW="Y")*(Option_SPW="N")*(age+H215&gt;=Legal_Age)</f>
        <v>0</v>
      </c>
      <c r="O215" s="148">
        <f t="shared" ca="1" si="176"/>
        <v>0</v>
      </c>
      <c r="P215" s="14">
        <f ca="1">(MAX(MAX(sa-CF214*Flag_UL_Type,105%*SUM($I$7:I215))-(AD214+L215-N215)*Flag_UL_Type,0)*B215)</f>
        <v>0</v>
      </c>
      <c r="Q215" s="213">
        <f t="shared" si="151"/>
        <v>0</v>
      </c>
      <c r="R215" s="14">
        <f t="shared" ca="1" si="152"/>
        <v>0</v>
      </c>
      <c r="S215" s="14">
        <f t="shared" ca="1" si="153"/>
        <v>0</v>
      </c>
      <c r="T215" s="14">
        <f>IFERROR(IF(WoP_Flag="Y",IF(fq=1,VLOOKUP(ppt*fq-H215,Charges!$AN$41:$AO$59,2,FALSE),IF(fq=2,VLOOKUP(ppt*fq-G215,Charges!$AP$41:$AQ$79,2,FALSE),VLOOKUP(ppt*fq-D215,Charges!$AR$41:$AS$279,2,FALSE)))*pr/fq,0),0)</f>
        <v>0</v>
      </c>
      <c r="U215" s="14">
        <f ca="1">IFERROR(((T215*(VLOOKUP(Input!$D$18+H215-1,Tab_Mort_Charge,IF(Gender_2="M",2,3),FALSE)*(1+_emr2)+_rpm2)/IF(Model_Type="LA_PQIS",1000/0.0833,(12*1000))))*Flag_Mort_Rider_Charge*(T215&gt;0),0)</f>
        <v>0</v>
      </c>
      <c r="V215" s="34">
        <f>ROUND(MIN(IF(H215&gt;=7,Charges!$C$12*(1+Charges!$C$14)^((H215-7+1)),VLOOKUP(H215,Charges!$B$7:$C$12,2,0))*pr,Charges!$C$13)*B215,Round)</f>
        <v>0</v>
      </c>
      <c r="W215" s="14">
        <f t="shared" ca="1" si="154"/>
        <v>0</v>
      </c>
      <c r="X215" s="14">
        <f t="shared" ca="1" si="155"/>
        <v>0</v>
      </c>
      <c r="Y215" s="213">
        <f t="shared" ca="1" si="177"/>
        <v>0</v>
      </c>
      <c r="Z215" s="14">
        <f t="shared" ca="1" si="156"/>
        <v>0</v>
      </c>
      <c r="AA215" s="14">
        <f>IF(AND($H215=pt,$F215=11),SUM($K$7:K215)*VLOOKUP(pt,ROC,2,FALSE),0)</f>
        <v>0</v>
      </c>
      <c r="AB215" s="14">
        <f>IF(AND($H215=pt,$F215=11),SUM($V$7:V215)*VLOOKUP(pt,ROC,2,FALSE),0)</f>
        <v>0</v>
      </c>
      <c r="AC215" s="14">
        <f>IF(AND($H215=pt,$F215=11),SUM($Q$7:Q215)*VLOOKUP(pt,ROC,2,FALSE),0)</f>
        <v>0</v>
      </c>
      <c r="AD215" s="14">
        <f t="shared" ca="1" si="178"/>
        <v>0</v>
      </c>
      <c r="AE215" s="14">
        <f ca="1">(MAX(sa-CF214*Flag_UL_Type,105%*SUM($I$7:I215),Z215)+AU215)*B215</f>
        <v>0</v>
      </c>
      <c r="AF215" s="136"/>
      <c r="AG215" s="18">
        <v>209</v>
      </c>
      <c r="AH215" s="30">
        <f t="shared" ca="1" si="157"/>
        <v>0</v>
      </c>
      <c r="AI215" s="58"/>
      <c r="AJ215" s="50">
        <f>IF(AND(Option_Sys_TopUp&gt;="Y",H215&gt;=sytp,H215&lt;=(dtp+sytp-1),F215=0,H215&lt;=ppt+1),atp,0)+IFERROR(VLOOKUP(H215,Input!$B$55:$C$61,2,0),0)*(F215=0)*(Option_TopUP="Y")*(Option_Sys_TopUp="N")*B215*(pt&gt;=H215+5)</f>
        <v>0</v>
      </c>
      <c r="AK215" s="50">
        <f t="shared" si="158"/>
        <v>0</v>
      </c>
      <c r="AL215" s="50">
        <f t="shared" si="179"/>
        <v>0</v>
      </c>
      <c r="AM215" s="50">
        <f t="shared" ca="1" si="159"/>
        <v>0</v>
      </c>
      <c r="AN215" s="50">
        <f>IF(B215=0,0,AT215*(_rpm1+(1+_emr1)*VLOOKUP(E215,Tab_Mort_Charge,IF(Input!$C$12="M",2,3),0))*(0.001*0.0833)*Flag_Mort_Rider_Charge*(AT215&gt;0))</f>
        <v>0</v>
      </c>
      <c r="AO215" s="50">
        <f t="shared" ca="1" si="180"/>
        <v>0</v>
      </c>
      <c r="AP215" s="50">
        <f t="shared" ca="1" si="143"/>
        <v>0</v>
      </c>
      <c r="AQ215" s="50">
        <f t="shared" ca="1" si="160"/>
        <v>0</v>
      </c>
      <c r="AR215" s="50">
        <f t="shared" ca="1" si="161"/>
        <v>0</v>
      </c>
      <c r="AS215" s="50">
        <f t="shared" si="162"/>
        <v>0</v>
      </c>
      <c r="AT215" s="50">
        <f ca="1">(MAX((MAX(AS215,105%*SUM($AJ$7:AJ215))-AM215*Flag_UL_Type),0)*B215)</f>
        <v>0</v>
      </c>
      <c r="AU215" s="50">
        <f ca="1">(MAX(AS215,AR215,105%*SUM($AJ$7:AJ215))*B215)</f>
        <v>0</v>
      </c>
      <c r="AV215" s="125"/>
      <c r="AW215" s="13"/>
      <c r="AX215" s="13"/>
      <c r="AY215" s="13"/>
      <c r="AZ215" s="13"/>
      <c r="BA215" s="13"/>
      <c r="BG215" s="51">
        <f t="shared" si="163"/>
        <v>0</v>
      </c>
      <c r="BH215" s="51">
        <f t="shared" si="164"/>
        <v>0</v>
      </c>
      <c r="BI215" s="51">
        <f t="shared" ca="1" si="165"/>
        <v>0</v>
      </c>
      <c r="BJ215" s="51">
        <f t="shared" ca="1" si="166"/>
        <v>0</v>
      </c>
      <c r="BK215" s="51">
        <f t="shared" si="167"/>
        <v>0</v>
      </c>
      <c r="BL215" s="51">
        <f t="shared" ca="1" si="168"/>
        <v>0</v>
      </c>
      <c r="BM215" s="51">
        <f t="shared" si="169"/>
        <v>0</v>
      </c>
      <c r="BN215" s="51">
        <f t="shared" si="170"/>
        <v>0</v>
      </c>
      <c r="BO215" s="51">
        <f t="shared" ca="1" si="171"/>
        <v>0</v>
      </c>
      <c r="BP215" s="51">
        <f t="shared" ca="1" si="172"/>
        <v>0</v>
      </c>
      <c r="BQ215" s="120"/>
      <c r="BR215" s="32"/>
      <c r="BS215" s="126"/>
      <c r="BT215" s="16"/>
      <c r="BU215" s="58"/>
      <c r="BW215" s="51">
        <f>VLOOKUP(H215,Charges!$AT$4:$AU$33,2,FALSE)*I215</f>
        <v>0</v>
      </c>
      <c r="BX215" s="51">
        <f t="shared" si="173"/>
        <v>0</v>
      </c>
      <c r="BY215" s="51">
        <f t="shared" si="181"/>
        <v>0</v>
      </c>
      <c r="BZ215" s="151"/>
      <c r="CA215" s="151"/>
      <c r="CB215" s="32"/>
      <c r="CC215" s="16">
        <f ca="1">SUM($N$7:$N215)</f>
        <v>0</v>
      </c>
      <c r="CD215" s="16">
        <f t="shared" ca="1" si="174"/>
        <v>0</v>
      </c>
      <c r="CE215" s="16">
        <f t="shared" ca="1" si="175"/>
        <v>0</v>
      </c>
      <c r="CF215" s="7">
        <f t="shared" ca="1" si="182"/>
        <v>0</v>
      </c>
    </row>
    <row r="216" spans="1:84" s="7" customFormat="1" x14ac:dyDescent="0.2">
      <c r="A216" s="149"/>
      <c r="B216" s="14">
        <f t="shared" si="144"/>
        <v>0</v>
      </c>
      <c r="C216" s="12">
        <f t="shared" si="145"/>
        <v>0</v>
      </c>
      <c r="D216" s="17">
        <f t="shared" si="183"/>
        <v>210</v>
      </c>
      <c r="E216" s="17">
        <f t="shared" ca="1" si="146"/>
        <v>77</v>
      </c>
      <c r="F216" s="12">
        <f t="shared" si="185"/>
        <v>5</v>
      </c>
      <c r="G216" s="12">
        <f t="shared" si="184"/>
        <v>35</v>
      </c>
      <c r="H216" s="17">
        <f t="shared" si="186"/>
        <v>18</v>
      </c>
      <c r="I216" s="29">
        <f t="shared" si="147"/>
        <v>0</v>
      </c>
      <c r="J216" s="211">
        <f>IFERROR(VLOOKUP(H216,Charges!$T$6:$U$35,2,0)*C216,0)</f>
        <v>0</v>
      </c>
      <c r="K216" s="29">
        <f t="shared" si="148"/>
        <v>0</v>
      </c>
      <c r="L216" s="29">
        <f t="shared" si="149"/>
        <v>0</v>
      </c>
      <c r="M216" s="147">
        <f t="shared" ca="1" si="150"/>
        <v>0</v>
      </c>
      <c r="N216" s="148">
        <f ca="1">IF(AND(Option_SPW="Y",H216&gt;=Lock_In_Period,Z215&gt;SPW_Amount_pa+IF(option="Single",1/5*pr,2*pr),H216&gt;=SPW_Start_Year,H216&lt;=SPW_Start_Year+SPW_Duration-1,age+H216&gt;=Legal_Age),IF(AND(F216=0,SPW_Payout_Freq=1),SPW_Amount_pa,IF(AND(SPW_Payout_Freq=2,MOD(F216,6)=0),SPW_Amount_pa/SPW_Payout_Freq,IF(AND(SPW_Payout_Freq=4,MOD(F216,3)=0),SPW_Amount_pa/SPW_Payout_Freq,IF(SPW_Payout_Freq=12,SPW_Amount_pa/SPW_Payout_Freq,0)))),0)+IFERROR(VLOOKUP(H216,Input!$B$68:$C$74,2,0),0)*(F216=0)*(Option_PW="Y")*(Option_SPW="N")*(age+H216&gt;=Legal_Age)</f>
        <v>0</v>
      </c>
      <c r="O216" s="148">
        <f t="shared" ca="1" si="176"/>
        <v>0</v>
      </c>
      <c r="P216" s="14">
        <f ca="1">(MAX(MAX(sa-CF215*Flag_UL_Type,105%*SUM($I$7:I216))-(AD215+L216-N216)*Flag_UL_Type,0)*B216)</f>
        <v>0</v>
      </c>
      <c r="Q216" s="213">
        <f t="shared" si="151"/>
        <v>0</v>
      </c>
      <c r="R216" s="14">
        <f t="shared" ca="1" si="152"/>
        <v>0</v>
      </c>
      <c r="S216" s="14">
        <f t="shared" ca="1" si="153"/>
        <v>0</v>
      </c>
      <c r="T216" s="14">
        <f>IFERROR(IF(WoP_Flag="Y",IF(fq=1,VLOOKUP(ppt*fq-H216,Charges!$AN$41:$AO$59,2,FALSE),IF(fq=2,VLOOKUP(ppt*fq-G216,Charges!$AP$41:$AQ$79,2,FALSE),VLOOKUP(ppt*fq-D216,Charges!$AR$41:$AS$279,2,FALSE)))*pr/fq,0),0)</f>
        <v>0</v>
      </c>
      <c r="U216" s="14">
        <f ca="1">IFERROR(((T216*(VLOOKUP(Input!$D$18+H216-1,Tab_Mort_Charge,IF(Gender_2="M",2,3),FALSE)*(1+_emr2)+_rpm2)/IF(Model_Type="LA_PQIS",1000/0.0833,(12*1000))))*Flag_Mort_Rider_Charge*(T216&gt;0),0)</f>
        <v>0</v>
      </c>
      <c r="V216" s="34">
        <f>ROUND(MIN(IF(H216&gt;=7,Charges!$C$12*(1+Charges!$C$14)^((H216-7+1)),VLOOKUP(H216,Charges!$B$7:$C$12,2,0))*pr,Charges!$C$13)*B216,Round)</f>
        <v>0</v>
      </c>
      <c r="W216" s="14">
        <f t="shared" ca="1" si="154"/>
        <v>0</v>
      </c>
      <c r="X216" s="14">
        <f t="shared" ca="1" si="155"/>
        <v>0</v>
      </c>
      <c r="Y216" s="213">
        <f t="shared" ca="1" si="177"/>
        <v>0</v>
      </c>
      <c r="Z216" s="14">
        <f t="shared" ca="1" si="156"/>
        <v>0</v>
      </c>
      <c r="AA216" s="14">
        <f>IF(AND($H216=pt,$F216=11),SUM($K$7:K216)*VLOOKUP(pt,ROC,2,FALSE),0)</f>
        <v>0</v>
      </c>
      <c r="AB216" s="14">
        <f>IF(AND($H216=pt,$F216=11),SUM($V$7:V216)*VLOOKUP(pt,ROC,2,FALSE),0)</f>
        <v>0</v>
      </c>
      <c r="AC216" s="14">
        <f>IF(AND($H216=pt,$F216=11),SUM($Q$7:Q216)*VLOOKUP(pt,ROC,2,FALSE),0)</f>
        <v>0</v>
      </c>
      <c r="AD216" s="14">
        <f t="shared" ca="1" si="178"/>
        <v>0</v>
      </c>
      <c r="AE216" s="14">
        <f ca="1">(MAX(sa-CF215*Flag_UL_Type,105%*SUM($I$7:I216),Z216)+AU216)*B216</f>
        <v>0</v>
      </c>
      <c r="AF216" s="136"/>
      <c r="AG216" s="18">
        <v>210</v>
      </c>
      <c r="AH216" s="30">
        <f t="shared" ca="1" si="157"/>
        <v>0</v>
      </c>
      <c r="AI216" s="58"/>
      <c r="AJ216" s="50">
        <f>IF(AND(Option_Sys_TopUp&gt;="Y",H216&gt;=sytp,H216&lt;=(dtp+sytp-1),F216=0,H216&lt;=ppt+1),atp,0)+IFERROR(VLOOKUP(H216,Input!$B$55:$C$61,2,0),0)*(F216=0)*(Option_TopUP="Y")*(Option_Sys_TopUp="N")*B216*(pt&gt;=H216+5)</f>
        <v>0</v>
      </c>
      <c r="AK216" s="50">
        <f t="shared" si="158"/>
        <v>0</v>
      </c>
      <c r="AL216" s="50">
        <f t="shared" si="179"/>
        <v>0</v>
      </c>
      <c r="AM216" s="50">
        <f t="shared" ca="1" si="159"/>
        <v>0</v>
      </c>
      <c r="AN216" s="50">
        <f>IF(B216=0,0,AT216*(_rpm1+(1+_emr1)*VLOOKUP(E216,Tab_Mort_Charge,IF(Input!$C$12="M",2,3),0))*(0.001*0.0833)*Flag_Mort_Rider_Charge*(AT216&gt;0))</f>
        <v>0</v>
      </c>
      <c r="AO216" s="50">
        <f t="shared" ca="1" si="180"/>
        <v>0</v>
      </c>
      <c r="AP216" s="50">
        <f t="shared" ca="1" si="143"/>
        <v>0</v>
      </c>
      <c r="AQ216" s="50">
        <f t="shared" ca="1" si="160"/>
        <v>0</v>
      </c>
      <c r="AR216" s="50">
        <f t="shared" ca="1" si="161"/>
        <v>0</v>
      </c>
      <c r="AS216" s="50">
        <f t="shared" si="162"/>
        <v>0</v>
      </c>
      <c r="AT216" s="50">
        <f ca="1">(MAX((MAX(AS216,105%*SUM($AJ$7:AJ216))-AM216*Flag_UL_Type),0)*B216)</f>
        <v>0</v>
      </c>
      <c r="AU216" s="50">
        <f ca="1">(MAX(AS216,AR216,105%*SUM($AJ$7:AJ216))*B216)</f>
        <v>0</v>
      </c>
      <c r="AV216" s="125"/>
      <c r="AW216" s="13"/>
      <c r="AX216" s="13"/>
      <c r="AY216" s="13"/>
      <c r="AZ216" s="13"/>
      <c r="BA216" s="13"/>
      <c r="BG216" s="51">
        <f t="shared" si="163"/>
        <v>0</v>
      </c>
      <c r="BH216" s="51">
        <f t="shared" si="164"/>
        <v>0</v>
      </c>
      <c r="BI216" s="51">
        <f t="shared" ca="1" si="165"/>
        <v>0</v>
      </c>
      <c r="BJ216" s="51">
        <f t="shared" ca="1" si="166"/>
        <v>0</v>
      </c>
      <c r="BK216" s="51">
        <f t="shared" si="167"/>
        <v>0</v>
      </c>
      <c r="BL216" s="51">
        <f t="shared" ca="1" si="168"/>
        <v>0</v>
      </c>
      <c r="BM216" s="51">
        <f t="shared" si="169"/>
        <v>0</v>
      </c>
      <c r="BN216" s="51">
        <f t="shared" si="170"/>
        <v>0</v>
      </c>
      <c r="BO216" s="51">
        <f t="shared" ca="1" si="171"/>
        <v>0</v>
      </c>
      <c r="BP216" s="51">
        <f t="shared" ca="1" si="172"/>
        <v>0</v>
      </c>
      <c r="BQ216" s="120"/>
      <c r="BR216" s="32"/>
      <c r="BS216" s="126"/>
      <c r="BT216" s="16"/>
      <c r="BU216" s="58"/>
      <c r="BW216" s="51">
        <f>VLOOKUP(H216,Charges!$AT$4:$AU$33,2,FALSE)*I216</f>
        <v>0</v>
      </c>
      <c r="BX216" s="51">
        <f t="shared" si="173"/>
        <v>0</v>
      </c>
      <c r="BY216" s="51">
        <f t="shared" si="181"/>
        <v>0</v>
      </c>
      <c r="BZ216" s="151"/>
      <c r="CA216" s="151"/>
      <c r="CB216" s="32"/>
      <c r="CC216" s="16">
        <f ca="1">SUM($N$7:$N216)</f>
        <v>0</v>
      </c>
      <c r="CD216" s="16">
        <f t="shared" ca="1" si="174"/>
        <v>0</v>
      </c>
      <c r="CE216" s="16">
        <f t="shared" ca="1" si="175"/>
        <v>0</v>
      </c>
      <c r="CF216" s="7">
        <f t="shared" ca="1" si="182"/>
        <v>0</v>
      </c>
    </row>
    <row r="217" spans="1:84" s="7" customFormat="1" x14ac:dyDescent="0.2">
      <c r="A217" s="149"/>
      <c r="B217" s="14">
        <f t="shared" si="144"/>
        <v>0</v>
      </c>
      <c r="C217" s="12">
        <f t="shared" si="145"/>
        <v>0</v>
      </c>
      <c r="D217" s="17">
        <f t="shared" si="183"/>
        <v>211</v>
      </c>
      <c r="E217" s="17">
        <f t="shared" ca="1" si="146"/>
        <v>77</v>
      </c>
      <c r="F217" s="12">
        <f t="shared" si="185"/>
        <v>6</v>
      </c>
      <c r="G217" s="12">
        <f t="shared" si="184"/>
        <v>36</v>
      </c>
      <c r="H217" s="17">
        <f t="shared" si="186"/>
        <v>18</v>
      </c>
      <c r="I217" s="29">
        <f t="shared" si="147"/>
        <v>0</v>
      </c>
      <c r="J217" s="211">
        <f>IFERROR(VLOOKUP(H217,Charges!$T$6:$U$35,2,0)*C217,0)</f>
        <v>0</v>
      </c>
      <c r="K217" s="29">
        <f t="shared" si="148"/>
        <v>0</v>
      </c>
      <c r="L217" s="29">
        <f t="shared" si="149"/>
        <v>0</v>
      </c>
      <c r="M217" s="147">
        <f t="shared" ca="1" si="150"/>
        <v>0</v>
      </c>
      <c r="N217" s="148">
        <f ca="1">IF(AND(Option_SPW="Y",H217&gt;=Lock_In_Period,Z216&gt;SPW_Amount_pa+IF(option="Single",1/5*pr,2*pr),H217&gt;=SPW_Start_Year,H217&lt;=SPW_Start_Year+SPW_Duration-1,age+H217&gt;=Legal_Age),IF(AND(F217=0,SPW_Payout_Freq=1),SPW_Amount_pa,IF(AND(SPW_Payout_Freq=2,MOD(F217,6)=0),SPW_Amount_pa/SPW_Payout_Freq,IF(AND(SPW_Payout_Freq=4,MOD(F217,3)=0),SPW_Amount_pa/SPW_Payout_Freq,IF(SPW_Payout_Freq=12,SPW_Amount_pa/SPW_Payout_Freq,0)))),0)+IFERROR(VLOOKUP(H217,Input!$B$68:$C$74,2,0),0)*(F217=0)*(Option_PW="Y")*(Option_SPW="N")*(age+H217&gt;=Legal_Age)</f>
        <v>0</v>
      </c>
      <c r="O217" s="148">
        <f t="shared" ca="1" si="176"/>
        <v>0</v>
      </c>
      <c r="P217" s="14">
        <f ca="1">(MAX(MAX(sa-CF216*Flag_UL_Type,105%*SUM($I$7:I217))-(AD216+L217-N217)*Flag_UL_Type,0)*B217)</f>
        <v>0</v>
      </c>
      <c r="Q217" s="213">
        <f t="shared" si="151"/>
        <v>0</v>
      </c>
      <c r="R217" s="14">
        <f t="shared" ca="1" si="152"/>
        <v>0</v>
      </c>
      <c r="S217" s="14">
        <f t="shared" ca="1" si="153"/>
        <v>0</v>
      </c>
      <c r="T217" s="14">
        <f>IFERROR(IF(WoP_Flag="Y",IF(fq=1,VLOOKUP(ppt*fq-H217,Charges!$AN$41:$AO$59,2,FALSE),IF(fq=2,VLOOKUP(ppt*fq-G217,Charges!$AP$41:$AQ$79,2,FALSE),VLOOKUP(ppt*fq-D217,Charges!$AR$41:$AS$279,2,FALSE)))*pr/fq,0),0)</f>
        <v>0</v>
      </c>
      <c r="U217" s="14">
        <f ca="1">IFERROR(((T217*(VLOOKUP(Input!$D$18+H217-1,Tab_Mort_Charge,IF(Gender_2="M",2,3),FALSE)*(1+_emr2)+_rpm2)/IF(Model_Type="LA_PQIS",1000/0.0833,(12*1000))))*Flag_Mort_Rider_Charge*(T217&gt;0),0)</f>
        <v>0</v>
      </c>
      <c r="V217" s="34">
        <f>ROUND(MIN(IF(H217&gt;=7,Charges!$C$12*(1+Charges!$C$14)^((H217-7+1)),VLOOKUP(H217,Charges!$B$7:$C$12,2,0))*pr,Charges!$C$13)*B217,Round)</f>
        <v>0</v>
      </c>
      <c r="W217" s="14">
        <f t="shared" ca="1" si="154"/>
        <v>0</v>
      </c>
      <c r="X217" s="14">
        <f t="shared" ca="1" si="155"/>
        <v>0</v>
      </c>
      <c r="Y217" s="213">
        <f t="shared" ca="1" si="177"/>
        <v>0</v>
      </c>
      <c r="Z217" s="14">
        <f t="shared" ca="1" si="156"/>
        <v>0</v>
      </c>
      <c r="AA217" s="14">
        <f>IF(AND($H217=pt,$F217=11),SUM($K$7:K217)*VLOOKUP(pt,ROC,2,FALSE),0)</f>
        <v>0</v>
      </c>
      <c r="AB217" s="14">
        <f>IF(AND($H217=pt,$F217=11),SUM($V$7:V217)*VLOOKUP(pt,ROC,2,FALSE),0)</f>
        <v>0</v>
      </c>
      <c r="AC217" s="14">
        <f>IF(AND($H217=pt,$F217=11),SUM($Q$7:Q217)*VLOOKUP(pt,ROC,2,FALSE),0)</f>
        <v>0</v>
      </c>
      <c r="AD217" s="14">
        <f t="shared" ca="1" si="178"/>
        <v>0</v>
      </c>
      <c r="AE217" s="14">
        <f ca="1">(MAX(sa-CF216*Flag_UL_Type,105%*SUM($I$7:I217),Z217)+AU217)*B217</f>
        <v>0</v>
      </c>
      <c r="AF217" s="136"/>
      <c r="AG217" s="18">
        <v>211</v>
      </c>
      <c r="AH217" s="30">
        <f t="shared" ca="1" si="157"/>
        <v>0</v>
      </c>
      <c r="AI217" s="58"/>
      <c r="AJ217" s="50">
        <f>IF(AND(Option_Sys_TopUp&gt;="Y",H217&gt;=sytp,H217&lt;=(dtp+sytp-1),F217=0,H217&lt;=ppt+1),atp,0)+IFERROR(VLOOKUP(H217,Input!$B$55:$C$61,2,0),0)*(F217=0)*(Option_TopUP="Y")*(Option_Sys_TopUp="N")*B217*(pt&gt;=H217+5)</f>
        <v>0</v>
      </c>
      <c r="AK217" s="50">
        <f t="shared" si="158"/>
        <v>0</v>
      </c>
      <c r="AL217" s="50">
        <f t="shared" si="179"/>
        <v>0</v>
      </c>
      <c r="AM217" s="50">
        <f t="shared" ca="1" si="159"/>
        <v>0</v>
      </c>
      <c r="AN217" s="50">
        <f>IF(B217=0,0,AT217*(_rpm1+(1+_emr1)*VLOOKUP(E217,Tab_Mort_Charge,IF(Input!$C$12="M",2,3),0))*(0.001*0.0833)*Flag_Mort_Rider_Charge*(AT217&gt;0))</f>
        <v>0</v>
      </c>
      <c r="AO217" s="50">
        <f t="shared" ca="1" si="180"/>
        <v>0</v>
      </c>
      <c r="AP217" s="50">
        <f t="shared" ca="1" si="143"/>
        <v>0</v>
      </c>
      <c r="AQ217" s="50">
        <f t="shared" ca="1" si="160"/>
        <v>0</v>
      </c>
      <c r="AR217" s="50">
        <f t="shared" ca="1" si="161"/>
        <v>0</v>
      </c>
      <c r="AS217" s="50">
        <f t="shared" si="162"/>
        <v>0</v>
      </c>
      <c r="AT217" s="50">
        <f ca="1">(MAX((MAX(AS217,105%*SUM($AJ$7:AJ217))-AM217*Flag_UL_Type),0)*B217)</f>
        <v>0</v>
      </c>
      <c r="AU217" s="50">
        <f ca="1">(MAX(AS217,AR217,105%*SUM($AJ$7:AJ217))*B217)</f>
        <v>0</v>
      </c>
      <c r="AV217" s="125"/>
      <c r="AW217" s="13"/>
      <c r="AX217" s="13"/>
      <c r="AY217" s="13"/>
      <c r="AZ217" s="13"/>
      <c r="BA217" s="13"/>
      <c r="BG217" s="51">
        <f t="shared" si="163"/>
        <v>0</v>
      </c>
      <c r="BH217" s="51">
        <f t="shared" si="164"/>
        <v>0</v>
      </c>
      <c r="BI217" s="51">
        <f t="shared" ca="1" si="165"/>
        <v>0</v>
      </c>
      <c r="BJ217" s="51">
        <f t="shared" ca="1" si="166"/>
        <v>0</v>
      </c>
      <c r="BK217" s="51">
        <f t="shared" si="167"/>
        <v>0</v>
      </c>
      <c r="BL217" s="51">
        <f t="shared" ca="1" si="168"/>
        <v>0</v>
      </c>
      <c r="BM217" s="51">
        <f t="shared" si="169"/>
        <v>0</v>
      </c>
      <c r="BN217" s="51">
        <f t="shared" si="170"/>
        <v>0</v>
      </c>
      <c r="BO217" s="51">
        <f t="shared" ca="1" si="171"/>
        <v>0</v>
      </c>
      <c r="BP217" s="51">
        <f t="shared" ca="1" si="172"/>
        <v>0</v>
      </c>
      <c r="BQ217" s="120"/>
      <c r="BR217" s="32"/>
      <c r="BS217" s="126"/>
      <c r="BT217" s="16"/>
      <c r="BU217" s="58"/>
      <c r="BW217" s="51">
        <f>VLOOKUP(H217,Charges!$AT$4:$AU$33,2,FALSE)*I217</f>
        <v>0</v>
      </c>
      <c r="BX217" s="51">
        <f t="shared" si="173"/>
        <v>0</v>
      </c>
      <c r="BY217" s="51">
        <f t="shared" si="181"/>
        <v>0</v>
      </c>
      <c r="BZ217" s="151"/>
      <c r="CA217" s="151"/>
      <c r="CB217" s="32"/>
      <c r="CC217" s="16">
        <f ca="1">SUM($N$7:$N217)</f>
        <v>0</v>
      </c>
      <c r="CD217" s="16">
        <f t="shared" ca="1" si="174"/>
        <v>0</v>
      </c>
      <c r="CE217" s="16">
        <f t="shared" ca="1" si="175"/>
        <v>0</v>
      </c>
      <c r="CF217" s="7">
        <f t="shared" ca="1" si="182"/>
        <v>0</v>
      </c>
    </row>
    <row r="218" spans="1:84" s="7" customFormat="1" x14ac:dyDescent="0.2">
      <c r="A218" s="149"/>
      <c r="B218" s="14">
        <f t="shared" si="144"/>
        <v>0</v>
      </c>
      <c r="C218" s="12">
        <f t="shared" si="145"/>
        <v>0</v>
      </c>
      <c r="D218" s="17">
        <f t="shared" si="183"/>
        <v>212</v>
      </c>
      <c r="E218" s="17">
        <f t="shared" ca="1" si="146"/>
        <v>77</v>
      </c>
      <c r="F218" s="12">
        <f t="shared" si="185"/>
        <v>7</v>
      </c>
      <c r="G218" s="12">
        <f t="shared" si="184"/>
        <v>36</v>
      </c>
      <c r="H218" s="17">
        <f t="shared" si="186"/>
        <v>18</v>
      </c>
      <c r="I218" s="29">
        <f t="shared" si="147"/>
        <v>0</v>
      </c>
      <c r="J218" s="211">
        <f>IFERROR(VLOOKUP(H218,Charges!$T$6:$U$35,2,0)*C218,0)</f>
        <v>0</v>
      </c>
      <c r="K218" s="29">
        <f t="shared" si="148"/>
        <v>0</v>
      </c>
      <c r="L218" s="29">
        <f t="shared" si="149"/>
        <v>0</v>
      </c>
      <c r="M218" s="147">
        <f t="shared" ca="1" si="150"/>
        <v>0</v>
      </c>
      <c r="N218" s="148">
        <f ca="1">IF(AND(Option_SPW="Y",H218&gt;=Lock_In_Period,Z217&gt;SPW_Amount_pa+IF(option="Single",1/5*pr,2*pr),H218&gt;=SPW_Start_Year,H218&lt;=SPW_Start_Year+SPW_Duration-1,age+H218&gt;=Legal_Age),IF(AND(F218=0,SPW_Payout_Freq=1),SPW_Amount_pa,IF(AND(SPW_Payout_Freq=2,MOD(F218,6)=0),SPW_Amount_pa/SPW_Payout_Freq,IF(AND(SPW_Payout_Freq=4,MOD(F218,3)=0),SPW_Amount_pa/SPW_Payout_Freq,IF(SPW_Payout_Freq=12,SPW_Amount_pa/SPW_Payout_Freq,0)))),0)+IFERROR(VLOOKUP(H218,Input!$B$68:$C$74,2,0),0)*(F218=0)*(Option_PW="Y")*(Option_SPW="N")*(age+H218&gt;=Legal_Age)</f>
        <v>0</v>
      </c>
      <c r="O218" s="148">
        <f t="shared" ca="1" si="176"/>
        <v>0</v>
      </c>
      <c r="P218" s="14">
        <f ca="1">(MAX(MAX(sa-CF217*Flag_UL_Type,105%*SUM($I$7:I218))-(AD217+L218-N218)*Flag_UL_Type,0)*B218)</f>
        <v>0</v>
      </c>
      <c r="Q218" s="213">
        <f t="shared" si="151"/>
        <v>0</v>
      </c>
      <c r="R218" s="14">
        <f t="shared" ca="1" si="152"/>
        <v>0</v>
      </c>
      <c r="S218" s="14">
        <f t="shared" ca="1" si="153"/>
        <v>0</v>
      </c>
      <c r="T218" s="14">
        <f>IFERROR(IF(WoP_Flag="Y",IF(fq=1,VLOOKUP(ppt*fq-H218,Charges!$AN$41:$AO$59,2,FALSE),IF(fq=2,VLOOKUP(ppt*fq-G218,Charges!$AP$41:$AQ$79,2,FALSE),VLOOKUP(ppt*fq-D218,Charges!$AR$41:$AS$279,2,FALSE)))*pr/fq,0),0)</f>
        <v>0</v>
      </c>
      <c r="U218" s="14">
        <f ca="1">IFERROR(((T218*(VLOOKUP(Input!$D$18+H218-1,Tab_Mort_Charge,IF(Gender_2="M",2,3),FALSE)*(1+_emr2)+_rpm2)/IF(Model_Type="LA_PQIS",1000/0.0833,(12*1000))))*Flag_Mort_Rider_Charge*(T218&gt;0),0)</f>
        <v>0</v>
      </c>
      <c r="V218" s="34">
        <f>ROUND(MIN(IF(H218&gt;=7,Charges!$C$12*(1+Charges!$C$14)^((H218-7+1)),VLOOKUP(H218,Charges!$B$7:$C$12,2,0))*pr,Charges!$C$13)*B218,Round)</f>
        <v>0</v>
      </c>
      <c r="W218" s="14">
        <f t="shared" ca="1" si="154"/>
        <v>0</v>
      </c>
      <c r="X218" s="14">
        <f t="shared" ca="1" si="155"/>
        <v>0</v>
      </c>
      <c r="Y218" s="213">
        <f t="shared" ca="1" si="177"/>
        <v>0</v>
      </c>
      <c r="Z218" s="14">
        <f t="shared" ca="1" si="156"/>
        <v>0</v>
      </c>
      <c r="AA218" s="14">
        <f>IF(AND($H218=pt,$F218=11),SUM($K$7:K218)*VLOOKUP(pt,ROC,2,FALSE),0)</f>
        <v>0</v>
      </c>
      <c r="AB218" s="14">
        <f>IF(AND($H218=pt,$F218=11),SUM($V$7:V218)*VLOOKUP(pt,ROC,2,FALSE),0)</f>
        <v>0</v>
      </c>
      <c r="AC218" s="14">
        <f>IF(AND($H218=pt,$F218=11),SUM($Q$7:Q218)*VLOOKUP(pt,ROC,2,FALSE),0)</f>
        <v>0</v>
      </c>
      <c r="AD218" s="14">
        <f t="shared" ca="1" si="178"/>
        <v>0</v>
      </c>
      <c r="AE218" s="14">
        <f ca="1">(MAX(sa-CF217*Flag_UL_Type,105%*SUM($I$7:I218),Z218)+AU218)*B218</f>
        <v>0</v>
      </c>
      <c r="AF218" s="136"/>
      <c r="AG218" s="18">
        <v>212</v>
      </c>
      <c r="AH218" s="30">
        <f t="shared" ca="1" si="157"/>
        <v>0</v>
      </c>
      <c r="AI218" s="58"/>
      <c r="AJ218" s="50">
        <f>IF(AND(Option_Sys_TopUp&gt;="Y",H218&gt;=sytp,H218&lt;=(dtp+sytp-1),F218=0,H218&lt;=ppt+1),atp,0)+IFERROR(VLOOKUP(H218,Input!$B$55:$C$61,2,0),0)*(F218=0)*(Option_TopUP="Y")*(Option_Sys_TopUp="N")*B218*(pt&gt;=H218+5)</f>
        <v>0</v>
      </c>
      <c r="AK218" s="50">
        <f t="shared" si="158"/>
        <v>0</v>
      </c>
      <c r="AL218" s="50">
        <f t="shared" si="179"/>
        <v>0</v>
      </c>
      <c r="AM218" s="50">
        <f t="shared" ca="1" si="159"/>
        <v>0</v>
      </c>
      <c r="AN218" s="50">
        <f>IF(B218=0,0,AT218*(_rpm1+(1+_emr1)*VLOOKUP(E218,Tab_Mort_Charge,IF(Input!$C$12="M",2,3),0))*(0.001*0.0833)*Flag_Mort_Rider_Charge*(AT218&gt;0))</f>
        <v>0</v>
      </c>
      <c r="AO218" s="50">
        <f t="shared" ca="1" si="180"/>
        <v>0</v>
      </c>
      <c r="AP218" s="50">
        <f t="shared" ca="1" si="143"/>
        <v>0</v>
      </c>
      <c r="AQ218" s="50">
        <f t="shared" ca="1" si="160"/>
        <v>0</v>
      </c>
      <c r="AR218" s="50">
        <f t="shared" ca="1" si="161"/>
        <v>0</v>
      </c>
      <c r="AS218" s="50">
        <f t="shared" si="162"/>
        <v>0</v>
      </c>
      <c r="AT218" s="50">
        <f ca="1">(MAX((MAX(AS218,105%*SUM($AJ$7:AJ218))-AM218*Flag_UL_Type),0)*B218)</f>
        <v>0</v>
      </c>
      <c r="AU218" s="50">
        <f ca="1">(MAX(AS218,AR218,105%*SUM($AJ$7:AJ218))*B218)</f>
        <v>0</v>
      </c>
      <c r="AV218" s="125"/>
      <c r="AW218" s="13"/>
      <c r="AX218" s="13"/>
      <c r="AY218" s="13"/>
      <c r="AZ218" s="13"/>
      <c r="BA218" s="13"/>
      <c r="BG218" s="51">
        <f t="shared" si="163"/>
        <v>0</v>
      </c>
      <c r="BH218" s="51">
        <f t="shared" si="164"/>
        <v>0</v>
      </c>
      <c r="BI218" s="51">
        <f t="shared" ca="1" si="165"/>
        <v>0</v>
      </c>
      <c r="BJ218" s="51">
        <f t="shared" ca="1" si="166"/>
        <v>0</v>
      </c>
      <c r="BK218" s="51">
        <f t="shared" si="167"/>
        <v>0</v>
      </c>
      <c r="BL218" s="51">
        <f t="shared" ca="1" si="168"/>
        <v>0</v>
      </c>
      <c r="BM218" s="51">
        <f t="shared" si="169"/>
        <v>0</v>
      </c>
      <c r="BN218" s="51">
        <f t="shared" si="170"/>
        <v>0</v>
      </c>
      <c r="BO218" s="51">
        <f t="shared" ca="1" si="171"/>
        <v>0</v>
      </c>
      <c r="BP218" s="51">
        <f t="shared" ca="1" si="172"/>
        <v>0</v>
      </c>
      <c r="BQ218" s="120"/>
      <c r="BR218" s="32"/>
      <c r="BS218" s="126"/>
      <c r="BT218" s="16"/>
      <c r="BU218" s="58"/>
      <c r="BW218" s="51">
        <f>VLOOKUP(H218,Charges!$AT$4:$AU$33,2,FALSE)*I218</f>
        <v>0</v>
      </c>
      <c r="BX218" s="51">
        <f t="shared" si="173"/>
        <v>0</v>
      </c>
      <c r="BY218" s="51">
        <f t="shared" si="181"/>
        <v>0</v>
      </c>
      <c r="BZ218" s="151"/>
      <c r="CA218" s="151"/>
      <c r="CB218" s="32"/>
      <c r="CC218" s="16">
        <f ca="1">SUM($N$7:$N218)</f>
        <v>0</v>
      </c>
      <c r="CD218" s="16">
        <f t="shared" ca="1" si="174"/>
        <v>0</v>
      </c>
      <c r="CE218" s="16">
        <f t="shared" ca="1" si="175"/>
        <v>0</v>
      </c>
      <c r="CF218" s="7">
        <f t="shared" ca="1" si="182"/>
        <v>0</v>
      </c>
    </row>
    <row r="219" spans="1:84" s="7" customFormat="1" x14ac:dyDescent="0.2">
      <c r="A219" s="149"/>
      <c r="B219" s="14">
        <f t="shared" si="144"/>
        <v>0</v>
      </c>
      <c r="C219" s="12">
        <f t="shared" si="145"/>
        <v>0</v>
      </c>
      <c r="D219" s="17">
        <f t="shared" si="183"/>
        <v>213</v>
      </c>
      <c r="E219" s="17">
        <f t="shared" ca="1" si="146"/>
        <v>77</v>
      </c>
      <c r="F219" s="12">
        <f t="shared" si="185"/>
        <v>8</v>
      </c>
      <c r="G219" s="12">
        <f t="shared" si="184"/>
        <v>36</v>
      </c>
      <c r="H219" s="17">
        <f t="shared" si="186"/>
        <v>18</v>
      </c>
      <c r="I219" s="29">
        <f t="shared" si="147"/>
        <v>0</v>
      </c>
      <c r="J219" s="211">
        <f>IFERROR(VLOOKUP(H219,Charges!$T$6:$U$35,2,0)*C219,0)</f>
        <v>0</v>
      </c>
      <c r="K219" s="29">
        <f t="shared" si="148"/>
        <v>0</v>
      </c>
      <c r="L219" s="29">
        <f t="shared" si="149"/>
        <v>0</v>
      </c>
      <c r="M219" s="147">
        <f t="shared" ca="1" si="150"/>
        <v>0</v>
      </c>
      <c r="N219" s="148">
        <f ca="1">IF(AND(Option_SPW="Y",H219&gt;=Lock_In_Period,Z218&gt;SPW_Amount_pa+IF(option="Single",1/5*pr,2*pr),H219&gt;=SPW_Start_Year,H219&lt;=SPW_Start_Year+SPW_Duration-1,age+H219&gt;=Legal_Age),IF(AND(F219=0,SPW_Payout_Freq=1),SPW_Amount_pa,IF(AND(SPW_Payout_Freq=2,MOD(F219,6)=0),SPW_Amount_pa/SPW_Payout_Freq,IF(AND(SPW_Payout_Freq=4,MOD(F219,3)=0),SPW_Amount_pa/SPW_Payout_Freq,IF(SPW_Payout_Freq=12,SPW_Amount_pa/SPW_Payout_Freq,0)))),0)+IFERROR(VLOOKUP(H219,Input!$B$68:$C$74,2,0),0)*(F219=0)*(Option_PW="Y")*(Option_SPW="N")*(age+H219&gt;=Legal_Age)</f>
        <v>0</v>
      </c>
      <c r="O219" s="148">
        <f t="shared" ca="1" si="176"/>
        <v>0</v>
      </c>
      <c r="P219" s="14">
        <f ca="1">(MAX(MAX(sa-CF218*Flag_UL_Type,105%*SUM($I$7:I219))-(AD218+L219-N219)*Flag_UL_Type,0)*B219)</f>
        <v>0</v>
      </c>
      <c r="Q219" s="213">
        <f t="shared" si="151"/>
        <v>0</v>
      </c>
      <c r="R219" s="14">
        <f t="shared" ca="1" si="152"/>
        <v>0</v>
      </c>
      <c r="S219" s="14">
        <f t="shared" ca="1" si="153"/>
        <v>0</v>
      </c>
      <c r="T219" s="14">
        <f>IFERROR(IF(WoP_Flag="Y",IF(fq=1,VLOOKUP(ppt*fq-H219,Charges!$AN$41:$AO$59,2,FALSE),IF(fq=2,VLOOKUP(ppt*fq-G219,Charges!$AP$41:$AQ$79,2,FALSE),VLOOKUP(ppt*fq-D219,Charges!$AR$41:$AS$279,2,FALSE)))*pr/fq,0),0)</f>
        <v>0</v>
      </c>
      <c r="U219" s="14">
        <f ca="1">IFERROR(((T219*(VLOOKUP(Input!$D$18+H219-1,Tab_Mort_Charge,IF(Gender_2="M",2,3),FALSE)*(1+_emr2)+_rpm2)/IF(Model_Type="LA_PQIS",1000/0.0833,(12*1000))))*Flag_Mort_Rider_Charge*(T219&gt;0),0)</f>
        <v>0</v>
      </c>
      <c r="V219" s="34">
        <f>ROUND(MIN(IF(H219&gt;=7,Charges!$C$12*(1+Charges!$C$14)^((H219-7+1)),VLOOKUP(H219,Charges!$B$7:$C$12,2,0))*pr,Charges!$C$13)*B219,Round)</f>
        <v>0</v>
      </c>
      <c r="W219" s="14">
        <f t="shared" ca="1" si="154"/>
        <v>0</v>
      </c>
      <c r="X219" s="14">
        <f t="shared" ca="1" si="155"/>
        <v>0</v>
      </c>
      <c r="Y219" s="213">
        <f t="shared" ca="1" si="177"/>
        <v>0</v>
      </c>
      <c r="Z219" s="14">
        <f t="shared" ca="1" si="156"/>
        <v>0</v>
      </c>
      <c r="AA219" s="14">
        <f>IF(AND($H219=pt,$F219=11),SUM($K$7:K219)*VLOOKUP(pt,ROC,2,FALSE),0)</f>
        <v>0</v>
      </c>
      <c r="AB219" s="14">
        <f>IF(AND($H219=pt,$F219=11),SUM($V$7:V219)*VLOOKUP(pt,ROC,2,FALSE),0)</f>
        <v>0</v>
      </c>
      <c r="AC219" s="14">
        <f>IF(AND($H219=pt,$F219=11),SUM($Q$7:Q219)*VLOOKUP(pt,ROC,2,FALSE),0)</f>
        <v>0</v>
      </c>
      <c r="AD219" s="14">
        <f t="shared" ca="1" si="178"/>
        <v>0</v>
      </c>
      <c r="AE219" s="14">
        <f ca="1">(MAX(sa-CF218*Flag_UL_Type,105%*SUM($I$7:I219),Z219)+AU219)*B219</f>
        <v>0</v>
      </c>
      <c r="AF219" s="136"/>
      <c r="AG219" s="18">
        <v>213</v>
      </c>
      <c r="AH219" s="30">
        <f t="shared" ca="1" si="157"/>
        <v>0</v>
      </c>
      <c r="AI219" s="58"/>
      <c r="AJ219" s="50">
        <f>IF(AND(Option_Sys_TopUp&gt;="Y",H219&gt;=sytp,H219&lt;=(dtp+sytp-1),F219=0,H219&lt;=ppt+1),atp,0)+IFERROR(VLOOKUP(H219,Input!$B$55:$C$61,2,0),0)*(F219=0)*(Option_TopUP="Y")*(Option_Sys_TopUp="N")*B219*(pt&gt;=H219+5)</f>
        <v>0</v>
      </c>
      <c r="AK219" s="50">
        <f t="shared" si="158"/>
        <v>0</v>
      </c>
      <c r="AL219" s="50">
        <f t="shared" si="179"/>
        <v>0</v>
      </c>
      <c r="AM219" s="50">
        <f t="shared" ca="1" si="159"/>
        <v>0</v>
      </c>
      <c r="AN219" s="50">
        <f>IF(B219=0,0,AT219*(_rpm1+(1+_emr1)*VLOOKUP(E219,Tab_Mort_Charge,IF(Input!$C$12="M",2,3),0))*(0.001*0.0833)*Flag_Mort_Rider_Charge*(AT219&gt;0))</f>
        <v>0</v>
      </c>
      <c r="AO219" s="50">
        <f t="shared" ca="1" si="180"/>
        <v>0</v>
      </c>
      <c r="AP219" s="50">
        <f t="shared" ca="1" si="143"/>
        <v>0</v>
      </c>
      <c r="AQ219" s="50">
        <f t="shared" ca="1" si="160"/>
        <v>0</v>
      </c>
      <c r="AR219" s="50">
        <f t="shared" ca="1" si="161"/>
        <v>0</v>
      </c>
      <c r="AS219" s="50">
        <f t="shared" si="162"/>
        <v>0</v>
      </c>
      <c r="AT219" s="50">
        <f ca="1">(MAX((MAX(AS219,105%*SUM($AJ$7:AJ219))-AM219*Flag_UL_Type),0)*B219)</f>
        <v>0</v>
      </c>
      <c r="AU219" s="50">
        <f ca="1">(MAX(AS219,AR219,105%*SUM($AJ$7:AJ219))*B219)</f>
        <v>0</v>
      </c>
      <c r="AV219" s="125"/>
      <c r="AW219" s="13"/>
      <c r="AX219" s="13"/>
      <c r="AY219" s="13"/>
      <c r="AZ219" s="13"/>
      <c r="BA219" s="13"/>
      <c r="BG219" s="51">
        <f t="shared" si="163"/>
        <v>0</v>
      </c>
      <c r="BH219" s="51">
        <f t="shared" si="164"/>
        <v>0</v>
      </c>
      <c r="BI219" s="51">
        <f t="shared" ca="1" si="165"/>
        <v>0</v>
      </c>
      <c r="BJ219" s="51">
        <f t="shared" ca="1" si="166"/>
        <v>0</v>
      </c>
      <c r="BK219" s="51">
        <f t="shared" si="167"/>
        <v>0</v>
      </c>
      <c r="BL219" s="51">
        <f t="shared" ca="1" si="168"/>
        <v>0</v>
      </c>
      <c r="BM219" s="51">
        <f t="shared" si="169"/>
        <v>0</v>
      </c>
      <c r="BN219" s="51">
        <f t="shared" si="170"/>
        <v>0</v>
      </c>
      <c r="BO219" s="51">
        <f t="shared" ca="1" si="171"/>
        <v>0</v>
      </c>
      <c r="BP219" s="51">
        <f t="shared" ca="1" si="172"/>
        <v>0</v>
      </c>
      <c r="BQ219" s="120"/>
      <c r="BR219" s="32"/>
      <c r="BS219" s="126"/>
      <c r="BT219" s="16"/>
      <c r="BU219" s="58"/>
      <c r="BW219" s="51">
        <f>VLOOKUP(H219,Charges!$AT$4:$AU$33,2,FALSE)*I219</f>
        <v>0</v>
      </c>
      <c r="BX219" s="51">
        <f t="shared" si="173"/>
        <v>0</v>
      </c>
      <c r="BY219" s="51">
        <f t="shared" si="181"/>
        <v>0</v>
      </c>
      <c r="BZ219" s="151"/>
      <c r="CA219" s="151"/>
      <c r="CB219" s="32"/>
      <c r="CC219" s="16">
        <f ca="1">SUM($N$7:$N219)</f>
        <v>0</v>
      </c>
      <c r="CD219" s="16">
        <f t="shared" ca="1" si="174"/>
        <v>0</v>
      </c>
      <c r="CE219" s="16">
        <f t="shared" ca="1" si="175"/>
        <v>0</v>
      </c>
      <c r="CF219" s="7">
        <f t="shared" ca="1" si="182"/>
        <v>0</v>
      </c>
    </row>
    <row r="220" spans="1:84" s="7" customFormat="1" x14ac:dyDescent="0.2">
      <c r="A220" s="149"/>
      <c r="B220" s="14">
        <f t="shared" si="144"/>
        <v>0</v>
      </c>
      <c r="C220" s="12">
        <f t="shared" si="145"/>
        <v>0</v>
      </c>
      <c r="D220" s="17">
        <f t="shared" si="183"/>
        <v>214</v>
      </c>
      <c r="E220" s="17">
        <f t="shared" ca="1" si="146"/>
        <v>77</v>
      </c>
      <c r="F220" s="12">
        <f t="shared" si="185"/>
        <v>9</v>
      </c>
      <c r="G220" s="12">
        <f t="shared" si="184"/>
        <v>36</v>
      </c>
      <c r="H220" s="17">
        <f t="shared" si="186"/>
        <v>18</v>
      </c>
      <c r="I220" s="29">
        <f t="shared" si="147"/>
        <v>0</v>
      </c>
      <c r="J220" s="211">
        <f>IFERROR(VLOOKUP(H220,Charges!$T$6:$U$35,2,0)*C220,0)</f>
        <v>0</v>
      </c>
      <c r="K220" s="29">
        <f t="shared" si="148"/>
        <v>0</v>
      </c>
      <c r="L220" s="29">
        <f t="shared" si="149"/>
        <v>0</v>
      </c>
      <c r="M220" s="147">
        <f t="shared" ca="1" si="150"/>
        <v>0</v>
      </c>
      <c r="N220" s="148">
        <f ca="1">IF(AND(Option_SPW="Y",H220&gt;=Lock_In_Period,Z219&gt;SPW_Amount_pa+IF(option="Single",1/5*pr,2*pr),H220&gt;=SPW_Start_Year,H220&lt;=SPW_Start_Year+SPW_Duration-1,age+H220&gt;=Legal_Age),IF(AND(F220=0,SPW_Payout_Freq=1),SPW_Amount_pa,IF(AND(SPW_Payout_Freq=2,MOD(F220,6)=0),SPW_Amount_pa/SPW_Payout_Freq,IF(AND(SPW_Payout_Freq=4,MOD(F220,3)=0),SPW_Amount_pa/SPW_Payout_Freq,IF(SPW_Payout_Freq=12,SPW_Amount_pa/SPW_Payout_Freq,0)))),0)+IFERROR(VLOOKUP(H220,Input!$B$68:$C$74,2,0),0)*(F220=0)*(Option_PW="Y")*(Option_SPW="N")*(age+H220&gt;=Legal_Age)</f>
        <v>0</v>
      </c>
      <c r="O220" s="148">
        <f t="shared" ca="1" si="176"/>
        <v>0</v>
      </c>
      <c r="P220" s="14">
        <f ca="1">(MAX(MAX(sa-CF219*Flag_UL_Type,105%*SUM($I$7:I220))-(AD219+L220-N220)*Flag_UL_Type,0)*B220)</f>
        <v>0</v>
      </c>
      <c r="Q220" s="213">
        <f t="shared" si="151"/>
        <v>0</v>
      </c>
      <c r="R220" s="14">
        <f t="shared" ca="1" si="152"/>
        <v>0</v>
      </c>
      <c r="S220" s="14">
        <f t="shared" ca="1" si="153"/>
        <v>0</v>
      </c>
      <c r="T220" s="14">
        <f>IFERROR(IF(WoP_Flag="Y",IF(fq=1,VLOOKUP(ppt*fq-H220,Charges!$AN$41:$AO$59,2,FALSE),IF(fq=2,VLOOKUP(ppt*fq-G220,Charges!$AP$41:$AQ$79,2,FALSE),VLOOKUP(ppt*fq-D220,Charges!$AR$41:$AS$279,2,FALSE)))*pr/fq,0),0)</f>
        <v>0</v>
      </c>
      <c r="U220" s="14">
        <f ca="1">IFERROR(((T220*(VLOOKUP(Input!$D$18+H220-1,Tab_Mort_Charge,IF(Gender_2="M",2,3),FALSE)*(1+_emr2)+_rpm2)/IF(Model_Type="LA_PQIS",1000/0.0833,(12*1000))))*Flag_Mort_Rider_Charge*(T220&gt;0),0)</f>
        <v>0</v>
      </c>
      <c r="V220" s="34">
        <f>ROUND(MIN(IF(H220&gt;=7,Charges!$C$12*(1+Charges!$C$14)^((H220-7+1)),VLOOKUP(H220,Charges!$B$7:$C$12,2,0))*pr,Charges!$C$13)*B220,Round)</f>
        <v>0</v>
      </c>
      <c r="W220" s="14">
        <f t="shared" ca="1" si="154"/>
        <v>0</v>
      </c>
      <c r="X220" s="14">
        <f t="shared" ca="1" si="155"/>
        <v>0</v>
      </c>
      <c r="Y220" s="213">
        <f t="shared" ca="1" si="177"/>
        <v>0</v>
      </c>
      <c r="Z220" s="14">
        <f t="shared" ca="1" si="156"/>
        <v>0</v>
      </c>
      <c r="AA220" s="14">
        <f>IF(AND($H220=pt,$F220=11),SUM($K$7:K220)*VLOOKUP(pt,ROC,2,FALSE),0)</f>
        <v>0</v>
      </c>
      <c r="AB220" s="14">
        <f>IF(AND($H220=pt,$F220=11),SUM($V$7:V220)*VLOOKUP(pt,ROC,2,FALSE),0)</f>
        <v>0</v>
      </c>
      <c r="AC220" s="14">
        <f>IF(AND($H220=pt,$F220=11),SUM($Q$7:Q220)*VLOOKUP(pt,ROC,2,FALSE),0)</f>
        <v>0</v>
      </c>
      <c r="AD220" s="14">
        <f t="shared" ca="1" si="178"/>
        <v>0</v>
      </c>
      <c r="AE220" s="14">
        <f ca="1">(MAX(sa-CF219*Flag_UL_Type,105%*SUM($I$7:I220),Z220)+AU220)*B220</f>
        <v>0</v>
      </c>
      <c r="AF220" s="136"/>
      <c r="AG220" s="18">
        <v>214</v>
      </c>
      <c r="AH220" s="30">
        <f t="shared" ca="1" si="157"/>
        <v>0</v>
      </c>
      <c r="AI220" s="58"/>
      <c r="AJ220" s="50">
        <f>IF(AND(Option_Sys_TopUp&gt;="Y",H220&gt;=sytp,H220&lt;=(dtp+sytp-1),F220=0,H220&lt;=ppt+1),atp,0)+IFERROR(VLOOKUP(H220,Input!$B$55:$C$61,2,0),0)*(F220=0)*(Option_TopUP="Y")*(Option_Sys_TopUp="N")*B220*(pt&gt;=H220+5)</f>
        <v>0</v>
      </c>
      <c r="AK220" s="50">
        <f t="shared" si="158"/>
        <v>0</v>
      </c>
      <c r="AL220" s="50">
        <f t="shared" si="179"/>
        <v>0</v>
      </c>
      <c r="AM220" s="50">
        <f t="shared" ca="1" si="159"/>
        <v>0</v>
      </c>
      <c r="AN220" s="50">
        <f>IF(B220=0,0,AT220*(_rpm1+(1+_emr1)*VLOOKUP(E220,Tab_Mort_Charge,IF(Input!$C$12="M",2,3),0))*(0.001*0.0833)*Flag_Mort_Rider_Charge*(AT220&gt;0))</f>
        <v>0</v>
      </c>
      <c r="AO220" s="50">
        <f t="shared" ca="1" si="180"/>
        <v>0</v>
      </c>
      <c r="AP220" s="50">
        <f t="shared" ref="AP220:AP283" ca="1" si="187">AO220*(1+$F$3)*B220</f>
        <v>0</v>
      </c>
      <c r="AQ220" s="50">
        <f t="shared" ca="1" si="160"/>
        <v>0</v>
      </c>
      <c r="AR220" s="50">
        <f t="shared" ca="1" si="161"/>
        <v>0</v>
      </c>
      <c r="AS220" s="50">
        <f t="shared" si="162"/>
        <v>0</v>
      </c>
      <c r="AT220" s="50">
        <f ca="1">(MAX((MAX(AS220,105%*SUM($AJ$7:AJ220))-AM220*Flag_UL_Type),0)*B220)</f>
        <v>0</v>
      </c>
      <c r="AU220" s="50">
        <f ca="1">(MAX(AS220,AR220,105%*SUM($AJ$7:AJ220))*B220)</f>
        <v>0</v>
      </c>
      <c r="AV220" s="125"/>
      <c r="AW220" s="13"/>
      <c r="AX220" s="13"/>
      <c r="AY220" s="13"/>
      <c r="AZ220" s="13"/>
      <c r="BA220" s="13"/>
      <c r="BG220" s="51">
        <f t="shared" si="163"/>
        <v>0</v>
      </c>
      <c r="BH220" s="51">
        <f t="shared" si="164"/>
        <v>0</v>
      </c>
      <c r="BI220" s="51">
        <f t="shared" ca="1" si="165"/>
        <v>0</v>
      </c>
      <c r="BJ220" s="51">
        <f t="shared" ca="1" si="166"/>
        <v>0</v>
      </c>
      <c r="BK220" s="51">
        <f t="shared" si="167"/>
        <v>0</v>
      </c>
      <c r="BL220" s="51">
        <f t="shared" ca="1" si="168"/>
        <v>0</v>
      </c>
      <c r="BM220" s="51">
        <f t="shared" si="169"/>
        <v>0</v>
      </c>
      <c r="BN220" s="51">
        <f t="shared" si="170"/>
        <v>0</v>
      </c>
      <c r="BO220" s="51">
        <f t="shared" ca="1" si="171"/>
        <v>0</v>
      </c>
      <c r="BP220" s="51">
        <f t="shared" ca="1" si="172"/>
        <v>0</v>
      </c>
      <c r="BQ220" s="120"/>
      <c r="BR220" s="32"/>
      <c r="BS220" s="126"/>
      <c r="BT220" s="16"/>
      <c r="BU220" s="58"/>
      <c r="BW220" s="51">
        <f>VLOOKUP(H220,Charges!$AT$4:$AU$33,2,FALSE)*I220</f>
        <v>0</v>
      </c>
      <c r="BX220" s="51">
        <f t="shared" si="173"/>
        <v>0</v>
      </c>
      <c r="BY220" s="51">
        <f t="shared" si="181"/>
        <v>0</v>
      </c>
      <c r="BZ220" s="151"/>
      <c r="CA220" s="151"/>
      <c r="CB220" s="32"/>
      <c r="CC220" s="16">
        <f ca="1">SUM($N$7:$N220)</f>
        <v>0</v>
      </c>
      <c r="CD220" s="16">
        <f t="shared" ca="1" si="174"/>
        <v>0</v>
      </c>
      <c r="CE220" s="16">
        <f t="shared" ca="1" si="175"/>
        <v>0</v>
      </c>
      <c r="CF220" s="7">
        <f t="shared" ca="1" si="182"/>
        <v>0</v>
      </c>
    </row>
    <row r="221" spans="1:84" s="7" customFormat="1" x14ac:dyDescent="0.2">
      <c r="A221" s="149"/>
      <c r="B221" s="14">
        <f t="shared" si="144"/>
        <v>0</v>
      </c>
      <c r="C221" s="12">
        <f t="shared" si="145"/>
        <v>0</v>
      </c>
      <c r="D221" s="17">
        <f t="shared" si="183"/>
        <v>215</v>
      </c>
      <c r="E221" s="17">
        <f t="shared" ca="1" si="146"/>
        <v>77</v>
      </c>
      <c r="F221" s="12">
        <f t="shared" si="185"/>
        <v>10</v>
      </c>
      <c r="G221" s="12">
        <f t="shared" si="184"/>
        <v>36</v>
      </c>
      <c r="H221" s="17">
        <f t="shared" si="186"/>
        <v>18</v>
      </c>
      <c r="I221" s="29">
        <f t="shared" si="147"/>
        <v>0</v>
      </c>
      <c r="J221" s="211">
        <f>IFERROR(VLOOKUP(H221,Charges!$T$6:$U$35,2,0)*C221,0)</f>
        <v>0</v>
      </c>
      <c r="K221" s="29">
        <f t="shared" si="148"/>
        <v>0</v>
      </c>
      <c r="L221" s="29">
        <f t="shared" si="149"/>
        <v>0</v>
      </c>
      <c r="M221" s="147">
        <f t="shared" ca="1" si="150"/>
        <v>0</v>
      </c>
      <c r="N221" s="148">
        <f ca="1">IF(AND(Option_SPW="Y",H221&gt;=Lock_In_Period,Z220&gt;SPW_Amount_pa+IF(option="Single",1/5*pr,2*pr),H221&gt;=SPW_Start_Year,H221&lt;=SPW_Start_Year+SPW_Duration-1,age+H221&gt;=Legal_Age),IF(AND(F221=0,SPW_Payout_Freq=1),SPW_Amount_pa,IF(AND(SPW_Payout_Freq=2,MOD(F221,6)=0),SPW_Amount_pa/SPW_Payout_Freq,IF(AND(SPW_Payout_Freq=4,MOD(F221,3)=0),SPW_Amount_pa/SPW_Payout_Freq,IF(SPW_Payout_Freq=12,SPW_Amount_pa/SPW_Payout_Freq,0)))),0)+IFERROR(VLOOKUP(H221,Input!$B$68:$C$74,2,0),0)*(F221=0)*(Option_PW="Y")*(Option_SPW="N")*(age+H221&gt;=Legal_Age)</f>
        <v>0</v>
      </c>
      <c r="O221" s="148">
        <f t="shared" ca="1" si="176"/>
        <v>0</v>
      </c>
      <c r="P221" s="14">
        <f ca="1">(MAX(MAX(sa-CF220*Flag_UL_Type,105%*SUM($I$7:I221))-(AD220+L221-N221)*Flag_UL_Type,0)*B221)</f>
        <v>0</v>
      </c>
      <c r="Q221" s="213">
        <f t="shared" si="151"/>
        <v>0</v>
      </c>
      <c r="R221" s="14">
        <f t="shared" ca="1" si="152"/>
        <v>0</v>
      </c>
      <c r="S221" s="14">
        <f t="shared" ca="1" si="153"/>
        <v>0</v>
      </c>
      <c r="T221" s="14">
        <f>IFERROR(IF(WoP_Flag="Y",IF(fq=1,VLOOKUP(ppt*fq-H221,Charges!$AN$41:$AO$59,2,FALSE),IF(fq=2,VLOOKUP(ppt*fq-G221,Charges!$AP$41:$AQ$79,2,FALSE),VLOOKUP(ppt*fq-D221,Charges!$AR$41:$AS$279,2,FALSE)))*pr/fq,0),0)</f>
        <v>0</v>
      </c>
      <c r="U221" s="14">
        <f ca="1">IFERROR(((T221*(VLOOKUP(Input!$D$18+H221-1,Tab_Mort_Charge,IF(Gender_2="M",2,3),FALSE)*(1+_emr2)+_rpm2)/IF(Model_Type="LA_PQIS",1000/0.0833,(12*1000))))*Flag_Mort_Rider_Charge*(T221&gt;0),0)</f>
        <v>0</v>
      </c>
      <c r="V221" s="34">
        <f>ROUND(MIN(IF(H221&gt;=7,Charges!$C$12*(1+Charges!$C$14)^((H221-7+1)),VLOOKUP(H221,Charges!$B$7:$C$12,2,0))*pr,Charges!$C$13)*B221,Round)</f>
        <v>0</v>
      </c>
      <c r="W221" s="14">
        <f t="shared" ca="1" si="154"/>
        <v>0</v>
      </c>
      <c r="X221" s="14">
        <f t="shared" ca="1" si="155"/>
        <v>0</v>
      </c>
      <c r="Y221" s="213">
        <f t="shared" ca="1" si="177"/>
        <v>0</v>
      </c>
      <c r="Z221" s="14">
        <f t="shared" ca="1" si="156"/>
        <v>0</v>
      </c>
      <c r="AA221" s="14">
        <f>IF(AND($H221=pt,$F221=11),SUM($K$7:K221)*VLOOKUP(pt,ROC,2,FALSE),0)</f>
        <v>0</v>
      </c>
      <c r="AB221" s="14">
        <f>IF(AND($H221=pt,$F221=11),SUM($V$7:V221)*VLOOKUP(pt,ROC,2,FALSE),0)</f>
        <v>0</v>
      </c>
      <c r="AC221" s="14">
        <f>IF(AND($H221=pt,$F221=11),SUM($Q$7:Q221)*VLOOKUP(pt,ROC,2,FALSE),0)</f>
        <v>0</v>
      </c>
      <c r="AD221" s="14">
        <f t="shared" ca="1" si="178"/>
        <v>0</v>
      </c>
      <c r="AE221" s="14">
        <f ca="1">(MAX(sa-CF220*Flag_UL_Type,105%*SUM($I$7:I221),Z221)+AU221)*B221</f>
        <v>0</v>
      </c>
      <c r="AF221" s="136"/>
      <c r="AG221" s="18">
        <v>215</v>
      </c>
      <c r="AH221" s="30">
        <f t="shared" ca="1" si="157"/>
        <v>0</v>
      </c>
      <c r="AI221" s="58"/>
      <c r="AJ221" s="50">
        <f>IF(AND(Option_Sys_TopUp&gt;="Y",H221&gt;=sytp,H221&lt;=(dtp+sytp-1),F221=0,H221&lt;=ppt+1),atp,0)+IFERROR(VLOOKUP(H221,Input!$B$55:$C$61,2,0),0)*(F221=0)*(Option_TopUP="Y")*(Option_Sys_TopUp="N")*B221*(pt&gt;=H221+5)</f>
        <v>0</v>
      </c>
      <c r="AK221" s="50">
        <f t="shared" si="158"/>
        <v>0</v>
      </c>
      <c r="AL221" s="50">
        <f t="shared" si="179"/>
        <v>0</v>
      </c>
      <c r="AM221" s="50">
        <f t="shared" ca="1" si="159"/>
        <v>0</v>
      </c>
      <c r="AN221" s="50">
        <f>IF(B221=0,0,AT221*(_rpm1+(1+_emr1)*VLOOKUP(E221,Tab_Mort_Charge,IF(Input!$C$12="M",2,3),0))*(0.001*0.0833)*Flag_Mort_Rider_Charge*(AT221&gt;0))</f>
        <v>0</v>
      </c>
      <c r="AO221" s="50">
        <f t="shared" ca="1" si="180"/>
        <v>0</v>
      </c>
      <c r="AP221" s="50">
        <f t="shared" ca="1" si="187"/>
        <v>0</v>
      </c>
      <c r="AQ221" s="50">
        <f t="shared" ca="1" si="160"/>
        <v>0</v>
      </c>
      <c r="AR221" s="50">
        <f t="shared" ca="1" si="161"/>
        <v>0</v>
      </c>
      <c r="AS221" s="50">
        <f t="shared" si="162"/>
        <v>0</v>
      </c>
      <c r="AT221" s="50">
        <f ca="1">(MAX((MAX(AS221,105%*SUM($AJ$7:AJ221))-AM221*Flag_UL_Type),0)*B221)</f>
        <v>0</v>
      </c>
      <c r="AU221" s="50">
        <f ca="1">(MAX(AS221,AR221,105%*SUM($AJ$7:AJ221))*B221)</f>
        <v>0</v>
      </c>
      <c r="AV221" s="125"/>
      <c r="AW221" s="13"/>
      <c r="AX221" s="13"/>
      <c r="AY221" s="13"/>
      <c r="AZ221" s="13"/>
      <c r="BA221" s="13"/>
      <c r="BG221" s="51">
        <f t="shared" si="163"/>
        <v>0</v>
      </c>
      <c r="BH221" s="51">
        <f t="shared" si="164"/>
        <v>0</v>
      </c>
      <c r="BI221" s="51">
        <f t="shared" ca="1" si="165"/>
        <v>0</v>
      </c>
      <c r="BJ221" s="51">
        <f t="shared" ca="1" si="166"/>
        <v>0</v>
      </c>
      <c r="BK221" s="51">
        <f t="shared" si="167"/>
        <v>0</v>
      </c>
      <c r="BL221" s="51">
        <f t="shared" ca="1" si="168"/>
        <v>0</v>
      </c>
      <c r="BM221" s="51">
        <f t="shared" si="169"/>
        <v>0</v>
      </c>
      <c r="BN221" s="51">
        <f t="shared" si="170"/>
        <v>0</v>
      </c>
      <c r="BO221" s="51">
        <f t="shared" ca="1" si="171"/>
        <v>0</v>
      </c>
      <c r="BP221" s="51">
        <f t="shared" ca="1" si="172"/>
        <v>0</v>
      </c>
      <c r="BQ221" s="120"/>
      <c r="BR221" s="32"/>
      <c r="BS221" s="126"/>
      <c r="BT221" s="16"/>
      <c r="BU221" s="58"/>
      <c r="BW221" s="51">
        <f>VLOOKUP(H221,Charges!$AT$4:$AU$33,2,FALSE)*I221</f>
        <v>0</v>
      </c>
      <c r="BX221" s="51">
        <f t="shared" si="173"/>
        <v>0</v>
      </c>
      <c r="BY221" s="51">
        <f t="shared" si="181"/>
        <v>0</v>
      </c>
      <c r="BZ221" s="151"/>
      <c r="CA221" s="151"/>
      <c r="CB221" s="32"/>
      <c r="CC221" s="16">
        <f ca="1">SUM($N$7:$N221)</f>
        <v>0</v>
      </c>
      <c r="CD221" s="16">
        <f t="shared" ca="1" si="174"/>
        <v>0</v>
      </c>
      <c r="CE221" s="16">
        <f t="shared" ca="1" si="175"/>
        <v>0</v>
      </c>
      <c r="CF221" s="7">
        <f t="shared" ca="1" si="182"/>
        <v>0</v>
      </c>
    </row>
    <row r="222" spans="1:84" s="7" customFormat="1" x14ac:dyDescent="0.2">
      <c r="A222" s="149"/>
      <c r="B222" s="14">
        <f t="shared" si="144"/>
        <v>0</v>
      </c>
      <c r="C222" s="12">
        <f t="shared" si="145"/>
        <v>0</v>
      </c>
      <c r="D222" s="17">
        <f t="shared" si="183"/>
        <v>216</v>
      </c>
      <c r="E222" s="17">
        <f t="shared" ca="1" si="146"/>
        <v>77</v>
      </c>
      <c r="F222" s="12">
        <f t="shared" si="185"/>
        <v>11</v>
      </c>
      <c r="G222" s="12">
        <f t="shared" si="184"/>
        <v>36</v>
      </c>
      <c r="H222" s="17">
        <f t="shared" si="186"/>
        <v>18</v>
      </c>
      <c r="I222" s="29">
        <f t="shared" si="147"/>
        <v>0</v>
      </c>
      <c r="J222" s="211">
        <f>IFERROR(VLOOKUP(H222,Charges!$T$6:$U$35,2,0)*C222,0)</f>
        <v>0</v>
      </c>
      <c r="K222" s="29">
        <f t="shared" si="148"/>
        <v>0</v>
      </c>
      <c r="L222" s="29">
        <f t="shared" si="149"/>
        <v>0</v>
      </c>
      <c r="M222" s="147">
        <f t="shared" ca="1" si="150"/>
        <v>0</v>
      </c>
      <c r="N222" s="148">
        <f ca="1">IF(AND(Option_SPW="Y",H222&gt;=Lock_In_Period,Z221&gt;SPW_Amount_pa+IF(option="Single",1/5*pr,2*pr),H222&gt;=SPW_Start_Year,H222&lt;=SPW_Start_Year+SPW_Duration-1,age+H222&gt;=Legal_Age),IF(AND(F222=0,SPW_Payout_Freq=1),SPW_Amount_pa,IF(AND(SPW_Payout_Freq=2,MOD(F222,6)=0),SPW_Amount_pa/SPW_Payout_Freq,IF(AND(SPW_Payout_Freq=4,MOD(F222,3)=0),SPW_Amount_pa/SPW_Payout_Freq,IF(SPW_Payout_Freq=12,SPW_Amount_pa/SPW_Payout_Freq,0)))),0)+IFERROR(VLOOKUP(H222,Input!$B$68:$C$74,2,0),0)*(F222=0)*(Option_PW="Y")*(Option_SPW="N")*(age+H222&gt;=Legal_Age)</f>
        <v>0</v>
      </c>
      <c r="O222" s="148">
        <f t="shared" ca="1" si="176"/>
        <v>0</v>
      </c>
      <c r="P222" s="14">
        <f ca="1">(MAX(MAX(sa-CF221*Flag_UL_Type,105%*SUM($I$7:I222))-(AD221+L222-N222)*Flag_UL_Type,0)*B222)</f>
        <v>0</v>
      </c>
      <c r="Q222" s="213">
        <f t="shared" si="151"/>
        <v>0</v>
      </c>
      <c r="R222" s="14">
        <f t="shared" ca="1" si="152"/>
        <v>0</v>
      </c>
      <c r="S222" s="14">
        <f t="shared" ca="1" si="153"/>
        <v>0</v>
      </c>
      <c r="T222" s="14">
        <f>IFERROR(IF(WoP_Flag="Y",IF(fq=1,VLOOKUP(ppt*fq-H222,Charges!$AN$41:$AO$59,2,FALSE),IF(fq=2,VLOOKUP(ppt*fq-G222,Charges!$AP$41:$AQ$79,2,FALSE),VLOOKUP(ppt*fq-D222,Charges!$AR$41:$AS$279,2,FALSE)))*pr/fq,0),0)</f>
        <v>0</v>
      </c>
      <c r="U222" s="14">
        <f ca="1">IFERROR(((T222*(VLOOKUP(Input!$D$18+H222-1,Tab_Mort_Charge,IF(Gender_2="M",2,3),FALSE)*(1+_emr2)+_rpm2)/IF(Model_Type="LA_PQIS",1000/0.0833,(12*1000))))*Flag_Mort_Rider_Charge*(T222&gt;0),0)</f>
        <v>0</v>
      </c>
      <c r="V222" s="34">
        <f>ROUND(MIN(IF(H222&gt;=7,Charges!$C$12*(1+Charges!$C$14)^((H222-7+1)),VLOOKUP(H222,Charges!$B$7:$C$12,2,0))*pr,Charges!$C$13)*B222,Round)</f>
        <v>0</v>
      </c>
      <c r="W222" s="14">
        <f t="shared" ca="1" si="154"/>
        <v>0</v>
      </c>
      <c r="X222" s="14">
        <f t="shared" ca="1" si="155"/>
        <v>0</v>
      </c>
      <c r="Y222" s="213">
        <f t="shared" ca="1" si="177"/>
        <v>0</v>
      </c>
      <c r="Z222" s="14">
        <f t="shared" ca="1" si="156"/>
        <v>0</v>
      </c>
      <c r="AA222" s="14">
        <f>IF(AND($H222=pt,$F222=11),SUM($K$7:K222)*VLOOKUP(pt,ROC,2,FALSE),0)</f>
        <v>0</v>
      </c>
      <c r="AB222" s="14">
        <f>IF(AND($H222=pt,$F222=11),SUM($V$7:V222)*VLOOKUP(pt,ROC,2,FALSE),0)</f>
        <v>0</v>
      </c>
      <c r="AC222" s="14">
        <f>IF(AND($H222=pt,$F222=11),SUM($Q$7:Q222)*VLOOKUP(pt,ROC,2,FALSE),0)</f>
        <v>0</v>
      </c>
      <c r="AD222" s="14">
        <f t="shared" ca="1" si="178"/>
        <v>0</v>
      </c>
      <c r="AE222" s="14">
        <f ca="1">(MAX(sa-CF221*Flag_UL_Type,105%*SUM($I$7:I222),Z222)+AU222)*B222</f>
        <v>0</v>
      </c>
      <c r="AF222" s="136"/>
      <c r="AG222" s="18">
        <v>216</v>
      </c>
      <c r="AH222" s="30">
        <f t="shared" ca="1" si="157"/>
        <v>0</v>
      </c>
      <c r="AI222" s="58"/>
      <c r="AJ222" s="50">
        <f>IF(AND(Option_Sys_TopUp&gt;="Y",H222&gt;=sytp,H222&lt;=(dtp+sytp-1),F222=0,H222&lt;=ppt+1),atp,0)+IFERROR(VLOOKUP(H222,Input!$B$55:$C$61,2,0),0)*(F222=0)*(Option_TopUP="Y")*(Option_Sys_TopUp="N")*B222*(pt&gt;=H222+5)</f>
        <v>0</v>
      </c>
      <c r="AK222" s="50">
        <f t="shared" si="158"/>
        <v>0</v>
      </c>
      <c r="AL222" s="50">
        <f t="shared" si="179"/>
        <v>0</v>
      </c>
      <c r="AM222" s="50">
        <f t="shared" ca="1" si="159"/>
        <v>0</v>
      </c>
      <c r="AN222" s="50">
        <f>IF(B222=0,0,AT222*(_rpm1+(1+_emr1)*VLOOKUP(E222,Tab_Mort_Charge,IF(Input!$C$12="M",2,3),0))*(0.001*0.0833)*Flag_Mort_Rider_Charge*(AT222&gt;0))</f>
        <v>0</v>
      </c>
      <c r="AO222" s="50">
        <f t="shared" ca="1" si="180"/>
        <v>0</v>
      </c>
      <c r="AP222" s="50">
        <f t="shared" ca="1" si="187"/>
        <v>0</v>
      </c>
      <c r="AQ222" s="50">
        <f t="shared" ca="1" si="160"/>
        <v>0</v>
      </c>
      <c r="AR222" s="50">
        <f t="shared" ca="1" si="161"/>
        <v>0</v>
      </c>
      <c r="AS222" s="50">
        <f t="shared" si="162"/>
        <v>0</v>
      </c>
      <c r="AT222" s="50">
        <f ca="1">(MAX((MAX(AS222,105%*SUM($AJ$7:AJ222))-AM222*Flag_UL_Type),0)*B222)</f>
        <v>0</v>
      </c>
      <c r="AU222" s="50">
        <f ca="1">(MAX(AS222,AR222,105%*SUM($AJ$7:AJ222))*B222)</f>
        <v>0</v>
      </c>
      <c r="AV222" s="125"/>
      <c r="AW222" s="13"/>
      <c r="AX222" s="13"/>
      <c r="AY222" s="13"/>
      <c r="AZ222" s="13"/>
      <c r="BA222" s="13"/>
      <c r="BG222" s="51">
        <f t="shared" si="163"/>
        <v>0</v>
      </c>
      <c r="BH222" s="51">
        <f t="shared" si="164"/>
        <v>0</v>
      </c>
      <c r="BI222" s="51">
        <f t="shared" ca="1" si="165"/>
        <v>0</v>
      </c>
      <c r="BJ222" s="51">
        <f t="shared" ca="1" si="166"/>
        <v>0</v>
      </c>
      <c r="BK222" s="51">
        <f t="shared" si="167"/>
        <v>0</v>
      </c>
      <c r="BL222" s="51">
        <f t="shared" ca="1" si="168"/>
        <v>0</v>
      </c>
      <c r="BM222" s="51">
        <f t="shared" si="169"/>
        <v>0</v>
      </c>
      <c r="BN222" s="51">
        <f t="shared" si="170"/>
        <v>0</v>
      </c>
      <c r="BO222" s="51">
        <f t="shared" ca="1" si="171"/>
        <v>0</v>
      </c>
      <c r="BP222" s="51">
        <f t="shared" ca="1" si="172"/>
        <v>0</v>
      </c>
      <c r="BQ222" s="120"/>
      <c r="BR222" s="32"/>
      <c r="BS222" s="126"/>
      <c r="BT222" s="16"/>
      <c r="BU222" s="58"/>
      <c r="BW222" s="51">
        <f>VLOOKUP(H222,Charges!$AT$4:$AU$33,2,FALSE)*I222</f>
        <v>0</v>
      </c>
      <c r="BX222" s="51">
        <f t="shared" si="173"/>
        <v>0</v>
      </c>
      <c r="BY222" s="51">
        <f t="shared" si="181"/>
        <v>0</v>
      </c>
      <c r="BZ222" s="151"/>
      <c r="CA222" s="151"/>
      <c r="CB222" s="32"/>
      <c r="CC222" s="16">
        <f ca="1">SUM($N$7:$N222)</f>
        <v>0</v>
      </c>
      <c r="CD222" s="16">
        <f t="shared" ca="1" si="174"/>
        <v>0</v>
      </c>
      <c r="CE222" s="16">
        <f t="shared" ca="1" si="175"/>
        <v>0</v>
      </c>
      <c r="CF222" s="7">
        <f t="shared" ca="1" si="182"/>
        <v>0</v>
      </c>
    </row>
    <row r="223" spans="1:84" s="7" customFormat="1" x14ac:dyDescent="0.2">
      <c r="A223" s="149"/>
      <c r="B223" s="14">
        <f t="shared" si="144"/>
        <v>0</v>
      </c>
      <c r="C223" s="12">
        <f t="shared" si="145"/>
        <v>0</v>
      </c>
      <c r="D223" s="17">
        <f t="shared" si="183"/>
        <v>217</v>
      </c>
      <c r="E223" s="17">
        <f t="shared" ca="1" si="146"/>
        <v>78</v>
      </c>
      <c r="F223" s="12">
        <f t="shared" si="185"/>
        <v>0</v>
      </c>
      <c r="G223" s="12">
        <f t="shared" si="184"/>
        <v>37</v>
      </c>
      <c r="H223" s="17">
        <f t="shared" si="186"/>
        <v>19</v>
      </c>
      <c r="I223" s="29">
        <f t="shared" si="147"/>
        <v>0</v>
      </c>
      <c r="J223" s="211">
        <f>IFERROR(VLOOKUP(H223,Charges!$T$6:$U$35,2,0)*C223,0)</f>
        <v>0</v>
      </c>
      <c r="K223" s="29">
        <f t="shared" si="148"/>
        <v>0</v>
      </c>
      <c r="L223" s="29">
        <f t="shared" si="149"/>
        <v>0</v>
      </c>
      <c r="M223" s="147">
        <f t="shared" ca="1" si="150"/>
        <v>0</v>
      </c>
      <c r="N223" s="148">
        <f ca="1">IF(AND(Option_SPW="Y",H223&gt;=Lock_In_Period,Z222&gt;SPW_Amount_pa+IF(option="Single",1/5*pr,2*pr),H223&gt;=SPW_Start_Year,H223&lt;=SPW_Start_Year+SPW_Duration-1,age+H223&gt;=Legal_Age),IF(AND(F223=0,SPW_Payout_Freq=1),SPW_Amount_pa,IF(AND(SPW_Payout_Freq=2,MOD(F223,6)=0),SPW_Amount_pa/SPW_Payout_Freq,IF(AND(SPW_Payout_Freq=4,MOD(F223,3)=0),SPW_Amount_pa/SPW_Payout_Freq,IF(SPW_Payout_Freq=12,SPW_Amount_pa/SPW_Payout_Freq,0)))),0)+IFERROR(VLOOKUP(H223,Input!$B$68:$C$74,2,0),0)*(F223=0)*(Option_PW="Y")*(Option_SPW="N")*(age+H223&gt;=Legal_Age)</f>
        <v>0</v>
      </c>
      <c r="O223" s="148">
        <f t="shared" ca="1" si="176"/>
        <v>0</v>
      </c>
      <c r="P223" s="14">
        <f ca="1">(MAX(MAX(sa-CF222*Flag_UL_Type,105%*SUM($I$7:I223))-(AD222+L223-N223)*Flag_UL_Type,0)*B223)</f>
        <v>0</v>
      </c>
      <c r="Q223" s="213">
        <f t="shared" si="151"/>
        <v>0</v>
      </c>
      <c r="R223" s="14">
        <f t="shared" ca="1" si="152"/>
        <v>0</v>
      </c>
      <c r="S223" s="14">
        <f t="shared" ca="1" si="153"/>
        <v>0</v>
      </c>
      <c r="T223" s="14">
        <f>IFERROR(IF(WoP_Flag="Y",IF(fq=1,VLOOKUP(ppt*fq-H223,Charges!$AN$41:$AO$59,2,FALSE),IF(fq=2,VLOOKUP(ppt*fq-G223,Charges!$AP$41:$AQ$79,2,FALSE),VLOOKUP(ppt*fq-D223,Charges!$AR$41:$AS$279,2,FALSE)))*pr/fq,0),0)</f>
        <v>0</v>
      </c>
      <c r="U223" s="14">
        <f ca="1">IFERROR(((T223*(VLOOKUP(Input!$D$18+H223-1,Tab_Mort_Charge,IF(Gender_2="M",2,3),FALSE)*(1+_emr2)+_rpm2)/IF(Model_Type="LA_PQIS",1000/0.0833,(12*1000))))*Flag_Mort_Rider_Charge*(T223&gt;0),0)</f>
        <v>0</v>
      </c>
      <c r="V223" s="34">
        <f>ROUND(MIN(IF(H223&gt;=7,Charges!$C$12*(1+Charges!$C$14)^((H223-7+1)),VLOOKUP(H223,Charges!$B$7:$C$12,2,0))*pr,Charges!$C$13)*B223,Round)</f>
        <v>0</v>
      </c>
      <c r="W223" s="14">
        <f t="shared" ca="1" si="154"/>
        <v>0</v>
      </c>
      <c r="X223" s="14">
        <f t="shared" ca="1" si="155"/>
        <v>0</v>
      </c>
      <c r="Y223" s="213">
        <f t="shared" ca="1" si="177"/>
        <v>0</v>
      </c>
      <c r="Z223" s="14">
        <f t="shared" ca="1" si="156"/>
        <v>0</v>
      </c>
      <c r="AA223" s="14">
        <f>IF(AND($H223=pt,$F223=11),SUM($K$7:K223)*VLOOKUP(pt,ROC,2,FALSE),0)</f>
        <v>0</v>
      </c>
      <c r="AB223" s="14">
        <f>IF(AND($H223=pt,$F223=11),SUM($V$7:V223)*VLOOKUP(pt,ROC,2,FALSE),0)</f>
        <v>0</v>
      </c>
      <c r="AC223" s="14">
        <f>IF(AND($H223=pt,$F223=11),SUM($Q$7:Q223)*VLOOKUP(pt,ROC,2,FALSE),0)</f>
        <v>0</v>
      </c>
      <c r="AD223" s="14">
        <f t="shared" ca="1" si="178"/>
        <v>0</v>
      </c>
      <c r="AE223" s="14">
        <f ca="1">(MAX(sa-CF222*Flag_UL_Type,105%*SUM($I$7:I223),Z223)+AU223)*B223</f>
        <v>0</v>
      </c>
      <c r="AF223" s="136"/>
      <c r="AG223" s="18">
        <v>217</v>
      </c>
      <c r="AH223" s="30">
        <f t="shared" ca="1" si="157"/>
        <v>0</v>
      </c>
      <c r="AI223" s="58"/>
      <c r="AJ223" s="50">
        <f>IF(AND(Option_Sys_TopUp&gt;="Y",H223&gt;=sytp,H223&lt;=(dtp+sytp-1),F223=0,H223&lt;=ppt+1),atp,0)+IFERROR(VLOOKUP(H223,Input!$B$55:$C$61,2,0),0)*(F223=0)*(Option_TopUP="Y")*(Option_Sys_TopUp="N")*B223*(pt&gt;=H223+5)</f>
        <v>0</v>
      </c>
      <c r="AK223" s="50">
        <f t="shared" si="158"/>
        <v>0</v>
      </c>
      <c r="AL223" s="50">
        <f t="shared" si="179"/>
        <v>0</v>
      </c>
      <c r="AM223" s="50">
        <f t="shared" ca="1" si="159"/>
        <v>0</v>
      </c>
      <c r="AN223" s="50">
        <f>IF(B223=0,0,AT223*(_rpm1+(1+_emr1)*VLOOKUP(E223,Tab_Mort_Charge,IF(Input!$C$12="M",2,3),0))*(0.001*0.0833)*Flag_Mort_Rider_Charge*(AT223&gt;0))</f>
        <v>0</v>
      </c>
      <c r="AO223" s="50">
        <f t="shared" ca="1" si="180"/>
        <v>0</v>
      </c>
      <c r="AP223" s="50">
        <f t="shared" ca="1" si="187"/>
        <v>0</v>
      </c>
      <c r="AQ223" s="50">
        <f t="shared" ca="1" si="160"/>
        <v>0</v>
      </c>
      <c r="AR223" s="50">
        <f t="shared" ca="1" si="161"/>
        <v>0</v>
      </c>
      <c r="AS223" s="50">
        <f t="shared" si="162"/>
        <v>0</v>
      </c>
      <c r="AT223" s="50">
        <f ca="1">(MAX((MAX(AS223,105%*SUM($AJ$7:AJ223))-AM223*Flag_UL_Type),0)*B223)</f>
        <v>0</v>
      </c>
      <c r="AU223" s="50">
        <f ca="1">(MAX(AS223,AR223,105%*SUM($AJ$7:AJ223))*B223)</f>
        <v>0</v>
      </c>
      <c r="AV223" s="125"/>
      <c r="AW223" s="13"/>
      <c r="AX223" s="13"/>
      <c r="AY223" s="13"/>
      <c r="AZ223" s="13"/>
      <c r="BA223" s="13"/>
      <c r="BG223" s="51">
        <f t="shared" si="163"/>
        <v>0</v>
      </c>
      <c r="BH223" s="51">
        <f t="shared" si="164"/>
        <v>0</v>
      </c>
      <c r="BI223" s="51">
        <f t="shared" ca="1" si="165"/>
        <v>0</v>
      </c>
      <c r="BJ223" s="51">
        <f t="shared" ca="1" si="166"/>
        <v>0</v>
      </c>
      <c r="BK223" s="51">
        <f t="shared" si="167"/>
        <v>0</v>
      </c>
      <c r="BL223" s="51">
        <f t="shared" ca="1" si="168"/>
        <v>0</v>
      </c>
      <c r="BM223" s="51">
        <f t="shared" si="169"/>
        <v>0</v>
      </c>
      <c r="BN223" s="51">
        <f t="shared" si="170"/>
        <v>0</v>
      </c>
      <c r="BO223" s="51">
        <f t="shared" ca="1" si="171"/>
        <v>0</v>
      </c>
      <c r="BP223" s="51">
        <f t="shared" ca="1" si="172"/>
        <v>0</v>
      </c>
      <c r="BQ223" s="120"/>
      <c r="BR223" s="32"/>
      <c r="BS223" s="126"/>
      <c r="BT223" s="16"/>
      <c r="BU223" s="58"/>
      <c r="BW223" s="51">
        <f>VLOOKUP(H223,Charges!$AT$4:$AU$33,2,FALSE)*I223</f>
        <v>0</v>
      </c>
      <c r="BX223" s="51">
        <f t="shared" si="173"/>
        <v>0</v>
      </c>
      <c r="BY223" s="51">
        <f t="shared" si="181"/>
        <v>0</v>
      </c>
      <c r="BZ223" s="151"/>
      <c r="CA223" s="151"/>
      <c r="CB223" s="32"/>
      <c r="CC223" s="16">
        <f ca="1">SUM($N$7:$N223)</f>
        <v>0</v>
      </c>
      <c r="CD223" s="16">
        <f t="shared" ca="1" si="174"/>
        <v>0</v>
      </c>
      <c r="CE223" s="16">
        <f t="shared" ca="1" si="175"/>
        <v>0</v>
      </c>
      <c r="CF223" s="7">
        <f t="shared" ca="1" si="182"/>
        <v>0</v>
      </c>
    </row>
    <row r="224" spans="1:84" s="7" customFormat="1" x14ac:dyDescent="0.2">
      <c r="A224" s="149"/>
      <c r="B224" s="14">
        <f t="shared" si="144"/>
        <v>0</v>
      </c>
      <c r="C224" s="12">
        <f t="shared" si="145"/>
        <v>0</v>
      </c>
      <c r="D224" s="17">
        <f t="shared" si="183"/>
        <v>218</v>
      </c>
      <c r="E224" s="17">
        <f t="shared" ca="1" si="146"/>
        <v>78</v>
      </c>
      <c r="F224" s="12">
        <f t="shared" si="185"/>
        <v>1</v>
      </c>
      <c r="G224" s="12">
        <f t="shared" si="184"/>
        <v>37</v>
      </c>
      <c r="H224" s="17">
        <f t="shared" si="186"/>
        <v>19</v>
      </c>
      <c r="I224" s="29">
        <f t="shared" si="147"/>
        <v>0</v>
      </c>
      <c r="J224" s="211">
        <f>IFERROR(VLOOKUP(H224,Charges!$T$6:$U$35,2,0)*C224,0)</f>
        <v>0</v>
      </c>
      <c r="K224" s="29">
        <f t="shared" si="148"/>
        <v>0</v>
      </c>
      <c r="L224" s="29">
        <f t="shared" si="149"/>
        <v>0</v>
      </c>
      <c r="M224" s="147">
        <f t="shared" ca="1" si="150"/>
        <v>0</v>
      </c>
      <c r="N224" s="148">
        <f ca="1">IF(AND(Option_SPW="Y",H224&gt;=Lock_In_Period,Z223&gt;SPW_Amount_pa+IF(option="Single",1/5*pr,2*pr),H224&gt;=SPW_Start_Year,H224&lt;=SPW_Start_Year+SPW_Duration-1,age+H224&gt;=Legal_Age),IF(AND(F224=0,SPW_Payout_Freq=1),SPW_Amount_pa,IF(AND(SPW_Payout_Freq=2,MOD(F224,6)=0),SPW_Amount_pa/SPW_Payout_Freq,IF(AND(SPW_Payout_Freq=4,MOD(F224,3)=0),SPW_Amount_pa/SPW_Payout_Freq,IF(SPW_Payout_Freq=12,SPW_Amount_pa/SPW_Payout_Freq,0)))),0)+IFERROR(VLOOKUP(H224,Input!$B$68:$C$74,2,0),0)*(F224=0)*(Option_PW="Y")*(Option_SPW="N")*(age+H224&gt;=Legal_Age)</f>
        <v>0</v>
      </c>
      <c r="O224" s="148">
        <f t="shared" ca="1" si="176"/>
        <v>0</v>
      </c>
      <c r="P224" s="14">
        <f ca="1">(MAX(MAX(sa-CF223*Flag_UL_Type,105%*SUM($I$7:I224))-(AD223+L224-N224)*Flag_UL_Type,0)*B224)</f>
        <v>0</v>
      </c>
      <c r="Q224" s="213">
        <f t="shared" si="151"/>
        <v>0</v>
      </c>
      <c r="R224" s="14">
        <f t="shared" ca="1" si="152"/>
        <v>0</v>
      </c>
      <c r="S224" s="14">
        <f t="shared" ca="1" si="153"/>
        <v>0</v>
      </c>
      <c r="T224" s="14">
        <f>IFERROR(IF(WoP_Flag="Y",IF(fq=1,VLOOKUP(ppt*fq-H224,Charges!$AN$41:$AO$59,2,FALSE),IF(fq=2,VLOOKUP(ppt*fq-G224,Charges!$AP$41:$AQ$79,2,FALSE),VLOOKUP(ppt*fq-D224,Charges!$AR$41:$AS$279,2,FALSE)))*pr/fq,0),0)</f>
        <v>0</v>
      </c>
      <c r="U224" s="14">
        <f ca="1">IFERROR(((T224*(VLOOKUP(Input!$D$18+H224-1,Tab_Mort_Charge,IF(Gender_2="M",2,3),FALSE)*(1+_emr2)+_rpm2)/IF(Model_Type="LA_PQIS",1000/0.0833,(12*1000))))*Flag_Mort_Rider_Charge*(T224&gt;0),0)</f>
        <v>0</v>
      </c>
      <c r="V224" s="34">
        <f>ROUND(MIN(IF(H224&gt;=7,Charges!$C$12*(1+Charges!$C$14)^((H224-7+1)),VLOOKUP(H224,Charges!$B$7:$C$12,2,0))*pr,Charges!$C$13)*B224,Round)</f>
        <v>0</v>
      </c>
      <c r="W224" s="14">
        <f t="shared" ca="1" si="154"/>
        <v>0</v>
      </c>
      <c r="X224" s="14">
        <f t="shared" ca="1" si="155"/>
        <v>0</v>
      </c>
      <c r="Y224" s="213">
        <f t="shared" ca="1" si="177"/>
        <v>0</v>
      </c>
      <c r="Z224" s="14">
        <f t="shared" ca="1" si="156"/>
        <v>0</v>
      </c>
      <c r="AA224" s="14">
        <f>IF(AND($H224=pt,$F224=11),SUM($K$7:K224)*VLOOKUP(pt,ROC,2,FALSE),0)</f>
        <v>0</v>
      </c>
      <c r="AB224" s="14">
        <f>IF(AND($H224=pt,$F224=11),SUM($V$7:V224)*VLOOKUP(pt,ROC,2,FALSE),0)</f>
        <v>0</v>
      </c>
      <c r="AC224" s="14">
        <f>IF(AND($H224=pt,$F224=11),SUM($Q$7:Q224)*VLOOKUP(pt,ROC,2,FALSE),0)</f>
        <v>0</v>
      </c>
      <c r="AD224" s="14">
        <f t="shared" ca="1" si="178"/>
        <v>0</v>
      </c>
      <c r="AE224" s="14">
        <f ca="1">(MAX(sa-CF223*Flag_UL_Type,105%*SUM($I$7:I224),Z224)+AU224)*B224</f>
        <v>0</v>
      </c>
      <c r="AF224" s="136"/>
      <c r="AG224" s="18">
        <v>218</v>
      </c>
      <c r="AH224" s="30">
        <f t="shared" ca="1" si="157"/>
        <v>0</v>
      </c>
      <c r="AI224" s="58"/>
      <c r="AJ224" s="50">
        <f>IF(AND(Option_Sys_TopUp&gt;="Y",H224&gt;=sytp,H224&lt;=(dtp+sytp-1),F224=0,H224&lt;=ppt+1),atp,0)+IFERROR(VLOOKUP(H224,Input!$B$55:$C$61,2,0),0)*(F224=0)*(Option_TopUP="Y")*(Option_Sys_TopUp="N")*B224*(pt&gt;=H224+5)</f>
        <v>0</v>
      </c>
      <c r="AK224" s="50">
        <f t="shared" si="158"/>
        <v>0</v>
      </c>
      <c r="AL224" s="50">
        <f t="shared" si="179"/>
        <v>0</v>
      </c>
      <c r="AM224" s="50">
        <f t="shared" ca="1" si="159"/>
        <v>0</v>
      </c>
      <c r="AN224" s="50">
        <f>IF(B224=0,0,AT224*(_rpm1+(1+_emr1)*VLOOKUP(E224,Tab_Mort_Charge,IF(Input!$C$12="M",2,3),0))*(0.001*0.0833)*Flag_Mort_Rider_Charge*(AT224&gt;0))</f>
        <v>0</v>
      </c>
      <c r="AO224" s="50">
        <f t="shared" ca="1" si="180"/>
        <v>0</v>
      </c>
      <c r="AP224" s="50">
        <f t="shared" ca="1" si="187"/>
        <v>0</v>
      </c>
      <c r="AQ224" s="50">
        <f t="shared" ca="1" si="160"/>
        <v>0</v>
      </c>
      <c r="AR224" s="50">
        <f t="shared" ca="1" si="161"/>
        <v>0</v>
      </c>
      <c r="AS224" s="50">
        <f t="shared" si="162"/>
        <v>0</v>
      </c>
      <c r="AT224" s="50">
        <f ca="1">(MAX((MAX(AS224,105%*SUM($AJ$7:AJ224))-AM224*Flag_UL_Type),0)*B224)</f>
        <v>0</v>
      </c>
      <c r="AU224" s="50">
        <f ca="1">(MAX(AS224,AR224,105%*SUM($AJ$7:AJ224))*B224)</f>
        <v>0</v>
      </c>
      <c r="AV224" s="125"/>
      <c r="AW224" s="13"/>
      <c r="AX224" s="13"/>
      <c r="AY224" s="13"/>
      <c r="AZ224" s="13"/>
      <c r="BA224" s="13"/>
      <c r="BG224" s="51">
        <f t="shared" si="163"/>
        <v>0</v>
      </c>
      <c r="BH224" s="51">
        <f t="shared" si="164"/>
        <v>0</v>
      </c>
      <c r="BI224" s="51">
        <f t="shared" ca="1" si="165"/>
        <v>0</v>
      </c>
      <c r="BJ224" s="51">
        <f t="shared" ca="1" si="166"/>
        <v>0</v>
      </c>
      <c r="BK224" s="51">
        <f t="shared" si="167"/>
        <v>0</v>
      </c>
      <c r="BL224" s="51">
        <f t="shared" ca="1" si="168"/>
        <v>0</v>
      </c>
      <c r="BM224" s="51">
        <f t="shared" si="169"/>
        <v>0</v>
      </c>
      <c r="BN224" s="51">
        <f t="shared" si="170"/>
        <v>0</v>
      </c>
      <c r="BO224" s="51">
        <f t="shared" ca="1" si="171"/>
        <v>0</v>
      </c>
      <c r="BP224" s="51">
        <f t="shared" ca="1" si="172"/>
        <v>0</v>
      </c>
      <c r="BQ224" s="120"/>
      <c r="BR224" s="32"/>
      <c r="BS224" s="126"/>
      <c r="BT224" s="16"/>
      <c r="BU224" s="58"/>
      <c r="BW224" s="51">
        <f>VLOOKUP(H224,Charges!$AT$4:$AU$33,2,FALSE)*I224</f>
        <v>0</v>
      </c>
      <c r="BX224" s="51">
        <f t="shared" si="173"/>
        <v>0</v>
      </c>
      <c r="BY224" s="51">
        <f t="shared" si="181"/>
        <v>0</v>
      </c>
      <c r="BZ224" s="151"/>
      <c r="CA224" s="151"/>
      <c r="CB224" s="32"/>
      <c r="CC224" s="16">
        <f ca="1">SUM($N$7:$N224)</f>
        <v>0</v>
      </c>
      <c r="CD224" s="16">
        <f t="shared" ca="1" si="174"/>
        <v>0</v>
      </c>
      <c r="CE224" s="16">
        <f t="shared" ca="1" si="175"/>
        <v>0</v>
      </c>
      <c r="CF224" s="7">
        <f t="shared" ca="1" si="182"/>
        <v>0</v>
      </c>
    </row>
    <row r="225" spans="1:84" s="7" customFormat="1" x14ac:dyDescent="0.2">
      <c r="A225" s="149"/>
      <c r="B225" s="14">
        <f t="shared" si="144"/>
        <v>0</v>
      </c>
      <c r="C225" s="12">
        <f t="shared" si="145"/>
        <v>0</v>
      </c>
      <c r="D225" s="17">
        <f t="shared" si="183"/>
        <v>219</v>
      </c>
      <c r="E225" s="17">
        <f t="shared" ca="1" si="146"/>
        <v>78</v>
      </c>
      <c r="F225" s="12">
        <f t="shared" si="185"/>
        <v>2</v>
      </c>
      <c r="G225" s="12">
        <f t="shared" si="184"/>
        <v>37</v>
      </c>
      <c r="H225" s="17">
        <f t="shared" si="186"/>
        <v>19</v>
      </c>
      <c r="I225" s="29">
        <f t="shared" si="147"/>
        <v>0</v>
      </c>
      <c r="J225" s="211">
        <f>IFERROR(VLOOKUP(H225,Charges!$T$6:$U$35,2,0)*C225,0)</f>
        <v>0</v>
      </c>
      <c r="K225" s="29">
        <f t="shared" si="148"/>
        <v>0</v>
      </c>
      <c r="L225" s="29">
        <f t="shared" si="149"/>
        <v>0</v>
      </c>
      <c r="M225" s="147">
        <f t="shared" ca="1" si="150"/>
        <v>0</v>
      </c>
      <c r="N225" s="148">
        <f ca="1">IF(AND(Option_SPW="Y",H225&gt;=Lock_In_Period,Z224&gt;SPW_Amount_pa+IF(option="Single",1/5*pr,2*pr),H225&gt;=SPW_Start_Year,H225&lt;=SPW_Start_Year+SPW_Duration-1,age+H225&gt;=Legal_Age),IF(AND(F225=0,SPW_Payout_Freq=1),SPW_Amount_pa,IF(AND(SPW_Payout_Freq=2,MOD(F225,6)=0),SPW_Amount_pa/SPW_Payout_Freq,IF(AND(SPW_Payout_Freq=4,MOD(F225,3)=0),SPW_Amount_pa/SPW_Payout_Freq,IF(SPW_Payout_Freq=12,SPW_Amount_pa/SPW_Payout_Freq,0)))),0)+IFERROR(VLOOKUP(H225,Input!$B$68:$C$74,2,0),0)*(F225=0)*(Option_PW="Y")*(Option_SPW="N")*(age+H225&gt;=Legal_Age)</f>
        <v>0</v>
      </c>
      <c r="O225" s="148">
        <f t="shared" ca="1" si="176"/>
        <v>0</v>
      </c>
      <c r="P225" s="14">
        <f ca="1">(MAX(MAX(sa-CF224*Flag_UL_Type,105%*SUM($I$7:I225))-(AD224+L225-N225)*Flag_UL_Type,0)*B225)</f>
        <v>0</v>
      </c>
      <c r="Q225" s="213">
        <f t="shared" si="151"/>
        <v>0</v>
      </c>
      <c r="R225" s="14">
        <f t="shared" ca="1" si="152"/>
        <v>0</v>
      </c>
      <c r="S225" s="14">
        <f t="shared" ca="1" si="153"/>
        <v>0</v>
      </c>
      <c r="T225" s="14">
        <f>IFERROR(IF(WoP_Flag="Y",IF(fq=1,VLOOKUP(ppt*fq-H225,Charges!$AN$41:$AO$59,2,FALSE),IF(fq=2,VLOOKUP(ppt*fq-G225,Charges!$AP$41:$AQ$79,2,FALSE),VLOOKUP(ppt*fq-D225,Charges!$AR$41:$AS$279,2,FALSE)))*pr/fq,0),0)</f>
        <v>0</v>
      </c>
      <c r="U225" s="14">
        <f ca="1">IFERROR(((T225*(VLOOKUP(Input!$D$18+H225-1,Tab_Mort_Charge,IF(Gender_2="M",2,3),FALSE)*(1+_emr2)+_rpm2)/IF(Model_Type="LA_PQIS",1000/0.0833,(12*1000))))*Flag_Mort_Rider_Charge*(T225&gt;0),0)</f>
        <v>0</v>
      </c>
      <c r="V225" s="34">
        <f>ROUND(MIN(IF(H225&gt;=7,Charges!$C$12*(1+Charges!$C$14)^((H225-7+1)),VLOOKUP(H225,Charges!$B$7:$C$12,2,0))*pr,Charges!$C$13)*B225,Round)</f>
        <v>0</v>
      </c>
      <c r="W225" s="14">
        <f t="shared" ca="1" si="154"/>
        <v>0</v>
      </c>
      <c r="X225" s="14">
        <f t="shared" ca="1" si="155"/>
        <v>0</v>
      </c>
      <c r="Y225" s="213">
        <f t="shared" ca="1" si="177"/>
        <v>0</v>
      </c>
      <c r="Z225" s="14">
        <f t="shared" ca="1" si="156"/>
        <v>0</v>
      </c>
      <c r="AA225" s="14">
        <f>IF(AND($H225=pt,$F225=11),SUM($K$7:K225)*VLOOKUP(pt,ROC,2,FALSE),0)</f>
        <v>0</v>
      </c>
      <c r="AB225" s="14">
        <f>IF(AND($H225=pt,$F225=11),SUM($V$7:V225)*VLOOKUP(pt,ROC,2,FALSE),0)</f>
        <v>0</v>
      </c>
      <c r="AC225" s="14">
        <f>IF(AND($H225=pt,$F225=11),SUM($Q$7:Q225)*VLOOKUP(pt,ROC,2,FALSE),0)</f>
        <v>0</v>
      </c>
      <c r="AD225" s="14">
        <f t="shared" ca="1" si="178"/>
        <v>0</v>
      </c>
      <c r="AE225" s="14">
        <f ca="1">(MAX(sa-CF224*Flag_UL_Type,105%*SUM($I$7:I225),Z225)+AU225)*B225</f>
        <v>0</v>
      </c>
      <c r="AF225" s="136"/>
      <c r="AG225" s="18">
        <v>219</v>
      </c>
      <c r="AH225" s="30">
        <f t="shared" ca="1" si="157"/>
        <v>0</v>
      </c>
      <c r="AI225" s="58"/>
      <c r="AJ225" s="50">
        <f>IF(AND(Option_Sys_TopUp&gt;="Y",H225&gt;=sytp,H225&lt;=(dtp+sytp-1),F225=0,H225&lt;=ppt+1),atp,0)+IFERROR(VLOOKUP(H225,Input!$B$55:$C$61,2,0),0)*(F225=0)*(Option_TopUP="Y")*(Option_Sys_TopUp="N")*B225*(pt&gt;=H225+5)</f>
        <v>0</v>
      </c>
      <c r="AK225" s="50">
        <f t="shared" si="158"/>
        <v>0</v>
      </c>
      <c r="AL225" s="50">
        <f t="shared" si="179"/>
        <v>0</v>
      </c>
      <c r="AM225" s="50">
        <f t="shared" ca="1" si="159"/>
        <v>0</v>
      </c>
      <c r="AN225" s="50">
        <f>IF(B225=0,0,AT225*(_rpm1+(1+_emr1)*VLOOKUP(E225,Tab_Mort_Charge,IF(Input!$C$12="M",2,3),0))*(0.001*0.0833)*Flag_Mort_Rider_Charge*(AT225&gt;0))</f>
        <v>0</v>
      </c>
      <c r="AO225" s="50">
        <f t="shared" ca="1" si="180"/>
        <v>0</v>
      </c>
      <c r="AP225" s="50">
        <f t="shared" ca="1" si="187"/>
        <v>0</v>
      </c>
      <c r="AQ225" s="50">
        <f t="shared" ca="1" si="160"/>
        <v>0</v>
      </c>
      <c r="AR225" s="50">
        <f t="shared" ca="1" si="161"/>
        <v>0</v>
      </c>
      <c r="AS225" s="50">
        <f t="shared" si="162"/>
        <v>0</v>
      </c>
      <c r="AT225" s="50">
        <f ca="1">(MAX((MAX(AS225,105%*SUM($AJ$7:AJ225))-AM225*Flag_UL_Type),0)*B225)</f>
        <v>0</v>
      </c>
      <c r="AU225" s="50">
        <f ca="1">(MAX(AS225,AR225,105%*SUM($AJ$7:AJ225))*B225)</f>
        <v>0</v>
      </c>
      <c r="AV225" s="125"/>
      <c r="AW225" s="13"/>
      <c r="AX225" s="13"/>
      <c r="AY225" s="13"/>
      <c r="AZ225" s="13"/>
      <c r="BA225" s="13"/>
      <c r="BG225" s="51">
        <f t="shared" si="163"/>
        <v>0</v>
      </c>
      <c r="BH225" s="51">
        <f t="shared" si="164"/>
        <v>0</v>
      </c>
      <c r="BI225" s="51">
        <f t="shared" ca="1" si="165"/>
        <v>0</v>
      </c>
      <c r="BJ225" s="51">
        <f t="shared" ca="1" si="166"/>
        <v>0</v>
      </c>
      <c r="BK225" s="51">
        <f t="shared" si="167"/>
        <v>0</v>
      </c>
      <c r="BL225" s="51">
        <f t="shared" ca="1" si="168"/>
        <v>0</v>
      </c>
      <c r="BM225" s="51">
        <f t="shared" si="169"/>
        <v>0</v>
      </c>
      <c r="BN225" s="51">
        <f t="shared" si="170"/>
        <v>0</v>
      </c>
      <c r="BO225" s="51">
        <f t="shared" ca="1" si="171"/>
        <v>0</v>
      </c>
      <c r="BP225" s="51">
        <f t="shared" ca="1" si="172"/>
        <v>0</v>
      </c>
      <c r="BQ225" s="120"/>
      <c r="BR225" s="32"/>
      <c r="BS225" s="126"/>
      <c r="BT225" s="16"/>
      <c r="BU225" s="58"/>
      <c r="BW225" s="51">
        <f>VLOOKUP(H225,Charges!$AT$4:$AU$33,2,FALSE)*I225</f>
        <v>0</v>
      </c>
      <c r="BX225" s="51">
        <f t="shared" si="173"/>
        <v>0</v>
      </c>
      <c r="BY225" s="51">
        <f t="shared" si="181"/>
        <v>0</v>
      </c>
      <c r="BZ225" s="151"/>
      <c r="CA225" s="151"/>
      <c r="CB225" s="32"/>
      <c r="CC225" s="16">
        <f ca="1">SUM($N$7:$N225)</f>
        <v>0</v>
      </c>
      <c r="CD225" s="16">
        <f t="shared" ca="1" si="174"/>
        <v>0</v>
      </c>
      <c r="CE225" s="16">
        <f t="shared" ca="1" si="175"/>
        <v>0</v>
      </c>
      <c r="CF225" s="7">
        <f t="shared" ca="1" si="182"/>
        <v>0</v>
      </c>
    </row>
    <row r="226" spans="1:84" s="7" customFormat="1" x14ac:dyDescent="0.2">
      <c r="A226" s="149"/>
      <c r="B226" s="14">
        <f t="shared" si="144"/>
        <v>0</v>
      </c>
      <c r="C226" s="12">
        <f t="shared" si="145"/>
        <v>0</v>
      </c>
      <c r="D226" s="17">
        <f t="shared" si="183"/>
        <v>220</v>
      </c>
      <c r="E226" s="17">
        <f t="shared" ca="1" si="146"/>
        <v>78</v>
      </c>
      <c r="F226" s="12">
        <f t="shared" si="185"/>
        <v>3</v>
      </c>
      <c r="G226" s="12">
        <f t="shared" si="184"/>
        <v>37</v>
      </c>
      <c r="H226" s="17">
        <f t="shared" si="186"/>
        <v>19</v>
      </c>
      <c r="I226" s="29">
        <f t="shared" si="147"/>
        <v>0</v>
      </c>
      <c r="J226" s="211">
        <f>IFERROR(VLOOKUP(H226,Charges!$T$6:$U$35,2,0)*C226,0)</f>
        <v>0</v>
      </c>
      <c r="K226" s="29">
        <f t="shared" si="148"/>
        <v>0</v>
      </c>
      <c r="L226" s="29">
        <f t="shared" si="149"/>
        <v>0</v>
      </c>
      <c r="M226" s="147">
        <f t="shared" ca="1" si="150"/>
        <v>0</v>
      </c>
      <c r="N226" s="148">
        <f ca="1">IF(AND(Option_SPW="Y",H226&gt;=Lock_In_Period,Z225&gt;SPW_Amount_pa+IF(option="Single",1/5*pr,2*pr),H226&gt;=SPW_Start_Year,H226&lt;=SPW_Start_Year+SPW_Duration-1,age+H226&gt;=Legal_Age),IF(AND(F226=0,SPW_Payout_Freq=1),SPW_Amount_pa,IF(AND(SPW_Payout_Freq=2,MOD(F226,6)=0),SPW_Amount_pa/SPW_Payout_Freq,IF(AND(SPW_Payout_Freq=4,MOD(F226,3)=0),SPW_Amount_pa/SPW_Payout_Freq,IF(SPW_Payout_Freq=12,SPW_Amount_pa/SPW_Payout_Freq,0)))),0)+IFERROR(VLOOKUP(H226,Input!$B$68:$C$74,2,0),0)*(F226=0)*(Option_PW="Y")*(Option_SPW="N")*(age+H226&gt;=Legal_Age)</f>
        <v>0</v>
      </c>
      <c r="O226" s="148">
        <f t="shared" ca="1" si="176"/>
        <v>0</v>
      </c>
      <c r="P226" s="14">
        <f ca="1">(MAX(MAX(sa-CF225*Flag_UL_Type,105%*SUM($I$7:I226))-(AD225+L226-N226)*Flag_UL_Type,0)*B226)</f>
        <v>0</v>
      </c>
      <c r="Q226" s="213">
        <f t="shared" si="151"/>
        <v>0</v>
      </c>
      <c r="R226" s="14">
        <f t="shared" ca="1" si="152"/>
        <v>0</v>
      </c>
      <c r="S226" s="14">
        <f t="shared" ca="1" si="153"/>
        <v>0</v>
      </c>
      <c r="T226" s="14">
        <f>IFERROR(IF(WoP_Flag="Y",IF(fq=1,VLOOKUP(ppt*fq-H226,Charges!$AN$41:$AO$59,2,FALSE),IF(fq=2,VLOOKUP(ppt*fq-G226,Charges!$AP$41:$AQ$79,2,FALSE),VLOOKUP(ppt*fq-D226,Charges!$AR$41:$AS$279,2,FALSE)))*pr/fq,0),0)</f>
        <v>0</v>
      </c>
      <c r="U226" s="14">
        <f ca="1">IFERROR(((T226*(VLOOKUP(Input!$D$18+H226-1,Tab_Mort_Charge,IF(Gender_2="M",2,3),FALSE)*(1+_emr2)+_rpm2)/IF(Model_Type="LA_PQIS",1000/0.0833,(12*1000))))*Flag_Mort_Rider_Charge*(T226&gt;0),0)</f>
        <v>0</v>
      </c>
      <c r="V226" s="34">
        <f>ROUND(MIN(IF(H226&gt;=7,Charges!$C$12*(1+Charges!$C$14)^((H226-7+1)),VLOOKUP(H226,Charges!$B$7:$C$12,2,0))*pr,Charges!$C$13)*B226,Round)</f>
        <v>0</v>
      </c>
      <c r="W226" s="14">
        <f t="shared" ca="1" si="154"/>
        <v>0</v>
      </c>
      <c r="X226" s="14">
        <f t="shared" ca="1" si="155"/>
        <v>0</v>
      </c>
      <c r="Y226" s="213">
        <f t="shared" ca="1" si="177"/>
        <v>0</v>
      </c>
      <c r="Z226" s="14">
        <f t="shared" ca="1" si="156"/>
        <v>0</v>
      </c>
      <c r="AA226" s="14">
        <f>IF(AND($H226=pt,$F226=11),SUM($K$7:K226)*VLOOKUP(pt,ROC,2,FALSE),0)</f>
        <v>0</v>
      </c>
      <c r="AB226" s="14">
        <f>IF(AND($H226=pt,$F226=11),SUM($V$7:V226)*VLOOKUP(pt,ROC,2,FALSE),0)</f>
        <v>0</v>
      </c>
      <c r="AC226" s="14">
        <f>IF(AND($H226=pt,$F226=11),SUM($Q$7:Q226)*VLOOKUP(pt,ROC,2,FALSE),0)</f>
        <v>0</v>
      </c>
      <c r="AD226" s="14">
        <f t="shared" ca="1" si="178"/>
        <v>0</v>
      </c>
      <c r="AE226" s="14">
        <f ca="1">(MAX(sa-CF225*Flag_UL_Type,105%*SUM($I$7:I226),Z226)+AU226)*B226</f>
        <v>0</v>
      </c>
      <c r="AF226" s="136"/>
      <c r="AG226" s="18">
        <v>220</v>
      </c>
      <c r="AH226" s="30">
        <f t="shared" ca="1" si="157"/>
        <v>0</v>
      </c>
      <c r="AI226" s="58"/>
      <c r="AJ226" s="50">
        <f>IF(AND(Option_Sys_TopUp&gt;="Y",H226&gt;=sytp,H226&lt;=(dtp+sytp-1),F226=0,H226&lt;=ppt+1),atp,0)+IFERROR(VLOOKUP(H226,Input!$B$55:$C$61,2,0),0)*(F226=0)*(Option_TopUP="Y")*(Option_Sys_TopUp="N")*B226*(pt&gt;=H226+5)</f>
        <v>0</v>
      </c>
      <c r="AK226" s="50">
        <f t="shared" si="158"/>
        <v>0</v>
      </c>
      <c r="AL226" s="50">
        <f t="shared" si="179"/>
        <v>0</v>
      </c>
      <c r="AM226" s="50">
        <f t="shared" ca="1" si="159"/>
        <v>0</v>
      </c>
      <c r="AN226" s="50">
        <f>IF(B226=0,0,AT226*(_rpm1+(1+_emr1)*VLOOKUP(E226,Tab_Mort_Charge,IF(Input!$C$12="M",2,3),0))*(0.001*0.0833)*Flag_Mort_Rider_Charge*(AT226&gt;0))</f>
        <v>0</v>
      </c>
      <c r="AO226" s="50">
        <f t="shared" ca="1" si="180"/>
        <v>0</v>
      </c>
      <c r="AP226" s="50">
        <f t="shared" ca="1" si="187"/>
        <v>0</v>
      </c>
      <c r="AQ226" s="50">
        <f t="shared" ca="1" si="160"/>
        <v>0</v>
      </c>
      <c r="AR226" s="50">
        <f t="shared" ca="1" si="161"/>
        <v>0</v>
      </c>
      <c r="AS226" s="50">
        <f t="shared" si="162"/>
        <v>0</v>
      </c>
      <c r="AT226" s="50">
        <f ca="1">(MAX((MAX(AS226,105%*SUM($AJ$7:AJ226))-AM226*Flag_UL_Type),0)*B226)</f>
        <v>0</v>
      </c>
      <c r="AU226" s="50">
        <f ca="1">(MAX(AS226,AR226,105%*SUM($AJ$7:AJ226))*B226)</f>
        <v>0</v>
      </c>
      <c r="AV226" s="125"/>
      <c r="AW226" s="13"/>
      <c r="AX226" s="13"/>
      <c r="AY226" s="13"/>
      <c r="AZ226" s="13"/>
      <c r="BA226" s="13"/>
      <c r="BG226" s="51">
        <f t="shared" si="163"/>
        <v>0</v>
      </c>
      <c r="BH226" s="51">
        <f t="shared" si="164"/>
        <v>0</v>
      </c>
      <c r="BI226" s="51">
        <f t="shared" ca="1" si="165"/>
        <v>0</v>
      </c>
      <c r="BJ226" s="51">
        <f t="shared" ca="1" si="166"/>
        <v>0</v>
      </c>
      <c r="BK226" s="51">
        <f t="shared" si="167"/>
        <v>0</v>
      </c>
      <c r="BL226" s="51">
        <f t="shared" ca="1" si="168"/>
        <v>0</v>
      </c>
      <c r="BM226" s="51">
        <f t="shared" si="169"/>
        <v>0</v>
      </c>
      <c r="BN226" s="51">
        <f t="shared" si="170"/>
        <v>0</v>
      </c>
      <c r="BO226" s="51">
        <f t="shared" ca="1" si="171"/>
        <v>0</v>
      </c>
      <c r="BP226" s="51">
        <f t="shared" ca="1" si="172"/>
        <v>0</v>
      </c>
      <c r="BQ226" s="120"/>
      <c r="BR226" s="32"/>
      <c r="BS226" s="126"/>
      <c r="BT226" s="16"/>
      <c r="BU226" s="58"/>
      <c r="BW226" s="51">
        <f>VLOOKUP(H226,Charges!$AT$4:$AU$33,2,FALSE)*I226</f>
        <v>0</v>
      </c>
      <c r="BX226" s="51">
        <f t="shared" si="173"/>
        <v>0</v>
      </c>
      <c r="BY226" s="51">
        <f t="shared" si="181"/>
        <v>0</v>
      </c>
      <c r="BZ226" s="151"/>
      <c r="CA226" s="151"/>
      <c r="CB226" s="32"/>
      <c r="CC226" s="16">
        <f ca="1">SUM($N$7:$N226)</f>
        <v>0</v>
      </c>
      <c r="CD226" s="16">
        <f t="shared" ca="1" si="174"/>
        <v>0</v>
      </c>
      <c r="CE226" s="16">
        <f t="shared" ca="1" si="175"/>
        <v>0</v>
      </c>
      <c r="CF226" s="7">
        <f t="shared" ca="1" si="182"/>
        <v>0</v>
      </c>
    </row>
    <row r="227" spans="1:84" s="7" customFormat="1" x14ac:dyDescent="0.2">
      <c r="A227" s="149"/>
      <c r="B227" s="14">
        <f t="shared" si="144"/>
        <v>0</v>
      </c>
      <c r="C227" s="12">
        <f t="shared" si="145"/>
        <v>0</v>
      </c>
      <c r="D227" s="17">
        <f t="shared" si="183"/>
        <v>221</v>
      </c>
      <c r="E227" s="17">
        <f t="shared" ca="1" si="146"/>
        <v>78</v>
      </c>
      <c r="F227" s="12">
        <f t="shared" si="185"/>
        <v>4</v>
      </c>
      <c r="G227" s="12">
        <f t="shared" si="184"/>
        <v>37</v>
      </c>
      <c r="H227" s="17">
        <f t="shared" si="186"/>
        <v>19</v>
      </c>
      <c r="I227" s="29">
        <f t="shared" si="147"/>
        <v>0</v>
      </c>
      <c r="J227" s="211">
        <f>IFERROR(VLOOKUP(H227,Charges!$T$6:$U$35,2,0)*C227,0)</f>
        <v>0</v>
      </c>
      <c r="K227" s="29">
        <f t="shared" si="148"/>
        <v>0</v>
      </c>
      <c r="L227" s="29">
        <f t="shared" si="149"/>
        <v>0</v>
      </c>
      <c r="M227" s="147">
        <f t="shared" ca="1" si="150"/>
        <v>0</v>
      </c>
      <c r="N227" s="148">
        <f ca="1">IF(AND(Option_SPW="Y",H227&gt;=Lock_In_Period,Z226&gt;SPW_Amount_pa+IF(option="Single",1/5*pr,2*pr),H227&gt;=SPW_Start_Year,H227&lt;=SPW_Start_Year+SPW_Duration-1,age+H227&gt;=Legal_Age),IF(AND(F227=0,SPW_Payout_Freq=1),SPW_Amount_pa,IF(AND(SPW_Payout_Freq=2,MOD(F227,6)=0),SPW_Amount_pa/SPW_Payout_Freq,IF(AND(SPW_Payout_Freq=4,MOD(F227,3)=0),SPW_Amount_pa/SPW_Payout_Freq,IF(SPW_Payout_Freq=12,SPW_Amount_pa/SPW_Payout_Freq,0)))),0)+IFERROR(VLOOKUP(H227,Input!$B$68:$C$74,2,0),0)*(F227=0)*(Option_PW="Y")*(Option_SPW="N")*(age+H227&gt;=Legal_Age)</f>
        <v>0</v>
      </c>
      <c r="O227" s="148">
        <f t="shared" ca="1" si="176"/>
        <v>0</v>
      </c>
      <c r="P227" s="14">
        <f ca="1">(MAX(MAX(sa-CF226*Flag_UL_Type,105%*SUM($I$7:I227))-(AD226+L227-N227)*Flag_UL_Type,0)*B227)</f>
        <v>0</v>
      </c>
      <c r="Q227" s="213">
        <f t="shared" si="151"/>
        <v>0</v>
      </c>
      <c r="R227" s="14">
        <f t="shared" ca="1" si="152"/>
        <v>0</v>
      </c>
      <c r="S227" s="14">
        <f t="shared" ca="1" si="153"/>
        <v>0</v>
      </c>
      <c r="T227" s="14">
        <f>IFERROR(IF(WoP_Flag="Y",IF(fq=1,VLOOKUP(ppt*fq-H227,Charges!$AN$41:$AO$59,2,FALSE),IF(fq=2,VLOOKUP(ppt*fq-G227,Charges!$AP$41:$AQ$79,2,FALSE),VLOOKUP(ppt*fq-D227,Charges!$AR$41:$AS$279,2,FALSE)))*pr/fq,0),0)</f>
        <v>0</v>
      </c>
      <c r="U227" s="14">
        <f ca="1">IFERROR(((T227*(VLOOKUP(Input!$D$18+H227-1,Tab_Mort_Charge,IF(Gender_2="M",2,3),FALSE)*(1+_emr2)+_rpm2)/IF(Model_Type="LA_PQIS",1000/0.0833,(12*1000))))*Flag_Mort_Rider_Charge*(T227&gt;0),0)</f>
        <v>0</v>
      </c>
      <c r="V227" s="34">
        <f>ROUND(MIN(IF(H227&gt;=7,Charges!$C$12*(1+Charges!$C$14)^((H227-7+1)),VLOOKUP(H227,Charges!$B$7:$C$12,2,0))*pr,Charges!$C$13)*B227,Round)</f>
        <v>0</v>
      </c>
      <c r="W227" s="14">
        <f t="shared" ca="1" si="154"/>
        <v>0</v>
      </c>
      <c r="X227" s="14">
        <f t="shared" ca="1" si="155"/>
        <v>0</v>
      </c>
      <c r="Y227" s="213">
        <f t="shared" ca="1" si="177"/>
        <v>0</v>
      </c>
      <c r="Z227" s="14">
        <f t="shared" ca="1" si="156"/>
        <v>0</v>
      </c>
      <c r="AA227" s="14">
        <f>IF(AND($H227=pt,$F227=11),SUM($K$7:K227)*VLOOKUP(pt,ROC,2,FALSE),0)</f>
        <v>0</v>
      </c>
      <c r="AB227" s="14">
        <f>IF(AND($H227=pt,$F227=11),SUM($V$7:V227)*VLOOKUP(pt,ROC,2,FALSE),0)</f>
        <v>0</v>
      </c>
      <c r="AC227" s="14">
        <f>IF(AND($H227=pt,$F227=11),SUM($Q$7:Q227)*VLOOKUP(pt,ROC,2,FALSE),0)</f>
        <v>0</v>
      </c>
      <c r="AD227" s="14">
        <f t="shared" ca="1" si="178"/>
        <v>0</v>
      </c>
      <c r="AE227" s="14">
        <f ca="1">(MAX(sa-CF226*Flag_UL_Type,105%*SUM($I$7:I227),Z227)+AU227)*B227</f>
        <v>0</v>
      </c>
      <c r="AF227" s="136"/>
      <c r="AG227" s="18">
        <v>221</v>
      </c>
      <c r="AH227" s="30">
        <f t="shared" ca="1" si="157"/>
        <v>0</v>
      </c>
      <c r="AI227" s="58"/>
      <c r="AJ227" s="50">
        <f>IF(AND(Option_Sys_TopUp&gt;="Y",H227&gt;=sytp,H227&lt;=(dtp+sytp-1),F227=0,H227&lt;=ppt+1),atp,0)+IFERROR(VLOOKUP(H227,Input!$B$55:$C$61,2,0),0)*(F227=0)*(Option_TopUP="Y")*(Option_Sys_TopUp="N")*B227*(pt&gt;=H227+5)</f>
        <v>0</v>
      </c>
      <c r="AK227" s="50">
        <f t="shared" si="158"/>
        <v>0</v>
      </c>
      <c r="AL227" s="50">
        <f t="shared" si="179"/>
        <v>0</v>
      </c>
      <c r="AM227" s="50">
        <f t="shared" ca="1" si="159"/>
        <v>0</v>
      </c>
      <c r="AN227" s="50">
        <f>IF(B227=0,0,AT227*(_rpm1+(1+_emr1)*VLOOKUP(E227,Tab_Mort_Charge,IF(Input!$C$12="M",2,3),0))*(0.001*0.0833)*Flag_Mort_Rider_Charge*(AT227&gt;0))</f>
        <v>0</v>
      </c>
      <c r="AO227" s="50">
        <f t="shared" ca="1" si="180"/>
        <v>0</v>
      </c>
      <c r="AP227" s="50">
        <f t="shared" ca="1" si="187"/>
        <v>0</v>
      </c>
      <c r="AQ227" s="50">
        <f t="shared" ca="1" si="160"/>
        <v>0</v>
      </c>
      <c r="AR227" s="50">
        <f t="shared" ca="1" si="161"/>
        <v>0</v>
      </c>
      <c r="AS227" s="50">
        <f t="shared" si="162"/>
        <v>0</v>
      </c>
      <c r="AT227" s="50">
        <f ca="1">(MAX((MAX(AS227,105%*SUM($AJ$7:AJ227))-AM227*Flag_UL_Type),0)*B227)</f>
        <v>0</v>
      </c>
      <c r="AU227" s="50">
        <f ca="1">(MAX(AS227,AR227,105%*SUM($AJ$7:AJ227))*B227)</f>
        <v>0</v>
      </c>
      <c r="AV227" s="125"/>
      <c r="AW227" s="13"/>
      <c r="AX227" s="13"/>
      <c r="AY227" s="13"/>
      <c r="AZ227" s="13"/>
      <c r="BA227" s="13"/>
      <c r="BG227" s="51">
        <f t="shared" si="163"/>
        <v>0</v>
      </c>
      <c r="BH227" s="51">
        <f t="shared" si="164"/>
        <v>0</v>
      </c>
      <c r="BI227" s="51">
        <f t="shared" ca="1" si="165"/>
        <v>0</v>
      </c>
      <c r="BJ227" s="51">
        <f t="shared" ca="1" si="166"/>
        <v>0</v>
      </c>
      <c r="BK227" s="51">
        <f t="shared" si="167"/>
        <v>0</v>
      </c>
      <c r="BL227" s="51">
        <f t="shared" ca="1" si="168"/>
        <v>0</v>
      </c>
      <c r="BM227" s="51">
        <f t="shared" si="169"/>
        <v>0</v>
      </c>
      <c r="BN227" s="51">
        <f t="shared" si="170"/>
        <v>0</v>
      </c>
      <c r="BO227" s="51">
        <f t="shared" ca="1" si="171"/>
        <v>0</v>
      </c>
      <c r="BP227" s="51">
        <f t="shared" ca="1" si="172"/>
        <v>0</v>
      </c>
      <c r="BQ227" s="120"/>
      <c r="BR227" s="32"/>
      <c r="BS227" s="126"/>
      <c r="BT227" s="16"/>
      <c r="BU227" s="58"/>
      <c r="BW227" s="51">
        <f>VLOOKUP(H227,Charges!$AT$4:$AU$33,2,FALSE)*I227</f>
        <v>0</v>
      </c>
      <c r="BX227" s="51">
        <f t="shared" si="173"/>
        <v>0</v>
      </c>
      <c r="BY227" s="51">
        <f t="shared" si="181"/>
        <v>0</v>
      </c>
      <c r="BZ227" s="151"/>
      <c r="CA227" s="151"/>
      <c r="CB227" s="32"/>
      <c r="CC227" s="16">
        <f ca="1">SUM($N$7:$N227)</f>
        <v>0</v>
      </c>
      <c r="CD227" s="16">
        <f t="shared" ca="1" si="174"/>
        <v>0</v>
      </c>
      <c r="CE227" s="16">
        <f t="shared" ca="1" si="175"/>
        <v>0</v>
      </c>
      <c r="CF227" s="7">
        <f t="shared" ca="1" si="182"/>
        <v>0</v>
      </c>
    </row>
    <row r="228" spans="1:84" s="7" customFormat="1" x14ac:dyDescent="0.2">
      <c r="A228" s="149"/>
      <c r="B228" s="14">
        <f t="shared" si="144"/>
        <v>0</v>
      </c>
      <c r="C228" s="12">
        <f t="shared" si="145"/>
        <v>0</v>
      </c>
      <c r="D228" s="17">
        <f t="shared" si="183"/>
        <v>222</v>
      </c>
      <c r="E228" s="17">
        <f t="shared" ca="1" si="146"/>
        <v>78</v>
      </c>
      <c r="F228" s="12">
        <f t="shared" si="185"/>
        <v>5</v>
      </c>
      <c r="G228" s="12">
        <f t="shared" si="184"/>
        <v>37</v>
      </c>
      <c r="H228" s="17">
        <f t="shared" si="186"/>
        <v>19</v>
      </c>
      <c r="I228" s="29">
        <f t="shared" si="147"/>
        <v>0</v>
      </c>
      <c r="J228" s="211">
        <f>IFERROR(VLOOKUP(H228,Charges!$T$6:$U$35,2,0)*C228,0)</f>
        <v>0</v>
      </c>
      <c r="K228" s="29">
        <f t="shared" si="148"/>
        <v>0</v>
      </c>
      <c r="L228" s="29">
        <f t="shared" si="149"/>
        <v>0</v>
      </c>
      <c r="M228" s="147">
        <f t="shared" ca="1" si="150"/>
        <v>0</v>
      </c>
      <c r="N228" s="148">
        <f ca="1">IF(AND(Option_SPW="Y",H228&gt;=Lock_In_Period,Z227&gt;SPW_Amount_pa+IF(option="Single",1/5*pr,2*pr),H228&gt;=SPW_Start_Year,H228&lt;=SPW_Start_Year+SPW_Duration-1,age+H228&gt;=Legal_Age),IF(AND(F228=0,SPW_Payout_Freq=1),SPW_Amount_pa,IF(AND(SPW_Payout_Freq=2,MOD(F228,6)=0),SPW_Amount_pa/SPW_Payout_Freq,IF(AND(SPW_Payout_Freq=4,MOD(F228,3)=0),SPW_Amount_pa/SPW_Payout_Freq,IF(SPW_Payout_Freq=12,SPW_Amount_pa/SPW_Payout_Freq,0)))),0)+IFERROR(VLOOKUP(H228,Input!$B$68:$C$74,2,0),0)*(F228=0)*(Option_PW="Y")*(Option_SPW="N")*(age+H228&gt;=Legal_Age)</f>
        <v>0</v>
      </c>
      <c r="O228" s="148">
        <f t="shared" ca="1" si="176"/>
        <v>0</v>
      </c>
      <c r="P228" s="14">
        <f ca="1">(MAX(MAX(sa-CF227*Flag_UL_Type,105%*SUM($I$7:I228))-(AD227+L228-N228)*Flag_UL_Type,0)*B228)</f>
        <v>0</v>
      </c>
      <c r="Q228" s="213">
        <f t="shared" si="151"/>
        <v>0</v>
      </c>
      <c r="R228" s="14">
        <f t="shared" ca="1" si="152"/>
        <v>0</v>
      </c>
      <c r="S228" s="14">
        <f t="shared" ca="1" si="153"/>
        <v>0</v>
      </c>
      <c r="T228" s="14">
        <f>IFERROR(IF(WoP_Flag="Y",IF(fq=1,VLOOKUP(ppt*fq-H228,Charges!$AN$41:$AO$59,2,FALSE),IF(fq=2,VLOOKUP(ppt*fq-G228,Charges!$AP$41:$AQ$79,2,FALSE),VLOOKUP(ppt*fq-D228,Charges!$AR$41:$AS$279,2,FALSE)))*pr/fq,0),0)</f>
        <v>0</v>
      </c>
      <c r="U228" s="14">
        <f ca="1">IFERROR(((T228*(VLOOKUP(Input!$D$18+H228-1,Tab_Mort_Charge,IF(Gender_2="M",2,3),FALSE)*(1+_emr2)+_rpm2)/IF(Model_Type="LA_PQIS",1000/0.0833,(12*1000))))*Flag_Mort_Rider_Charge*(T228&gt;0),0)</f>
        <v>0</v>
      </c>
      <c r="V228" s="34">
        <f>ROUND(MIN(IF(H228&gt;=7,Charges!$C$12*(1+Charges!$C$14)^((H228-7+1)),VLOOKUP(H228,Charges!$B$7:$C$12,2,0))*pr,Charges!$C$13)*B228,Round)</f>
        <v>0</v>
      </c>
      <c r="W228" s="14">
        <f t="shared" ca="1" si="154"/>
        <v>0</v>
      </c>
      <c r="X228" s="14">
        <f t="shared" ca="1" si="155"/>
        <v>0</v>
      </c>
      <c r="Y228" s="213">
        <f t="shared" ca="1" si="177"/>
        <v>0</v>
      </c>
      <c r="Z228" s="14">
        <f t="shared" ca="1" si="156"/>
        <v>0</v>
      </c>
      <c r="AA228" s="14">
        <f>IF(AND($H228=pt,$F228=11),SUM($K$7:K228)*VLOOKUP(pt,ROC,2,FALSE),0)</f>
        <v>0</v>
      </c>
      <c r="AB228" s="14">
        <f>IF(AND($H228=pt,$F228=11),SUM($V$7:V228)*VLOOKUP(pt,ROC,2,FALSE),0)</f>
        <v>0</v>
      </c>
      <c r="AC228" s="14">
        <f>IF(AND($H228=pt,$F228=11),SUM($Q$7:Q228)*VLOOKUP(pt,ROC,2,FALSE),0)</f>
        <v>0</v>
      </c>
      <c r="AD228" s="14">
        <f t="shared" ca="1" si="178"/>
        <v>0</v>
      </c>
      <c r="AE228" s="14">
        <f ca="1">(MAX(sa-CF227*Flag_UL_Type,105%*SUM($I$7:I228),Z228)+AU228)*B228</f>
        <v>0</v>
      </c>
      <c r="AF228" s="136"/>
      <c r="AG228" s="18">
        <v>222</v>
      </c>
      <c r="AH228" s="30">
        <f t="shared" ca="1" si="157"/>
        <v>0</v>
      </c>
      <c r="AI228" s="58"/>
      <c r="AJ228" s="50">
        <f>IF(AND(Option_Sys_TopUp&gt;="Y",H228&gt;=sytp,H228&lt;=(dtp+sytp-1),F228=0,H228&lt;=ppt+1),atp,0)+IFERROR(VLOOKUP(H228,Input!$B$55:$C$61,2,0),0)*(F228=0)*(Option_TopUP="Y")*(Option_Sys_TopUp="N")*B228*(pt&gt;=H228+5)</f>
        <v>0</v>
      </c>
      <c r="AK228" s="50">
        <f t="shared" si="158"/>
        <v>0</v>
      </c>
      <c r="AL228" s="50">
        <f t="shared" si="179"/>
        <v>0</v>
      </c>
      <c r="AM228" s="50">
        <f t="shared" ca="1" si="159"/>
        <v>0</v>
      </c>
      <c r="AN228" s="50">
        <f>IF(B228=0,0,AT228*(_rpm1+(1+_emr1)*VLOOKUP(E228,Tab_Mort_Charge,IF(Input!$C$12="M",2,3),0))*(0.001*0.0833)*Flag_Mort_Rider_Charge*(AT228&gt;0))</f>
        <v>0</v>
      </c>
      <c r="AO228" s="50">
        <f t="shared" ca="1" si="180"/>
        <v>0</v>
      </c>
      <c r="AP228" s="50">
        <f t="shared" ca="1" si="187"/>
        <v>0</v>
      </c>
      <c r="AQ228" s="50">
        <f t="shared" ca="1" si="160"/>
        <v>0</v>
      </c>
      <c r="AR228" s="50">
        <f t="shared" ca="1" si="161"/>
        <v>0</v>
      </c>
      <c r="AS228" s="50">
        <f t="shared" si="162"/>
        <v>0</v>
      </c>
      <c r="AT228" s="50">
        <f ca="1">(MAX((MAX(AS228,105%*SUM($AJ$7:AJ228))-AM228*Flag_UL_Type),0)*B228)</f>
        <v>0</v>
      </c>
      <c r="AU228" s="50">
        <f ca="1">(MAX(AS228,AR228,105%*SUM($AJ$7:AJ228))*B228)</f>
        <v>0</v>
      </c>
      <c r="AV228" s="125"/>
      <c r="AW228" s="13"/>
      <c r="AX228" s="13"/>
      <c r="AY228" s="13"/>
      <c r="AZ228" s="13"/>
      <c r="BA228" s="13"/>
      <c r="BG228" s="51">
        <f t="shared" si="163"/>
        <v>0</v>
      </c>
      <c r="BH228" s="51">
        <f t="shared" si="164"/>
        <v>0</v>
      </c>
      <c r="BI228" s="51">
        <f t="shared" ca="1" si="165"/>
        <v>0</v>
      </c>
      <c r="BJ228" s="51">
        <f t="shared" ca="1" si="166"/>
        <v>0</v>
      </c>
      <c r="BK228" s="51">
        <f t="shared" si="167"/>
        <v>0</v>
      </c>
      <c r="BL228" s="51">
        <f t="shared" ca="1" si="168"/>
        <v>0</v>
      </c>
      <c r="BM228" s="51">
        <f t="shared" si="169"/>
        <v>0</v>
      </c>
      <c r="BN228" s="51">
        <f t="shared" si="170"/>
        <v>0</v>
      </c>
      <c r="BO228" s="51">
        <f t="shared" ca="1" si="171"/>
        <v>0</v>
      </c>
      <c r="BP228" s="51">
        <f t="shared" ca="1" si="172"/>
        <v>0</v>
      </c>
      <c r="BQ228" s="120"/>
      <c r="BR228" s="32"/>
      <c r="BS228" s="126"/>
      <c r="BT228" s="16"/>
      <c r="BU228" s="58"/>
      <c r="BW228" s="51">
        <f>VLOOKUP(H228,Charges!$AT$4:$AU$33,2,FALSE)*I228</f>
        <v>0</v>
      </c>
      <c r="BX228" s="51">
        <f t="shared" si="173"/>
        <v>0</v>
      </c>
      <c r="BY228" s="51">
        <f t="shared" si="181"/>
        <v>0</v>
      </c>
      <c r="BZ228" s="151"/>
      <c r="CA228" s="151"/>
      <c r="CB228" s="32"/>
      <c r="CC228" s="16">
        <f ca="1">SUM($N$7:$N228)</f>
        <v>0</v>
      </c>
      <c r="CD228" s="16">
        <f t="shared" ca="1" si="174"/>
        <v>0</v>
      </c>
      <c r="CE228" s="16">
        <f t="shared" ca="1" si="175"/>
        <v>0</v>
      </c>
      <c r="CF228" s="7">
        <f t="shared" ca="1" si="182"/>
        <v>0</v>
      </c>
    </row>
    <row r="229" spans="1:84" s="7" customFormat="1" x14ac:dyDescent="0.2">
      <c r="A229" s="149"/>
      <c r="B229" s="14">
        <f t="shared" si="144"/>
        <v>0</v>
      </c>
      <c r="C229" s="12">
        <f t="shared" si="145"/>
        <v>0</v>
      </c>
      <c r="D229" s="17">
        <f t="shared" si="183"/>
        <v>223</v>
      </c>
      <c r="E229" s="17">
        <f t="shared" ca="1" si="146"/>
        <v>78</v>
      </c>
      <c r="F229" s="12">
        <f t="shared" si="185"/>
        <v>6</v>
      </c>
      <c r="G229" s="12">
        <f t="shared" si="184"/>
        <v>38</v>
      </c>
      <c r="H229" s="17">
        <f t="shared" si="186"/>
        <v>19</v>
      </c>
      <c r="I229" s="29">
        <f t="shared" si="147"/>
        <v>0</v>
      </c>
      <c r="J229" s="211">
        <f>IFERROR(VLOOKUP(H229,Charges!$T$6:$U$35,2,0)*C229,0)</f>
        <v>0</v>
      </c>
      <c r="K229" s="29">
        <f t="shared" si="148"/>
        <v>0</v>
      </c>
      <c r="L229" s="29">
        <f t="shared" si="149"/>
        <v>0</v>
      </c>
      <c r="M229" s="147">
        <f t="shared" ca="1" si="150"/>
        <v>0</v>
      </c>
      <c r="N229" s="148">
        <f ca="1">IF(AND(Option_SPW="Y",H229&gt;=Lock_In_Period,Z228&gt;SPW_Amount_pa+IF(option="Single",1/5*pr,2*pr),H229&gt;=SPW_Start_Year,H229&lt;=SPW_Start_Year+SPW_Duration-1,age+H229&gt;=Legal_Age),IF(AND(F229=0,SPW_Payout_Freq=1),SPW_Amount_pa,IF(AND(SPW_Payout_Freq=2,MOD(F229,6)=0),SPW_Amount_pa/SPW_Payout_Freq,IF(AND(SPW_Payout_Freq=4,MOD(F229,3)=0),SPW_Amount_pa/SPW_Payout_Freq,IF(SPW_Payout_Freq=12,SPW_Amount_pa/SPW_Payout_Freq,0)))),0)+IFERROR(VLOOKUP(H229,Input!$B$68:$C$74,2,0),0)*(F229=0)*(Option_PW="Y")*(Option_SPW="N")*(age+H229&gt;=Legal_Age)</f>
        <v>0</v>
      </c>
      <c r="O229" s="148">
        <f t="shared" ca="1" si="176"/>
        <v>0</v>
      </c>
      <c r="P229" s="14">
        <f ca="1">(MAX(MAX(sa-CF228*Flag_UL_Type,105%*SUM($I$7:I229))-(AD228+L229-N229)*Flag_UL_Type,0)*B229)</f>
        <v>0</v>
      </c>
      <c r="Q229" s="213">
        <f t="shared" si="151"/>
        <v>0</v>
      </c>
      <c r="R229" s="14">
        <f t="shared" ca="1" si="152"/>
        <v>0</v>
      </c>
      <c r="S229" s="14">
        <f t="shared" ca="1" si="153"/>
        <v>0</v>
      </c>
      <c r="T229" s="14">
        <f>IFERROR(IF(WoP_Flag="Y",IF(fq=1,VLOOKUP(ppt*fq-H229,Charges!$AN$41:$AO$59,2,FALSE),IF(fq=2,VLOOKUP(ppt*fq-G229,Charges!$AP$41:$AQ$79,2,FALSE),VLOOKUP(ppt*fq-D229,Charges!$AR$41:$AS$279,2,FALSE)))*pr/fq,0),0)</f>
        <v>0</v>
      </c>
      <c r="U229" s="14">
        <f ca="1">IFERROR(((T229*(VLOOKUP(Input!$D$18+H229-1,Tab_Mort_Charge,IF(Gender_2="M",2,3),FALSE)*(1+_emr2)+_rpm2)/IF(Model_Type="LA_PQIS",1000/0.0833,(12*1000))))*Flag_Mort_Rider_Charge*(T229&gt;0),0)</f>
        <v>0</v>
      </c>
      <c r="V229" s="34">
        <f>ROUND(MIN(IF(H229&gt;=7,Charges!$C$12*(1+Charges!$C$14)^((H229-7+1)),VLOOKUP(H229,Charges!$B$7:$C$12,2,0))*pr,Charges!$C$13)*B229,Round)</f>
        <v>0</v>
      </c>
      <c r="W229" s="14">
        <f t="shared" ca="1" si="154"/>
        <v>0</v>
      </c>
      <c r="X229" s="14">
        <f t="shared" ca="1" si="155"/>
        <v>0</v>
      </c>
      <c r="Y229" s="213">
        <f t="shared" ca="1" si="177"/>
        <v>0</v>
      </c>
      <c r="Z229" s="14">
        <f t="shared" ca="1" si="156"/>
        <v>0</v>
      </c>
      <c r="AA229" s="14">
        <f>IF(AND($H229=pt,$F229=11),SUM($K$7:K229)*VLOOKUP(pt,ROC,2,FALSE),0)</f>
        <v>0</v>
      </c>
      <c r="AB229" s="14">
        <f>IF(AND($H229=pt,$F229=11),SUM($V$7:V229)*VLOOKUP(pt,ROC,2,FALSE),0)</f>
        <v>0</v>
      </c>
      <c r="AC229" s="14">
        <f>IF(AND($H229=pt,$F229=11),SUM($Q$7:Q229)*VLOOKUP(pt,ROC,2,FALSE),0)</f>
        <v>0</v>
      </c>
      <c r="AD229" s="14">
        <f t="shared" ca="1" si="178"/>
        <v>0</v>
      </c>
      <c r="AE229" s="14">
        <f ca="1">(MAX(sa-CF228*Flag_UL_Type,105%*SUM($I$7:I229),Z229)+AU229)*B229</f>
        <v>0</v>
      </c>
      <c r="AF229" s="136"/>
      <c r="AG229" s="18">
        <v>223</v>
      </c>
      <c r="AH229" s="30">
        <f t="shared" ca="1" si="157"/>
        <v>0</v>
      </c>
      <c r="AI229" s="58"/>
      <c r="AJ229" s="50">
        <f>IF(AND(Option_Sys_TopUp&gt;="Y",H229&gt;=sytp,H229&lt;=(dtp+sytp-1),F229=0,H229&lt;=ppt+1),atp,0)+IFERROR(VLOOKUP(H229,Input!$B$55:$C$61,2,0),0)*(F229=0)*(Option_TopUP="Y")*(Option_Sys_TopUp="N")*B229*(pt&gt;=H229+5)</f>
        <v>0</v>
      </c>
      <c r="AK229" s="50">
        <f t="shared" si="158"/>
        <v>0</v>
      </c>
      <c r="AL229" s="50">
        <f t="shared" si="179"/>
        <v>0</v>
      </c>
      <c r="AM229" s="50">
        <f t="shared" ca="1" si="159"/>
        <v>0</v>
      </c>
      <c r="AN229" s="50">
        <f>IF(B229=0,0,AT229*(_rpm1+(1+_emr1)*VLOOKUP(E229,Tab_Mort_Charge,IF(Input!$C$12="M",2,3),0))*(0.001*0.0833)*Flag_Mort_Rider_Charge*(AT229&gt;0))</f>
        <v>0</v>
      </c>
      <c r="AO229" s="50">
        <f t="shared" ca="1" si="180"/>
        <v>0</v>
      </c>
      <c r="AP229" s="50">
        <f t="shared" ca="1" si="187"/>
        <v>0</v>
      </c>
      <c r="AQ229" s="50">
        <f t="shared" ca="1" si="160"/>
        <v>0</v>
      </c>
      <c r="AR229" s="50">
        <f t="shared" ca="1" si="161"/>
        <v>0</v>
      </c>
      <c r="AS229" s="50">
        <f t="shared" si="162"/>
        <v>0</v>
      </c>
      <c r="AT229" s="50">
        <f ca="1">(MAX((MAX(AS229,105%*SUM($AJ$7:AJ229))-AM229*Flag_UL_Type),0)*B229)</f>
        <v>0</v>
      </c>
      <c r="AU229" s="50">
        <f ca="1">(MAX(AS229,AR229,105%*SUM($AJ$7:AJ229))*B229)</f>
        <v>0</v>
      </c>
      <c r="AV229" s="125"/>
      <c r="AW229" s="13"/>
      <c r="AX229" s="13"/>
      <c r="AY229" s="13"/>
      <c r="AZ229" s="13"/>
      <c r="BA229" s="13"/>
      <c r="BG229" s="51">
        <f t="shared" si="163"/>
        <v>0</v>
      </c>
      <c r="BH229" s="51">
        <f t="shared" si="164"/>
        <v>0</v>
      </c>
      <c r="BI229" s="51">
        <f t="shared" ca="1" si="165"/>
        <v>0</v>
      </c>
      <c r="BJ229" s="51">
        <f t="shared" ca="1" si="166"/>
        <v>0</v>
      </c>
      <c r="BK229" s="51">
        <f t="shared" si="167"/>
        <v>0</v>
      </c>
      <c r="BL229" s="51">
        <f t="shared" ca="1" si="168"/>
        <v>0</v>
      </c>
      <c r="BM229" s="51">
        <f t="shared" si="169"/>
        <v>0</v>
      </c>
      <c r="BN229" s="51">
        <f t="shared" si="170"/>
        <v>0</v>
      </c>
      <c r="BO229" s="51">
        <f t="shared" ca="1" si="171"/>
        <v>0</v>
      </c>
      <c r="BP229" s="51">
        <f t="shared" ca="1" si="172"/>
        <v>0</v>
      </c>
      <c r="BQ229" s="120"/>
      <c r="BR229" s="32"/>
      <c r="BS229" s="126"/>
      <c r="BT229" s="16"/>
      <c r="BU229" s="58"/>
      <c r="BW229" s="51">
        <f>VLOOKUP(H229,Charges!$AT$4:$AU$33,2,FALSE)*I229</f>
        <v>0</v>
      </c>
      <c r="BX229" s="51">
        <f t="shared" si="173"/>
        <v>0</v>
      </c>
      <c r="BY229" s="51">
        <f t="shared" si="181"/>
        <v>0</v>
      </c>
      <c r="BZ229" s="151"/>
      <c r="CA229" s="151"/>
      <c r="CB229" s="32"/>
      <c r="CC229" s="16">
        <f ca="1">SUM($N$7:$N229)</f>
        <v>0</v>
      </c>
      <c r="CD229" s="16">
        <f t="shared" ca="1" si="174"/>
        <v>0</v>
      </c>
      <c r="CE229" s="16">
        <f t="shared" ca="1" si="175"/>
        <v>0</v>
      </c>
      <c r="CF229" s="7">
        <f t="shared" ca="1" si="182"/>
        <v>0</v>
      </c>
    </row>
    <row r="230" spans="1:84" s="7" customFormat="1" x14ac:dyDescent="0.2">
      <c r="A230" s="149"/>
      <c r="B230" s="14">
        <f t="shared" si="144"/>
        <v>0</v>
      </c>
      <c r="C230" s="12">
        <f t="shared" si="145"/>
        <v>0</v>
      </c>
      <c r="D230" s="17">
        <f t="shared" si="183"/>
        <v>224</v>
      </c>
      <c r="E230" s="17">
        <f t="shared" ca="1" si="146"/>
        <v>78</v>
      </c>
      <c r="F230" s="12">
        <f t="shared" si="185"/>
        <v>7</v>
      </c>
      <c r="G230" s="12">
        <f t="shared" si="184"/>
        <v>38</v>
      </c>
      <c r="H230" s="17">
        <f t="shared" si="186"/>
        <v>19</v>
      </c>
      <c r="I230" s="29">
        <f t="shared" si="147"/>
        <v>0</v>
      </c>
      <c r="J230" s="211">
        <f>IFERROR(VLOOKUP(H230,Charges!$T$6:$U$35,2,0)*C230,0)</f>
        <v>0</v>
      </c>
      <c r="K230" s="29">
        <f t="shared" si="148"/>
        <v>0</v>
      </c>
      <c r="L230" s="29">
        <f t="shared" si="149"/>
        <v>0</v>
      </c>
      <c r="M230" s="147">
        <f t="shared" ca="1" si="150"/>
        <v>0</v>
      </c>
      <c r="N230" s="148">
        <f ca="1">IF(AND(Option_SPW="Y",H230&gt;=Lock_In_Period,Z229&gt;SPW_Amount_pa+IF(option="Single",1/5*pr,2*pr),H230&gt;=SPW_Start_Year,H230&lt;=SPW_Start_Year+SPW_Duration-1,age+H230&gt;=Legal_Age),IF(AND(F230=0,SPW_Payout_Freq=1),SPW_Amount_pa,IF(AND(SPW_Payout_Freq=2,MOD(F230,6)=0),SPW_Amount_pa/SPW_Payout_Freq,IF(AND(SPW_Payout_Freq=4,MOD(F230,3)=0),SPW_Amount_pa/SPW_Payout_Freq,IF(SPW_Payout_Freq=12,SPW_Amount_pa/SPW_Payout_Freq,0)))),0)+IFERROR(VLOOKUP(H230,Input!$B$68:$C$74,2,0),0)*(F230=0)*(Option_PW="Y")*(Option_SPW="N")*(age+H230&gt;=Legal_Age)</f>
        <v>0</v>
      </c>
      <c r="O230" s="148">
        <f t="shared" ca="1" si="176"/>
        <v>0</v>
      </c>
      <c r="P230" s="14">
        <f ca="1">(MAX(MAX(sa-CF229*Flag_UL_Type,105%*SUM($I$7:I230))-(AD229+L230-N230)*Flag_UL_Type,0)*B230)</f>
        <v>0</v>
      </c>
      <c r="Q230" s="213">
        <f t="shared" si="151"/>
        <v>0</v>
      </c>
      <c r="R230" s="14">
        <f t="shared" ca="1" si="152"/>
        <v>0</v>
      </c>
      <c r="S230" s="14">
        <f t="shared" ca="1" si="153"/>
        <v>0</v>
      </c>
      <c r="T230" s="14">
        <f>IFERROR(IF(WoP_Flag="Y",IF(fq=1,VLOOKUP(ppt*fq-H230,Charges!$AN$41:$AO$59,2,FALSE),IF(fq=2,VLOOKUP(ppt*fq-G230,Charges!$AP$41:$AQ$79,2,FALSE),VLOOKUP(ppt*fq-D230,Charges!$AR$41:$AS$279,2,FALSE)))*pr/fq,0),0)</f>
        <v>0</v>
      </c>
      <c r="U230" s="14">
        <f ca="1">IFERROR(((T230*(VLOOKUP(Input!$D$18+H230-1,Tab_Mort_Charge,IF(Gender_2="M",2,3),FALSE)*(1+_emr2)+_rpm2)/IF(Model_Type="LA_PQIS",1000/0.0833,(12*1000))))*Flag_Mort_Rider_Charge*(T230&gt;0),0)</f>
        <v>0</v>
      </c>
      <c r="V230" s="34">
        <f>ROUND(MIN(IF(H230&gt;=7,Charges!$C$12*(1+Charges!$C$14)^((H230-7+1)),VLOOKUP(H230,Charges!$B$7:$C$12,2,0))*pr,Charges!$C$13)*B230,Round)</f>
        <v>0</v>
      </c>
      <c r="W230" s="14">
        <f t="shared" ca="1" si="154"/>
        <v>0</v>
      </c>
      <c r="X230" s="14">
        <f t="shared" ca="1" si="155"/>
        <v>0</v>
      </c>
      <c r="Y230" s="213">
        <f t="shared" ca="1" si="177"/>
        <v>0</v>
      </c>
      <c r="Z230" s="14">
        <f t="shared" ca="1" si="156"/>
        <v>0</v>
      </c>
      <c r="AA230" s="14">
        <f>IF(AND($H230=pt,$F230=11),SUM($K$7:K230)*VLOOKUP(pt,ROC,2,FALSE),0)</f>
        <v>0</v>
      </c>
      <c r="AB230" s="14">
        <f>IF(AND($H230=pt,$F230=11),SUM($V$7:V230)*VLOOKUP(pt,ROC,2,FALSE),0)</f>
        <v>0</v>
      </c>
      <c r="AC230" s="14">
        <f>IF(AND($H230=pt,$F230=11),SUM($Q$7:Q230)*VLOOKUP(pt,ROC,2,FALSE),0)</f>
        <v>0</v>
      </c>
      <c r="AD230" s="14">
        <f t="shared" ca="1" si="178"/>
        <v>0</v>
      </c>
      <c r="AE230" s="14">
        <f ca="1">(MAX(sa-CF229*Flag_UL_Type,105%*SUM($I$7:I230),Z230)+AU230)*B230</f>
        <v>0</v>
      </c>
      <c r="AF230" s="136"/>
      <c r="AG230" s="18">
        <v>224</v>
      </c>
      <c r="AH230" s="30">
        <f t="shared" ca="1" si="157"/>
        <v>0</v>
      </c>
      <c r="AI230" s="58"/>
      <c r="AJ230" s="50">
        <f>IF(AND(Option_Sys_TopUp&gt;="Y",H230&gt;=sytp,H230&lt;=(dtp+sytp-1),F230=0,H230&lt;=ppt+1),atp,0)+IFERROR(VLOOKUP(H230,Input!$B$55:$C$61,2,0),0)*(F230=0)*(Option_TopUP="Y")*(Option_Sys_TopUp="N")*B230*(pt&gt;=H230+5)</f>
        <v>0</v>
      </c>
      <c r="AK230" s="50">
        <f t="shared" si="158"/>
        <v>0</v>
      </c>
      <c r="AL230" s="50">
        <f t="shared" si="179"/>
        <v>0</v>
      </c>
      <c r="AM230" s="50">
        <f t="shared" ca="1" si="159"/>
        <v>0</v>
      </c>
      <c r="AN230" s="50">
        <f>IF(B230=0,0,AT230*(_rpm1+(1+_emr1)*VLOOKUP(E230,Tab_Mort_Charge,IF(Input!$C$12="M",2,3),0))*(0.001*0.0833)*Flag_Mort_Rider_Charge*(AT230&gt;0))</f>
        <v>0</v>
      </c>
      <c r="AO230" s="50">
        <f t="shared" ca="1" si="180"/>
        <v>0</v>
      </c>
      <c r="AP230" s="50">
        <f t="shared" ca="1" si="187"/>
        <v>0</v>
      </c>
      <c r="AQ230" s="50">
        <f t="shared" ca="1" si="160"/>
        <v>0</v>
      </c>
      <c r="AR230" s="50">
        <f t="shared" ca="1" si="161"/>
        <v>0</v>
      </c>
      <c r="AS230" s="50">
        <f t="shared" si="162"/>
        <v>0</v>
      </c>
      <c r="AT230" s="50">
        <f ca="1">(MAX((MAX(AS230,105%*SUM($AJ$7:AJ230))-AM230*Flag_UL_Type),0)*B230)</f>
        <v>0</v>
      </c>
      <c r="AU230" s="50">
        <f ca="1">(MAX(AS230,AR230,105%*SUM($AJ$7:AJ230))*B230)</f>
        <v>0</v>
      </c>
      <c r="AV230" s="125"/>
      <c r="AW230" s="13"/>
      <c r="AX230" s="13"/>
      <c r="AY230" s="13"/>
      <c r="AZ230" s="13"/>
      <c r="BA230" s="13"/>
      <c r="BG230" s="51">
        <f t="shared" si="163"/>
        <v>0</v>
      </c>
      <c r="BH230" s="51">
        <f t="shared" si="164"/>
        <v>0</v>
      </c>
      <c r="BI230" s="51">
        <f t="shared" ca="1" si="165"/>
        <v>0</v>
      </c>
      <c r="BJ230" s="51">
        <f t="shared" ca="1" si="166"/>
        <v>0</v>
      </c>
      <c r="BK230" s="51">
        <f t="shared" si="167"/>
        <v>0</v>
      </c>
      <c r="BL230" s="51">
        <f t="shared" ca="1" si="168"/>
        <v>0</v>
      </c>
      <c r="BM230" s="51">
        <f t="shared" si="169"/>
        <v>0</v>
      </c>
      <c r="BN230" s="51">
        <f t="shared" si="170"/>
        <v>0</v>
      </c>
      <c r="BO230" s="51">
        <f t="shared" ca="1" si="171"/>
        <v>0</v>
      </c>
      <c r="BP230" s="51">
        <f t="shared" ca="1" si="172"/>
        <v>0</v>
      </c>
      <c r="BQ230" s="120"/>
      <c r="BR230" s="32"/>
      <c r="BS230" s="126"/>
      <c r="BT230" s="16"/>
      <c r="BU230" s="58"/>
      <c r="BW230" s="51">
        <f>VLOOKUP(H230,Charges!$AT$4:$AU$33,2,FALSE)*I230</f>
        <v>0</v>
      </c>
      <c r="BX230" s="51">
        <f t="shared" si="173"/>
        <v>0</v>
      </c>
      <c r="BY230" s="51">
        <f t="shared" si="181"/>
        <v>0</v>
      </c>
      <c r="BZ230" s="151"/>
      <c r="CA230" s="151"/>
      <c r="CB230" s="32"/>
      <c r="CC230" s="16">
        <f ca="1">SUM($N$7:$N230)</f>
        <v>0</v>
      </c>
      <c r="CD230" s="16">
        <f t="shared" ca="1" si="174"/>
        <v>0</v>
      </c>
      <c r="CE230" s="16">
        <f t="shared" ca="1" si="175"/>
        <v>0</v>
      </c>
      <c r="CF230" s="7">
        <f t="shared" ca="1" si="182"/>
        <v>0</v>
      </c>
    </row>
    <row r="231" spans="1:84" s="7" customFormat="1" x14ac:dyDescent="0.2">
      <c r="A231" s="149"/>
      <c r="B231" s="14">
        <f t="shared" si="144"/>
        <v>0</v>
      </c>
      <c r="C231" s="12">
        <f t="shared" si="145"/>
        <v>0</v>
      </c>
      <c r="D231" s="17">
        <f t="shared" si="183"/>
        <v>225</v>
      </c>
      <c r="E231" s="17">
        <f t="shared" ca="1" si="146"/>
        <v>78</v>
      </c>
      <c r="F231" s="12">
        <f t="shared" si="185"/>
        <v>8</v>
      </c>
      <c r="G231" s="12">
        <f t="shared" si="184"/>
        <v>38</v>
      </c>
      <c r="H231" s="17">
        <f t="shared" si="186"/>
        <v>19</v>
      </c>
      <c r="I231" s="29">
        <f t="shared" si="147"/>
        <v>0</v>
      </c>
      <c r="J231" s="211">
        <f>IFERROR(VLOOKUP(H231,Charges!$T$6:$U$35,2,0)*C231,0)</f>
        <v>0</v>
      </c>
      <c r="K231" s="29">
        <f t="shared" si="148"/>
        <v>0</v>
      </c>
      <c r="L231" s="29">
        <f t="shared" si="149"/>
        <v>0</v>
      </c>
      <c r="M231" s="147">
        <f t="shared" ca="1" si="150"/>
        <v>0</v>
      </c>
      <c r="N231" s="148">
        <f ca="1">IF(AND(Option_SPW="Y",H231&gt;=Lock_In_Period,Z230&gt;SPW_Amount_pa+IF(option="Single",1/5*pr,2*pr),H231&gt;=SPW_Start_Year,H231&lt;=SPW_Start_Year+SPW_Duration-1,age+H231&gt;=Legal_Age),IF(AND(F231=0,SPW_Payout_Freq=1),SPW_Amount_pa,IF(AND(SPW_Payout_Freq=2,MOD(F231,6)=0),SPW_Amount_pa/SPW_Payout_Freq,IF(AND(SPW_Payout_Freq=4,MOD(F231,3)=0),SPW_Amount_pa/SPW_Payout_Freq,IF(SPW_Payout_Freq=12,SPW_Amount_pa/SPW_Payout_Freq,0)))),0)+IFERROR(VLOOKUP(H231,Input!$B$68:$C$74,2,0),0)*(F231=0)*(Option_PW="Y")*(Option_SPW="N")*(age+H231&gt;=Legal_Age)</f>
        <v>0</v>
      </c>
      <c r="O231" s="148">
        <f t="shared" ca="1" si="176"/>
        <v>0</v>
      </c>
      <c r="P231" s="14">
        <f ca="1">(MAX(MAX(sa-CF230*Flag_UL_Type,105%*SUM($I$7:I231))-(AD230+L231-N231)*Flag_UL_Type,0)*B231)</f>
        <v>0</v>
      </c>
      <c r="Q231" s="213">
        <f t="shared" si="151"/>
        <v>0</v>
      </c>
      <c r="R231" s="14">
        <f t="shared" ca="1" si="152"/>
        <v>0</v>
      </c>
      <c r="S231" s="14">
        <f t="shared" ca="1" si="153"/>
        <v>0</v>
      </c>
      <c r="T231" s="14">
        <f>IFERROR(IF(WoP_Flag="Y",IF(fq=1,VLOOKUP(ppt*fq-H231,Charges!$AN$41:$AO$59,2,FALSE),IF(fq=2,VLOOKUP(ppt*fq-G231,Charges!$AP$41:$AQ$79,2,FALSE),VLOOKUP(ppt*fq-D231,Charges!$AR$41:$AS$279,2,FALSE)))*pr/fq,0),0)</f>
        <v>0</v>
      </c>
      <c r="U231" s="14">
        <f ca="1">IFERROR(((T231*(VLOOKUP(Input!$D$18+H231-1,Tab_Mort_Charge,IF(Gender_2="M",2,3),FALSE)*(1+_emr2)+_rpm2)/IF(Model_Type="LA_PQIS",1000/0.0833,(12*1000))))*Flag_Mort_Rider_Charge*(T231&gt;0),0)</f>
        <v>0</v>
      </c>
      <c r="V231" s="34">
        <f>ROUND(MIN(IF(H231&gt;=7,Charges!$C$12*(1+Charges!$C$14)^((H231-7+1)),VLOOKUP(H231,Charges!$B$7:$C$12,2,0))*pr,Charges!$C$13)*B231,Round)</f>
        <v>0</v>
      </c>
      <c r="W231" s="14">
        <f t="shared" ca="1" si="154"/>
        <v>0</v>
      </c>
      <c r="X231" s="14">
        <f t="shared" ca="1" si="155"/>
        <v>0</v>
      </c>
      <c r="Y231" s="213">
        <f t="shared" ca="1" si="177"/>
        <v>0</v>
      </c>
      <c r="Z231" s="14">
        <f t="shared" ca="1" si="156"/>
        <v>0</v>
      </c>
      <c r="AA231" s="14">
        <f>IF(AND($H231=pt,$F231=11),SUM($K$7:K231)*VLOOKUP(pt,ROC,2,FALSE),0)</f>
        <v>0</v>
      </c>
      <c r="AB231" s="14">
        <f>IF(AND($H231=pt,$F231=11),SUM($V$7:V231)*VLOOKUP(pt,ROC,2,FALSE),0)</f>
        <v>0</v>
      </c>
      <c r="AC231" s="14">
        <f>IF(AND($H231=pt,$F231=11),SUM($Q$7:Q231)*VLOOKUP(pt,ROC,2,FALSE),0)</f>
        <v>0</v>
      </c>
      <c r="AD231" s="14">
        <f t="shared" ca="1" si="178"/>
        <v>0</v>
      </c>
      <c r="AE231" s="14">
        <f ca="1">(MAX(sa-CF230*Flag_UL_Type,105%*SUM($I$7:I231),Z231)+AU231)*B231</f>
        <v>0</v>
      </c>
      <c r="AF231" s="136"/>
      <c r="AG231" s="18">
        <v>225</v>
      </c>
      <c r="AH231" s="30">
        <f t="shared" ca="1" si="157"/>
        <v>0</v>
      </c>
      <c r="AI231" s="58"/>
      <c r="AJ231" s="50">
        <f>IF(AND(Option_Sys_TopUp&gt;="Y",H231&gt;=sytp,H231&lt;=(dtp+sytp-1),F231=0,H231&lt;=ppt+1),atp,0)+IFERROR(VLOOKUP(H231,Input!$B$55:$C$61,2,0),0)*(F231=0)*(Option_TopUP="Y")*(Option_Sys_TopUp="N")*B231*(pt&gt;=H231+5)</f>
        <v>0</v>
      </c>
      <c r="AK231" s="50">
        <f t="shared" si="158"/>
        <v>0</v>
      </c>
      <c r="AL231" s="50">
        <f t="shared" si="179"/>
        <v>0</v>
      </c>
      <c r="AM231" s="50">
        <f t="shared" ca="1" si="159"/>
        <v>0</v>
      </c>
      <c r="AN231" s="50">
        <f>IF(B231=0,0,AT231*(_rpm1+(1+_emr1)*VLOOKUP(E231,Tab_Mort_Charge,IF(Input!$C$12="M",2,3),0))*(0.001*0.0833)*Flag_Mort_Rider_Charge*(AT231&gt;0))</f>
        <v>0</v>
      </c>
      <c r="AO231" s="50">
        <f t="shared" ca="1" si="180"/>
        <v>0</v>
      </c>
      <c r="AP231" s="50">
        <f t="shared" ca="1" si="187"/>
        <v>0</v>
      </c>
      <c r="AQ231" s="50">
        <f t="shared" ca="1" si="160"/>
        <v>0</v>
      </c>
      <c r="AR231" s="50">
        <f t="shared" ca="1" si="161"/>
        <v>0</v>
      </c>
      <c r="AS231" s="50">
        <f t="shared" si="162"/>
        <v>0</v>
      </c>
      <c r="AT231" s="50">
        <f ca="1">(MAX((MAX(AS231,105%*SUM($AJ$7:AJ231))-AM231*Flag_UL_Type),0)*B231)</f>
        <v>0</v>
      </c>
      <c r="AU231" s="50">
        <f ca="1">(MAX(AS231,AR231,105%*SUM($AJ$7:AJ231))*B231)</f>
        <v>0</v>
      </c>
      <c r="AV231" s="125"/>
      <c r="AW231" s="13"/>
      <c r="AX231" s="13"/>
      <c r="AY231" s="13"/>
      <c r="AZ231" s="13"/>
      <c r="BA231" s="13"/>
      <c r="BG231" s="51">
        <f t="shared" si="163"/>
        <v>0</v>
      </c>
      <c r="BH231" s="51">
        <f t="shared" si="164"/>
        <v>0</v>
      </c>
      <c r="BI231" s="51">
        <f t="shared" ca="1" si="165"/>
        <v>0</v>
      </c>
      <c r="BJ231" s="51">
        <f t="shared" ca="1" si="166"/>
        <v>0</v>
      </c>
      <c r="BK231" s="51">
        <f t="shared" si="167"/>
        <v>0</v>
      </c>
      <c r="BL231" s="51">
        <f t="shared" ca="1" si="168"/>
        <v>0</v>
      </c>
      <c r="BM231" s="51">
        <f t="shared" si="169"/>
        <v>0</v>
      </c>
      <c r="BN231" s="51">
        <f t="shared" si="170"/>
        <v>0</v>
      </c>
      <c r="BO231" s="51">
        <f t="shared" ca="1" si="171"/>
        <v>0</v>
      </c>
      <c r="BP231" s="51">
        <f t="shared" ca="1" si="172"/>
        <v>0</v>
      </c>
      <c r="BQ231" s="120"/>
      <c r="BR231" s="32"/>
      <c r="BS231" s="126"/>
      <c r="BT231" s="16"/>
      <c r="BU231" s="58"/>
      <c r="BW231" s="51">
        <f>VLOOKUP(H231,Charges!$AT$4:$AU$33,2,FALSE)*I231</f>
        <v>0</v>
      </c>
      <c r="BX231" s="51">
        <f t="shared" si="173"/>
        <v>0</v>
      </c>
      <c r="BY231" s="51">
        <f t="shared" si="181"/>
        <v>0</v>
      </c>
      <c r="BZ231" s="151"/>
      <c r="CA231" s="151"/>
      <c r="CB231" s="32"/>
      <c r="CC231" s="16">
        <f ca="1">SUM($N$7:$N231)</f>
        <v>0</v>
      </c>
      <c r="CD231" s="16">
        <f t="shared" ca="1" si="174"/>
        <v>0</v>
      </c>
      <c r="CE231" s="16">
        <f t="shared" ca="1" si="175"/>
        <v>0</v>
      </c>
      <c r="CF231" s="7">
        <f t="shared" ca="1" si="182"/>
        <v>0</v>
      </c>
    </row>
    <row r="232" spans="1:84" s="7" customFormat="1" x14ac:dyDescent="0.2">
      <c r="A232" s="149"/>
      <c r="B232" s="14">
        <f t="shared" si="144"/>
        <v>0</v>
      </c>
      <c r="C232" s="12">
        <f t="shared" si="145"/>
        <v>0</v>
      </c>
      <c r="D232" s="17">
        <f t="shared" si="183"/>
        <v>226</v>
      </c>
      <c r="E232" s="17">
        <f t="shared" ca="1" si="146"/>
        <v>78</v>
      </c>
      <c r="F232" s="12">
        <f t="shared" si="185"/>
        <v>9</v>
      </c>
      <c r="G232" s="12">
        <f t="shared" si="184"/>
        <v>38</v>
      </c>
      <c r="H232" s="17">
        <f t="shared" si="186"/>
        <v>19</v>
      </c>
      <c r="I232" s="29">
        <f t="shared" si="147"/>
        <v>0</v>
      </c>
      <c r="J232" s="211">
        <f>IFERROR(VLOOKUP(H232,Charges!$T$6:$U$35,2,0)*C232,0)</f>
        <v>0</v>
      </c>
      <c r="K232" s="29">
        <f t="shared" si="148"/>
        <v>0</v>
      </c>
      <c r="L232" s="29">
        <f t="shared" si="149"/>
        <v>0</v>
      </c>
      <c r="M232" s="147">
        <f t="shared" ca="1" si="150"/>
        <v>0</v>
      </c>
      <c r="N232" s="148">
        <f ca="1">IF(AND(Option_SPW="Y",H232&gt;=Lock_In_Period,Z231&gt;SPW_Amount_pa+IF(option="Single",1/5*pr,2*pr),H232&gt;=SPW_Start_Year,H232&lt;=SPW_Start_Year+SPW_Duration-1,age+H232&gt;=Legal_Age),IF(AND(F232=0,SPW_Payout_Freq=1),SPW_Amount_pa,IF(AND(SPW_Payout_Freq=2,MOD(F232,6)=0),SPW_Amount_pa/SPW_Payout_Freq,IF(AND(SPW_Payout_Freq=4,MOD(F232,3)=0),SPW_Amount_pa/SPW_Payout_Freq,IF(SPW_Payout_Freq=12,SPW_Amount_pa/SPW_Payout_Freq,0)))),0)+IFERROR(VLOOKUP(H232,Input!$B$68:$C$74,2,0),0)*(F232=0)*(Option_PW="Y")*(Option_SPW="N")*(age+H232&gt;=Legal_Age)</f>
        <v>0</v>
      </c>
      <c r="O232" s="148">
        <f t="shared" ca="1" si="176"/>
        <v>0</v>
      </c>
      <c r="P232" s="14">
        <f ca="1">(MAX(MAX(sa-CF231*Flag_UL_Type,105%*SUM($I$7:I232))-(AD231+L232-N232)*Flag_UL_Type,0)*B232)</f>
        <v>0</v>
      </c>
      <c r="Q232" s="213">
        <f t="shared" si="151"/>
        <v>0</v>
      </c>
      <c r="R232" s="14">
        <f t="shared" ca="1" si="152"/>
        <v>0</v>
      </c>
      <c r="S232" s="14">
        <f t="shared" ca="1" si="153"/>
        <v>0</v>
      </c>
      <c r="T232" s="14">
        <f>IFERROR(IF(WoP_Flag="Y",IF(fq=1,VLOOKUP(ppt*fq-H232,Charges!$AN$41:$AO$59,2,FALSE),IF(fq=2,VLOOKUP(ppt*fq-G232,Charges!$AP$41:$AQ$79,2,FALSE),VLOOKUP(ppt*fq-D232,Charges!$AR$41:$AS$279,2,FALSE)))*pr/fq,0),0)</f>
        <v>0</v>
      </c>
      <c r="U232" s="14">
        <f ca="1">IFERROR(((T232*(VLOOKUP(Input!$D$18+H232-1,Tab_Mort_Charge,IF(Gender_2="M",2,3),FALSE)*(1+_emr2)+_rpm2)/IF(Model_Type="LA_PQIS",1000/0.0833,(12*1000))))*Flag_Mort_Rider_Charge*(T232&gt;0),0)</f>
        <v>0</v>
      </c>
      <c r="V232" s="34">
        <f>ROUND(MIN(IF(H232&gt;=7,Charges!$C$12*(1+Charges!$C$14)^((H232-7+1)),VLOOKUP(H232,Charges!$B$7:$C$12,2,0))*pr,Charges!$C$13)*B232,Round)</f>
        <v>0</v>
      </c>
      <c r="W232" s="14">
        <f t="shared" ca="1" si="154"/>
        <v>0</v>
      </c>
      <c r="X232" s="14">
        <f t="shared" ca="1" si="155"/>
        <v>0</v>
      </c>
      <c r="Y232" s="213">
        <f t="shared" ca="1" si="177"/>
        <v>0</v>
      </c>
      <c r="Z232" s="14">
        <f t="shared" ca="1" si="156"/>
        <v>0</v>
      </c>
      <c r="AA232" s="14">
        <f>IF(AND($H232=pt,$F232=11),SUM($K$7:K232)*VLOOKUP(pt,ROC,2,FALSE),0)</f>
        <v>0</v>
      </c>
      <c r="AB232" s="14">
        <f>IF(AND($H232=pt,$F232=11),SUM($V$7:V232)*VLOOKUP(pt,ROC,2,FALSE),0)</f>
        <v>0</v>
      </c>
      <c r="AC232" s="14">
        <f>IF(AND($H232=pt,$F232=11),SUM($Q$7:Q232)*VLOOKUP(pt,ROC,2,FALSE),0)</f>
        <v>0</v>
      </c>
      <c r="AD232" s="14">
        <f t="shared" ca="1" si="178"/>
        <v>0</v>
      </c>
      <c r="AE232" s="14">
        <f ca="1">(MAX(sa-CF231*Flag_UL_Type,105%*SUM($I$7:I232),Z232)+AU232)*B232</f>
        <v>0</v>
      </c>
      <c r="AF232" s="136"/>
      <c r="AG232" s="18">
        <v>226</v>
      </c>
      <c r="AH232" s="30">
        <f t="shared" ca="1" si="157"/>
        <v>0</v>
      </c>
      <c r="AI232" s="58"/>
      <c r="AJ232" s="50">
        <f>IF(AND(Option_Sys_TopUp&gt;="Y",H232&gt;=sytp,H232&lt;=(dtp+sytp-1),F232=0,H232&lt;=ppt+1),atp,0)+IFERROR(VLOOKUP(H232,Input!$B$55:$C$61,2,0),0)*(F232=0)*(Option_TopUP="Y")*(Option_Sys_TopUp="N")*B232*(pt&gt;=H232+5)</f>
        <v>0</v>
      </c>
      <c r="AK232" s="50">
        <f t="shared" si="158"/>
        <v>0</v>
      </c>
      <c r="AL232" s="50">
        <f t="shared" si="179"/>
        <v>0</v>
      </c>
      <c r="AM232" s="50">
        <f t="shared" ca="1" si="159"/>
        <v>0</v>
      </c>
      <c r="AN232" s="50">
        <f>IF(B232=0,0,AT232*(_rpm1+(1+_emr1)*VLOOKUP(E232,Tab_Mort_Charge,IF(Input!$C$12="M",2,3),0))*(0.001*0.0833)*Flag_Mort_Rider_Charge*(AT232&gt;0))</f>
        <v>0</v>
      </c>
      <c r="AO232" s="50">
        <f t="shared" ca="1" si="180"/>
        <v>0</v>
      </c>
      <c r="AP232" s="50">
        <f t="shared" ca="1" si="187"/>
        <v>0</v>
      </c>
      <c r="AQ232" s="50">
        <f t="shared" ca="1" si="160"/>
        <v>0</v>
      </c>
      <c r="AR232" s="50">
        <f t="shared" ca="1" si="161"/>
        <v>0</v>
      </c>
      <c r="AS232" s="50">
        <f t="shared" si="162"/>
        <v>0</v>
      </c>
      <c r="AT232" s="50">
        <f ca="1">(MAX((MAX(AS232,105%*SUM($AJ$7:AJ232))-AM232*Flag_UL_Type),0)*B232)</f>
        <v>0</v>
      </c>
      <c r="AU232" s="50">
        <f ca="1">(MAX(AS232,AR232,105%*SUM($AJ$7:AJ232))*B232)</f>
        <v>0</v>
      </c>
      <c r="AV232" s="125"/>
      <c r="AW232" s="13"/>
      <c r="AX232" s="13"/>
      <c r="AY232" s="13"/>
      <c r="AZ232" s="13"/>
      <c r="BA232" s="13"/>
      <c r="BG232" s="51">
        <f t="shared" si="163"/>
        <v>0</v>
      </c>
      <c r="BH232" s="51">
        <f t="shared" si="164"/>
        <v>0</v>
      </c>
      <c r="BI232" s="51">
        <f t="shared" ca="1" si="165"/>
        <v>0</v>
      </c>
      <c r="BJ232" s="51">
        <f t="shared" ca="1" si="166"/>
        <v>0</v>
      </c>
      <c r="BK232" s="51">
        <f t="shared" si="167"/>
        <v>0</v>
      </c>
      <c r="BL232" s="51">
        <f t="shared" ca="1" si="168"/>
        <v>0</v>
      </c>
      <c r="BM232" s="51">
        <f t="shared" si="169"/>
        <v>0</v>
      </c>
      <c r="BN232" s="51">
        <f t="shared" si="170"/>
        <v>0</v>
      </c>
      <c r="BO232" s="51">
        <f t="shared" ca="1" si="171"/>
        <v>0</v>
      </c>
      <c r="BP232" s="51">
        <f t="shared" ca="1" si="172"/>
        <v>0</v>
      </c>
      <c r="BQ232" s="120"/>
      <c r="BR232" s="32"/>
      <c r="BS232" s="126"/>
      <c r="BT232" s="16"/>
      <c r="BU232" s="58"/>
      <c r="BW232" s="51">
        <f>VLOOKUP(H232,Charges!$AT$4:$AU$33,2,FALSE)*I232</f>
        <v>0</v>
      </c>
      <c r="BX232" s="51">
        <f t="shared" si="173"/>
        <v>0</v>
      </c>
      <c r="BY232" s="51">
        <f t="shared" si="181"/>
        <v>0</v>
      </c>
      <c r="BZ232" s="151"/>
      <c r="CA232" s="151"/>
      <c r="CB232" s="32"/>
      <c r="CC232" s="16">
        <f ca="1">SUM($N$7:$N232)</f>
        <v>0</v>
      </c>
      <c r="CD232" s="16">
        <f t="shared" ca="1" si="174"/>
        <v>0</v>
      </c>
      <c r="CE232" s="16">
        <f t="shared" ca="1" si="175"/>
        <v>0</v>
      </c>
      <c r="CF232" s="7">
        <f t="shared" ca="1" si="182"/>
        <v>0</v>
      </c>
    </row>
    <row r="233" spans="1:84" s="7" customFormat="1" x14ac:dyDescent="0.2">
      <c r="A233" s="149"/>
      <c r="B233" s="14">
        <f t="shared" si="144"/>
        <v>0</v>
      </c>
      <c r="C233" s="12">
        <f t="shared" si="145"/>
        <v>0</v>
      </c>
      <c r="D233" s="17">
        <f t="shared" si="183"/>
        <v>227</v>
      </c>
      <c r="E233" s="17">
        <f t="shared" ca="1" si="146"/>
        <v>78</v>
      </c>
      <c r="F233" s="12">
        <f t="shared" si="185"/>
        <v>10</v>
      </c>
      <c r="G233" s="12">
        <f t="shared" si="184"/>
        <v>38</v>
      </c>
      <c r="H233" s="17">
        <f t="shared" si="186"/>
        <v>19</v>
      </c>
      <c r="I233" s="29">
        <f t="shared" si="147"/>
        <v>0</v>
      </c>
      <c r="J233" s="211">
        <f>IFERROR(VLOOKUP(H233,Charges!$T$6:$U$35,2,0)*C233,0)</f>
        <v>0</v>
      </c>
      <c r="K233" s="29">
        <f t="shared" si="148"/>
        <v>0</v>
      </c>
      <c r="L233" s="29">
        <f t="shared" si="149"/>
        <v>0</v>
      </c>
      <c r="M233" s="147">
        <f t="shared" ca="1" si="150"/>
        <v>0</v>
      </c>
      <c r="N233" s="148">
        <f ca="1">IF(AND(Option_SPW="Y",H233&gt;=Lock_In_Period,Z232&gt;SPW_Amount_pa+IF(option="Single",1/5*pr,2*pr),H233&gt;=SPW_Start_Year,H233&lt;=SPW_Start_Year+SPW_Duration-1,age+H233&gt;=Legal_Age),IF(AND(F233=0,SPW_Payout_Freq=1),SPW_Amount_pa,IF(AND(SPW_Payout_Freq=2,MOD(F233,6)=0),SPW_Amount_pa/SPW_Payout_Freq,IF(AND(SPW_Payout_Freq=4,MOD(F233,3)=0),SPW_Amount_pa/SPW_Payout_Freq,IF(SPW_Payout_Freq=12,SPW_Amount_pa/SPW_Payout_Freq,0)))),0)+IFERROR(VLOOKUP(H233,Input!$B$68:$C$74,2,0),0)*(F233=0)*(Option_PW="Y")*(Option_SPW="N")*(age+H233&gt;=Legal_Age)</f>
        <v>0</v>
      </c>
      <c r="O233" s="148">
        <f t="shared" ca="1" si="176"/>
        <v>0</v>
      </c>
      <c r="P233" s="14">
        <f ca="1">(MAX(MAX(sa-CF232*Flag_UL_Type,105%*SUM($I$7:I233))-(AD232+L233-N233)*Flag_UL_Type,0)*B233)</f>
        <v>0</v>
      </c>
      <c r="Q233" s="213">
        <f t="shared" si="151"/>
        <v>0</v>
      </c>
      <c r="R233" s="14">
        <f t="shared" ca="1" si="152"/>
        <v>0</v>
      </c>
      <c r="S233" s="14">
        <f t="shared" ca="1" si="153"/>
        <v>0</v>
      </c>
      <c r="T233" s="14">
        <f>IFERROR(IF(WoP_Flag="Y",IF(fq=1,VLOOKUP(ppt*fq-H233,Charges!$AN$41:$AO$59,2,FALSE),IF(fq=2,VLOOKUP(ppt*fq-G233,Charges!$AP$41:$AQ$79,2,FALSE),VLOOKUP(ppt*fq-D233,Charges!$AR$41:$AS$279,2,FALSE)))*pr/fq,0),0)</f>
        <v>0</v>
      </c>
      <c r="U233" s="14">
        <f ca="1">IFERROR(((T233*(VLOOKUP(Input!$D$18+H233-1,Tab_Mort_Charge,IF(Gender_2="M",2,3),FALSE)*(1+_emr2)+_rpm2)/IF(Model_Type="LA_PQIS",1000/0.0833,(12*1000))))*Flag_Mort_Rider_Charge*(T233&gt;0),0)</f>
        <v>0</v>
      </c>
      <c r="V233" s="34">
        <f>ROUND(MIN(IF(H233&gt;=7,Charges!$C$12*(1+Charges!$C$14)^((H233-7+1)),VLOOKUP(H233,Charges!$B$7:$C$12,2,0))*pr,Charges!$C$13)*B233,Round)</f>
        <v>0</v>
      </c>
      <c r="W233" s="14">
        <f t="shared" ca="1" si="154"/>
        <v>0</v>
      </c>
      <c r="X233" s="14">
        <f t="shared" ca="1" si="155"/>
        <v>0</v>
      </c>
      <c r="Y233" s="213">
        <f t="shared" ca="1" si="177"/>
        <v>0</v>
      </c>
      <c r="Z233" s="14">
        <f t="shared" ca="1" si="156"/>
        <v>0</v>
      </c>
      <c r="AA233" s="14">
        <f>IF(AND($H233=pt,$F233=11),SUM($K$7:K233)*VLOOKUP(pt,ROC,2,FALSE),0)</f>
        <v>0</v>
      </c>
      <c r="AB233" s="14">
        <f>IF(AND($H233=pt,$F233=11),SUM($V$7:V233)*VLOOKUP(pt,ROC,2,FALSE),0)</f>
        <v>0</v>
      </c>
      <c r="AC233" s="14">
        <f>IF(AND($H233=pt,$F233=11),SUM($Q$7:Q233)*VLOOKUP(pt,ROC,2,FALSE),0)</f>
        <v>0</v>
      </c>
      <c r="AD233" s="14">
        <f t="shared" ca="1" si="178"/>
        <v>0</v>
      </c>
      <c r="AE233" s="14">
        <f ca="1">(MAX(sa-CF232*Flag_UL_Type,105%*SUM($I$7:I233),Z233)+AU233)*B233</f>
        <v>0</v>
      </c>
      <c r="AF233" s="136"/>
      <c r="AG233" s="18">
        <v>227</v>
      </c>
      <c r="AH233" s="30">
        <f t="shared" ca="1" si="157"/>
        <v>0</v>
      </c>
      <c r="AI233" s="58"/>
      <c r="AJ233" s="50">
        <f>IF(AND(Option_Sys_TopUp&gt;="Y",H233&gt;=sytp,H233&lt;=(dtp+sytp-1),F233=0,H233&lt;=ppt+1),atp,0)+IFERROR(VLOOKUP(H233,Input!$B$55:$C$61,2,0),0)*(F233=0)*(Option_TopUP="Y")*(Option_Sys_TopUp="N")*B233*(pt&gt;=H233+5)</f>
        <v>0</v>
      </c>
      <c r="AK233" s="50">
        <f t="shared" si="158"/>
        <v>0</v>
      </c>
      <c r="AL233" s="50">
        <f t="shared" si="179"/>
        <v>0</v>
      </c>
      <c r="AM233" s="50">
        <f t="shared" ca="1" si="159"/>
        <v>0</v>
      </c>
      <c r="AN233" s="50">
        <f>IF(B233=0,0,AT233*(_rpm1+(1+_emr1)*VLOOKUP(E233,Tab_Mort_Charge,IF(Input!$C$12="M",2,3),0))*(0.001*0.0833)*Flag_Mort_Rider_Charge*(AT233&gt;0))</f>
        <v>0</v>
      </c>
      <c r="AO233" s="50">
        <f t="shared" ca="1" si="180"/>
        <v>0</v>
      </c>
      <c r="AP233" s="50">
        <f t="shared" ca="1" si="187"/>
        <v>0</v>
      </c>
      <c r="AQ233" s="50">
        <f t="shared" ca="1" si="160"/>
        <v>0</v>
      </c>
      <c r="AR233" s="50">
        <f t="shared" ca="1" si="161"/>
        <v>0</v>
      </c>
      <c r="AS233" s="50">
        <f t="shared" si="162"/>
        <v>0</v>
      </c>
      <c r="AT233" s="50">
        <f ca="1">(MAX((MAX(AS233,105%*SUM($AJ$7:AJ233))-AM233*Flag_UL_Type),0)*B233)</f>
        <v>0</v>
      </c>
      <c r="AU233" s="50">
        <f ca="1">(MAX(AS233,AR233,105%*SUM($AJ$7:AJ233))*B233)</f>
        <v>0</v>
      </c>
      <c r="AV233" s="125"/>
      <c r="AW233" s="13"/>
      <c r="AX233" s="13"/>
      <c r="AY233" s="13"/>
      <c r="AZ233" s="13"/>
      <c r="BA233" s="13"/>
      <c r="BG233" s="51">
        <f t="shared" si="163"/>
        <v>0</v>
      </c>
      <c r="BH233" s="51">
        <f t="shared" si="164"/>
        <v>0</v>
      </c>
      <c r="BI233" s="51">
        <f t="shared" ca="1" si="165"/>
        <v>0</v>
      </c>
      <c r="BJ233" s="51">
        <f t="shared" ca="1" si="166"/>
        <v>0</v>
      </c>
      <c r="BK233" s="51">
        <f t="shared" si="167"/>
        <v>0</v>
      </c>
      <c r="BL233" s="51">
        <f t="shared" ca="1" si="168"/>
        <v>0</v>
      </c>
      <c r="BM233" s="51">
        <f t="shared" si="169"/>
        <v>0</v>
      </c>
      <c r="BN233" s="51">
        <f t="shared" si="170"/>
        <v>0</v>
      </c>
      <c r="BO233" s="51">
        <f t="shared" ca="1" si="171"/>
        <v>0</v>
      </c>
      <c r="BP233" s="51">
        <f t="shared" ca="1" si="172"/>
        <v>0</v>
      </c>
      <c r="BQ233" s="120"/>
      <c r="BR233" s="32"/>
      <c r="BS233" s="126"/>
      <c r="BT233" s="16"/>
      <c r="BU233" s="58"/>
      <c r="BW233" s="51">
        <f>VLOOKUP(H233,Charges!$AT$4:$AU$33,2,FALSE)*I233</f>
        <v>0</v>
      </c>
      <c r="BX233" s="51">
        <f t="shared" si="173"/>
        <v>0</v>
      </c>
      <c r="BY233" s="51">
        <f t="shared" si="181"/>
        <v>0</v>
      </c>
      <c r="BZ233" s="151"/>
      <c r="CA233" s="151"/>
      <c r="CB233" s="32"/>
      <c r="CC233" s="16">
        <f ca="1">SUM($N$7:$N233)</f>
        <v>0</v>
      </c>
      <c r="CD233" s="16">
        <f t="shared" ca="1" si="174"/>
        <v>0</v>
      </c>
      <c r="CE233" s="16">
        <f t="shared" ca="1" si="175"/>
        <v>0</v>
      </c>
      <c r="CF233" s="7">
        <f t="shared" ca="1" si="182"/>
        <v>0</v>
      </c>
    </row>
    <row r="234" spans="1:84" s="7" customFormat="1" x14ac:dyDescent="0.2">
      <c r="A234" s="149"/>
      <c r="B234" s="14">
        <f t="shared" si="144"/>
        <v>0</v>
      </c>
      <c r="C234" s="12">
        <f t="shared" si="145"/>
        <v>0</v>
      </c>
      <c r="D234" s="17">
        <f t="shared" si="183"/>
        <v>228</v>
      </c>
      <c r="E234" s="17">
        <f t="shared" ca="1" si="146"/>
        <v>78</v>
      </c>
      <c r="F234" s="12">
        <f t="shared" si="185"/>
        <v>11</v>
      </c>
      <c r="G234" s="12">
        <f t="shared" si="184"/>
        <v>38</v>
      </c>
      <c r="H234" s="17">
        <f t="shared" si="186"/>
        <v>19</v>
      </c>
      <c r="I234" s="29">
        <f t="shared" si="147"/>
        <v>0</v>
      </c>
      <c r="J234" s="211">
        <f>IFERROR(VLOOKUP(H234,Charges!$T$6:$U$35,2,0)*C234,0)</f>
        <v>0</v>
      </c>
      <c r="K234" s="29">
        <f t="shared" si="148"/>
        <v>0</v>
      </c>
      <c r="L234" s="29">
        <f t="shared" si="149"/>
        <v>0</v>
      </c>
      <c r="M234" s="147">
        <f t="shared" ca="1" si="150"/>
        <v>0</v>
      </c>
      <c r="N234" s="148">
        <f ca="1">IF(AND(Option_SPW="Y",H234&gt;=Lock_In_Period,Z233&gt;SPW_Amount_pa+IF(option="Single",1/5*pr,2*pr),H234&gt;=SPW_Start_Year,H234&lt;=SPW_Start_Year+SPW_Duration-1,age+H234&gt;=Legal_Age),IF(AND(F234=0,SPW_Payout_Freq=1),SPW_Amount_pa,IF(AND(SPW_Payout_Freq=2,MOD(F234,6)=0),SPW_Amount_pa/SPW_Payout_Freq,IF(AND(SPW_Payout_Freq=4,MOD(F234,3)=0),SPW_Amount_pa/SPW_Payout_Freq,IF(SPW_Payout_Freq=12,SPW_Amount_pa/SPW_Payout_Freq,0)))),0)+IFERROR(VLOOKUP(H234,Input!$B$68:$C$74,2,0),0)*(F234=0)*(Option_PW="Y")*(Option_SPW="N")*(age+H234&gt;=Legal_Age)</f>
        <v>0</v>
      </c>
      <c r="O234" s="148">
        <f t="shared" ca="1" si="176"/>
        <v>0</v>
      </c>
      <c r="P234" s="14">
        <f ca="1">(MAX(MAX(sa-CF233*Flag_UL_Type,105%*SUM($I$7:I234))-(AD233+L234-N234)*Flag_UL_Type,0)*B234)</f>
        <v>0</v>
      </c>
      <c r="Q234" s="213">
        <f t="shared" si="151"/>
        <v>0</v>
      </c>
      <c r="R234" s="14">
        <f t="shared" ca="1" si="152"/>
        <v>0</v>
      </c>
      <c r="S234" s="14">
        <f t="shared" ca="1" si="153"/>
        <v>0</v>
      </c>
      <c r="T234" s="14">
        <f>IFERROR(IF(WoP_Flag="Y",IF(fq=1,VLOOKUP(ppt*fq-H234,Charges!$AN$41:$AO$59,2,FALSE),IF(fq=2,VLOOKUP(ppt*fq-G234,Charges!$AP$41:$AQ$79,2,FALSE),VLOOKUP(ppt*fq-D234,Charges!$AR$41:$AS$279,2,FALSE)))*pr/fq,0),0)</f>
        <v>0</v>
      </c>
      <c r="U234" s="14">
        <f ca="1">IFERROR(((T234*(VLOOKUP(Input!$D$18+H234-1,Tab_Mort_Charge,IF(Gender_2="M",2,3),FALSE)*(1+_emr2)+_rpm2)/IF(Model_Type="LA_PQIS",1000/0.0833,(12*1000))))*Flag_Mort_Rider_Charge*(T234&gt;0),0)</f>
        <v>0</v>
      </c>
      <c r="V234" s="34">
        <f>ROUND(MIN(IF(H234&gt;=7,Charges!$C$12*(1+Charges!$C$14)^((H234-7+1)),VLOOKUP(H234,Charges!$B$7:$C$12,2,0))*pr,Charges!$C$13)*B234,Round)</f>
        <v>0</v>
      </c>
      <c r="W234" s="14">
        <f t="shared" ca="1" si="154"/>
        <v>0</v>
      </c>
      <c r="X234" s="14">
        <f t="shared" ca="1" si="155"/>
        <v>0</v>
      </c>
      <c r="Y234" s="213">
        <f t="shared" ca="1" si="177"/>
        <v>0</v>
      </c>
      <c r="Z234" s="14">
        <f t="shared" ca="1" si="156"/>
        <v>0</v>
      </c>
      <c r="AA234" s="14">
        <f>IF(AND($H234=pt,$F234=11),SUM($K$7:K234)*VLOOKUP(pt,ROC,2,FALSE),0)</f>
        <v>0</v>
      </c>
      <c r="AB234" s="14">
        <f>IF(AND($H234=pt,$F234=11),SUM($V$7:V234)*VLOOKUP(pt,ROC,2,FALSE),0)</f>
        <v>0</v>
      </c>
      <c r="AC234" s="14">
        <f>IF(AND($H234=pt,$F234=11),SUM($Q$7:Q234)*VLOOKUP(pt,ROC,2,FALSE),0)</f>
        <v>0</v>
      </c>
      <c r="AD234" s="14">
        <f t="shared" ca="1" si="178"/>
        <v>0</v>
      </c>
      <c r="AE234" s="14">
        <f ca="1">(MAX(sa-CF233*Flag_UL_Type,105%*SUM($I$7:I234),Z234)+AU234)*B234</f>
        <v>0</v>
      </c>
      <c r="AF234" s="136"/>
      <c r="AG234" s="18">
        <v>228</v>
      </c>
      <c r="AH234" s="30">
        <f t="shared" ca="1" si="157"/>
        <v>0</v>
      </c>
      <c r="AI234" s="58"/>
      <c r="AJ234" s="50">
        <f>IF(AND(Option_Sys_TopUp&gt;="Y",H234&gt;=sytp,H234&lt;=(dtp+sytp-1),F234=0,H234&lt;=ppt+1),atp,0)+IFERROR(VLOOKUP(H234,Input!$B$55:$C$61,2,0),0)*(F234=0)*(Option_TopUP="Y")*(Option_Sys_TopUp="N")*B234*(pt&gt;=H234+5)</f>
        <v>0</v>
      </c>
      <c r="AK234" s="50">
        <f t="shared" si="158"/>
        <v>0</v>
      </c>
      <c r="AL234" s="50">
        <f t="shared" si="179"/>
        <v>0</v>
      </c>
      <c r="AM234" s="50">
        <f t="shared" ca="1" si="159"/>
        <v>0</v>
      </c>
      <c r="AN234" s="50">
        <f>IF(B234=0,0,AT234*(_rpm1+(1+_emr1)*VLOOKUP(E234,Tab_Mort_Charge,IF(Input!$C$12="M",2,3),0))*(0.001*0.0833)*Flag_Mort_Rider_Charge*(AT234&gt;0))</f>
        <v>0</v>
      </c>
      <c r="AO234" s="50">
        <f t="shared" ca="1" si="180"/>
        <v>0</v>
      </c>
      <c r="AP234" s="50">
        <f t="shared" ca="1" si="187"/>
        <v>0</v>
      </c>
      <c r="AQ234" s="50">
        <f t="shared" ca="1" si="160"/>
        <v>0</v>
      </c>
      <c r="AR234" s="50">
        <f t="shared" ca="1" si="161"/>
        <v>0</v>
      </c>
      <c r="AS234" s="50">
        <f t="shared" si="162"/>
        <v>0</v>
      </c>
      <c r="AT234" s="50">
        <f ca="1">(MAX((MAX(AS234,105%*SUM($AJ$7:AJ234))-AM234*Flag_UL_Type),0)*B234)</f>
        <v>0</v>
      </c>
      <c r="AU234" s="50">
        <f ca="1">(MAX(AS234,AR234,105%*SUM($AJ$7:AJ234))*B234)</f>
        <v>0</v>
      </c>
      <c r="AV234" s="125"/>
      <c r="AW234" s="13"/>
      <c r="AX234" s="13"/>
      <c r="AY234" s="13"/>
      <c r="AZ234" s="13"/>
      <c r="BA234" s="13"/>
      <c r="BG234" s="51">
        <f t="shared" si="163"/>
        <v>0</v>
      </c>
      <c r="BH234" s="51">
        <f t="shared" si="164"/>
        <v>0</v>
      </c>
      <c r="BI234" s="51">
        <f t="shared" ca="1" si="165"/>
        <v>0</v>
      </c>
      <c r="BJ234" s="51">
        <f t="shared" ca="1" si="166"/>
        <v>0</v>
      </c>
      <c r="BK234" s="51">
        <f t="shared" si="167"/>
        <v>0</v>
      </c>
      <c r="BL234" s="51">
        <f t="shared" ca="1" si="168"/>
        <v>0</v>
      </c>
      <c r="BM234" s="51">
        <f t="shared" si="169"/>
        <v>0</v>
      </c>
      <c r="BN234" s="51">
        <f t="shared" si="170"/>
        <v>0</v>
      </c>
      <c r="BO234" s="51">
        <f t="shared" ca="1" si="171"/>
        <v>0</v>
      </c>
      <c r="BP234" s="51">
        <f t="shared" ca="1" si="172"/>
        <v>0</v>
      </c>
      <c r="BQ234" s="120"/>
      <c r="BR234" s="32"/>
      <c r="BS234" s="126"/>
      <c r="BT234" s="16"/>
      <c r="BU234" s="58"/>
      <c r="BW234" s="51">
        <f>VLOOKUP(H234,Charges!$AT$4:$AU$33,2,FALSE)*I234</f>
        <v>0</v>
      </c>
      <c r="BX234" s="51">
        <f t="shared" si="173"/>
        <v>0</v>
      </c>
      <c r="BY234" s="51">
        <f t="shared" si="181"/>
        <v>0</v>
      </c>
      <c r="BZ234" s="151"/>
      <c r="CA234" s="151"/>
      <c r="CB234" s="32"/>
      <c r="CC234" s="16">
        <f ca="1">SUM($N$7:$N234)</f>
        <v>0</v>
      </c>
      <c r="CD234" s="16">
        <f t="shared" ca="1" si="174"/>
        <v>0</v>
      </c>
      <c r="CE234" s="16">
        <f t="shared" ca="1" si="175"/>
        <v>0</v>
      </c>
      <c r="CF234" s="7">
        <f t="shared" ca="1" si="182"/>
        <v>0</v>
      </c>
    </row>
    <row r="235" spans="1:84" s="7" customFormat="1" x14ac:dyDescent="0.2">
      <c r="A235" s="149"/>
      <c r="B235" s="14">
        <f t="shared" si="144"/>
        <v>0</v>
      </c>
      <c r="C235" s="12">
        <f t="shared" si="145"/>
        <v>0</v>
      </c>
      <c r="D235" s="17">
        <f t="shared" si="183"/>
        <v>229</v>
      </c>
      <c r="E235" s="17">
        <f t="shared" ca="1" si="146"/>
        <v>79</v>
      </c>
      <c r="F235" s="12">
        <f t="shared" si="185"/>
        <v>0</v>
      </c>
      <c r="G235" s="12">
        <f t="shared" si="184"/>
        <v>39</v>
      </c>
      <c r="H235" s="17">
        <f t="shared" si="186"/>
        <v>20</v>
      </c>
      <c r="I235" s="29">
        <f t="shared" si="147"/>
        <v>0</v>
      </c>
      <c r="J235" s="211">
        <f>IFERROR(VLOOKUP(H235,Charges!$T$6:$U$35,2,0)*C235,0)</f>
        <v>0</v>
      </c>
      <c r="K235" s="29">
        <f t="shared" si="148"/>
        <v>0</v>
      </c>
      <c r="L235" s="29">
        <f t="shared" si="149"/>
        <v>0</v>
      </c>
      <c r="M235" s="147">
        <f t="shared" ca="1" si="150"/>
        <v>0</v>
      </c>
      <c r="N235" s="148">
        <f ca="1">IF(AND(Option_SPW="Y",H235&gt;=Lock_In_Period,Z234&gt;SPW_Amount_pa+IF(option="Single",1/5*pr,2*pr),H235&gt;=SPW_Start_Year,H235&lt;=SPW_Start_Year+SPW_Duration-1,age+H235&gt;=Legal_Age),IF(AND(F235=0,SPW_Payout_Freq=1),SPW_Amount_pa,IF(AND(SPW_Payout_Freq=2,MOD(F235,6)=0),SPW_Amount_pa/SPW_Payout_Freq,IF(AND(SPW_Payout_Freq=4,MOD(F235,3)=0),SPW_Amount_pa/SPW_Payout_Freq,IF(SPW_Payout_Freq=12,SPW_Amount_pa/SPW_Payout_Freq,0)))),0)+IFERROR(VLOOKUP(H235,Input!$B$68:$C$74,2,0),0)*(F235=0)*(Option_PW="Y")*(Option_SPW="N")*(age+H235&gt;=Legal_Age)</f>
        <v>0</v>
      </c>
      <c r="O235" s="148">
        <f t="shared" ca="1" si="176"/>
        <v>0</v>
      </c>
      <c r="P235" s="14">
        <f ca="1">(MAX(MAX(sa-CF234*Flag_UL_Type,105%*SUM($I$7:I235))-(AD234+L235-N235)*Flag_UL_Type,0)*B235)</f>
        <v>0</v>
      </c>
      <c r="Q235" s="213">
        <f t="shared" si="151"/>
        <v>0</v>
      </c>
      <c r="R235" s="14">
        <f t="shared" ca="1" si="152"/>
        <v>0</v>
      </c>
      <c r="S235" s="14">
        <f t="shared" ca="1" si="153"/>
        <v>0</v>
      </c>
      <c r="T235" s="14">
        <f>IFERROR(IF(WoP_Flag="Y",IF(fq=1,VLOOKUP(ppt*fq-H235,Charges!$AN$41:$AO$59,2,FALSE),IF(fq=2,VLOOKUP(ppt*fq-G235,Charges!$AP$41:$AQ$79,2,FALSE),VLOOKUP(ppt*fq-D235,Charges!$AR$41:$AS$279,2,FALSE)))*pr/fq,0),0)</f>
        <v>0</v>
      </c>
      <c r="U235" s="14">
        <f ca="1">IFERROR(((T235*(VLOOKUP(Input!$D$18+H235-1,Tab_Mort_Charge,IF(Gender_2="M",2,3),FALSE)*(1+_emr2)+_rpm2)/IF(Model_Type="LA_PQIS",1000/0.0833,(12*1000))))*Flag_Mort_Rider_Charge*(T235&gt;0),0)</f>
        <v>0</v>
      </c>
      <c r="V235" s="34">
        <f>ROUND(MIN(IF(H235&gt;=7,Charges!$C$12*(1+Charges!$C$14)^((H235-7+1)),VLOOKUP(H235,Charges!$B$7:$C$12,2,0))*pr,Charges!$C$13)*B235,Round)</f>
        <v>0</v>
      </c>
      <c r="W235" s="14">
        <f t="shared" ca="1" si="154"/>
        <v>0</v>
      </c>
      <c r="X235" s="14">
        <f t="shared" ca="1" si="155"/>
        <v>0</v>
      </c>
      <c r="Y235" s="213">
        <f t="shared" ca="1" si="177"/>
        <v>0</v>
      </c>
      <c r="Z235" s="14">
        <f t="shared" ca="1" si="156"/>
        <v>0</v>
      </c>
      <c r="AA235" s="14">
        <f>IF(AND($H235=pt,$F235=11),SUM($K$7:K235)*VLOOKUP(pt,ROC,2,FALSE),0)</f>
        <v>0</v>
      </c>
      <c r="AB235" s="14">
        <f>IF(AND($H235=pt,$F235=11),SUM($V$7:V235)*VLOOKUP(pt,ROC,2,FALSE),0)</f>
        <v>0</v>
      </c>
      <c r="AC235" s="14">
        <f>IF(AND($H235=pt,$F235=11),SUM($Q$7:Q235)*VLOOKUP(pt,ROC,2,FALSE),0)</f>
        <v>0</v>
      </c>
      <c r="AD235" s="14">
        <f t="shared" ca="1" si="178"/>
        <v>0</v>
      </c>
      <c r="AE235" s="14">
        <f ca="1">(MAX(sa-CF234*Flag_UL_Type,105%*SUM($I$7:I235),Z235)+AU235)*B235</f>
        <v>0</v>
      </c>
      <c r="AF235" s="136"/>
      <c r="AG235" s="18">
        <v>229</v>
      </c>
      <c r="AH235" s="30">
        <f t="shared" ca="1" si="157"/>
        <v>0</v>
      </c>
      <c r="AI235" s="58"/>
      <c r="AJ235" s="50">
        <f>IF(AND(Option_Sys_TopUp&gt;="Y",H235&gt;=sytp,H235&lt;=(dtp+sytp-1),F235=0,H235&lt;=ppt+1),atp,0)+IFERROR(VLOOKUP(H235,Input!$B$55:$C$61,2,0),0)*(F235=0)*(Option_TopUP="Y")*(Option_Sys_TopUp="N")*B235*(pt&gt;=H235+5)</f>
        <v>0</v>
      </c>
      <c r="AK235" s="50">
        <f t="shared" si="158"/>
        <v>0</v>
      </c>
      <c r="AL235" s="50">
        <f t="shared" si="179"/>
        <v>0</v>
      </c>
      <c r="AM235" s="50">
        <f t="shared" ca="1" si="159"/>
        <v>0</v>
      </c>
      <c r="AN235" s="50">
        <f>IF(B235=0,0,AT235*(_rpm1+(1+_emr1)*VLOOKUP(E235,Tab_Mort_Charge,IF(Input!$C$12="M",2,3),0))*(0.001*0.0833)*Flag_Mort_Rider_Charge*(AT235&gt;0))</f>
        <v>0</v>
      </c>
      <c r="AO235" s="50">
        <f t="shared" ca="1" si="180"/>
        <v>0</v>
      </c>
      <c r="AP235" s="50">
        <f t="shared" ca="1" si="187"/>
        <v>0</v>
      </c>
      <c r="AQ235" s="50">
        <f t="shared" ca="1" si="160"/>
        <v>0</v>
      </c>
      <c r="AR235" s="50">
        <f t="shared" ca="1" si="161"/>
        <v>0</v>
      </c>
      <c r="AS235" s="50">
        <f t="shared" si="162"/>
        <v>0</v>
      </c>
      <c r="AT235" s="50">
        <f ca="1">(MAX((MAX(AS235,105%*SUM($AJ$7:AJ235))-AM235*Flag_UL_Type),0)*B235)</f>
        <v>0</v>
      </c>
      <c r="AU235" s="50">
        <f ca="1">(MAX(AS235,AR235,105%*SUM($AJ$7:AJ235))*B235)</f>
        <v>0</v>
      </c>
      <c r="AV235" s="125"/>
      <c r="AW235" s="13"/>
      <c r="AX235" s="13"/>
      <c r="AY235" s="13"/>
      <c r="AZ235" s="13"/>
      <c r="BA235" s="13"/>
      <c r="BG235" s="51">
        <f t="shared" si="163"/>
        <v>0</v>
      </c>
      <c r="BH235" s="51">
        <f t="shared" si="164"/>
        <v>0</v>
      </c>
      <c r="BI235" s="51">
        <f t="shared" ca="1" si="165"/>
        <v>0</v>
      </c>
      <c r="BJ235" s="51">
        <f t="shared" ca="1" si="166"/>
        <v>0</v>
      </c>
      <c r="BK235" s="51">
        <f t="shared" si="167"/>
        <v>0</v>
      </c>
      <c r="BL235" s="51">
        <f t="shared" ca="1" si="168"/>
        <v>0</v>
      </c>
      <c r="BM235" s="51">
        <f t="shared" si="169"/>
        <v>0</v>
      </c>
      <c r="BN235" s="51">
        <f t="shared" si="170"/>
        <v>0</v>
      </c>
      <c r="BO235" s="51">
        <f t="shared" ca="1" si="171"/>
        <v>0</v>
      </c>
      <c r="BP235" s="51">
        <f t="shared" ca="1" si="172"/>
        <v>0</v>
      </c>
      <c r="BQ235" s="120"/>
      <c r="BR235" s="32"/>
      <c r="BS235" s="126"/>
      <c r="BT235" s="16"/>
      <c r="BU235" s="58"/>
      <c r="BW235" s="51">
        <f>VLOOKUP(H235,Charges!$AT$4:$AU$33,2,FALSE)*I235</f>
        <v>0</v>
      </c>
      <c r="BX235" s="51">
        <f t="shared" si="173"/>
        <v>0</v>
      </c>
      <c r="BY235" s="51">
        <f t="shared" si="181"/>
        <v>0</v>
      </c>
      <c r="BZ235" s="151"/>
      <c r="CA235" s="151"/>
      <c r="CB235" s="32"/>
      <c r="CC235" s="16">
        <f ca="1">SUM($N$7:$N235)</f>
        <v>0</v>
      </c>
      <c r="CD235" s="16">
        <f t="shared" ca="1" si="174"/>
        <v>0</v>
      </c>
      <c r="CE235" s="16">
        <f t="shared" ca="1" si="175"/>
        <v>0</v>
      </c>
      <c r="CF235" s="7">
        <f t="shared" ca="1" si="182"/>
        <v>0</v>
      </c>
    </row>
    <row r="236" spans="1:84" s="7" customFormat="1" x14ac:dyDescent="0.2">
      <c r="A236" s="149"/>
      <c r="B236" s="14">
        <f t="shared" si="144"/>
        <v>0</v>
      </c>
      <c r="C236" s="12">
        <f t="shared" si="145"/>
        <v>0</v>
      </c>
      <c r="D236" s="17">
        <f t="shared" si="183"/>
        <v>230</v>
      </c>
      <c r="E236" s="17">
        <f t="shared" ca="1" si="146"/>
        <v>79</v>
      </c>
      <c r="F236" s="12">
        <f t="shared" si="185"/>
        <v>1</v>
      </c>
      <c r="G236" s="12">
        <f t="shared" si="184"/>
        <v>39</v>
      </c>
      <c r="H236" s="17">
        <f t="shared" si="186"/>
        <v>20</v>
      </c>
      <c r="I236" s="29">
        <f t="shared" si="147"/>
        <v>0</v>
      </c>
      <c r="J236" s="211">
        <f>IFERROR(VLOOKUP(H236,Charges!$T$6:$U$35,2,0)*C236,0)</f>
        <v>0</v>
      </c>
      <c r="K236" s="29">
        <f t="shared" si="148"/>
        <v>0</v>
      </c>
      <c r="L236" s="29">
        <f t="shared" si="149"/>
        <v>0</v>
      </c>
      <c r="M236" s="147">
        <f t="shared" ca="1" si="150"/>
        <v>0</v>
      </c>
      <c r="N236" s="148">
        <f ca="1">IF(AND(Option_SPW="Y",H236&gt;=Lock_In_Period,Z235&gt;SPW_Amount_pa+IF(option="Single",1/5*pr,2*pr),H236&gt;=SPW_Start_Year,H236&lt;=SPW_Start_Year+SPW_Duration-1,age+H236&gt;=Legal_Age),IF(AND(F236=0,SPW_Payout_Freq=1),SPW_Amount_pa,IF(AND(SPW_Payout_Freq=2,MOD(F236,6)=0),SPW_Amount_pa/SPW_Payout_Freq,IF(AND(SPW_Payout_Freq=4,MOD(F236,3)=0),SPW_Amount_pa/SPW_Payout_Freq,IF(SPW_Payout_Freq=12,SPW_Amount_pa/SPW_Payout_Freq,0)))),0)+IFERROR(VLOOKUP(H236,Input!$B$68:$C$74,2,0),0)*(F236=0)*(Option_PW="Y")*(Option_SPW="N")*(age+H236&gt;=Legal_Age)</f>
        <v>0</v>
      </c>
      <c r="O236" s="148">
        <f t="shared" ca="1" si="176"/>
        <v>0</v>
      </c>
      <c r="P236" s="14">
        <f ca="1">(MAX(MAX(sa-CF235*Flag_UL_Type,105%*SUM($I$7:I236))-(AD235+L236-N236)*Flag_UL_Type,0)*B236)</f>
        <v>0</v>
      </c>
      <c r="Q236" s="213">
        <f t="shared" si="151"/>
        <v>0</v>
      </c>
      <c r="R236" s="14">
        <f t="shared" ca="1" si="152"/>
        <v>0</v>
      </c>
      <c r="S236" s="14">
        <f t="shared" ca="1" si="153"/>
        <v>0</v>
      </c>
      <c r="T236" s="14">
        <f>IFERROR(IF(WoP_Flag="Y",IF(fq=1,VLOOKUP(ppt*fq-H236,Charges!$AN$41:$AO$59,2,FALSE),IF(fq=2,VLOOKUP(ppt*fq-G236,Charges!$AP$41:$AQ$79,2,FALSE),VLOOKUP(ppt*fq-D236,Charges!$AR$41:$AS$279,2,FALSE)))*pr/fq,0),0)</f>
        <v>0</v>
      </c>
      <c r="U236" s="14">
        <f ca="1">IFERROR(((T236*(VLOOKUP(Input!$D$18+H236-1,Tab_Mort_Charge,IF(Gender_2="M",2,3),FALSE)*(1+_emr2)+_rpm2)/IF(Model_Type="LA_PQIS",1000/0.0833,(12*1000))))*Flag_Mort_Rider_Charge*(T236&gt;0),0)</f>
        <v>0</v>
      </c>
      <c r="V236" s="34">
        <f>ROUND(MIN(IF(H236&gt;=7,Charges!$C$12*(1+Charges!$C$14)^((H236-7+1)),VLOOKUP(H236,Charges!$B$7:$C$12,2,0))*pr,Charges!$C$13)*B236,Round)</f>
        <v>0</v>
      </c>
      <c r="W236" s="14">
        <f t="shared" ca="1" si="154"/>
        <v>0</v>
      </c>
      <c r="X236" s="14">
        <f t="shared" ca="1" si="155"/>
        <v>0</v>
      </c>
      <c r="Y236" s="213">
        <f t="shared" ca="1" si="177"/>
        <v>0</v>
      </c>
      <c r="Z236" s="14">
        <f t="shared" ca="1" si="156"/>
        <v>0</v>
      </c>
      <c r="AA236" s="14">
        <f>IF(AND($H236=pt,$F236=11),SUM($K$7:K236)*VLOOKUP(pt,ROC,2,FALSE),0)</f>
        <v>0</v>
      </c>
      <c r="AB236" s="14">
        <f>IF(AND($H236=pt,$F236=11),SUM($V$7:V236)*VLOOKUP(pt,ROC,2,FALSE),0)</f>
        <v>0</v>
      </c>
      <c r="AC236" s="14">
        <f>IF(AND($H236=pt,$F236=11),SUM($Q$7:Q236)*VLOOKUP(pt,ROC,2,FALSE),0)</f>
        <v>0</v>
      </c>
      <c r="AD236" s="14">
        <f t="shared" ca="1" si="178"/>
        <v>0</v>
      </c>
      <c r="AE236" s="14">
        <f ca="1">(MAX(sa-CF235*Flag_UL_Type,105%*SUM($I$7:I236),Z236)+AU236)*B236</f>
        <v>0</v>
      </c>
      <c r="AF236" s="136"/>
      <c r="AG236" s="18">
        <v>230</v>
      </c>
      <c r="AH236" s="30">
        <f t="shared" ca="1" si="157"/>
        <v>0</v>
      </c>
      <c r="AI236" s="58"/>
      <c r="AJ236" s="50">
        <f>IF(AND(Option_Sys_TopUp&gt;="Y",H236&gt;=sytp,H236&lt;=(dtp+sytp-1),F236=0,H236&lt;=ppt+1),atp,0)+IFERROR(VLOOKUP(H236,Input!$B$55:$C$61,2,0),0)*(F236=0)*(Option_TopUP="Y")*(Option_Sys_TopUp="N")*B236*(pt&gt;=H236+5)</f>
        <v>0</v>
      </c>
      <c r="AK236" s="50">
        <f t="shared" si="158"/>
        <v>0</v>
      </c>
      <c r="AL236" s="50">
        <f t="shared" si="179"/>
        <v>0</v>
      </c>
      <c r="AM236" s="50">
        <f t="shared" ca="1" si="159"/>
        <v>0</v>
      </c>
      <c r="AN236" s="50">
        <f>IF(B236=0,0,AT236*(_rpm1+(1+_emr1)*VLOOKUP(E236,Tab_Mort_Charge,IF(Input!$C$12="M",2,3),0))*(0.001*0.0833)*Flag_Mort_Rider_Charge*(AT236&gt;0))</f>
        <v>0</v>
      </c>
      <c r="AO236" s="50">
        <f t="shared" ca="1" si="180"/>
        <v>0</v>
      </c>
      <c r="AP236" s="50">
        <f t="shared" ca="1" si="187"/>
        <v>0</v>
      </c>
      <c r="AQ236" s="50">
        <f t="shared" ca="1" si="160"/>
        <v>0</v>
      </c>
      <c r="AR236" s="50">
        <f t="shared" ca="1" si="161"/>
        <v>0</v>
      </c>
      <c r="AS236" s="50">
        <f t="shared" si="162"/>
        <v>0</v>
      </c>
      <c r="AT236" s="50">
        <f ca="1">(MAX((MAX(AS236,105%*SUM($AJ$7:AJ236))-AM236*Flag_UL_Type),0)*B236)</f>
        <v>0</v>
      </c>
      <c r="AU236" s="50">
        <f ca="1">(MAX(AS236,AR236,105%*SUM($AJ$7:AJ236))*B236)</f>
        <v>0</v>
      </c>
      <c r="AV236" s="125"/>
      <c r="AW236" s="13"/>
      <c r="AX236" s="13"/>
      <c r="AY236" s="13"/>
      <c r="AZ236" s="13"/>
      <c r="BA236" s="13"/>
      <c r="BG236" s="51">
        <f t="shared" si="163"/>
        <v>0</v>
      </c>
      <c r="BH236" s="51">
        <f t="shared" si="164"/>
        <v>0</v>
      </c>
      <c r="BI236" s="51">
        <f t="shared" ca="1" si="165"/>
        <v>0</v>
      </c>
      <c r="BJ236" s="51">
        <f t="shared" ca="1" si="166"/>
        <v>0</v>
      </c>
      <c r="BK236" s="51">
        <f t="shared" si="167"/>
        <v>0</v>
      </c>
      <c r="BL236" s="51">
        <f t="shared" ca="1" si="168"/>
        <v>0</v>
      </c>
      <c r="BM236" s="51">
        <f t="shared" si="169"/>
        <v>0</v>
      </c>
      <c r="BN236" s="51">
        <f t="shared" si="170"/>
        <v>0</v>
      </c>
      <c r="BO236" s="51">
        <f t="shared" ca="1" si="171"/>
        <v>0</v>
      </c>
      <c r="BP236" s="51">
        <f t="shared" ca="1" si="172"/>
        <v>0</v>
      </c>
      <c r="BQ236" s="120"/>
      <c r="BR236" s="32"/>
      <c r="BS236" s="126"/>
      <c r="BT236" s="16"/>
      <c r="BU236" s="58"/>
      <c r="BW236" s="51">
        <f>VLOOKUP(H236,Charges!$AT$4:$AU$33,2,FALSE)*I236</f>
        <v>0</v>
      </c>
      <c r="BX236" s="51">
        <f t="shared" si="173"/>
        <v>0</v>
      </c>
      <c r="BY236" s="51">
        <f t="shared" si="181"/>
        <v>0</v>
      </c>
      <c r="BZ236" s="151"/>
      <c r="CA236" s="151"/>
      <c r="CB236" s="32"/>
      <c r="CC236" s="16">
        <f ca="1">SUM($N$7:$N236)</f>
        <v>0</v>
      </c>
      <c r="CD236" s="16">
        <f t="shared" ca="1" si="174"/>
        <v>0</v>
      </c>
      <c r="CE236" s="16">
        <f t="shared" ca="1" si="175"/>
        <v>0</v>
      </c>
      <c r="CF236" s="7">
        <f t="shared" ca="1" si="182"/>
        <v>0</v>
      </c>
    </row>
    <row r="237" spans="1:84" s="7" customFormat="1" x14ac:dyDescent="0.2">
      <c r="A237" s="149"/>
      <c r="B237" s="14">
        <f t="shared" si="144"/>
        <v>0</v>
      </c>
      <c r="C237" s="12">
        <f t="shared" si="145"/>
        <v>0</v>
      </c>
      <c r="D237" s="17">
        <f t="shared" si="183"/>
        <v>231</v>
      </c>
      <c r="E237" s="17">
        <f t="shared" ca="1" si="146"/>
        <v>79</v>
      </c>
      <c r="F237" s="12">
        <f t="shared" si="185"/>
        <v>2</v>
      </c>
      <c r="G237" s="12">
        <f t="shared" si="184"/>
        <v>39</v>
      </c>
      <c r="H237" s="17">
        <f t="shared" si="186"/>
        <v>20</v>
      </c>
      <c r="I237" s="29">
        <f t="shared" si="147"/>
        <v>0</v>
      </c>
      <c r="J237" s="211">
        <f>IFERROR(VLOOKUP(H237,Charges!$T$6:$U$35,2,0)*C237,0)</f>
        <v>0</v>
      </c>
      <c r="K237" s="29">
        <f t="shared" si="148"/>
        <v>0</v>
      </c>
      <c r="L237" s="29">
        <f t="shared" si="149"/>
        <v>0</v>
      </c>
      <c r="M237" s="147">
        <f t="shared" ca="1" si="150"/>
        <v>0</v>
      </c>
      <c r="N237" s="148">
        <f ca="1">IF(AND(Option_SPW="Y",H237&gt;=Lock_In_Period,Z236&gt;SPW_Amount_pa+IF(option="Single",1/5*pr,2*pr),H237&gt;=SPW_Start_Year,H237&lt;=SPW_Start_Year+SPW_Duration-1,age+H237&gt;=Legal_Age),IF(AND(F237=0,SPW_Payout_Freq=1),SPW_Amount_pa,IF(AND(SPW_Payout_Freq=2,MOD(F237,6)=0),SPW_Amount_pa/SPW_Payout_Freq,IF(AND(SPW_Payout_Freq=4,MOD(F237,3)=0),SPW_Amount_pa/SPW_Payout_Freq,IF(SPW_Payout_Freq=12,SPW_Amount_pa/SPW_Payout_Freq,0)))),0)+IFERROR(VLOOKUP(H237,Input!$B$68:$C$74,2,0),0)*(F237=0)*(Option_PW="Y")*(Option_SPW="N")*(age+H237&gt;=Legal_Age)</f>
        <v>0</v>
      </c>
      <c r="O237" s="148">
        <f t="shared" ca="1" si="176"/>
        <v>0</v>
      </c>
      <c r="P237" s="14">
        <f ca="1">(MAX(MAX(sa-CF236*Flag_UL_Type,105%*SUM($I$7:I237))-(AD236+L237-N237)*Flag_UL_Type,0)*B237)</f>
        <v>0</v>
      </c>
      <c r="Q237" s="213">
        <f t="shared" si="151"/>
        <v>0</v>
      </c>
      <c r="R237" s="14">
        <f t="shared" ca="1" si="152"/>
        <v>0</v>
      </c>
      <c r="S237" s="14">
        <f t="shared" ca="1" si="153"/>
        <v>0</v>
      </c>
      <c r="T237" s="14">
        <f>IFERROR(IF(WoP_Flag="Y",IF(fq=1,VLOOKUP(ppt*fq-H237,Charges!$AN$41:$AO$59,2,FALSE),IF(fq=2,VLOOKUP(ppt*fq-G237,Charges!$AP$41:$AQ$79,2,FALSE),VLOOKUP(ppt*fq-D237,Charges!$AR$41:$AS$279,2,FALSE)))*pr/fq,0),0)</f>
        <v>0</v>
      </c>
      <c r="U237" s="14">
        <f ca="1">IFERROR(((T237*(VLOOKUP(Input!$D$18+H237-1,Tab_Mort_Charge,IF(Gender_2="M",2,3),FALSE)*(1+_emr2)+_rpm2)/IF(Model_Type="LA_PQIS",1000/0.0833,(12*1000))))*Flag_Mort_Rider_Charge*(T237&gt;0),0)</f>
        <v>0</v>
      </c>
      <c r="V237" s="34">
        <f>ROUND(MIN(IF(H237&gt;=7,Charges!$C$12*(1+Charges!$C$14)^((H237-7+1)),VLOOKUP(H237,Charges!$B$7:$C$12,2,0))*pr,Charges!$C$13)*B237,Round)</f>
        <v>0</v>
      </c>
      <c r="W237" s="14">
        <f t="shared" ca="1" si="154"/>
        <v>0</v>
      </c>
      <c r="X237" s="14">
        <f t="shared" ca="1" si="155"/>
        <v>0</v>
      </c>
      <c r="Y237" s="213">
        <f t="shared" ca="1" si="177"/>
        <v>0</v>
      </c>
      <c r="Z237" s="14">
        <f t="shared" ca="1" si="156"/>
        <v>0</v>
      </c>
      <c r="AA237" s="14">
        <f>IF(AND($H237=pt,$F237=11),SUM($K$7:K237)*VLOOKUP(pt,ROC,2,FALSE),0)</f>
        <v>0</v>
      </c>
      <c r="AB237" s="14">
        <f>IF(AND($H237=pt,$F237=11),SUM($V$7:V237)*VLOOKUP(pt,ROC,2,FALSE),0)</f>
        <v>0</v>
      </c>
      <c r="AC237" s="14">
        <f>IF(AND($H237=pt,$F237=11),SUM($Q$7:Q237)*VLOOKUP(pt,ROC,2,FALSE),0)</f>
        <v>0</v>
      </c>
      <c r="AD237" s="14">
        <f t="shared" ca="1" si="178"/>
        <v>0</v>
      </c>
      <c r="AE237" s="14">
        <f ca="1">(MAX(sa-CF236*Flag_UL_Type,105%*SUM($I$7:I237),Z237)+AU237)*B237</f>
        <v>0</v>
      </c>
      <c r="AF237" s="136"/>
      <c r="AG237" s="18">
        <v>231</v>
      </c>
      <c r="AH237" s="30">
        <f t="shared" ca="1" si="157"/>
        <v>0</v>
      </c>
      <c r="AI237" s="58"/>
      <c r="AJ237" s="50">
        <f>IF(AND(Option_Sys_TopUp&gt;="Y",H237&gt;=sytp,H237&lt;=(dtp+sytp-1),F237=0,H237&lt;=ppt+1),atp,0)+IFERROR(VLOOKUP(H237,Input!$B$55:$C$61,2,0),0)*(F237=0)*(Option_TopUP="Y")*(Option_Sys_TopUp="N")*B237*(pt&gt;=H237+5)</f>
        <v>0</v>
      </c>
      <c r="AK237" s="50">
        <f t="shared" si="158"/>
        <v>0</v>
      </c>
      <c r="AL237" s="50">
        <f t="shared" si="179"/>
        <v>0</v>
      </c>
      <c r="AM237" s="50">
        <f t="shared" ca="1" si="159"/>
        <v>0</v>
      </c>
      <c r="AN237" s="50">
        <f>IF(B237=0,0,AT237*(_rpm1+(1+_emr1)*VLOOKUP(E237,Tab_Mort_Charge,IF(Input!$C$12="M",2,3),0))*(0.001*0.0833)*Flag_Mort_Rider_Charge*(AT237&gt;0))</f>
        <v>0</v>
      </c>
      <c r="AO237" s="50">
        <f t="shared" ca="1" si="180"/>
        <v>0</v>
      </c>
      <c r="AP237" s="50">
        <f t="shared" ca="1" si="187"/>
        <v>0</v>
      </c>
      <c r="AQ237" s="50">
        <f t="shared" ca="1" si="160"/>
        <v>0</v>
      </c>
      <c r="AR237" s="50">
        <f t="shared" ca="1" si="161"/>
        <v>0</v>
      </c>
      <c r="AS237" s="50">
        <f t="shared" si="162"/>
        <v>0</v>
      </c>
      <c r="AT237" s="50">
        <f ca="1">(MAX((MAX(AS237,105%*SUM($AJ$7:AJ237))-AM237*Flag_UL_Type),0)*B237)</f>
        <v>0</v>
      </c>
      <c r="AU237" s="50">
        <f ca="1">(MAX(AS237,AR237,105%*SUM($AJ$7:AJ237))*B237)</f>
        <v>0</v>
      </c>
      <c r="AV237" s="125"/>
      <c r="AW237" s="13"/>
      <c r="AX237" s="13"/>
      <c r="AY237" s="13"/>
      <c r="AZ237" s="13"/>
      <c r="BA237" s="13"/>
      <c r="BG237" s="51">
        <f t="shared" si="163"/>
        <v>0</v>
      </c>
      <c r="BH237" s="51">
        <f t="shared" si="164"/>
        <v>0</v>
      </c>
      <c r="BI237" s="51">
        <f t="shared" ca="1" si="165"/>
        <v>0</v>
      </c>
      <c r="BJ237" s="51">
        <f t="shared" ca="1" si="166"/>
        <v>0</v>
      </c>
      <c r="BK237" s="51">
        <f t="shared" si="167"/>
        <v>0</v>
      </c>
      <c r="BL237" s="51">
        <f t="shared" ca="1" si="168"/>
        <v>0</v>
      </c>
      <c r="BM237" s="51">
        <f t="shared" si="169"/>
        <v>0</v>
      </c>
      <c r="BN237" s="51">
        <f t="shared" si="170"/>
        <v>0</v>
      </c>
      <c r="BO237" s="51">
        <f t="shared" ca="1" si="171"/>
        <v>0</v>
      </c>
      <c r="BP237" s="51">
        <f t="shared" ca="1" si="172"/>
        <v>0</v>
      </c>
      <c r="BQ237" s="120"/>
      <c r="BR237" s="32"/>
      <c r="BS237" s="126"/>
      <c r="BT237" s="16"/>
      <c r="BU237" s="58"/>
      <c r="BW237" s="51">
        <f>VLOOKUP(H237,Charges!$AT$4:$AU$33,2,FALSE)*I237</f>
        <v>0</v>
      </c>
      <c r="BX237" s="51">
        <f t="shared" si="173"/>
        <v>0</v>
      </c>
      <c r="BY237" s="51">
        <f t="shared" si="181"/>
        <v>0</v>
      </c>
      <c r="BZ237" s="151"/>
      <c r="CA237" s="151"/>
      <c r="CB237" s="32"/>
      <c r="CC237" s="16">
        <f ca="1">SUM($N$7:$N237)</f>
        <v>0</v>
      </c>
      <c r="CD237" s="16">
        <f t="shared" ca="1" si="174"/>
        <v>0</v>
      </c>
      <c r="CE237" s="16">
        <f t="shared" ca="1" si="175"/>
        <v>0</v>
      </c>
      <c r="CF237" s="7">
        <f t="shared" ca="1" si="182"/>
        <v>0</v>
      </c>
    </row>
    <row r="238" spans="1:84" s="7" customFormat="1" x14ac:dyDescent="0.2">
      <c r="A238" s="149"/>
      <c r="B238" s="14">
        <f t="shared" si="144"/>
        <v>0</v>
      </c>
      <c r="C238" s="12">
        <f t="shared" si="145"/>
        <v>0</v>
      </c>
      <c r="D238" s="17">
        <f t="shared" si="183"/>
        <v>232</v>
      </c>
      <c r="E238" s="17">
        <f t="shared" ca="1" si="146"/>
        <v>79</v>
      </c>
      <c r="F238" s="12">
        <f t="shared" si="185"/>
        <v>3</v>
      </c>
      <c r="G238" s="12">
        <f t="shared" si="184"/>
        <v>39</v>
      </c>
      <c r="H238" s="17">
        <f t="shared" si="186"/>
        <v>20</v>
      </c>
      <c r="I238" s="29">
        <f t="shared" si="147"/>
        <v>0</v>
      </c>
      <c r="J238" s="211">
        <f>IFERROR(VLOOKUP(H238,Charges!$T$6:$U$35,2,0)*C238,0)</f>
        <v>0</v>
      </c>
      <c r="K238" s="29">
        <f t="shared" si="148"/>
        <v>0</v>
      </c>
      <c r="L238" s="29">
        <f t="shared" si="149"/>
        <v>0</v>
      </c>
      <c r="M238" s="147">
        <f t="shared" ca="1" si="150"/>
        <v>0</v>
      </c>
      <c r="N238" s="148">
        <f ca="1">IF(AND(Option_SPW="Y",H238&gt;=Lock_In_Period,Z237&gt;SPW_Amount_pa+IF(option="Single",1/5*pr,2*pr),H238&gt;=SPW_Start_Year,H238&lt;=SPW_Start_Year+SPW_Duration-1,age+H238&gt;=Legal_Age),IF(AND(F238=0,SPW_Payout_Freq=1),SPW_Amount_pa,IF(AND(SPW_Payout_Freq=2,MOD(F238,6)=0),SPW_Amount_pa/SPW_Payout_Freq,IF(AND(SPW_Payout_Freq=4,MOD(F238,3)=0),SPW_Amount_pa/SPW_Payout_Freq,IF(SPW_Payout_Freq=12,SPW_Amount_pa/SPW_Payout_Freq,0)))),0)+IFERROR(VLOOKUP(H238,Input!$B$68:$C$74,2,0),0)*(F238=0)*(Option_PW="Y")*(Option_SPW="N")*(age+H238&gt;=Legal_Age)</f>
        <v>0</v>
      </c>
      <c r="O238" s="148">
        <f t="shared" ca="1" si="176"/>
        <v>0</v>
      </c>
      <c r="P238" s="14">
        <f ca="1">(MAX(MAX(sa-CF237*Flag_UL_Type,105%*SUM($I$7:I238))-(AD237+L238-N238)*Flag_UL_Type,0)*B238)</f>
        <v>0</v>
      </c>
      <c r="Q238" s="213">
        <f t="shared" si="151"/>
        <v>0</v>
      </c>
      <c r="R238" s="14">
        <f t="shared" ca="1" si="152"/>
        <v>0</v>
      </c>
      <c r="S238" s="14">
        <f t="shared" ca="1" si="153"/>
        <v>0</v>
      </c>
      <c r="T238" s="14">
        <f>IFERROR(IF(WoP_Flag="Y",IF(fq=1,VLOOKUP(ppt*fq-H238,Charges!$AN$41:$AO$59,2,FALSE),IF(fq=2,VLOOKUP(ppt*fq-G238,Charges!$AP$41:$AQ$79,2,FALSE),VLOOKUP(ppt*fq-D238,Charges!$AR$41:$AS$279,2,FALSE)))*pr/fq,0),0)</f>
        <v>0</v>
      </c>
      <c r="U238" s="14">
        <f ca="1">IFERROR(((T238*(VLOOKUP(Input!$D$18+H238-1,Tab_Mort_Charge,IF(Gender_2="M",2,3),FALSE)*(1+_emr2)+_rpm2)/IF(Model_Type="LA_PQIS",1000/0.0833,(12*1000))))*Flag_Mort_Rider_Charge*(T238&gt;0),0)</f>
        <v>0</v>
      </c>
      <c r="V238" s="34">
        <f>ROUND(MIN(IF(H238&gt;=7,Charges!$C$12*(1+Charges!$C$14)^((H238-7+1)),VLOOKUP(H238,Charges!$B$7:$C$12,2,0))*pr,Charges!$C$13)*B238,Round)</f>
        <v>0</v>
      </c>
      <c r="W238" s="14">
        <f t="shared" ca="1" si="154"/>
        <v>0</v>
      </c>
      <c r="X238" s="14">
        <f t="shared" ca="1" si="155"/>
        <v>0</v>
      </c>
      <c r="Y238" s="213">
        <f t="shared" ca="1" si="177"/>
        <v>0</v>
      </c>
      <c r="Z238" s="14">
        <f t="shared" ca="1" si="156"/>
        <v>0</v>
      </c>
      <c r="AA238" s="14">
        <f>IF(AND($H238=pt,$F238=11),SUM($K$7:K238)*VLOOKUP(pt,ROC,2,FALSE),0)</f>
        <v>0</v>
      </c>
      <c r="AB238" s="14">
        <f>IF(AND($H238=pt,$F238=11),SUM($V$7:V238)*VLOOKUP(pt,ROC,2,FALSE),0)</f>
        <v>0</v>
      </c>
      <c r="AC238" s="14">
        <f>IF(AND($H238=pt,$F238=11),SUM($Q$7:Q238)*VLOOKUP(pt,ROC,2,FALSE),0)</f>
        <v>0</v>
      </c>
      <c r="AD238" s="14">
        <f t="shared" ca="1" si="178"/>
        <v>0</v>
      </c>
      <c r="AE238" s="14">
        <f ca="1">(MAX(sa-CF237*Flag_UL_Type,105%*SUM($I$7:I238),Z238)+AU238)*B238</f>
        <v>0</v>
      </c>
      <c r="AF238" s="136"/>
      <c r="AG238" s="18">
        <v>232</v>
      </c>
      <c r="AH238" s="30">
        <f t="shared" ca="1" si="157"/>
        <v>0</v>
      </c>
      <c r="AI238" s="58"/>
      <c r="AJ238" s="50">
        <f>IF(AND(Option_Sys_TopUp&gt;="Y",H238&gt;=sytp,H238&lt;=(dtp+sytp-1),F238=0,H238&lt;=ppt+1),atp,0)+IFERROR(VLOOKUP(H238,Input!$B$55:$C$61,2,0),0)*(F238=0)*(Option_TopUP="Y")*(Option_Sys_TopUp="N")*B238*(pt&gt;=H238+5)</f>
        <v>0</v>
      </c>
      <c r="AK238" s="50">
        <f t="shared" si="158"/>
        <v>0</v>
      </c>
      <c r="AL238" s="50">
        <f t="shared" si="179"/>
        <v>0</v>
      </c>
      <c r="AM238" s="50">
        <f t="shared" ca="1" si="159"/>
        <v>0</v>
      </c>
      <c r="AN238" s="50">
        <f>IF(B238=0,0,AT238*(_rpm1+(1+_emr1)*VLOOKUP(E238,Tab_Mort_Charge,IF(Input!$C$12="M",2,3),0))*(0.001*0.0833)*Flag_Mort_Rider_Charge*(AT238&gt;0))</f>
        <v>0</v>
      </c>
      <c r="AO238" s="50">
        <f t="shared" ca="1" si="180"/>
        <v>0</v>
      </c>
      <c r="AP238" s="50">
        <f t="shared" ca="1" si="187"/>
        <v>0</v>
      </c>
      <c r="AQ238" s="50">
        <f t="shared" ca="1" si="160"/>
        <v>0</v>
      </c>
      <c r="AR238" s="50">
        <f t="shared" ca="1" si="161"/>
        <v>0</v>
      </c>
      <c r="AS238" s="50">
        <f t="shared" si="162"/>
        <v>0</v>
      </c>
      <c r="AT238" s="50">
        <f ca="1">(MAX((MAX(AS238,105%*SUM($AJ$7:AJ238))-AM238*Flag_UL_Type),0)*B238)</f>
        <v>0</v>
      </c>
      <c r="AU238" s="50">
        <f ca="1">(MAX(AS238,AR238,105%*SUM($AJ$7:AJ238))*B238)</f>
        <v>0</v>
      </c>
      <c r="AV238" s="125"/>
      <c r="AW238" s="13"/>
      <c r="AX238" s="13"/>
      <c r="AY238" s="13"/>
      <c r="AZ238" s="13"/>
      <c r="BA238" s="13"/>
      <c r="BG238" s="51">
        <f t="shared" si="163"/>
        <v>0</v>
      </c>
      <c r="BH238" s="51">
        <f t="shared" si="164"/>
        <v>0</v>
      </c>
      <c r="BI238" s="51">
        <f t="shared" ca="1" si="165"/>
        <v>0</v>
      </c>
      <c r="BJ238" s="51">
        <f t="shared" ca="1" si="166"/>
        <v>0</v>
      </c>
      <c r="BK238" s="51">
        <f t="shared" si="167"/>
        <v>0</v>
      </c>
      <c r="BL238" s="51">
        <f t="shared" ca="1" si="168"/>
        <v>0</v>
      </c>
      <c r="BM238" s="51">
        <f t="shared" si="169"/>
        <v>0</v>
      </c>
      <c r="BN238" s="51">
        <f t="shared" si="170"/>
        <v>0</v>
      </c>
      <c r="BO238" s="51">
        <f t="shared" ca="1" si="171"/>
        <v>0</v>
      </c>
      <c r="BP238" s="51">
        <f t="shared" ca="1" si="172"/>
        <v>0</v>
      </c>
      <c r="BQ238" s="120"/>
      <c r="BR238" s="32"/>
      <c r="BS238" s="126"/>
      <c r="BT238" s="16"/>
      <c r="BU238" s="58"/>
      <c r="BW238" s="51">
        <f>VLOOKUP(H238,Charges!$AT$4:$AU$33,2,FALSE)*I238</f>
        <v>0</v>
      </c>
      <c r="BX238" s="51">
        <f t="shared" si="173"/>
        <v>0</v>
      </c>
      <c r="BY238" s="51">
        <f t="shared" si="181"/>
        <v>0</v>
      </c>
      <c r="BZ238" s="151"/>
      <c r="CA238" s="151"/>
      <c r="CB238" s="32"/>
      <c r="CC238" s="16">
        <f ca="1">SUM($N$7:$N238)</f>
        <v>0</v>
      </c>
      <c r="CD238" s="16">
        <f t="shared" ca="1" si="174"/>
        <v>0</v>
      </c>
      <c r="CE238" s="16">
        <f t="shared" ca="1" si="175"/>
        <v>0</v>
      </c>
      <c r="CF238" s="7">
        <f t="shared" ca="1" si="182"/>
        <v>0</v>
      </c>
    </row>
    <row r="239" spans="1:84" s="7" customFormat="1" x14ac:dyDescent="0.2">
      <c r="A239" s="149"/>
      <c r="B239" s="14">
        <f t="shared" si="144"/>
        <v>0</v>
      </c>
      <c r="C239" s="12">
        <f t="shared" si="145"/>
        <v>0</v>
      </c>
      <c r="D239" s="17">
        <f t="shared" si="183"/>
        <v>233</v>
      </c>
      <c r="E239" s="17">
        <f t="shared" ca="1" si="146"/>
        <v>79</v>
      </c>
      <c r="F239" s="12">
        <f t="shared" si="185"/>
        <v>4</v>
      </c>
      <c r="G239" s="12">
        <f t="shared" si="184"/>
        <v>39</v>
      </c>
      <c r="H239" s="17">
        <f t="shared" si="186"/>
        <v>20</v>
      </c>
      <c r="I239" s="29">
        <f t="shared" si="147"/>
        <v>0</v>
      </c>
      <c r="J239" s="211">
        <f>IFERROR(VLOOKUP(H239,Charges!$T$6:$U$35,2,0)*C239,0)</f>
        <v>0</v>
      </c>
      <c r="K239" s="29">
        <f t="shared" si="148"/>
        <v>0</v>
      </c>
      <c r="L239" s="29">
        <f t="shared" si="149"/>
        <v>0</v>
      </c>
      <c r="M239" s="147">
        <f t="shared" ca="1" si="150"/>
        <v>0</v>
      </c>
      <c r="N239" s="148">
        <f ca="1">IF(AND(Option_SPW="Y",H239&gt;=Lock_In_Period,Z238&gt;SPW_Amount_pa+IF(option="Single",1/5*pr,2*pr),H239&gt;=SPW_Start_Year,H239&lt;=SPW_Start_Year+SPW_Duration-1,age+H239&gt;=Legal_Age),IF(AND(F239=0,SPW_Payout_Freq=1),SPW_Amount_pa,IF(AND(SPW_Payout_Freq=2,MOD(F239,6)=0),SPW_Amount_pa/SPW_Payout_Freq,IF(AND(SPW_Payout_Freq=4,MOD(F239,3)=0),SPW_Amount_pa/SPW_Payout_Freq,IF(SPW_Payout_Freq=12,SPW_Amount_pa/SPW_Payout_Freq,0)))),0)+IFERROR(VLOOKUP(H239,Input!$B$68:$C$74,2,0),0)*(F239=0)*(Option_PW="Y")*(Option_SPW="N")*(age+H239&gt;=Legal_Age)</f>
        <v>0</v>
      </c>
      <c r="O239" s="148">
        <f t="shared" ca="1" si="176"/>
        <v>0</v>
      </c>
      <c r="P239" s="14">
        <f ca="1">(MAX(MAX(sa-CF238*Flag_UL_Type,105%*SUM($I$7:I239))-(AD238+L239-N239)*Flag_UL_Type,0)*B239)</f>
        <v>0</v>
      </c>
      <c r="Q239" s="213">
        <f t="shared" si="151"/>
        <v>0</v>
      </c>
      <c r="R239" s="14">
        <f t="shared" ca="1" si="152"/>
        <v>0</v>
      </c>
      <c r="S239" s="14">
        <f t="shared" ca="1" si="153"/>
        <v>0</v>
      </c>
      <c r="T239" s="14">
        <f>IFERROR(IF(WoP_Flag="Y",IF(fq=1,VLOOKUP(ppt*fq-H239,Charges!$AN$41:$AO$59,2,FALSE),IF(fq=2,VLOOKUP(ppt*fq-G239,Charges!$AP$41:$AQ$79,2,FALSE),VLOOKUP(ppt*fq-D239,Charges!$AR$41:$AS$279,2,FALSE)))*pr/fq,0),0)</f>
        <v>0</v>
      </c>
      <c r="U239" s="14">
        <f ca="1">IFERROR(((T239*(VLOOKUP(Input!$D$18+H239-1,Tab_Mort_Charge,IF(Gender_2="M",2,3),FALSE)*(1+_emr2)+_rpm2)/IF(Model_Type="LA_PQIS",1000/0.0833,(12*1000))))*Flag_Mort_Rider_Charge*(T239&gt;0),0)</f>
        <v>0</v>
      </c>
      <c r="V239" s="34">
        <f>ROUND(MIN(IF(H239&gt;=7,Charges!$C$12*(1+Charges!$C$14)^((H239-7+1)),VLOOKUP(H239,Charges!$B$7:$C$12,2,0))*pr,Charges!$C$13)*B239,Round)</f>
        <v>0</v>
      </c>
      <c r="W239" s="14">
        <f t="shared" ca="1" si="154"/>
        <v>0</v>
      </c>
      <c r="X239" s="14">
        <f t="shared" ca="1" si="155"/>
        <v>0</v>
      </c>
      <c r="Y239" s="213">
        <f t="shared" ca="1" si="177"/>
        <v>0</v>
      </c>
      <c r="Z239" s="14">
        <f t="shared" ca="1" si="156"/>
        <v>0</v>
      </c>
      <c r="AA239" s="14">
        <f>IF(AND($H239=pt,$F239=11),SUM($K$7:K239)*VLOOKUP(pt,ROC,2,FALSE),0)</f>
        <v>0</v>
      </c>
      <c r="AB239" s="14">
        <f>IF(AND($H239=pt,$F239=11),SUM($V$7:V239)*VLOOKUP(pt,ROC,2,FALSE),0)</f>
        <v>0</v>
      </c>
      <c r="AC239" s="14">
        <f>IF(AND($H239=pt,$F239=11),SUM($Q$7:Q239)*VLOOKUP(pt,ROC,2,FALSE),0)</f>
        <v>0</v>
      </c>
      <c r="AD239" s="14">
        <f t="shared" ca="1" si="178"/>
        <v>0</v>
      </c>
      <c r="AE239" s="14">
        <f ca="1">(MAX(sa-CF238*Flag_UL_Type,105%*SUM($I$7:I239),Z239)+AU239)*B239</f>
        <v>0</v>
      </c>
      <c r="AF239" s="136"/>
      <c r="AG239" s="18">
        <v>233</v>
      </c>
      <c r="AH239" s="30">
        <f t="shared" ca="1" si="157"/>
        <v>0</v>
      </c>
      <c r="AI239" s="58"/>
      <c r="AJ239" s="50">
        <f>IF(AND(Option_Sys_TopUp&gt;="Y",H239&gt;=sytp,H239&lt;=(dtp+sytp-1),F239=0,H239&lt;=ppt+1),atp,0)+IFERROR(VLOOKUP(H239,Input!$B$55:$C$61,2,0),0)*(F239=0)*(Option_TopUP="Y")*(Option_Sys_TopUp="N")*B239*(pt&gt;=H239+5)</f>
        <v>0</v>
      </c>
      <c r="AK239" s="50">
        <f t="shared" si="158"/>
        <v>0</v>
      </c>
      <c r="AL239" s="50">
        <f t="shared" si="179"/>
        <v>0</v>
      </c>
      <c r="AM239" s="50">
        <f t="shared" ca="1" si="159"/>
        <v>0</v>
      </c>
      <c r="AN239" s="50">
        <f>IF(B239=0,0,AT239*(_rpm1+(1+_emr1)*VLOOKUP(E239,Tab_Mort_Charge,IF(Input!$C$12="M",2,3),0))*(0.001*0.0833)*Flag_Mort_Rider_Charge*(AT239&gt;0))</f>
        <v>0</v>
      </c>
      <c r="AO239" s="50">
        <f t="shared" ca="1" si="180"/>
        <v>0</v>
      </c>
      <c r="AP239" s="50">
        <f t="shared" ca="1" si="187"/>
        <v>0</v>
      </c>
      <c r="AQ239" s="50">
        <f t="shared" ca="1" si="160"/>
        <v>0</v>
      </c>
      <c r="AR239" s="50">
        <f t="shared" ca="1" si="161"/>
        <v>0</v>
      </c>
      <c r="AS239" s="50">
        <f t="shared" si="162"/>
        <v>0</v>
      </c>
      <c r="AT239" s="50">
        <f ca="1">(MAX((MAX(AS239,105%*SUM($AJ$7:AJ239))-AM239*Flag_UL_Type),0)*B239)</f>
        <v>0</v>
      </c>
      <c r="AU239" s="50">
        <f ca="1">(MAX(AS239,AR239,105%*SUM($AJ$7:AJ239))*B239)</f>
        <v>0</v>
      </c>
      <c r="AV239" s="125"/>
      <c r="AW239" s="13"/>
      <c r="AX239" s="13"/>
      <c r="AY239" s="13"/>
      <c r="AZ239" s="13"/>
      <c r="BA239" s="13"/>
      <c r="BG239" s="51">
        <f t="shared" si="163"/>
        <v>0</v>
      </c>
      <c r="BH239" s="51">
        <f t="shared" si="164"/>
        <v>0</v>
      </c>
      <c r="BI239" s="51">
        <f t="shared" ca="1" si="165"/>
        <v>0</v>
      </c>
      <c r="BJ239" s="51">
        <f t="shared" ca="1" si="166"/>
        <v>0</v>
      </c>
      <c r="BK239" s="51">
        <f t="shared" si="167"/>
        <v>0</v>
      </c>
      <c r="BL239" s="51">
        <f t="shared" ca="1" si="168"/>
        <v>0</v>
      </c>
      <c r="BM239" s="51">
        <f t="shared" si="169"/>
        <v>0</v>
      </c>
      <c r="BN239" s="51">
        <f t="shared" si="170"/>
        <v>0</v>
      </c>
      <c r="BO239" s="51">
        <f t="shared" ca="1" si="171"/>
        <v>0</v>
      </c>
      <c r="BP239" s="51">
        <f t="shared" ca="1" si="172"/>
        <v>0</v>
      </c>
      <c r="BQ239" s="120"/>
      <c r="BR239" s="32"/>
      <c r="BS239" s="126"/>
      <c r="BT239" s="16"/>
      <c r="BU239" s="58"/>
      <c r="BW239" s="51">
        <f>VLOOKUP(H239,Charges!$AT$4:$AU$33,2,FALSE)*I239</f>
        <v>0</v>
      </c>
      <c r="BX239" s="51">
        <f t="shared" si="173"/>
        <v>0</v>
      </c>
      <c r="BY239" s="51">
        <f t="shared" si="181"/>
        <v>0</v>
      </c>
      <c r="BZ239" s="151"/>
      <c r="CA239" s="151"/>
      <c r="CB239" s="32"/>
      <c r="CC239" s="16">
        <f ca="1">SUM($N$7:$N239)</f>
        <v>0</v>
      </c>
      <c r="CD239" s="16">
        <f t="shared" ca="1" si="174"/>
        <v>0</v>
      </c>
      <c r="CE239" s="16">
        <f t="shared" ca="1" si="175"/>
        <v>0</v>
      </c>
      <c r="CF239" s="7">
        <f t="shared" ca="1" si="182"/>
        <v>0</v>
      </c>
    </row>
    <row r="240" spans="1:84" s="7" customFormat="1" x14ac:dyDescent="0.2">
      <c r="A240" s="149"/>
      <c r="B240" s="14">
        <f t="shared" si="144"/>
        <v>0</v>
      </c>
      <c r="C240" s="12">
        <f t="shared" si="145"/>
        <v>0</v>
      </c>
      <c r="D240" s="17">
        <f t="shared" si="183"/>
        <v>234</v>
      </c>
      <c r="E240" s="17">
        <f t="shared" ca="1" si="146"/>
        <v>79</v>
      </c>
      <c r="F240" s="12">
        <f t="shared" si="185"/>
        <v>5</v>
      </c>
      <c r="G240" s="12">
        <f t="shared" si="184"/>
        <v>39</v>
      </c>
      <c r="H240" s="17">
        <f t="shared" si="186"/>
        <v>20</v>
      </c>
      <c r="I240" s="29">
        <f t="shared" si="147"/>
        <v>0</v>
      </c>
      <c r="J240" s="211">
        <f>IFERROR(VLOOKUP(H240,Charges!$T$6:$U$35,2,0)*C240,0)</f>
        <v>0</v>
      </c>
      <c r="K240" s="29">
        <f t="shared" si="148"/>
        <v>0</v>
      </c>
      <c r="L240" s="29">
        <f t="shared" si="149"/>
        <v>0</v>
      </c>
      <c r="M240" s="147">
        <f t="shared" ca="1" si="150"/>
        <v>0</v>
      </c>
      <c r="N240" s="148">
        <f ca="1">IF(AND(Option_SPW="Y",H240&gt;=Lock_In_Period,Z239&gt;SPW_Amount_pa+IF(option="Single",1/5*pr,2*pr),H240&gt;=SPW_Start_Year,H240&lt;=SPW_Start_Year+SPW_Duration-1,age+H240&gt;=Legal_Age),IF(AND(F240=0,SPW_Payout_Freq=1),SPW_Amount_pa,IF(AND(SPW_Payout_Freq=2,MOD(F240,6)=0),SPW_Amount_pa/SPW_Payout_Freq,IF(AND(SPW_Payout_Freq=4,MOD(F240,3)=0),SPW_Amount_pa/SPW_Payout_Freq,IF(SPW_Payout_Freq=12,SPW_Amount_pa/SPW_Payout_Freq,0)))),0)+IFERROR(VLOOKUP(H240,Input!$B$68:$C$74,2,0),0)*(F240=0)*(Option_PW="Y")*(Option_SPW="N")*(age+H240&gt;=Legal_Age)</f>
        <v>0</v>
      </c>
      <c r="O240" s="148">
        <f t="shared" ca="1" si="176"/>
        <v>0</v>
      </c>
      <c r="P240" s="14">
        <f ca="1">(MAX(MAX(sa-CF239*Flag_UL_Type,105%*SUM($I$7:I240))-(AD239+L240-N240)*Flag_UL_Type,0)*B240)</f>
        <v>0</v>
      </c>
      <c r="Q240" s="213">
        <f t="shared" si="151"/>
        <v>0</v>
      </c>
      <c r="R240" s="14">
        <f t="shared" ca="1" si="152"/>
        <v>0</v>
      </c>
      <c r="S240" s="14">
        <f t="shared" ca="1" si="153"/>
        <v>0</v>
      </c>
      <c r="T240" s="14">
        <f>IFERROR(IF(WoP_Flag="Y",IF(fq=1,VLOOKUP(ppt*fq-H240,Charges!$AN$41:$AO$59,2,FALSE),IF(fq=2,VLOOKUP(ppt*fq-G240,Charges!$AP$41:$AQ$79,2,FALSE),VLOOKUP(ppt*fq-D240,Charges!$AR$41:$AS$279,2,FALSE)))*pr/fq,0),0)</f>
        <v>0</v>
      </c>
      <c r="U240" s="14">
        <f ca="1">IFERROR(((T240*(VLOOKUP(Input!$D$18+H240-1,Tab_Mort_Charge,IF(Gender_2="M",2,3),FALSE)*(1+_emr2)+_rpm2)/IF(Model_Type="LA_PQIS",1000/0.0833,(12*1000))))*Flag_Mort_Rider_Charge*(T240&gt;0),0)</f>
        <v>0</v>
      </c>
      <c r="V240" s="34">
        <f>ROUND(MIN(IF(H240&gt;=7,Charges!$C$12*(1+Charges!$C$14)^((H240-7+1)),VLOOKUP(H240,Charges!$B$7:$C$12,2,0))*pr,Charges!$C$13)*B240,Round)</f>
        <v>0</v>
      </c>
      <c r="W240" s="14">
        <f t="shared" ca="1" si="154"/>
        <v>0</v>
      </c>
      <c r="X240" s="14">
        <f t="shared" ca="1" si="155"/>
        <v>0</v>
      </c>
      <c r="Y240" s="213">
        <f t="shared" ca="1" si="177"/>
        <v>0</v>
      </c>
      <c r="Z240" s="14">
        <f t="shared" ca="1" si="156"/>
        <v>0</v>
      </c>
      <c r="AA240" s="14">
        <f>IF(AND($H240=pt,$F240=11),SUM($K$7:K240)*VLOOKUP(pt,ROC,2,FALSE),0)</f>
        <v>0</v>
      </c>
      <c r="AB240" s="14">
        <f>IF(AND($H240=pt,$F240=11),SUM($V$7:V240)*VLOOKUP(pt,ROC,2,FALSE),0)</f>
        <v>0</v>
      </c>
      <c r="AC240" s="14">
        <f>IF(AND($H240=pt,$F240=11),SUM($Q$7:Q240)*VLOOKUP(pt,ROC,2,FALSE),0)</f>
        <v>0</v>
      </c>
      <c r="AD240" s="14">
        <f t="shared" ca="1" si="178"/>
        <v>0</v>
      </c>
      <c r="AE240" s="14">
        <f ca="1">(MAX(sa-CF239*Flag_UL_Type,105%*SUM($I$7:I240),Z240)+AU240)*B240</f>
        <v>0</v>
      </c>
      <c r="AF240" s="136"/>
      <c r="AG240" s="18">
        <v>234</v>
      </c>
      <c r="AH240" s="30">
        <f t="shared" ca="1" si="157"/>
        <v>0</v>
      </c>
      <c r="AI240" s="58"/>
      <c r="AJ240" s="50">
        <f>IF(AND(Option_Sys_TopUp&gt;="Y",H240&gt;=sytp,H240&lt;=(dtp+sytp-1),F240=0,H240&lt;=ppt+1),atp,0)+IFERROR(VLOOKUP(H240,Input!$B$55:$C$61,2,0),0)*(F240=0)*(Option_TopUP="Y")*(Option_Sys_TopUp="N")*B240*(pt&gt;=H240+5)</f>
        <v>0</v>
      </c>
      <c r="AK240" s="50">
        <f t="shared" si="158"/>
        <v>0</v>
      </c>
      <c r="AL240" s="50">
        <f t="shared" si="179"/>
        <v>0</v>
      </c>
      <c r="AM240" s="50">
        <f t="shared" ca="1" si="159"/>
        <v>0</v>
      </c>
      <c r="AN240" s="50">
        <f>IF(B240=0,0,AT240*(_rpm1+(1+_emr1)*VLOOKUP(E240,Tab_Mort_Charge,IF(Input!$C$12="M",2,3),0))*(0.001*0.0833)*Flag_Mort_Rider_Charge*(AT240&gt;0))</f>
        <v>0</v>
      </c>
      <c r="AO240" s="50">
        <f t="shared" ca="1" si="180"/>
        <v>0</v>
      </c>
      <c r="AP240" s="50">
        <f t="shared" ca="1" si="187"/>
        <v>0</v>
      </c>
      <c r="AQ240" s="50">
        <f t="shared" ca="1" si="160"/>
        <v>0</v>
      </c>
      <c r="AR240" s="50">
        <f t="shared" ca="1" si="161"/>
        <v>0</v>
      </c>
      <c r="AS240" s="50">
        <f t="shared" si="162"/>
        <v>0</v>
      </c>
      <c r="AT240" s="50">
        <f ca="1">(MAX((MAX(AS240,105%*SUM($AJ$7:AJ240))-AM240*Flag_UL_Type),0)*B240)</f>
        <v>0</v>
      </c>
      <c r="AU240" s="50">
        <f ca="1">(MAX(AS240,AR240,105%*SUM($AJ$7:AJ240))*B240)</f>
        <v>0</v>
      </c>
      <c r="AV240" s="125"/>
      <c r="AW240" s="13"/>
      <c r="AX240" s="13"/>
      <c r="AY240" s="13"/>
      <c r="AZ240" s="13"/>
      <c r="BA240" s="13"/>
      <c r="BG240" s="51">
        <f t="shared" si="163"/>
        <v>0</v>
      </c>
      <c r="BH240" s="51">
        <f t="shared" si="164"/>
        <v>0</v>
      </c>
      <c r="BI240" s="51">
        <f t="shared" ca="1" si="165"/>
        <v>0</v>
      </c>
      <c r="BJ240" s="51">
        <f t="shared" ca="1" si="166"/>
        <v>0</v>
      </c>
      <c r="BK240" s="51">
        <f t="shared" si="167"/>
        <v>0</v>
      </c>
      <c r="BL240" s="51">
        <f t="shared" ca="1" si="168"/>
        <v>0</v>
      </c>
      <c r="BM240" s="51">
        <f t="shared" si="169"/>
        <v>0</v>
      </c>
      <c r="BN240" s="51">
        <f t="shared" si="170"/>
        <v>0</v>
      </c>
      <c r="BO240" s="51">
        <f t="shared" ca="1" si="171"/>
        <v>0</v>
      </c>
      <c r="BP240" s="51">
        <f t="shared" ca="1" si="172"/>
        <v>0</v>
      </c>
      <c r="BQ240" s="120"/>
      <c r="BR240" s="32"/>
      <c r="BS240" s="126"/>
      <c r="BT240" s="16"/>
      <c r="BU240" s="58"/>
      <c r="BW240" s="51">
        <f>VLOOKUP(H240,Charges!$AT$4:$AU$33,2,FALSE)*I240</f>
        <v>0</v>
      </c>
      <c r="BX240" s="51">
        <f t="shared" si="173"/>
        <v>0</v>
      </c>
      <c r="BY240" s="51">
        <f t="shared" si="181"/>
        <v>0</v>
      </c>
      <c r="BZ240" s="151"/>
      <c r="CA240" s="151"/>
      <c r="CB240" s="32"/>
      <c r="CC240" s="16">
        <f ca="1">SUM($N$7:$N240)</f>
        <v>0</v>
      </c>
      <c r="CD240" s="16">
        <f t="shared" ca="1" si="174"/>
        <v>0</v>
      </c>
      <c r="CE240" s="16">
        <f t="shared" ca="1" si="175"/>
        <v>0</v>
      </c>
      <c r="CF240" s="7">
        <f t="shared" ca="1" si="182"/>
        <v>0</v>
      </c>
    </row>
    <row r="241" spans="1:84" s="7" customFormat="1" x14ac:dyDescent="0.2">
      <c r="A241" s="149"/>
      <c r="B241" s="14">
        <f t="shared" si="144"/>
        <v>0</v>
      </c>
      <c r="C241" s="12">
        <f t="shared" si="145"/>
        <v>0</v>
      </c>
      <c r="D241" s="17">
        <f t="shared" si="183"/>
        <v>235</v>
      </c>
      <c r="E241" s="17">
        <f t="shared" ca="1" si="146"/>
        <v>79</v>
      </c>
      <c r="F241" s="12">
        <f t="shared" si="185"/>
        <v>6</v>
      </c>
      <c r="G241" s="12">
        <f t="shared" si="184"/>
        <v>40</v>
      </c>
      <c r="H241" s="17">
        <f t="shared" si="186"/>
        <v>20</v>
      </c>
      <c r="I241" s="29">
        <f t="shared" si="147"/>
        <v>0</v>
      </c>
      <c r="J241" s="211">
        <f>IFERROR(VLOOKUP(H241,Charges!$T$6:$U$35,2,0)*C241,0)</f>
        <v>0</v>
      </c>
      <c r="K241" s="29">
        <f t="shared" si="148"/>
        <v>0</v>
      </c>
      <c r="L241" s="29">
        <f t="shared" si="149"/>
        <v>0</v>
      </c>
      <c r="M241" s="147">
        <f t="shared" ca="1" si="150"/>
        <v>0</v>
      </c>
      <c r="N241" s="148">
        <f ca="1">IF(AND(Option_SPW="Y",H241&gt;=Lock_In_Period,Z240&gt;SPW_Amount_pa+IF(option="Single",1/5*pr,2*pr),H241&gt;=SPW_Start_Year,H241&lt;=SPW_Start_Year+SPW_Duration-1,age+H241&gt;=Legal_Age),IF(AND(F241=0,SPW_Payout_Freq=1),SPW_Amount_pa,IF(AND(SPW_Payout_Freq=2,MOD(F241,6)=0),SPW_Amount_pa/SPW_Payout_Freq,IF(AND(SPW_Payout_Freq=4,MOD(F241,3)=0),SPW_Amount_pa/SPW_Payout_Freq,IF(SPW_Payout_Freq=12,SPW_Amount_pa/SPW_Payout_Freq,0)))),0)+IFERROR(VLOOKUP(H241,Input!$B$68:$C$74,2,0),0)*(F241=0)*(Option_PW="Y")*(Option_SPW="N")*(age+H241&gt;=Legal_Age)</f>
        <v>0</v>
      </c>
      <c r="O241" s="148">
        <f t="shared" ca="1" si="176"/>
        <v>0</v>
      </c>
      <c r="P241" s="14">
        <f ca="1">(MAX(MAX(sa-CF240*Flag_UL_Type,105%*SUM($I$7:I241))-(AD240+L241-N241)*Flag_UL_Type,0)*B241)</f>
        <v>0</v>
      </c>
      <c r="Q241" s="213">
        <f t="shared" si="151"/>
        <v>0</v>
      </c>
      <c r="R241" s="14">
        <f t="shared" ca="1" si="152"/>
        <v>0</v>
      </c>
      <c r="S241" s="14">
        <f t="shared" ca="1" si="153"/>
        <v>0</v>
      </c>
      <c r="T241" s="14">
        <f>IFERROR(IF(WoP_Flag="Y",IF(fq=1,VLOOKUP(ppt*fq-H241,Charges!$AN$41:$AO$59,2,FALSE),IF(fq=2,VLOOKUP(ppt*fq-G241,Charges!$AP$41:$AQ$79,2,FALSE),VLOOKUP(ppt*fq-D241,Charges!$AR$41:$AS$279,2,FALSE)))*pr/fq,0),0)</f>
        <v>0</v>
      </c>
      <c r="U241" s="14">
        <f ca="1">IFERROR(((T241*(VLOOKUP(Input!$D$18+H241-1,Tab_Mort_Charge,IF(Gender_2="M",2,3),FALSE)*(1+_emr2)+_rpm2)/IF(Model_Type="LA_PQIS",1000/0.0833,(12*1000))))*Flag_Mort_Rider_Charge*(T241&gt;0),0)</f>
        <v>0</v>
      </c>
      <c r="V241" s="34">
        <f>ROUND(MIN(IF(H241&gt;=7,Charges!$C$12*(1+Charges!$C$14)^((H241-7+1)),VLOOKUP(H241,Charges!$B$7:$C$12,2,0))*pr,Charges!$C$13)*B241,Round)</f>
        <v>0</v>
      </c>
      <c r="W241" s="14">
        <f t="shared" ca="1" si="154"/>
        <v>0</v>
      </c>
      <c r="X241" s="14">
        <f t="shared" ca="1" si="155"/>
        <v>0</v>
      </c>
      <c r="Y241" s="213">
        <f t="shared" ca="1" si="177"/>
        <v>0</v>
      </c>
      <c r="Z241" s="14">
        <f t="shared" ca="1" si="156"/>
        <v>0</v>
      </c>
      <c r="AA241" s="14">
        <f>IF(AND($H241=pt,$F241=11),SUM($K$7:K241)*VLOOKUP(pt,ROC,2,FALSE),0)</f>
        <v>0</v>
      </c>
      <c r="AB241" s="14">
        <f>IF(AND($H241=pt,$F241=11),SUM($V$7:V241)*VLOOKUP(pt,ROC,2,FALSE),0)</f>
        <v>0</v>
      </c>
      <c r="AC241" s="14">
        <f>IF(AND($H241=pt,$F241=11),SUM($Q$7:Q241)*VLOOKUP(pt,ROC,2,FALSE),0)</f>
        <v>0</v>
      </c>
      <c r="AD241" s="14">
        <f t="shared" ca="1" si="178"/>
        <v>0</v>
      </c>
      <c r="AE241" s="14">
        <f ca="1">(MAX(sa-CF240*Flag_UL_Type,105%*SUM($I$7:I241),Z241)+AU241)*B241</f>
        <v>0</v>
      </c>
      <c r="AF241" s="136"/>
      <c r="AG241" s="18">
        <v>235</v>
      </c>
      <c r="AH241" s="30">
        <f t="shared" ca="1" si="157"/>
        <v>0</v>
      </c>
      <c r="AI241" s="58"/>
      <c r="AJ241" s="50">
        <f>IF(AND(Option_Sys_TopUp&gt;="Y",H241&gt;=sytp,H241&lt;=(dtp+sytp-1),F241=0,H241&lt;=ppt+1),atp,0)+IFERROR(VLOOKUP(H241,Input!$B$55:$C$61,2,0),0)*(F241=0)*(Option_TopUP="Y")*(Option_Sys_TopUp="N")*B241*(pt&gt;=H241+5)</f>
        <v>0</v>
      </c>
      <c r="AK241" s="50">
        <f t="shared" si="158"/>
        <v>0</v>
      </c>
      <c r="AL241" s="50">
        <f t="shared" si="179"/>
        <v>0</v>
      </c>
      <c r="AM241" s="50">
        <f t="shared" ca="1" si="159"/>
        <v>0</v>
      </c>
      <c r="AN241" s="50">
        <f>IF(B241=0,0,AT241*(_rpm1+(1+_emr1)*VLOOKUP(E241,Tab_Mort_Charge,IF(Input!$C$12="M",2,3),0))*(0.001*0.0833)*Flag_Mort_Rider_Charge*(AT241&gt;0))</f>
        <v>0</v>
      </c>
      <c r="AO241" s="50">
        <f t="shared" ca="1" si="180"/>
        <v>0</v>
      </c>
      <c r="AP241" s="50">
        <f t="shared" ca="1" si="187"/>
        <v>0</v>
      </c>
      <c r="AQ241" s="50">
        <f t="shared" ca="1" si="160"/>
        <v>0</v>
      </c>
      <c r="AR241" s="50">
        <f t="shared" ca="1" si="161"/>
        <v>0</v>
      </c>
      <c r="AS241" s="50">
        <f t="shared" si="162"/>
        <v>0</v>
      </c>
      <c r="AT241" s="50">
        <f ca="1">(MAX((MAX(AS241,105%*SUM($AJ$7:AJ241))-AM241*Flag_UL_Type),0)*B241)</f>
        <v>0</v>
      </c>
      <c r="AU241" s="50">
        <f ca="1">(MAX(AS241,AR241,105%*SUM($AJ$7:AJ241))*B241)</f>
        <v>0</v>
      </c>
      <c r="AV241" s="125"/>
      <c r="AW241" s="13"/>
      <c r="AX241" s="13"/>
      <c r="AY241" s="13"/>
      <c r="AZ241" s="13"/>
      <c r="BA241" s="13"/>
      <c r="BG241" s="51">
        <f t="shared" si="163"/>
        <v>0</v>
      </c>
      <c r="BH241" s="51">
        <f t="shared" si="164"/>
        <v>0</v>
      </c>
      <c r="BI241" s="51">
        <f t="shared" ca="1" si="165"/>
        <v>0</v>
      </c>
      <c r="BJ241" s="51">
        <f t="shared" ca="1" si="166"/>
        <v>0</v>
      </c>
      <c r="BK241" s="51">
        <f t="shared" si="167"/>
        <v>0</v>
      </c>
      <c r="BL241" s="51">
        <f t="shared" ca="1" si="168"/>
        <v>0</v>
      </c>
      <c r="BM241" s="51">
        <f t="shared" si="169"/>
        <v>0</v>
      </c>
      <c r="BN241" s="51">
        <f t="shared" si="170"/>
        <v>0</v>
      </c>
      <c r="BO241" s="51">
        <f t="shared" ca="1" si="171"/>
        <v>0</v>
      </c>
      <c r="BP241" s="51">
        <f t="shared" ca="1" si="172"/>
        <v>0</v>
      </c>
      <c r="BQ241" s="120"/>
      <c r="BR241" s="32"/>
      <c r="BS241" s="126"/>
      <c r="BT241" s="16"/>
      <c r="BU241" s="58"/>
      <c r="BW241" s="51">
        <f>VLOOKUP(H241,Charges!$AT$4:$AU$33,2,FALSE)*I241</f>
        <v>0</v>
      </c>
      <c r="BX241" s="51">
        <f t="shared" si="173"/>
        <v>0</v>
      </c>
      <c r="BY241" s="51">
        <f t="shared" si="181"/>
        <v>0</v>
      </c>
      <c r="BZ241" s="151"/>
      <c r="CA241" s="151"/>
      <c r="CB241" s="32"/>
      <c r="CC241" s="16">
        <f ca="1">SUM($N$7:$N241)</f>
        <v>0</v>
      </c>
      <c r="CD241" s="16">
        <f t="shared" ca="1" si="174"/>
        <v>0</v>
      </c>
      <c r="CE241" s="16">
        <f t="shared" ca="1" si="175"/>
        <v>0</v>
      </c>
      <c r="CF241" s="7">
        <f t="shared" ca="1" si="182"/>
        <v>0</v>
      </c>
    </row>
    <row r="242" spans="1:84" s="7" customFormat="1" x14ac:dyDescent="0.2">
      <c r="A242" s="149"/>
      <c r="B242" s="14">
        <f t="shared" si="144"/>
        <v>0</v>
      </c>
      <c r="C242" s="12">
        <f t="shared" si="145"/>
        <v>0</v>
      </c>
      <c r="D242" s="17">
        <f t="shared" si="183"/>
        <v>236</v>
      </c>
      <c r="E242" s="17">
        <f t="shared" ca="1" si="146"/>
        <v>79</v>
      </c>
      <c r="F242" s="12">
        <f t="shared" si="185"/>
        <v>7</v>
      </c>
      <c r="G242" s="12">
        <f t="shared" si="184"/>
        <v>40</v>
      </c>
      <c r="H242" s="17">
        <f t="shared" si="186"/>
        <v>20</v>
      </c>
      <c r="I242" s="29">
        <f t="shared" si="147"/>
        <v>0</v>
      </c>
      <c r="J242" s="211">
        <f>IFERROR(VLOOKUP(H242,Charges!$T$6:$U$35,2,0)*C242,0)</f>
        <v>0</v>
      </c>
      <c r="K242" s="29">
        <f t="shared" si="148"/>
        <v>0</v>
      </c>
      <c r="L242" s="29">
        <f t="shared" si="149"/>
        <v>0</v>
      </c>
      <c r="M242" s="147">
        <f t="shared" ca="1" si="150"/>
        <v>0</v>
      </c>
      <c r="N242" s="148">
        <f ca="1">IF(AND(Option_SPW="Y",H242&gt;=Lock_In_Period,Z241&gt;SPW_Amount_pa+IF(option="Single",1/5*pr,2*pr),H242&gt;=SPW_Start_Year,H242&lt;=SPW_Start_Year+SPW_Duration-1,age+H242&gt;=Legal_Age),IF(AND(F242=0,SPW_Payout_Freq=1),SPW_Amount_pa,IF(AND(SPW_Payout_Freq=2,MOD(F242,6)=0),SPW_Amount_pa/SPW_Payout_Freq,IF(AND(SPW_Payout_Freq=4,MOD(F242,3)=0),SPW_Amount_pa/SPW_Payout_Freq,IF(SPW_Payout_Freq=12,SPW_Amount_pa/SPW_Payout_Freq,0)))),0)+IFERROR(VLOOKUP(H242,Input!$B$68:$C$74,2,0),0)*(F242=0)*(Option_PW="Y")*(Option_SPW="N")*(age+H242&gt;=Legal_Age)</f>
        <v>0</v>
      </c>
      <c r="O242" s="148">
        <f t="shared" ca="1" si="176"/>
        <v>0</v>
      </c>
      <c r="P242" s="14">
        <f ca="1">(MAX(MAX(sa-CF241*Flag_UL_Type,105%*SUM($I$7:I242))-(AD241+L242-N242)*Flag_UL_Type,0)*B242)</f>
        <v>0</v>
      </c>
      <c r="Q242" s="213">
        <f t="shared" si="151"/>
        <v>0</v>
      </c>
      <c r="R242" s="14">
        <f t="shared" ca="1" si="152"/>
        <v>0</v>
      </c>
      <c r="S242" s="14">
        <f t="shared" ca="1" si="153"/>
        <v>0</v>
      </c>
      <c r="T242" s="14">
        <f>IFERROR(IF(WoP_Flag="Y",IF(fq=1,VLOOKUP(ppt*fq-H242,Charges!$AN$41:$AO$59,2,FALSE),IF(fq=2,VLOOKUP(ppt*fq-G242,Charges!$AP$41:$AQ$79,2,FALSE),VLOOKUP(ppt*fq-D242,Charges!$AR$41:$AS$279,2,FALSE)))*pr/fq,0),0)</f>
        <v>0</v>
      </c>
      <c r="U242" s="14">
        <f ca="1">IFERROR(((T242*(VLOOKUP(Input!$D$18+H242-1,Tab_Mort_Charge,IF(Gender_2="M",2,3),FALSE)*(1+_emr2)+_rpm2)/IF(Model_Type="LA_PQIS",1000/0.0833,(12*1000))))*Flag_Mort_Rider_Charge*(T242&gt;0),0)</f>
        <v>0</v>
      </c>
      <c r="V242" s="34">
        <f>ROUND(MIN(IF(H242&gt;=7,Charges!$C$12*(1+Charges!$C$14)^((H242-7+1)),VLOOKUP(H242,Charges!$B$7:$C$12,2,0))*pr,Charges!$C$13)*B242,Round)</f>
        <v>0</v>
      </c>
      <c r="W242" s="14">
        <f t="shared" ca="1" si="154"/>
        <v>0</v>
      </c>
      <c r="X242" s="14">
        <f t="shared" ca="1" si="155"/>
        <v>0</v>
      </c>
      <c r="Y242" s="213">
        <f t="shared" ca="1" si="177"/>
        <v>0</v>
      </c>
      <c r="Z242" s="14">
        <f t="shared" ca="1" si="156"/>
        <v>0</v>
      </c>
      <c r="AA242" s="14">
        <f>IF(AND($H242=pt,$F242=11),SUM($K$7:K242)*VLOOKUP(pt,ROC,2,FALSE),0)</f>
        <v>0</v>
      </c>
      <c r="AB242" s="14">
        <f>IF(AND($H242=pt,$F242=11),SUM($V$7:V242)*VLOOKUP(pt,ROC,2,FALSE),0)</f>
        <v>0</v>
      </c>
      <c r="AC242" s="14">
        <f>IF(AND($H242=pt,$F242=11),SUM($Q$7:Q242)*VLOOKUP(pt,ROC,2,FALSE),0)</f>
        <v>0</v>
      </c>
      <c r="AD242" s="14">
        <f t="shared" ca="1" si="178"/>
        <v>0</v>
      </c>
      <c r="AE242" s="14">
        <f ca="1">(MAX(sa-CF241*Flag_UL_Type,105%*SUM($I$7:I242),Z242)+AU242)*B242</f>
        <v>0</v>
      </c>
      <c r="AF242" s="136"/>
      <c r="AG242" s="18">
        <v>236</v>
      </c>
      <c r="AH242" s="30">
        <f t="shared" ca="1" si="157"/>
        <v>0</v>
      </c>
      <c r="AI242" s="58"/>
      <c r="AJ242" s="50">
        <f>IF(AND(Option_Sys_TopUp&gt;="Y",H242&gt;=sytp,H242&lt;=(dtp+sytp-1),F242=0,H242&lt;=ppt+1),atp,0)+IFERROR(VLOOKUP(H242,Input!$B$55:$C$61,2,0),0)*(F242=0)*(Option_TopUP="Y")*(Option_Sys_TopUp="N")*B242*(pt&gt;=H242+5)</f>
        <v>0</v>
      </c>
      <c r="AK242" s="50">
        <f t="shared" si="158"/>
        <v>0</v>
      </c>
      <c r="AL242" s="50">
        <f t="shared" si="179"/>
        <v>0</v>
      </c>
      <c r="AM242" s="50">
        <f t="shared" ca="1" si="159"/>
        <v>0</v>
      </c>
      <c r="AN242" s="50">
        <f>IF(B242=0,0,AT242*(_rpm1+(1+_emr1)*VLOOKUP(E242,Tab_Mort_Charge,IF(Input!$C$12="M",2,3),0))*(0.001*0.0833)*Flag_Mort_Rider_Charge*(AT242&gt;0))</f>
        <v>0</v>
      </c>
      <c r="AO242" s="50">
        <f t="shared" ca="1" si="180"/>
        <v>0</v>
      </c>
      <c r="AP242" s="50">
        <f t="shared" ca="1" si="187"/>
        <v>0</v>
      </c>
      <c r="AQ242" s="50">
        <f t="shared" ca="1" si="160"/>
        <v>0</v>
      </c>
      <c r="AR242" s="50">
        <f t="shared" ca="1" si="161"/>
        <v>0</v>
      </c>
      <c r="AS242" s="50">
        <f t="shared" si="162"/>
        <v>0</v>
      </c>
      <c r="AT242" s="50">
        <f ca="1">(MAX((MAX(AS242,105%*SUM($AJ$7:AJ242))-AM242*Flag_UL_Type),0)*B242)</f>
        <v>0</v>
      </c>
      <c r="AU242" s="50">
        <f ca="1">(MAX(AS242,AR242,105%*SUM($AJ$7:AJ242))*B242)</f>
        <v>0</v>
      </c>
      <c r="AV242" s="125"/>
      <c r="AW242" s="13"/>
      <c r="AX242" s="13"/>
      <c r="AY242" s="13"/>
      <c r="AZ242" s="13"/>
      <c r="BA242" s="13"/>
      <c r="BG242" s="51">
        <f t="shared" si="163"/>
        <v>0</v>
      </c>
      <c r="BH242" s="51">
        <f t="shared" si="164"/>
        <v>0</v>
      </c>
      <c r="BI242" s="51">
        <f t="shared" ca="1" si="165"/>
        <v>0</v>
      </c>
      <c r="BJ242" s="51">
        <f t="shared" ca="1" si="166"/>
        <v>0</v>
      </c>
      <c r="BK242" s="51">
        <f t="shared" si="167"/>
        <v>0</v>
      </c>
      <c r="BL242" s="51">
        <f t="shared" ca="1" si="168"/>
        <v>0</v>
      </c>
      <c r="BM242" s="51">
        <f t="shared" si="169"/>
        <v>0</v>
      </c>
      <c r="BN242" s="51">
        <f t="shared" si="170"/>
        <v>0</v>
      </c>
      <c r="BO242" s="51">
        <f t="shared" ca="1" si="171"/>
        <v>0</v>
      </c>
      <c r="BP242" s="51">
        <f t="shared" ca="1" si="172"/>
        <v>0</v>
      </c>
      <c r="BQ242" s="120"/>
      <c r="BR242" s="32"/>
      <c r="BS242" s="126"/>
      <c r="BT242" s="16"/>
      <c r="BU242" s="58"/>
      <c r="BW242" s="51">
        <f>VLOOKUP(H242,Charges!$AT$4:$AU$33,2,FALSE)*I242</f>
        <v>0</v>
      </c>
      <c r="BX242" s="51">
        <f t="shared" si="173"/>
        <v>0</v>
      </c>
      <c r="BY242" s="51">
        <f t="shared" si="181"/>
        <v>0</v>
      </c>
      <c r="BZ242" s="151"/>
      <c r="CA242" s="151"/>
      <c r="CB242" s="32"/>
      <c r="CC242" s="16">
        <f ca="1">SUM($N$7:$N242)</f>
        <v>0</v>
      </c>
      <c r="CD242" s="16">
        <f t="shared" ca="1" si="174"/>
        <v>0</v>
      </c>
      <c r="CE242" s="16">
        <f t="shared" ca="1" si="175"/>
        <v>0</v>
      </c>
      <c r="CF242" s="7">
        <f t="shared" ca="1" si="182"/>
        <v>0</v>
      </c>
    </row>
    <row r="243" spans="1:84" s="7" customFormat="1" x14ac:dyDescent="0.2">
      <c r="A243" s="149"/>
      <c r="B243" s="14">
        <f t="shared" si="144"/>
        <v>0</v>
      </c>
      <c r="C243" s="12">
        <f t="shared" si="145"/>
        <v>0</v>
      </c>
      <c r="D243" s="17">
        <f t="shared" si="183"/>
        <v>237</v>
      </c>
      <c r="E243" s="17">
        <f t="shared" ca="1" si="146"/>
        <v>79</v>
      </c>
      <c r="F243" s="12">
        <f t="shared" si="185"/>
        <v>8</v>
      </c>
      <c r="G243" s="12">
        <f t="shared" si="184"/>
        <v>40</v>
      </c>
      <c r="H243" s="17">
        <f t="shared" si="186"/>
        <v>20</v>
      </c>
      <c r="I243" s="29">
        <f t="shared" si="147"/>
        <v>0</v>
      </c>
      <c r="J243" s="211">
        <f>IFERROR(VLOOKUP(H243,Charges!$T$6:$U$35,2,0)*C243,0)</f>
        <v>0</v>
      </c>
      <c r="K243" s="29">
        <f t="shared" si="148"/>
        <v>0</v>
      </c>
      <c r="L243" s="29">
        <f t="shared" si="149"/>
        <v>0</v>
      </c>
      <c r="M243" s="147">
        <f t="shared" ca="1" si="150"/>
        <v>0</v>
      </c>
      <c r="N243" s="148">
        <f ca="1">IF(AND(Option_SPW="Y",H243&gt;=Lock_In_Period,Z242&gt;SPW_Amount_pa+IF(option="Single",1/5*pr,2*pr),H243&gt;=SPW_Start_Year,H243&lt;=SPW_Start_Year+SPW_Duration-1,age+H243&gt;=Legal_Age),IF(AND(F243=0,SPW_Payout_Freq=1),SPW_Amount_pa,IF(AND(SPW_Payout_Freq=2,MOD(F243,6)=0),SPW_Amount_pa/SPW_Payout_Freq,IF(AND(SPW_Payout_Freq=4,MOD(F243,3)=0),SPW_Amount_pa/SPW_Payout_Freq,IF(SPW_Payout_Freq=12,SPW_Amount_pa/SPW_Payout_Freq,0)))),0)+IFERROR(VLOOKUP(H243,Input!$B$68:$C$74,2,0),0)*(F243=0)*(Option_PW="Y")*(Option_SPW="N")*(age+H243&gt;=Legal_Age)</f>
        <v>0</v>
      </c>
      <c r="O243" s="148">
        <f t="shared" ca="1" si="176"/>
        <v>0</v>
      </c>
      <c r="P243" s="14">
        <f ca="1">(MAX(MAX(sa-CF242*Flag_UL_Type,105%*SUM($I$7:I243))-(AD242+L243-N243)*Flag_UL_Type,0)*B243)</f>
        <v>0</v>
      </c>
      <c r="Q243" s="213">
        <f t="shared" si="151"/>
        <v>0</v>
      </c>
      <c r="R243" s="14">
        <f t="shared" ca="1" si="152"/>
        <v>0</v>
      </c>
      <c r="S243" s="14">
        <f t="shared" ca="1" si="153"/>
        <v>0</v>
      </c>
      <c r="T243" s="14">
        <f>IFERROR(IF(WoP_Flag="Y",IF(fq=1,VLOOKUP(ppt*fq-H243,Charges!$AN$41:$AO$59,2,FALSE),IF(fq=2,VLOOKUP(ppt*fq-G243,Charges!$AP$41:$AQ$79,2,FALSE),VLOOKUP(ppt*fq-D243,Charges!$AR$41:$AS$279,2,FALSE)))*pr/fq,0),0)</f>
        <v>0</v>
      </c>
      <c r="U243" s="14">
        <f ca="1">IFERROR(((T243*(VLOOKUP(Input!$D$18+H243-1,Tab_Mort_Charge,IF(Gender_2="M",2,3),FALSE)*(1+_emr2)+_rpm2)/IF(Model_Type="LA_PQIS",1000/0.0833,(12*1000))))*Flag_Mort_Rider_Charge*(T243&gt;0),0)</f>
        <v>0</v>
      </c>
      <c r="V243" s="34">
        <f>ROUND(MIN(IF(H243&gt;=7,Charges!$C$12*(1+Charges!$C$14)^((H243-7+1)),VLOOKUP(H243,Charges!$B$7:$C$12,2,0))*pr,Charges!$C$13)*B243,Round)</f>
        <v>0</v>
      </c>
      <c r="W243" s="14">
        <f t="shared" ca="1" si="154"/>
        <v>0</v>
      </c>
      <c r="X243" s="14">
        <f t="shared" ca="1" si="155"/>
        <v>0</v>
      </c>
      <c r="Y243" s="213">
        <f t="shared" ca="1" si="177"/>
        <v>0</v>
      </c>
      <c r="Z243" s="14">
        <f t="shared" ca="1" si="156"/>
        <v>0</v>
      </c>
      <c r="AA243" s="14">
        <f>IF(AND($H243=pt,$F243=11),SUM($K$7:K243)*VLOOKUP(pt,ROC,2,FALSE),0)</f>
        <v>0</v>
      </c>
      <c r="AB243" s="14">
        <f>IF(AND($H243=pt,$F243=11),SUM($V$7:V243)*VLOOKUP(pt,ROC,2,FALSE),0)</f>
        <v>0</v>
      </c>
      <c r="AC243" s="14">
        <f>IF(AND($H243=pt,$F243=11),SUM($Q$7:Q243)*VLOOKUP(pt,ROC,2,FALSE),0)</f>
        <v>0</v>
      </c>
      <c r="AD243" s="14">
        <f t="shared" ca="1" si="178"/>
        <v>0</v>
      </c>
      <c r="AE243" s="14">
        <f ca="1">(MAX(sa-CF242*Flag_UL_Type,105%*SUM($I$7:I243),Z243)+AU243)*B243</f>
        <v>0</v>
      </c>
      <c r="AF243" s="136"/>
      <c r="AG243" s="18">
        <v>237</v>
      </c>
      <c r="AH243" s="30">
        <f t="shared" ca="1" si="157"/>
        <v>0</v>
      </c>
      <c r="AI243" s="58"/>
      <c r="AJ243" s="50">
        <f>IF(AND(Option_Sys_TopUp&gt;="Y",H243&gt;=sytp,H243&lt;=(dtp+sytp-1),F243=0,H243&lt;=ppt+1),atp,0)+IFERROR(VLOOKUP(H243,Input!$B$55:$C$61,2,0),0)*(F243=0)*(Option_TopUP="Y")*(Option_Sys_TopUp="N")*B243*(pt&gt;=H243+5)</f>
        <v>0</v>
      </c>
      <c r="AK243" s="50">
        <f t="shared" si="158"/>
        <v>0</v>
      </c>
      <c r="AL243" s="50">
        <f t="shared" si="179"/>
        <v>0</v>
      </c>
      <c r="AM243" s="50">
        <f t="shared" ca="1" si="159"/>
        <v>0</v>
      </c>
      <c r="AN243" s="50">
        <f>IF(B243=0,0,AT243*(_rpm1+(1+_emr1)*VLOOKUP(E243,Tab_Mort_Charge,IF(Input!$C$12="M",2,3),0))*(0.001*0.0833)*Flag_Mort_Rider_Charge*(AT243&gt;0))</f>
        <v>0</v>
      </c>
      <c r="AO243" s="50">
        <f t="shared" ca="1" si="180"/>
        <v>0</v>
      </c>
      <c r="AP243" s="50">
        <f t="shared" ca="1" si="187"/>
        <v>0</v>
      </c>
      <c r="AQ243" s="50">
        <f t="shared" ca="1" si="160"/>
        <v>0</v>
      </c>
      <c r="AR243" s="50">
        <f t="shared" ca="1" si="161"/>
        <v>0</v>
      </c>
      <c r="AS243" s="50">
        <f t="shared" si="162"/>
        <v>0</v>
      </c>
      <c r="AT243" s="50">
        <f ca="1">(MAX((MAX(AS243,105%*SUM($AJ$7:AJ243))-AM243*Flag_UL_Type),0)*B243)</f>
        <v>0</v>
      </c>
      <c r="AU243" s="50">
        <f ca="1">(MAX(AS243,AR243,105%*SUM($AJ$7:AJ243))*B243)</f>
        <v>0</v>
      </c>
      <c r="AV243" s="125"/>
      <c r="AW243" s="13"/>
      <c r="AX243" s="13"/>
      <c r="AY243" s="13"/>
      <c r="AZ243" s="13"/>
      <c r="BA243" s="13"/>
      <c r="BG243" s="51">
        <f t="shared" si="163"/>
        <v>0</v>
      </c>
      <c r="BH243" s="51">
        <f t="shared" si="164"/>
        <v>0</v>
      </c>
      <c r="BI243" s="51">
        <f t="shared" ca="1" si="165"/>
        <v>0</v>
      </c>
      <c r="BJ243" s="51">
        <f t="shared" ca="1" si="166"/>
        <v>0</v>
      </c>
      <c r="BK243" s="51">
        <f t="shared" si="167"/>
        <v>0</v>
      </c>
      <c r="BL243" s="51">
        <f t="shared" ca="1" si="168"/>
        <v>0</v>
      </c>
      <c r="BM243" s="51">
        <f t="shared" si="169"/>
        <v>0</v>
      </c>
      <c r="BN243" s="51">
        <f t="shared" si="170"/>
        <v>0</v>
      </c>
      <c r="BO243" s="51">
        <f t="shared" ca="1" si="171"/>
        <v>0</v>
      </c>
      <c r="BP243" s="51">
        <f t="shared" ca="1" si="172"/>
        <v>0</v>
      </c>
      <c r="BQ243" s="120"/>
      <c r="BR243" s="32"/>
      <c r="BS243" s="126"/>
      <c r="BT243" s="16"/>
      <c r="BU243" s="58"/>
      <c r="BW243" s="51">
        <f>VLOOKUP(H243,Charges!$AT$4:$AU$33,2,FALSE)*I243</f>
        <v>0</v>
      </c>
      <c r="BX243" s="51">
        <f t="shared" si="173"/>
        <v>0</v>
      </c>
      <c r="BY243" s="51">
        <f t="shared" si="181"/>
        <v>0</v>
      </c>
      <c r="BZ243" s="151"/>
      <c r="CA243" s="151"/>
      <c r="CB243" s="32"/>
      <c r="CC243" s="16">
        <f ca="1">SUM($N$7:$N243)</f>
        <v>0</v>
      </c>
      <c r="CD243" s="16">
        <f t="shared" ca="1" si="174"/>
        <v>0</v>
      </c>
      <c r="CE243" s="16">
        <f t="shared" ca="1" si="175"/>
        <v>0</v>
      </c>
      <c r="CF243" s="7">
        <f t="shared" ca="1" si="182"/>
        <v>0</v>
      </c>
    </row>
    <row r="244" spans="1:84" s="7" customFormat="1" x14ac:dyDescent="0.2">
      <c r="A244" s="149"/>
      <c r="B244" s="14">
        <f t="shared" si="144"/>
        <v>0</v>
      </c>
      <c r="C244" s="12">
        <f t="shared" si="145"/>
        <v>0</v>
      </c>
      <c r="D244" s="17">
        <f t="shared" si="183"/>
        <v>238</v>
      </c>
      <c r="E244" s="17">
        <f t="shared" ca="1" si="146"/>
        <v>79</v>
      </c>
      <c r="F244" s="12">
        <f t="shared" si="185"/>
        <v>9</v>
      </c>
      <c r="G244" s="12">
        <f t="shared" si="184"/>
        <v>40</v>
      </c>
      <c r="H244" s="17">
        <f t="shared" si="186"/>
        <v>20</v>
      </c>
      <c r="I244" s="29">
        <f t="shared" si="147"/>
        <v>0</v>
      </c>
      <c r="J244" s="211">
        <f>IFERROR(VLOOKUP(H244,Charges!$T$6:$U$35,2,0)*C244,0)</f>
        <v>0</v>
      </c>
      <c r="K244" s="29">
        <f t="shared" si="148"/>
        <v>0</v>
      </c>
      <c r="L244" s="29">
        <f t="shared" si="149"/>
        <v>0</v>
      </c>
      <c r="M244" s="147">
        <f t="shared" ca="1" si="150"/>
        <v>0</v>
      </c>
      <c r="N244" s="148">
        <f ca="1">IF(AND(Option_SPW="Y",H244&gt;=Lock_In_Period,Z243&gt;SPW_Amount_pa+IF(option="Single",1/5*pr,2*pr),H244&gt;=SPW_Start_Year,H244&lt;=SPW_Start_Year+SPW_Duration-1,age+H244&gt;=Legal_Age),IF(AND(F244=0,SPW_Payout_Freq=1),SPW_Amount_pa,IF(AND(SPW_Payout_Freq=2,MOD(F244,6)=0),SPW_Amount_pa/SPW_Payout_Freq,IF(AND(SPW_Payout_Freq=4,MOD(F244,3)=0),SPW_Amount_pa/SPW_Payout_Freq,IF(SPW_Payout_Freq=12,SPW_Amount_pa/SPW_Payout_Freq,0)))),0)+IFERROR(VLOOKUP(H244,Input!$B$68:$C$74,2,0),0)*(F244=0)*(Option_PW="Y")*(Option_SPW="N")*(age+H244&gt;=Legal_Age)</f>
        <v>0</v>
      </c>
      <c r="O244" s="148">
        <f t="shared" ca="1" si="176"/>
        <v>0</v>
      </c>
      <c r="P244" s="14">
        <f ca="1">(MAX(MAX(sa-CF243*Flag_UL_Type,105%*SUM($I$7:I244))-(AD243+L244-N244)*Flag_UL_Type,0)*B244)</f>
        <v>0</v>
      </c>
      <c r="Q244" s="213">
        <f t="shared" si="151"/>
        <v>0</v>
      </c>
      <c r="R244" s="14">
        <f t="shared" ca="1" si="152"/>
        <v>0</v>
      </c>
      <c r="S244" s="14">
        <f t="shared" ca="1" si="153"/>
        <v>0</v>
      </c>
      <c r="T244" s="14">
        <f>IFERROR(IF(WoP_Flag="Y",IF(fq=1,VLOOKUP(ppt*fq-H244,Charges!$AN$41:$AO$59,2,FALSE),IF(fq=2,VLOOKUP(ppt*fq-G244,Charges!$AP$41:$AQ$79,2,FALSE),VLOOKUP(ppt*fq-D244,Charges!$AR$41:$AS$279,2,FALSE)))*pr/fq,0),0)</f>
        <v>0</v>
      </c>
      <c r="U244" s="14">
        <f ca="1">IFERROR(((T244*(VLOOKUP(Input!$D$18+H244-1,Tab_Mort_Charge,IF(Gender_2="M",2,3),FALSE)*(1+_emr2)+_rpm2)/IF(Model_Type="LA_PQIS",1000/0.0833,(12*1000))))*Flag_Mort_Rider_Charge*(T244&gt;0),0)</f>
        <v>0</v>
      </c>
      <c r="V244" s="34">
        <f>ROUND(MIN(IF(H244&gt;=7,Charges!$C$12*(1+Charges!$C$14)^((H244-7+1)),VLOOKUP(H244,Charges!$B$7:$C$12,2,0))*pr,Charges!$C$13)*B244,Round)</f>
        <v>0</v>
      </c>
      <c r="W244" s="14">
        <f t="shared" ca="1" si="154"/>
        <v>0</v>
      </c>
      <c r="X244" s="14">
        <f t="shared" ca="1" si="155"/>
        <v>0</v>
      </c>
      <c r="Y244" s="213">
        <f t="shared" ca="1" si="177"/>
        <v>0</v>
      </c>
      <c r="Z244" s="14">
        <f t="shared" ca="1" si="156"/>
        <v>0</v>
      </c>
      <c r="AA244" s="14">
        <f>IF(AND($H244=pt,$F244=11),SUM($K$7:K244)*VLOOKUP(pt,ROC,2,FALSE),0)</f>
        <v>0</v>
      </c>
      <c r="AB244" s="14">
        <f>IF(AND($H244=pt,$F244=11),SUM($V$7:V244)*VLOOKUP(pt,ROC,2,FALSE),0)</f>
        <v>0</v>
      </c>
      <c r="AC244" s="14">
        <f>IF(AND($H244=pt,$F244=11),SUM($Q$7:Q244)*VLOOKUP(pt,ROC,2,FALSE),0)</f>
        <v>0</v>
      </c>
      <c r="AD244" s="14">
        <f t="shared" ca="1" si="178"/>
        <v>0</v>
      </c>
      <c r="AE244" s="14">
        <f ca="1">(MAX(sa-CF243*Flag_UL_Type,105%*SUM($I$7:I244),Z244)+AU244)*B244</f>
        <v>0</v>
      </c>
      <c r="AF244" s="136"/>
      <c r="AG244" s="18">
        <v>238</v>
      </c>
      <c r="AH244" s="30">
        <f t="shared" ca="1" si="157"/>
        <v>0</v>
      </c>
      <c r="AI244" s="58"/>
      <c r="AJ244" s="50">
        <f>IF(AND(Option_Sys_TopUp&gt;="Y",H244&gt;=sytp,H244&lt;=(dtp+sytp-1),F244=0,H244&lt;=ppt+1),atp,0)+IFERROR(VLOOKUP(H244,Input!$B$55:$C$61,2,0),0)*(F244=0)*(Option_TopUP="Y")*(Option_Sys_TopUp="N")*B244*(pt&gt;=H244+5)</f>
        <v>0</v>
      </c>
      <c r="AK244" s="50">
        <f t="shared" si="158"/>
        <v>0</v>
      </c>
      <c r="AL244" s="50">
        <f t="shared" si="179"/>
        <v>0</v>
      </c>
      <c r="AM244" s="50">
        <f t="shared" ca="1" si="159"/>
        <v>0</v>
      </c>
      <c r="AN244" s="50">
        <f>IF(B244=0,0,AT244*(_rpm1+(1+_emr1)*VLOOKUP(E244,Tab_Mort_Charge,IF(Input!$C$12="M",2,3),0))*(0.001*0.0833)*Flag_Mort_Rider_Charge*(AT244&gt;0))</f>
        <v>0</v>
      </c>
      <c r="AO244" s="50">
        <f t="shared" ca="1" si="180"/>
        <v>0</v>
      </c>
      <c r="AP244" s="50">
        <f t="shared" ca="1" si="187"/>
        <v>0</v>
      </c>
      <c r="AQ244" s="50">
        <f t="shared" ca="1" si="160"/>
        <v>0</v>
      </c>
      <c r="AR244" s="50">
        <f t="shared" ca="1" si="161"/>
        <v>0</v>
      </c>
      <c r="AS244" s="50">
        <f t="shared" si="162"/>
        <v>0</v>
      </c>
      <c r="AT244" s="50">
        <f ca="1">(MAX((MAX(AS244,105%*SUM($AJ$7:AJ244))-AM244*Flag_UL_Type),0)*B244)</f>
        <v>0</v>
      </c>
      <c r="AU244" s="50">
        <f ca="1">(MAX(AS244,AR244,105%*SUM($AJ$7:AJ244))*B244)</f>
        <v>0</v>
      </c>
      <c r="AV244" s="125"/>
      <c r="AW244" s="13"/>
      <c r="AX244" s="13"/>
      <c r="AY244" s="13"/>
      <c r="AZ244" s="13"/>
      <c r="BA244" s="13"/>
      <c r="BG244" s="51">
        <f t="shared" si="163"/>
        <v>0</v>
      </c>
      <c r="BH244" s="51">
        <f t="shared" si="164"/>
        <v>0</v>
      </c>
      <c r="BI244" s="51">
        <f t="shared" ca="1" si="165"/>
        <v>0</v>
      </c>
      <c r="BJ244" s="51">
        <f t="shared" ca="1" si="166"/>
        <v>0</v>
      </c>
      <c r="BK244" s="51">
        <f t="shared" si="167"/>
        <v>0</v>
      </c>
      <c r="BL244" s="51">
        <f t="shared" ca="1" si="168"/>
        <v>0</v>
      </c>
      <c r="BM244" s="51">
        <f t="shared" si="169"/>
        <v>0</v>
      </c>
      <c r="BN244" s="51">
        <f t="shared" si="170"/>
        <v>0</v>
      </c>
      <c r="BO244" s="51">
        <f t="shared" ca="1" si="171"/>
        <v>0</v>
      </c>
      <c r="BP244" s="51">
        <f t="shared" ca="1" si="172"/>
        <v>0</v>
      </c>
      <c r="BQ244" s="120"/>
      <c r="BR244" s="32"/>
      <c r="BS244" s="126"/>
      <c r="BT244" s="16"/>
      <c r="BU244" s="58"/>
      <c r="BW244" s="51">
        <f>VLOOKUP(H244,Charges!$AT$4:$AU$33,2,FALSE)*I244</f>
        <v>0</v>
      </c>
      <c r="BX244" s="51">
        <f t="shared" si="173"/>
        <v>0</v>
      </c>
      <c r="BY244" s="51">
        <f t="shared" si="181"/>
        <v>0</v>
      </c>
      <c r="BZ244" s="151"/>
      <c r="CA244" s="151"/>
      <c r="CB244" s="32"/>
      <c r="CC244" s="16">
        <f ca="1">SUM($N$7:$N244)</f>
        <v>0</v>
      </c>
      <c r="CD244" s="16">
        <f t="shared" ca="1" si="174"/>
        <v>0</v>
      </c>
      <c r="CE244" s="16">
        <f t="shared" ca="1" si="175"/>
        <v>0</v>
      </c>
      <c r="CF244" s="7">
        <f t="shared" ca="1" si="182"/>
        <v>0</v>
      </c>
    </row>
    <row r="245" spans="1:84" s="7" customFormat="1" x14ac:dyDescent="0.2">
      <c r="A245" s="149"/>
      <c r="B245" s="14">
        <f t="shared" si="144"/>
        <v>0</v>
      </c>
      <c r="C245" s="12">
        <f t="shared" si="145"/>
        <v>0</v>
      </c>
      <c r="D245" s="17">
        <f t="shared" si="183"/>
        <v>239</v>
      </c>
      <c r="E245" s="17">
        <f t="shared" ca="1" si="146"/>
        <v>79</v>
      </c>
      <c r="F245" s="12">
        <f t="shared" si="185"/>
        <v>10</v>
      </c>
      <c r="G245" s="12">
        <f t="shared" si="184"/>
        <v>40</v>
      </c>
      <c r="H245" s="17">
        <f t="shared" si="186"/>
        <v>20</v>
      </c>
      <c r="I245" s="29">
        <f t="shared" si="147"/>
        <v>0</v>
      </c>
      <c r="J245" s="211">
        <f>IFERROR(VLOOKUP(H245,Charges!$T$6:$U$35,2,0)*C245,0)</f>
        <v>0</v>
      </c>
      <c r="K245" s="29">
        <f t="shared" si="148"/>
        <v>0</v>
      </c>
      <c r="L245" s="29">
        <f t="shared" si="149"/>
        <v>0</v>
      </c>
      <c r="M245" s="147">
        <f t="shared" ca="1" si="150"/>
        <v>0</v>
      </c>
      <c r="N245" s="148">
        <f ca="1">IF(AND(Option_SPW="Y",H245&gt;=Lock_In_Period,Z244&gt;SPW_Amount_pa+IF(option="Single",1/5*pr,2*pr),H245&gt;=SPW_Start_Year,H245&lt;=SPW_Start_Year+SPW_Duration-1,age+H245&gt;=Legal_Age),IF(AND(F245=0,SPW_Payout_Freq=1),SPW_Amount_pa,IF(AND(SPW_Payout_Freq=2,MOD(F245,6)=0),SPW_Amount_pa/SPW_Payout_Freq,IF(AND(SPW_Payout_Freq=4,MOD(F245,3)=0),SPW_Amount_pa/SPW_Payout_Freq,IF(SPW_Payout_Freq=12,SPW_Amount_pa/SPW_Payout_Freq,0)))),0)+IFERROR(VLOOKUP(H245,Input!$B$68:$C$74,2,0),0)*(F245=0)*(Option_PW="Y")*(Option_SPW="N")*(age+H245&gt;=Legal_Age)</f>
        <v>0</v>
      </c>
      <c r="O245" s="148">
        <f t="shared" ca="1" si="176"/>
        <v>0</v>
      </c>
      <c r="P245" s="14">
        <f ca="1">(MAX(MAX(sa-CF244*Flag_UL_Type,105%*SUM($I$7:I245))-(AD244+L245-N245)*Flag_UL_Type,0)*B245)</f>
        <v>0</v>
      </c>
      <c r="Q245" s="213">
        <f t="shared" si="151"/>
        <v>0</v>
      </c>
      <c r="R245" s="14">
        <f t="shared" ca="1" si="152"/>
        <v>0</v>
      </c>
      <c r="S245" s="14">
        <f t="shared" ca="1" si="153"/>
        <v>0</v>
      </c>
      <c r="T245" s="14">
        <f>IFERROR(IF(WoP_Flag="Y",IF(fq=1,VLOOKUP(ppt*fq-H245,Charges!$AN$41:$AO$59,2,FALSE),IF(fq=2,VLOOKUP(ppt*fq-G245,Charges!$AP$41:$AQ$79,2,FALSE),VLOOKUP(ppt*fq-D245,Charges!$AR$41:$AS$279,2,FALSE)))*pr/fq,0),0)</f>
        <v>0</v>
      </c>
      <c r="U245" s="14">
        <f ca="1">IFERROR(((T245*(VLOOKUP(Input!$D$18+H245-1,Tab_Mort_Charge,IF(Gender_2="M",2,3),FALSE)*(1+_emr2)+_rpm2)/IF(Model_Type="LA_PQIS",1000/0.0833,(12*1000))))*Flag_Mort_Rider_Charge*(T245&gt;0),0)</f>
        <v>0</v>
      </c>
      <c r="V245" s="34">
        <f>ROUND(MIN(IF(H245&gt;=7,Charges!$C$12*(1+Charges!$C$14)^((H245-7+1)),VLOOKUP(H245,Charges!$B$7:$C$12,2,0))*pr,Charges!$C$13)*B245,Round)</f>
        <v>0</v>
      </c>
      <c r="W245" s="14">
        <f t="shared" ca="1" si="154"/>
        <v>0</v>
      </c>
      <c r="X245" s="14">
        <f t="shared" ca="1" si="155"/>
        <v>0</v>
      </c>
      <c r="Y245" s="213">
        <f t="shared" ca="1" si="177"/>
        <v>0</v>
      </c>
      <c r="Z245" s="14">
        <f t="shared" ca="1" si="156"/>
        <v>0</v>
      </c>
      <c r="AA245" s="14">
        <f>IF(AND($H245=pt,$F245=11),SUM($K$7:K245)*VLOOKUP(pt,ROC,2,FALSE),0)</f>
        <v>0</v>
      </c>
      <c r="AB245" s="14">
        <f>IF(AND($H245=pt,$F245=11),SUM($V$7:V245)*VLOOKUP(pt,ROC,2,FALSE),0)</f>
        <v>0</v>
      </c>
      <c r="AC245" s="14">
        <f>IF(AND($H245=pt,$F245=11),SUM($Q$7:Q245)*VLOOKUP(pt,ROC,2,FALSE),0)</f>
        <v>0</v>
      </c>
      <c r="AD245" s="14">
        <f t="shared" ca="1" si="178"/>
        <v>0</v>
      </c>
      <c r="AE245" s="14">
        <f ca="1">(MAX(sa-CF244*Flag_UL_Type,105%*SUM($I$7:I245),Z245)+AU245)*B245</f>
        <v>0</v>
      </c>
      <c r="AF245" s="136"/>
      <c r="AG245" s="18">
        <v>239</v>
      </c>
      <c r="AH245" s="30">
        <f t="shared" ca="1" si="157"/>
        <v>0</v>
      </c>
      <c r="AI245" s="58"/>
      <c r="AJ245" s="50">
        <f>IF(AND(Option_Sys_TopUp&gt;="Y",H245&gt;=sytp,H245&lt;=(dtp+sytp-1),F245=0,H245&lt;=ppt+1),atp,0)+IFERROR(VLOOKUP(H245,Input!$B$55:$C$61,2,0),0)*(F245=0)*(Option_TopUP="Y")*(Option_Sys_TopUp="N")*B245*(pt&gt;=H245+5)</f>
        <v>0</v>
      </c>
      <c r="AK245" s="50">
        <f t="shared" si="158"/>
        <v>0</v>
      </c>
      <c r="AL245" s="50">
        <f t="shared" si="179"/>
        <v>0</v>
      </c>
      <c r="AM245" s="50">
        <f t="shared" ca="1" si="159"/>
        <v>0</v>
      </c>
      <c r="AN245" s="50">
        <f>IF(B245=0,0,AT245*(_rpm1+(1+_emr1)*VLOOKUP(E245,Tab_Mort_Charge,IF(Input!$C$12="M",2,3),0))*(0.001*0.0833)*Flag_Mort_Rider_Charge*(AT245&gt;0))</f>
        <v>0</v>
      </c>
      <c r="AO245" s="50">
        <f t="shared" ca="1" si="180"/>
        <v>0</v>
      </c>
      <c r="AP245" s="50">
        <f t="shared" ca="1" si="187"/>
        <v>0</v>
      </c>
      <c r="AQ245" s="50">
        <f t="shared" ca="1" si="160"/>
        <v>0</v>
      </c>
      <c r="AR245" s="50">
        <f t="shared" ca="1" si="161"/>
        <v>0</v>
      </c>
      <c r="AS245" s="50">
        <f t="shared" si="162"/>
        <v>0</v>
      </c>
      <c r="AT245" s="50">
        <f ca="1">(MAX((MAX(AS245,105%*SUM($AJ$7:AJ245))-AM245*Flag_UL_Type),0)*B245)</f>
        <v>0</v>
      </c>
      <c r="AU245" s="50">
        <f ca="1">(MAX(AS245,AR245,105%*SUM($AJ$7:AJ245))*B245)</f>
        <v>0</v>
      </c>
      <c r="AV245" s="125"/>
      <c r="AW245" s="13"/>
      <c r="AX245" s="13"/>
      <c r="AY245" s="13"/>
      <c r="AZ245" s="13"/>
      <c r="BA245" s="13"/>
      <c r="BG245" s="51">
        <f t="shared" si="163"/>
        <v>0</v>
      </c>
      <c r="BH245" s="51">
        <f t="shared" si="164"/>
        <v>0</v>
      </c>
      <c r="BI245" s="51">
        <f t="shared" ca="1" si="165"/>
        <v>0</v>
      </c>
      <c r="BJ245" s="51">
        <f t="shared" ca="1" si="166"/>
        <v>0</v>
      </c>
      <c r="BK245" s="51">
        <f t="shared" si="167"/>
        <v>0</v>
      </c>
      <c r="BL245" s="51">
        <f t="shared" ca="1" si="168"/>
        <v>0</v>
      </c>
      <c r="BM245" s="51">
        <f t="shared" si="169"/>
        <v>0</v>
      </c>
      <c r="BN245" s="51">
        <f t="shared" si="170"/>
        <v>0</v>
      </c>
      <c r="BO245" s="51">
        <f t="shared" ca="1" si="171"/>
        <v>0</v>
      </c>
      <c r="BP245" s="51">
        <f t="shared" ca="1" si="172"/>
        <v>0</v>
      </c>
      <c r="BQ245" s="120"/>
      <c r="BR245" s="32"/>
      <c r="BS245" s="126"/>
      <c r="BT245" s="16"/>
      <c r="BU245" s="58"/>
      <c r="BW245" s="51">
        <f>VLOOKUP(H245,Charges!$AT$4:$AU$33,2,FALSE)*I245</f>
        <v>0</v>
      </c>
      <c r="BX245" s="51">
        <f t="shared" si="173"/>
        <v>0</v>
      </c>
      <c r="BY245" s="51">
        <f t="shared" si="181"/>
        <v>0</v>
      </c>
      <c r="BZ245" s="151"/>
      <c r="CA245" s="151"/>
      <c r="CB245" s="32"/>
      <c r="CC245" s="16">
        <f ca="1">SUM($N$7:$N245)</f>
        <v>0</v>
      </c>
      <c r="CD245" s="16">
        <f t="shared" ca="1" si="174"/>
        <v>0</v>
      </c>
      <c r="CE245" s="16">
        <f t="shared" ca="1" si="175"/>
        <v>0</v>
      </c>
      <c r="CF245" s="7">
        <f t="shared" ca="1" si="182"/>
        <v>0</v>
      </c>
    </row>
    <row r="246" spans="1:84" s="7" customFormat="1" x14ac:dyDescent="0.2">
      <c r="A246" s="149"/>
      <c r="B246" s="14">
        <f t="shared" si="144"/>
        <v>0</v>
      </c>
      <c r="C246" s="12">
        <f t="shared" si="145"/>
        <v>0</v>
      </c>
      <c r="D246" s="17">
        <f t="shared" si="183"/>
        <v>240</v>
      </c>
      <c r="E246" s="17">
        <f t="shared" ca="1" si="146"/>
        <v>79</v>
      </c>
      <c r="F246" s="12">
        <f t="shared" si="185"/>
        <v>11</v>
      </c>
      <c r="G246" s="12">
        <f t="shared" si="184"/>
        <v>40</v>
      </c>
      <c r="H246" s="17">
        <f t="shared" si="186"/>
        <v>20</v>
      </c>
      <c r="I246" s="29">
        <f t="shared" si="147"/>
        <v>0</v>
      </c>
      <c r="J246" s="211">
        <f>IFERROR(VLOOKUP(H246,Charges!$T$6:$U$35,2,0)*C246,0)</f>
        <v>0</v>
      </c>
      <c r="K246" s="29">
        <f t="shared" si="148"/>
        <v>0</v>
      </c>
      <c r="L246" s="29">
        <f t="shared" si="149"/>
        <v>0</v>
      </c>
      <c r="M246" s="147">
        <f t="shared" ca="1" si="150"/>
        <v>0</v>
      </c>
      <c r="N246" s="148">
        <f ca="1">IF(AND(Option_SPW="Y",H246&gt;=Lock_In_Period,Z245&gt;SPW_Amount_pa+IF(option="Single",1/5*pr,2*pr),H246&gt;=SPW_Start_Year,H246&lt;=SPW_Start_Year+SPW_Duration-1,age+H246&gt;=Legal_Age),IF(AND(F246=0,SPW_Payout_Freq=1),SPW_Amount_pa,IF(AND(SPW_Payout_Freq=2,MOD(F246,6)=0),SPW_Amount_pa/SPW_Payout_Freq,IF(AND(SPW_Payout_Freq=4,MOD(F246,3)=0),SPW_Amount_pa/SPW_Payout_Freq,IF(SPW_Payout_Freq=12,SPW_Amount_pa/SPW_Payout_Freq,0)))),0)+IFERROR(VLOOKUP(H246,Input!$B$68:$C$74,2,0),0)*(F246=0)*(Option_PW="Y")*(Option_SPW="N")*(age+H246&gt;=Legal_Age)</f>
        <v>0</v>
      </c>
      <c r="O246" s="148">
        <f t="shared" ca="1" si="176"/>
        <v>0</v>
      </c>
      <c r="P246" s="14">
        <f ca="1">(MAX(MAX(sa-CF245*Flag_UL_Type,105%*SUM($I$7:I246))-(AD245+L246-N246)*Flag_UL_Type,0)*B246)</f>
        <v>0</v>
      </c>
      <c r="Q246" s="213">
        <f t="shared" si="151"/>
        <v>0</v>
      </c>
      <c r="R246" s="14">
        <f t="shared" ca="1" si="152"/>
        <v>0</v>
      </c>
      <c r="S246" s="14">
        <f t="shared" ca="1" si="153"/>
        <v>0</v>
      </c>
      <c r="T246" s="14">
        <f>IFERROR(IF(WoP_Flag="Y",IF(fq=1,VLOOKUP(ppt*fq-H246,Charges!$AN$41:$AO$59,2,FALSE),IF(fq=2,VLOOKUP(ppt*fq-G246,Charges!$AP$41:$AQ$79,2,FALSE),VLOOKUP(ppt*fq-D246,Charges!$AR$41:$AS$279,2,FALSE)))*pr/fq,0),0)</f>
        <v>0</v>
      </c>
      <c r="U246" s="14">
        <f ca="1">IFERROR(((T246*(VLOOKUP(Input!$D$18+H246-1,Tab_Mort_Charge,IF(Gender_2="M",2,3),FALSE)*(1+_emr2)+_rpm2)/IF(Model_Type="LA_PQIS",1000/0.0833,(12*1000))))*Flag_Mort_Rider_Charge*(T246&gt;0),0)</f>
        <v>0</v>
      </c>
      <c r="V246" s="34">
        <f>ROUND(MIN(IF(H246&gt;=7,Charges!$C$12*(1+Charges!$C$14)^((H246-7+1)),VLOOKUP(H246,Charges!$B$7:$C$12,2,0))*pr,Charges!$C$13)*B246,Round)</f>
        <v>0</v>
      </c>
      <c r="W246" s="14">
        <f t="shared" ca="1" si="154"/>
        <v>0</v>
      </c>
      <c r="X246" s="14">
        <f t="shared" ca="1" si="155"/>
        <v>0</v>
      </c>
      <c r="Y246" s="213">
        <f t="shared" ca="1" si="177"/>
        <v>0</v>
      </c>
      <c r="Z246" s="14">
        <f t="shared" ca="1" si="156"/>
        <v>0</v>
      </c>
      <c r="AA246" s="14">
        <f>IF(AND($H246=pt,$F246=11),SUM($K$7:K246)*VLOOKUP(pt,ROC,2,FALSE),0)</f>
        <v>0</v>
      </c>
      <c r="AB246" s="14">
        <f>IF(AND($H246=pt,$F246=11),SUM($V$7:V246)*VLOOKUP(pt,ROC,2,FALSE),0)</f>
        <v>0</v>
      </c>
      <c r="AC246" s="14">
        <f>IF(AND($H246=pt,$F246=11),SUM($Q$7:Q246)*VLOOKUP(pt,ROC,2,FALSE),0)</f>
        <v>0</v>
      </c>
      <c r="AD246" s="14">
        <f t="shared" ca="1" si="178"/>
        <v>0</v>
      </c>
      <c r="AE246" s="14">
        <f ca="1">(MAX(sa-CF245*Flag_UL_Type,105%*SUM($I$7:I246),Z246)+AU246)*B246</f>
        <v>0</v>
      </c>
      <c r="AF246" s="136"/>
      <c r="AG246" s="18">
        <v>240</v>
      </c>
      <c r="AH246" s="30">
        <f t="shared" ca="1" si="157"/>
        <v>0</v>
      </c>
      <c r="AI246" s="58"/>
      <c r="AJ246" s="50">
        <f>IF(AND(Option_Sys_TopUp&gt;="Y",H246&gt;=sytp,H246&lt;=(dtp+sytp-1),F246=0,H246&lt;=ppt+1),atp,0)+IFERROR(VLOOKUP(H246,Input!$B$55:$C$61,2,0),0)*(F246=0)*(Option_TopUP="Y")*(Option_Sys_TopUp="N")*B246*(pt&gt;=H246+5)</f>
        <v>0</v>
      </c>
      <c r="AK246" s="50">
        <f t="shared" si="158"/>
        <v>0</v>
      </c>
      <c r="AL246" s="50">
        <f t="shared" si="179"/>
        <v>0</v>
      </c>
      <c r="AM246" s="50">
        <f t="shared" ca="1" si="159"/>
        <v>0</v>
      </c>
      <c r="AN246" s="50">
        <f>IF(B246=0,0,AT246*(_rpm1+(1+_emr1)*VLOOKUP(E246,Tab_Mort_Charge,IF(Input!$C$12="M",2,3),0))*(0.001*0.0833)*Flag_Mort_Rider_Charge*(AT246&gt;0))</f>
        <v>0</v>
      </c>
      <c r="AO246" s="50">
        <f t="shared" ca="1" si="180"/>
        <v>0</v>
      </c>
      <c r="AP246" s="50">
        <f t="shared" ca="1" si="187"/>
        <v>0</v>
      </c>
      <c r="AQ246" s="50">
        <f t="shared" ca="1" si="160"/>
        <v>0</v>
      </c>
      <c r="AR246" s="50">
        <f t="shared" ca="1" si="161"/>
        <v>0</v>
      </c>
      <c r="AS246" s="50">
        <f t="shared" si="162"/>
        <v>0</v>
      </c>
      <c r="AT246" s="50">
        <f ca="1">(MAX((MAX(AS246,105%*SUM($AJ$7:AJ246))-AM246*Flag_UL_Type),0)*B246)</f>
        <v>0</v>
      </c>
      <c r="AU246" s="50">
        <f ca="1">(MAX(AS246,AR246,105%*SUM($AJ$7:AJ246))*B246)</f>
        <v>0</v>
      </c>
      <c r="AV246" s="125"/>
      <c r="AW246" s="13"/>
      <c r="AX246" s="13"/>
      <c r="AY246" s="13"/>
      <c r="AZ246" s="13"/>
      <c r="BA246" s="13"/>
      <c r="BG246" s="51">
        <f t="shared" si="163"/>
        <v>0</v>
      </c>
      <c r="BH246" s="51">
        <f t="shared" si="164"/>
        <v>0</v>
      </c>
      <c r="BI246" s="51">
        <f t="shared" ca="1" si="165"/>
        <v>0</v>
      </c>
      <c r="BJ246" s="51">
        <f t="shared" ca="1" si="166"/>
        <v>0</v>
      </c>
      <c r="BK246" s="51">
        <f t="shared" si="167"/>
        <v>0</v>
      </c>
      <c r="BL246" s="51">
        <f t="shared" ca="1" si="168"/>
        <v>0</v>
      </c>
      <c r="BM246" s="51">
        <f t="shared" si="169"/>
        <v>0</v>
      </c>
      <c r="BN246" s="51">
        <f t="shared" si="170"/>
        <v>0</v>
      </c>
      <c r="BO246" s="51">
        <f t="shared" ca="1" si="171"/>
        <v>0</v>
      </c>
      <c r="BP246" s="51">
        <f t="shared" ca="1" si="172"/>
        <v>0</v>
      </c>
      <c r="BQ246" s="120"/>
      <c r="BR246" s="32"/>
      <c r="BS246" s="126"/>
      <c r="BT246" s="16"/>
      <c r="BU246" s="58"/>
      <c r="BW246" s="51">
        <f>VLOOKUP(H246,Charges!$AT$4:$AU$33,2,FALSE)*I246</f>
        <v>0</v>
      </c>
      <c r="BX246" s="51">
        <f t="shared" si="173"/>
        <v>0</v>
      </c>
      <c r="BY246" s="51">
        <f t="shared" si="181"/>
        <v>0</v>
      </c>
      <c r="BZ246" s="151"/>
      <c r="CA246" s="151"/>
      <c r="CB246" s="32"/>
      <c r="CC246" s="16">
        <f ca="1">SUM($N$7:$N246)</f>
        <v>0</v>
      </c>
      <c r="CD246" s="16">
        <f t="shared" ca="1" si="174"/>
        <v>0</v>
      </c>
      <c r="CE246" s="16">
        <f t="shared" ca="1" si="175"/>
        <v>0</v>
      </c>
      <c r="CF246" s="7">
        <f t="shared" ca="1" si="182"/>
        <v>0</v>
      </c>
    </row>
    <row r="247" spans="1:84" s="7" customFormat="1" x14ac:dyDescent="0.2">
      <c r="A247" s="149"/>
      <c r="B247" s="14">
        <f t="shared" si="144"/>
        <v>0</v>
      </c>
      <c r="C247" s="12">
        <f t="shared" si="145"/>
        <v>0</v>
      </c>
      <c r="D247" s="17">
        <f t="shared" si="183"/>
        <v>241</v>
      </c>
      <c r="E247" s="17">
        <f t="shared" ca="1" si="146"/>
        <v>80</v>
      </c>
      <c r="F247" s="12">
        <f t="shared" si="185"/>
        <v>0</v>
      </c>
      <c r="G247" s="12">
        <f t="shared" si="184"/>
        <v>41</v>
      </c>
      <c r="H247" s="17">
        <f t="shared" si="186"/>
        <v>21</v>
      </c>
      <c r="I247" s="29">
        <f t="shared" si="147"/>
        <v>0</v>
      </c>
      <c r="J247" s="211">
        <f>IFERROR(VLOOKUP(H247,Charges!$T$6:$U$35,2,0)*C247,0)</f>
        <v>0</v>
      </c>
      <c r="K247" s="29">
        <f t="shared" si="148"/>
        <v>0</v>
      </c>
      <c r="L247" s="29">
        <f t="shared" si="149"/>
        <v>0</v>
      </c>
      <c r="M247" s="147">
        <f t="shared" ca="1" si="150"/>
        <v>0</v>
      </c>
      <c r="N247" s="148">
        <f ca="1">IF(AND(Option_SPW="Y",H247&gt;=Lock_In_Period,Z246&gt;SPW_Amount_pa+IF(option="Single",1/5*pr,2*pr),H247&gt;=SPW_Start_Year,H247&lt;=SPW_Start_Year+SPW_Duration-1,age+H247&gt;=Legal_Age),IF(AND(F247=0,SPW_Payout_Freq=1),SPW_Amount_pa,IF(AND(SPW_Payout_Freq=2,MOD(F247,6)=0),SPW_Amount_pa/SPW_Payout_Freq,IF(AND(SPW_Payout_Freq=4,MOD(F247,3)=0),SPW_Amount_pa/SPW_Payout_Freq,IF(SPW_Payout_Freq=12,SPW_Amount_pa/SPW_Payout_Freq,0)))),0)+IFERROR(VLOOKUP(H247,Input!$B$68:$C$74,2,0),0)*(F247=0)*(Option_PW="Y")*(Option_SPW="N")*(age+H247&gt;=Legal_Age)</f>
        <v>0</v>
      </c>
      <c r="O247" s="148">
        <f t="shared" ca="1" si="176"/>
        <v>0</v>
      </c>
      <c r="P247" s="14">
        <f ca="1">(MAX(MAX(sa-CF246*Flag_UL_Type,105%*SUM($I$7:I247))-(AD246+L247-N247)*Flag_UL_Type,0)*B247)</f>
        <v>0</v>
      </c>
      <c r="Q247" s="213">
        <f t="shared" si="151"/>
        <v>0</v>
      </c>
      <c r="R247" s="14">
        <f t="shared" ca="1" si="152"/>
        <v>0</v>
      </c>
      <c r="S247" s="14">
        <f t="shared" ca="1" si="153"/>
        <v>0</v>
      </c>
      <c r="T247" s="14">
        <f>IFERROR(IF(WoP_Flag="Y",IF(fq=1,VLOOKUP(ppt*fq-H247,Charges!$AN$41:$AO$59,2,FALSE),IF(fq=2,VLOOKUP(ppt*fq-G247,Charges!$AP$41:$AQ$79,2,FALSE),VLOOKUP(ppt*fq-D247,Charges!$AR$41:$AS$279,2,FALSE)))*pr/fq,0),0)</f>
        <v>0</v>
      </c>
      <c r="U247" s="14">
        <f ca="1">IFERROR(((T247*(VLOOKUP(Input!$D$18+H247-1,Tab_Mort_Charge,IF(Gender_2="M",2,3),FALSE)*(1+_emr2)+_rpm2)/IF(Model_Type="LA_PQIS",1000/0.0833,(12*1000))))*Flag_Mort_Rider_Charge*(T247&gt;0),0)</f>
        <v>0</v>
      </c>
      <c r="V247" s="34">
        <f>ROUND(MIN(IF(H247&gt;=7,Charges!$C$12*(1+Charges!$C$14)^((H247-7+1)),VLOOKUP(H247,Charges!$B$7:$C$12,2,0))*pr,Charges!$C$13)*B247,Round)</f>
        <v>0</v>
      </c>
      <c r="W247" s="14">
        <f t="shared" ca="1" si="154"/>
        <v>0</v>
      </c>
      <c r="X247" s="14">
        <f t="shared" ca="1" si="155"/>
        <v>0</v>
      </c>
      <c r="Y247" s="213">
        <f t="shared" ca="1" si="177"/>
        <v>0</v>
      </c>
      <c r="Z247" s="14">
        <f t="shared" ca="1" si="156"/>
        <v>0</v>
      </c>
      <c r="AA247" s="14">
        <f>IF(AND($H247=pt,$F247=11),SUM($K$7:K247)*VLOOKUP(pt,ROC,2,FALSE),0)</f>
        <v>0</v>
      </c>
      <c r="AB247" s="14">
        <f>IF(AND($H247=pt,$F247=11),SUM($V$7:V247)*VLOOKUP(pt,ROC,2,FALSE),0)</f>
        <v>0</v>
      </c>
      <c r="AC247" s="14">
        <f>IF(AND($H247=pt,$F247=11),SUM($Q$7:Q247)*VLOOKUP(pt,ROC,2,FALSE),0)</f>
        <v>0</v>
      </c>
      <c r="AD247" s="14">
        <f t="shared" ca="1" si="178"/>
        <v>0</v>
      </c>
      <c r="AE247" s="14">
        <f ca="1">(MAX(sa-CF246*Flag_UL_Type,105%*SUM($I$7:I247),Z247)+AU247)*B247</f>
        <v>0</v>
      </c>
      <c r="AF247" s="136"/>
      <c r="AG247" s="18">
        <v>241</v>
      </c>
      <c r="AH247" s="30">
        <f t="shared" ca="1" si="157"/>
        <v>0</v>
      </c>
      <c r="AI247" s="58"/>
      <c r="AJ247" s="50">
        <f>IF(AND(Option_Sys_TopUp&gt;="Y",H247&gt;=sytp,H247&lt;=(dtp+sytp-1),F247=0,H247&lt;=ppt+1),atp,0)+IFERROR(VLOOKUP(H247,Input!$B$55:$C$61,2,0),0)*(F247=0)*(Option_TopUP="Y")*(Option_Sys_TopUp="N")*B247*(pt&gt;=H247+5)</f>
        <v>0</v>
      </c>
      <c r="AK247" s="50">
        <f t="shared" si="158"/>
        <v>0</v>
      </c>
      <c r="AL247" s="50">
        <f t="shared" si="179"/>
        <v>0</v>
      </c>
      <c r="AM247" s="50">
        <f t="shared" ca="1" si="159"/>
        <v>0</v>
      </c>
      <c r="AN247" s="50">
        <f>IF(B247=0,0,AT247*(_rpm1+(1+_emr1)*VLOOKUP(E247,Tab_Mort_Charge,IF(Input!$C$12="M",2,3),0))*(0.001*0.0833)*Flag_Mort_Rider_Charge*(AT247&gt;0))</f>
        <v>0</v>
      </c>
      <c r="AO247" s="50">
        <f t="shared" ca="1" si="180"/>
        <v>0</v>
      </c>
      <c r="AP247" s="50">
        <f t="shared" ca="1" si="187"/>
        <v>0</v>
      </c>
      <c r="AQ247" s="50">
        <f t="shared" ca="1" si="160"/>
        <v>0</v>
      </c>
      <c r="AR247" s="50">
        <f t="shared" ca="1" si="161"/>
        <v>0</v>
      </c>
      <c r="AS247" s="50">
        <f t="shared" si="162"/>
        <v>0</v>
      </c>
      <c r="AT247" s="50">
        <f ca="1">(MAX((MAX(AS247,105%*SUM($AJ$7:AJ247))-AM247*Flag_UL_Type),0)*B247)</f>
        <v>0</v>
      </c>
      <c r="AU247" s="50">
        <f ca="1">(MAX(AS247,AR247,105%*SUM($AJ$7:AJ247))*B247)</f>
        <v>0</v>
      </c>
      <c r="AV247" s="125"/>
      <c r="AW247" s="13"/>
      <c r="AX247" s="13"/>
      <c r="AY247" s="13"/>
      <c r="AZ247" s="13"/>
      <c r="BA247" s="13"/>
      <c r="BG247" s="51">
        <f t="shared" si="163"/>
        <v>0</v>
      </c>
      <c r="BH247" s="51">
        <f t="shared" si="164"/>
        <v>0</v>
      </c>
      <c r="BI247" s="51">
        <f t="shared" ca="1" si="165"/>
        <v>0</v>
      </c>
      <c r="BJ247" s="51">
        <f t="shared" ca="1" si="166"/>
        <v>0</v>
      </c>
      <c r="BK247" s="51">
        <f t="shared" si="167"/>
        <v>0</v>
      </c>
      <c r="BL247" s="51">
        <f t="shared" ca="1" si="168"/>
        <v>0</v>
      </c>
      <c r="BM247" s="51">
        <f t="shared" si="169"/>
        <v>0</v>
      </c>
      <c r="BN247" s="51">
        <f t="shared" si="170"/>
        <v>0</v>
      </c>
      <c r="BO247" s="51">
        <f t="shared" ca="1" si="171"/>
        <v>0</v>
      </c>
      <c r="BP247" s="51">
        <f t="shared" ca="1" si="172"/>
        <v>0</v>
      </c>
      <c r="BQ247" s="120"/>
      <c r="BR247" s="32"/>
      <c r="BS247" s="126"/>
      <c r="BT247" s="16"/>
      <c r="BU247" s="58"/>
      <c r="BW247" s="51">
        <f>VLOOKUP(H247,Charges!$AT$4:$AU$33,2,FALSE)*I247</f>
        <v>0</v>
      </c>
      <c r="BX247" s="51">
        <f t="shared" si="173"/>
        <v>0</v>
      </c>
      <c r="BY247" s="51">
        <f t="shared" si="181"/>
        <v>0</v>
      </c>
      <c r="BZ247" s="151"/>
      <c r="CA247" s="151"/>
      <c r="CB247" s="32"/>
      <c r="CC247" s="16">
        <f ca="1">SUM($N$7:$N247)</f>
        <v>0</v>
      </c>
      <c r="CD247" s="16">
        <f t="shared" ca="1" si="174"/>
        <v>0</v>
      </c>
      <c r="CE247" s="16">
        <f t="shared" ca="1" si="175"/>
        <v>0</v>
      </c>
      <c r="CF247" s="7">
        <f t="shared" ca="1" si="182"/>
        <v>0</v>
      </c>
    </row>
    <row r="248" spans="1:84" s="7" customFormat="1" x14ac:dyDescent="0.2">
      <c r="A248" s="149"/>
      <c r="B248" s="14">
        <f t="shared" si="144"/>
        <v>0</v>
      </c>
      <c r="C248" s="12">
        <f t="shared" si="145"/>
        <v>0</v>
      </c>
      <c r="D248" s="17">
        <f t="shared" si="183"/>
        <v>242</v>
      </c>
      <c r="E248" s="17">
        <f t="shared" ca="1" si="146"/>
        <v>80</v>
      </c>
      <c r="F248" s="12">
        <f t="shared" si="185"/>
        <v>1</v>
      </c>
      <c r="G248" s="12">
        <f t="shared" si="184"/>
        <v>41</v>
      </c>
      <c r="H248" s="17">
        <f t="shared" si="186"/>
        <v>21</v>
      </c>
      <c r="I248" s="29">
        <f t="shared" si="147"/>
        <v>0</v>
      </c>
      <c r="J248" s="211">
        <f>IFERROR(VLOOKUP(H248,Charges!$T$6:$U$35,2,0)*C248,0)</f>
        <v>0</v>
      </c>
      <c r="K248" s="29">
        <f t="shared" si="148"/>
        <v>0</v>
      </c>
      <c r="L248" s="29">
        <f t="shared" si="149"/>
        <v>0</v>
      </c>
      <c r="M248" s="147">
        <f t="shared" ca="1" si="150"/>
        <v>0</v>
      </c>
      <c r="N248" s="148">
        <f ca="1">IF(AND(Option_SPW="Y",H248&gt;=Lock_In_Period,Z247&gt;SPW_Amount_pa+IF(option="Single",1/5*pr,2*pr),H248&gt;=SPW_Start_Year,H248&lt;=SPW_Start_Year+SPW_Duration-1,age+H248&gt;=Legal_Age),IF(AND(F248=0,SPW_Payout_Freq=1),SPW_Amount_pa,IF(AND(SPW_Payout_Freq=2,MOD(F248,6)=0),SPW_Amount_pa/SPW_Payout_Freq,IF(AND(SPW_Payout_Freq=4,MOD(F248,3)=0),SPW_Amount_pa/SPW_Payout_Freq,IF(SPW_Payout_Freq=12,SPW_Amount_pa/SPW_Payout_Freq,0)))),0)+IFERROR(VLOOKUP(H248,Input!$B$68:$C$74,2,0),0)*(F248=0)*(Option_PW="Y")*(Option_SPW="N")*(age+H248&gt;=Legal_Age)</f>
        <v>0</v>
      </c>
      <c r="O248" s="148">
        <f t="shared" ca="1" si="176"/>
        <v>0</v>
      </c>
      <c r="P248" s="14">
        <f ca="1">(MAX(MAX(sa-CF247*Flag_UL_Type,105%*SUM($I$7:I248))-(AD247+L248-N248)*Flag_UL_Type,0)*B248)</f>
        <v>0</v>
      </c>
      <c r="Q248" s="213">
        <f t="shared" si="151"/>
        <v>0</v>
      </c>
      <c r="R248" s="14">
        <f t="shared" ca="1" si="152"/>
        <v>0</v>
      </c>
      <c r="S248" s="14">
        <f t="shared" ca="1" si="153"/>
        <v>0</v>
      </c>
      <c r="T248" s="14">
        <f>IFERROR(IF(WoP_Flag="Y",IF(fq=1,VLOOKUP(ppt*fq-H248,Charges!$AN$41:$AO$59,2,FALSE),IF(fq=2,VLOOKUP(ppt*fq-G248,Charges!$AP$41:$AQ$79,2,FALSE),VLOOKUP(ppt*fq-D248,Charges!$AR$41:$AS$279,2,FALSE)))*pr/fq,0),0)</f>
        <v>0</v>
      </c>
      <c r="U248" s="14">
        <f ca="1">IFERROR(((T248*(VLOOKUP(Input!$D$18+H248-1,Tab_Mort_Charge,IF(Gender_2="M",2,3),FALSE)*(1+_emr2)+_rpm2)/IF(Model_Type="LA_PQIS",1000/0.0833,(12*1000))))*Flag_Mort_Rider_Charge*(T248&gt;0),0)</f>
        <v>0</v>
      </c>
      <c r="V248" s="34">
        <f>ROUND(MIN(IF(H248&gt;=7,Charges!$C$12*(1+Charges!$C$14)^((H248-7+1)),VLOOKUP(H248,Charges!$B$7:$C$12,2,0))*pr,Charges!$C$13)*B248,Round)</f>
        <v>0</v>
      </c>
      <c r="W248" s="14">
        <f t="shared" ca="1" si="154"/>
        <v>0</v>
      </c>
      <c r="X248" s="14">
        <f t="shared" ca="1" si="155"/>
        <v>0</v>
      </c>
      <c r="Y248" s="213">
        <f t="shared" ca="1" si="177"/>
        <v>0</v>
      </c>
      <c r="Z248" s="14">
        <f t="shared" ca="1" si="156"/>
        <v>0</v>
      </c>
      <c r="AA248" s="14">
        <f>IF(AND($H248=pt,$F248=11),SUM($K$7:K248)*VLOOKUP(pt,ROC,2,FALSE),0)</f>
        <v>0</v>
      </c>
      <c r="AB248" s="14">
        <f>IF(AND($H248=pt,$F248=11),SUM($V$7:V248)*VLOOKUP(pt,ROC,2,FALSE),0)</f>
        <v>0</v>
      </c>
      <c r="AC248" s="14">
        <f>IF(AND($H248=pt,$F248=11),SUM($Q$7:Q248)*VLOOKUP(pt,ROC,2,FALSE),0)</f>
        <v>0</v>
      </c>
      <c r="AD248" s="14">
        <f t="shared" ca="1" si="178"/>
        <v>0</v>
      </c>
      <c r="AE248" s="14">
        <f ca="1">(MAX(sa-CF247*Flag_UL_Type,105%*SUM($I$7:I248),Z248)+AU248)*B248</f>
        <v>0</v>
      </c>
      <c r="AF248" s="136"/>
      <c r="AG248" s="18">
        <v>242</v>
      </c>
      <c r="AH248" s="30">
        <f t="shared" ca="1" si="157"/>
        <v>0</v>
      </c>
      <c r="AI248" s="58"/>
      <c r="AJ248" s="50">
        <f>IF(AND(Option_Sys_TopUp&gt;="Y",H248&gt;=sytp,H248&lt;=(dtp+sytp-1),F248=0,H248&lt;=ppt+1),atp,0)+IFERROR(VLOOKUP(H248,Input!$B$55:$C$61,2,0),0)*(F248=0)*(Option_TopUP="Y")*(Option_Sys_TopUp="N")*B248*(pt&gt;=H248+5)</f>
        <v>0</v>
      </c>
      <c r="AK248" s="50">
        <f t="shared" si="158"/>
        <v>0</v>
      </c>
      <c r="AL248" s="50">
        <f t="shared" si="179"/>
        <v>0</v>
      </c>
      <c r="AM248" s="50">
        <f t="shared" ca="1" si="159"/>
        <v>0</v>
      </c>
      <c r="AN248" s="50">
        <f>IF(B248=0,0,AT248*(_rpm1+(1+_emr1)*VLOOKUP(E248,Tab_Mort_Charge,IF(Input!$C$12="M",2,3),0))*(0.001*0.0833)*Flag_Mort_Rider_Charge*(AT248&gt;0))</f>
        <v>0</v>
      </c>
      <c r="AO248" s="50">
        <f t="shared" ca="1" si="180"/>
        <v>0</v>
      </c>
      <c r="AP248" s="50">
        <f t="shared" ca="1" si="187"/>
        <v>0</v>
      </c>
      <c r="AQ248" s="50">
        <f t="shared" ca="1" si="160"/>
        <v>0</v>
      </c>
      <c r="AR248" s="50">
        <f t="shared" ca="1" si="161"/>
        <v>0</v>
      </c>
      <c r="AS248" s="50">
        <f t="shared" si="162"/>
        <v>0</v>
      </c>
      <c r="AT248" s="50">
        <f ca="1">(MAX((MAX(AS248,105%*SUM($AJ$7:AJ248))-AM248*Flag_UL_Type),0)*B248)</f>
        <v>0</v>
      </c>
      <c r="AU248" s="50">
        <f ca="1">(MAX(AS248,AR248,105%*SUM($AJ$7:AJ248))*B248)</f>
        <v>0</v>
      </c>
      <c r="AV248" s="125"/>
      <c r="AW248" s="13"/>
      <c r="AX248" s="13"/>
      <c r="AY248" s="13"/>
      <c r="AZ248" s="13"/>
      <c r="BA248" s="13"/>
      <c r="BG248" s="51">
        <f t="shared" si="163"/>
        <v>0</v>
      </c>
      <c r="BH248" s="51">
        <f t="shared" si="164"/>
        <v>0</v>
      </c>
      <c r="BI248" s="51">
        <f t="shared" ca="1" si="165"/>
        <v>0</v>
      </c>
      <c r="BJ248" s="51">
        <f t="shared" ca="1" si="166"/>
        <v>0</v>
      </c>
      <c r="BK248" s="51">
        <f t="shared" si="167"/>
        <v>0</v>
      </c>
      <c r="BL248" s="51">
        <f t="shared" ca="1" si="168"/>
        <v>0</v>
      </c>
      <c r="BM248" s="51">
        <f t="shared" si="169"/>
        <v>0</v>
      </c>
      <c r="BN248" s="51">
        <f t="shared" si="170"/>
        <v>0</v>
      </c>
      <c r="BO248" s="51">
        <f t="shared" ca="1" si="171"/>
        <v>0</v>
      </c>
      <c r="BP248" s="51">
        <f t="shared" ca="1" si="172"/>
        <v>0</v>
      </c>
      <c r="BQ248" s="120"/>
      <c r="BR248" s="32"/>
      <c r="BS248" s="126"/>
      <c r="BT248" s="16"/>
      <c r="BU248" s="58"/>
      <c r="BW248" s="51">
        <f>VLOOKUP(H248,Charges!$AT$4:$AU$33,2,FALSE)*I248</f>
        <v>0</v>
      </c>
      <c r="BX248" s="51">
        <f t="shared" si="173"/>
        <v>0</v>
      </c>
      <c r="BY248" s="51">
        <f t="shared" si="181"/>
        <v>0</v>
      </c>
      <c r="BZ248" s="151"/>
      <c r="CA248" s="151"/>
      <c r="CB248" s="32"/>
      <c r="CC248" s="16">
        <f ca="1">SUM($N$7:$N248)</f>
        <v>0</v>
      </c>
      <c r="CD248" s="16">
        <f t="shared" ca="1" si="174"/>
        <v>0</v>
      </c>
      <c r="CE248" s="16">
        <f t="shared" ca="1" si="175"/>
        <v>0</v>
      </c>
      <c r="CF248" s="7">
        <f t="shared" ca="1" si="182"/>
        <v>0</v>
      </c>
    </row>
    <row r="249" spans="1:84" s="7" customFormat="1" x14ac:dyDescent="0.2">
      <c r="A249" s="149"/>
      <c r="B249" s="14">
        <f t="shared" si="144"/>
        <v>0</v>
      </c>
      <c r="C249" s="12">
        <f t="shared" si="145"/>
        <v>0</v>
      </c>
      <c r="D249" s="17">
        <f t="shared" si="183"/>
        <v>243</v>
      </c>
      <c r="E249" s="17">
        <f t="shared" ca="1" si="146"/>
        <v>80</v>
      </c>
      <c r="F249" s="12">
        <f t="shared" si="185"/>
        <v>2</v>
      </c>
      <c r="G249" s="12">
        <f t="shared" si="184"/>
        <v>41</v>
      </c>
      <c r="H249" s="17">
        <f t="shared" si="186"/>
        <v>21</v>
      </c>
      <c r="I249" s="29">
        <f t="shared" si="147"/>
        <v>0</v>
      </c>
      <c r="J249" s="211">
        <f>IFERROR(VLOOKUP(H249,Charges!$T$6:$U$35,2,0)*C249,0)</f>
        <v>0</v>
      </c>
      <c r="K249" s="29">
        <f t="shared" si="148"/>
        <v>0</v>
      </c>
      <c r="L249" s="29">
        <f t="shared" si="149"/>
        <v>0</v>
      </c>
      <c r="M249" s="147">
        <f t="shared" ca="1" si="150"/>
        <v>0</v>
      </c>
      <c r="N249" s="148">
        <f ca="1">IF(AND(Option_SPW="Y",H249&gt;=Lock_In_Period,Z248&gt;SPW_Amount_pa+IF(option="Single",1/5*pr,2*pr),H249&gt;=SPW_Start_Year,H249&lt;=SPW_Start_Year+SPW_Duration-1,age+H249&gt;=Legal_Age),IF(AND(F249=0,SPW_Payout_Freq=1),SPW_Amount_pa,IF(AND(SPW_Payout_Freq=2,MOD(F249,6)=0),SPW_Amount_pa/SPW_Payout_Freq,IF(AND(SPW_Payout_Freq=4,MOD(F249,3)=0),SPW_Amount_pa/SPW_Payout_Freq,IF(SPW_Payout_Freq=12,SPW_Amount_pa/SPW_Payout_Freq,0)))),0)+IFERROR(VLOOKUP(H249,Input!$B$68:$C$74,2,0),0)*(F249=0)*(Option_PW="Y")*(Option_SPW="N")*(age+H249&gt;=Legal_Age)</f>
        <v>0</v>
      </c>
      <c r="O249" s="148">
        <f t="shared" ca="1" si="176"/>
        <v>0</v>
      </c>
      <c r="P249" s="14">
        <f ca="1">(MAX(MAX(sa-CF248*Flag_UL_Type,105%*SUM($I$7:I249))-(AD248+L249-N249)*Flag_UL_Type,0)*B249)</f>
        <v>0</v>
      </c>
      <c r="Q249" s="213">
        <f t="shared" si="151"/>
        <v>0</v>
      </c>
      <c r="R249" s="14">
        <f t="shared" ca="1" si="152"/>
        <v>0</v>
      </c>
      <c r="S249" s="14">
        <f t="shared" ca="1" si="153"/>
        <v>0</v>
      </c>
      <c r="T249" s="14">
        <f>IFERROR(IF(WoP_Flag="Y",IF(fq=1,VLOOKUP(ppt*fq-H249,Charges!$AN$41:$AO$59,2,FALSE),IF(fq=2,VLOOKUP(ppt*fq-G249,Charges!$AP$41:$AQ$79,2,FALSE),VLOOKUP(ppt*fq-D249,Charges!$AR$41:$AS$279,2,FALSE)))*pr/fq,0),0)</f>
        <v>0</v>
      </c>
      <c r="U249" s="14">
        <f ca="1">IFERROR(((T249*(VLOOKUP(Input!$D$18+H249-1,Tab_Mort_Charge,IF(Gender_2="M",2,3),FALSE)*(1+_emr2)+_rpm2)/IF(Model_Type="LA_PQIS",1000/0.0833,(12*1000))))*Flag_Mort_Rider_Charge*(T249&gt;0),0)</f>
        <v>0</v>
      </c>
      <c r="V249" s="34">
        <f>ROUND(MIN(IF(H249&gt;=7,Charges!$C$12*(1+Charges!$C$14)^((H249-7+1)),VLOOKUP(H249,Charges!$B$7:$C$12,2,0))*pr,Charges!$C$13)*B249,Round)</f>
        <v>0</v>
      </c>
      <c r="W249" s="14">
        <f t="shared" ca="1" si="154"/>
        <v>0</v>
      </c>
      <c r="X249" s="14">
        <f t="shared" ca="1" si="155"/>
        <v>0</v>
      </c>
      <c r="Y249" s="213">
        <f t="shared" ca="1" si="177"/>
        <v>0</v>
      </c>
      <c r="Z249" s="14">
        <f t="shared" ca="1" si="156"/>
        <v>0</v>
      </c>
      <c r="AA249" s="14">
        <f>IF(AND($H249=pt,$F249=11),SUM($K$7:K249)*VLOOKUP(pt,ROC,2,FALSE),0)</f>
        <v>0</v>
      </c>
      <c r="AB249" s="14">
        <f>IF(AND($H249=pt,$F249=11),SUM($V$7:V249)*VLOOKUP(pt,ROC,2,FALSE),0)</f>
        <v>0</v>
      </c>
      <c r="AC249" s="14">
        <f>IF(AND($H249=pt,$F249=11),SUM($Q$7:Q249)*VLOOKUP(pt,ROC,2,FALSE),0)</f>
        <v>0</v>
      </c>
      <c r="AD249" s="14">
        <f t="shared" ca="1" si="178"/>
        <v>0</v>
      </c>
      <c r="AE249" s="14">
        <f ca="1">(MAX(sa-CF248*Flag_UL_Type,105%*SUM($I$7:I249),Z249)+AU249)*B249</f>
        <v>0</v>
      </c>
      <c r="AF249" s="136"/>
      <c r="AG249" s="18">
        <v>243</v>
      </c>
      <c r="AH249" s="30">
        <f t="shared" ca="1" si="157"/>
        <v>0</v>
      </c>
      <c r="AI249" s="58"/>
      <c r="AJ249" s="50">
        <f>IF(AND(Option_Sys_TopUp&gt;="Y",H249&gt;=sytp,H249&lt;=(dtp+sytp-1),F249=0,H249&lt;=ppt+1),atp,0)+IFERROR(VLOOKUP(H249,Input!$B$55:$C$61,2,0),0)*(F249=0)*(Option_TopUP="Y")*(Option_Sys_TopUp="N")*B249*(pt&gt;=H249+5)</f>
        <v>0</v>
      </c>
      <c r="AK249" s="50">
        <f t="shared" si="158"/>
        <v>0</v>
      </c>
      <c r="AL249" s="50">
        <f t="shared" si="179"/>
        <v>0</v>
      </c>
      <c r="AM249" s="50">
        <f t="shared" ca="1" si="159"/>
        <v>0</v>
      </c>
      <c r="AN249" s="50">
        <f>IF(B249=0,0,AT249*(_rpm1+(1+_emr1)*VLOOKUP(E249,Tab_Mort_Charge,IF(Input!$C$12="M",2,3),0))*(0.001*0.0833)*Flag_Mort_Rider_Charge*(AT249&gt;0))</f>
        <v>0</v>
      </c>
      <c r="AO249" s="50">
        <f t="shared" ca="1" si="180"/>
        <v>0</v>
      </c>
      <c r="AP249" s="50">
        <f t="shared" ca="1" si="187"/>
        <v>0</v>
      </c>
      <c r="AQ249" s="50">
        <f t="shared" ca="1" si="160"/>
        <v>0</v>
      </c>
      <c r="AR249" s="50">
        <f t="shared" ca="1" si="161"/>
        <v>0</v>
      </c>
      <c r="AS249" s="50">
        <f t="shared" si="162"/>
        <v>0</v>
      </c>
      <c r="AT249" s="50">
        <f ca="1">(MAX((MAX(AS249,105%*SUM($AJ$7:AJ249))-AM249*Flag_UL_Type),0)*B249)</f>
        <v>0</v>
      </c>
      <c r="AU249" s="50">
        <f ca="1">(MAX(AS249,AR249,105%*SUM($AJ$7:AJ249))*B249)</f>
        <v>0</v>
      </c>
      <c r="AV249" s="125"/>
      <c r="AW249" s="13"/>
      <c r="AX249" s="13"/>
      <c r="AY249" s="13"/>
      <c r="AZ249" s="13"/>
      <c r="BA249" s="13"/>
      <c r="BG249" s="51">
        <f t="shared" si="163"/>
        <v>0</v>
      </c>
      <c r="BH249" s="51">
        <f t="shared" si="164"/>
        <v>0</v>
      </c>
      <c r="BI249" s="51">
        <f t="shared" ca="1" si="165"/>
        <v>0</v>
      </c>
      <c r="BJ249" s="51">
        <f t="shared" ca="1" si="166"/>
        <v>0</v>
      </c>
      <c r="BK249" s="51">
        <f t="shared" si="167"/>
        <v>0</v>
      </c>
      <c r="BL249" s="51">
        <f t="shared" ca="1" si="168"/>
        <v>0</v>
      </c>
      <c r="BM249" s="51">
        <f t="shared" si="169"/>
        <v>0</v>
      </c>
      <c r="BN249" s="51">
        <f t="shared" si="170"/>
        <v>0</v>
      </c>
      <c r="BO249" s="51">
        <f t="shared" ca="1" si="171"/>
        <v>0</v>
      </c>
      <c r="BP249" s="51">
        <f t="shared" ca="1" si="172"/>
        <v>0</v>
      </c>
      <c r="BQ249" s="120"/>
      <c r="BR249" s="32"/>
      <c r="BS249" s="126"/>
      <c r="BT249" s="16"/>
      <c r="BU249" s="58"/>
      <c r="BW249" s="51">
        <f>VLOOKUP(H249,Charges!$AT$4:$AU$33,2,FALSE)*I249</f>
        <v>0</v>
      </c>
      <c r="BX249" s="51">
        <f t="shared" si="173"/>
        <v>0</v>
      </c>
      <c r="BY249" s="51">
        <f t="shared" si="181"/>
        <v>0</v>
      </c>
      <c r="BZ249" s="151"/>
      <c r="CA249" s="151"/>
      <c r="CB249" s="32"/>
      <c r="CC249" s="16">
        <f ca="1">SUM($N$7:$N249)</f>
        <v>0</v>
      </c>
      <c r="CD249" s="16">
        <f t="shared" ca="1" si="174"/>
        <v>0</v>
      </c>
      <c r="CE249" s="16">
        <f t="shared" ca="1" si="175"/>
        <v>0</v>
      </c>
      <c r="CF249" s="7">
        <f t="shared" ca="1" si="182"/>
        <v>0</v>
      </c>
    </row>
    <row r="250" spans="1:84" s="7" customFormat="1" x14ac:dyDescent="0.2">
      <c r="A250" s="149"/>
      <c r="B250" s="14">
        <f t="shared" si="144"/>
        <v>0</v>
      </c>
      <c r="C250" s="12">
        <f t="shared" si="145"/>
        <v>0</v>
      </c>
      <c r="D250" s="17">
        <f t="shared" si="183"/>
        <v>244</v>
      </c>
      <c r="E250" s="17">
        <f t="shared" ca="1" si="146"/>
        <v>80</v>
      </c>
      <c r="F250" s="12">
        <f t="shared" si="185"/>
        <v>3</v>
      </c>
      <c r="G250" s="12">
        <f t="shared" si="184"/>
        <v>41</v>
      </c>
      <c r="H250" s="17">
        <f t="shared" si="186"/>
        <v>21</v>
      </c>
      <c r="I250" s="29">
        <f t="shared" si="147"/>
        <v>0</v>
      </c>
      <c r="J250" s="211">
        <f>IFERROR(VLOOKUP(H250,Charges!$T$6:$U$35,2,0)*C250,0)</f>
        <v>0</v>
      </c>
      <c r="K250" s="29">
        <f t="shared" si="148"/>
        <v>0</v>
      </c>
      <c r="L250" s="29">
        <f t="shared" si="149"/>
        <v>0</v>
      </c>
      <c r="M250" s="147">
        <f t="shared" ca="1" si="150"/>
        <v>0</v>
      </c>
      <c r="N250" s="148">
        <f ca="1">IF(AND(Option_SPW="Y",H250&gt;=Lock_In_Period,Z249&gt;SPW_Amount_pa+IF(option="Single",1/5*pr,2*pr),H250&gt;=SPW_Start_Year,H250&lt;=SPW_Start_Year+SPW_Duration-1,age+H250&gt;=Legal_Age),IF(AND(F250=0,SPW_Payout_Freq=1),SPW_Amount_pa,IF(AND(SPW_Payout_Freq=2,MOD(F250,6)=0),SPW_Amount_pa/SPW_Payout_Freq,IF(AND(SPW_Payout_Freq=4,MOD(F250,3)=0),SPW_Amount_pa/SPW_Payout_Freq,IF(SPW_Payout_Freq=12,SPW_Amount_pa/SPW_Payout_Freq,0)))),0)+IFERROR(VLOOKUP(H250,Input!$B$68:$C$74,2,0),0)*(F250=0)*(Option_PW="Y")*(Option_SPW="N")*(age+H250&gt;=Legal_Age)</f>
        <v>0</v>
      </c>
      <c r="O250" s="148">
        <f t="shared" ca="1" si="176"/>
        <v>0</v>
      </c>
      <c r="P250" s="14">
        <f ca="1">(MAX(MAX(sa-CF249*Flag_UL_Type,105%*SUM($I$7:I250))-(AD249+L250-N250)*Flag_UL_Type,0)*B250)</f>
        <v>0</v>
      </c>
      <c r="Q250" s="213">
        <f t="shared" si="151"/>
        <v>0</v>
      </c>
      <c r="R250" s="14">
        <f t="shared" ca="1" si="152"/>
        <v>0</v>
      </c>
      <c r="S250" s="14">
        <f t="shared" ca="1" si="153"/>
        <v>0</v>
      </c>
      <c r="T250" s="14">
        <f>IFERROR(IF(WoP_Flag="Y",IF(fq=1,VLOOKUP(ppt*fq-H250,Charges!$AN$41:$AO$59,2,FALSE),IF(fq=2,VLOOKUP(ppt*fq-G250,Charges!$AP$41:$AQ$79,2,FALSE),VLOOKUP(ppt*fq-D250,Charges!$AR$41:$AS$279,2,FALSE)))*pr/fq,0),0)</f>
        <v>0</v>
      </c>
      <c r="U250" s="14">
        <f ca="1">IFERROR(((T250*(VLOOKUP(Input!$D$18+H250-1,Tab_Mort_Charge,IF(Gender_2="M",2,3),FALSE)*(1+_emr2)+_rpm2)/IF(Model_Type="LA_PQIS",1000/0.0833,(12*1000))))*Flag_Mort_Rider_Charge*(T250&gt;0),0)</f>
        <v>0</v>
      </c>
      <c r="V250" s="34">
        <f>ROUND(MIN(IF(H250&gt;=7,Charges!$C$12*(1+Charges!$C$14)^((H250-7+1)),VLOOKUP(H250,Charges!$B$7:$C$12,2,0))*pr,Charges!$C$13)*B250,Round)</f>
        <v>0</v>
      </c>
      <c r="W250" s="14">
        <f t="shared" ca="1" si="154"/>
        <v>0</v>
      </c>
      <c r="X250" s="14">
        <f t="shared" ca="1" si="155"/>
        <v>0</v>
      </c>
      <c r="Y250" s="213">
        <f t="shared" ca="1" si="177"/>
        <v>0</v>
      </c>
      <c r="Z250" s="14">
        <f t="shared" ca="1" si="156"/>
        <v>0</v>
      </c>
      <c r="AA250" s="14">
        <f>IF(AND($H250=pt,$F250=11),SUM($K$7:K250)*VLOOKUP(pt,ROC,2,FALSE),0)</f>
        <v>0</v>
      </c>
      <c r="AB250" s="14">
        <f>IF(AND($H250=pt,$F250=11),SUM($V$7:V250)*VLOOKUP(pt,ROC,2,FALSE),0)</f>
        <v>0</v>
      </c>
      <c r="AC250" s="14">
        <f>IF(AND($H250=pt,$F250=11),SUM($Q$7:Q250)*VLOOKUP(pt,ROC,2,FALSE),0)</f>
        <v>0</v>
      </c>
      <c r="AD250" s="14">
        <f t="shared" ca="1" si="178"/>
        <v>0</v>
      </c>
      <c r="AE250" s="14">
        <f ca="1">(MAX(sa-CF249*Flag_UL_Type,105%*SUM($I$7:I250),Z250)+AU250)*B250</f>
        <v>0</v>
      </c>
      <c r="AF250" s="136"/>
      <c r="AG250" s="18">
        <v>244</v>
      </c>
      <c r="AH250" s="30">
        <f t="shared" ca="1" si="157"/>
        <v>0</v>
      </c>
      <c r="AI250" s="58"/>
      <c r="AJ250" s="50">
        <f>IF(AND(Option_Sys_TopUp&gt;="Y",H250&gt;=sytp,H250&lt;=(dtp+sytp-1),F250=0,H250&lt;=ppt+1),atp,0)+IFERROR(VLOOKUP(H250,Input!$B$55:$C$61,2,0),0)*(F250=0)*(Option_TopUP="Y")*(Option_Sys_TopUp="N")*B250*(pt&gt;=H250+5)</f>
        <v>0</v>
      </c>
      <c r="AK250" s="50">
        <f t="shared" si="158"/>
        <v>0</v>
      </c>
      <c r="AL250" s="50">
        <f t="shared" si="179"/>
        <v>0</v>
      </c>
      <c r="AM250" s="50">
        <f t="shared" ca="1" si="159"/>
        <v>0</v>
      </c>
      <c r="AN250" s="50">
        <f>IF(B250=0,0,AT250*(_rpm1+(1+_emr1)*VLOOKUP(E250,Tab_Mort_Charge,IF(Input!$C$12="M",2,3),0))*(0.001*0.0833)*Flag_Mort_Rider_Charge*(AT250&gt;0))</f>
        <v>0</v>
      </c>
      <c r="AO250" s="50">
        <f t="shared" ca="1" si="180"/>
        <v>0</v>
      </c>
      <c r="AP250" s="50">
        <f t="shared" ca="1" si="187"/>
        <v>0</v>
      </c>
      <c r="AQ250" s="50">
        <f t="shared" ca="1" si="160"/>
        <v>0</v>
      </c>
      <c r="AR250" s="50">
        <f t="shared" ca="1" si="161"/>
        <v>0</v>
      </c>
      <c r="AS250" s="50">
        <f t="shared" si="162"/>
        <v>0</v>
      </c>
      <c r="AT250" s="50">
        <f ca="1">(MAX((MAX(AS250,105%*SUM($AJ$7:AJ250))-AM250*Flag_UL_Type),0)*B250)</f>
        <v>0</v>
      </c>
      <c r="AU250" s="50">
        <f ca="1">(MAX(AS250,AR250,105%*SUM($AJ$7:AJ250))*B250)</f>
        <v>0</v>
      </c>
      <c r="AV250" s="125"/>
      <c r="AW250" s="13"/>
      <c r="AX250" s="13"/>
      <c r="AY250" s="13"/>
      <c r="AZ250" s="13"/>
      <c r="BA250" s="13"/>
      <c r="BG250" s="51">
        <f t="shared" si="163"/>
        <v>0</v>
      </c>
      <c r="BH250" s="51">
        <f t="shared" si="164"/>
        <v>0</v>
      </c>
      <c r="BI250" s="51">
        <f t="shared" ca="1" si="165"/>
        <v>0</v>
      </c>
      <c r="BJ250" s="51">
        <f t="shared" ca="1" si="166"/>
        <v>0</v>
      </c>
      <c r="BK250" s="51">
        <f t="shared" si="167"/>
        <v>0</v>
      </c>
      <c r="BL250" s="51">
        <f t="shared" ca="1" si="168"/>
        <v>0</v>
      </c>
      <c r="BM250" s="51">
        <f t="shared" si="169"/>
        <v>0</v>
      </c>
      <c r="BN250" s="51">
        <f t="shared" si="170"/>
        <v>0</v>
      </c>
      <c r="BO250" s="51">
        <f t="shared" ca="1" si="171"/>
        <v>0</v>
      </c>
      <c r="BP250" s="51">
        <f t="shared" ca="1" si="172"/>
        <v>0</v>
      </c>
      <c r="BQ250" s="120"/>
      <c r="BR250" s="32"/>
      <c r="BS250" s="126"/>
      <c r="BT250" s="16"/>
      <c r="BU250" s="58"/>
      <c r="BW250" s="51">
        <f>VLOOKUP(H250,Charges!$AT$4:$AU$33,2,FALSE)*I250</f>
        <v>0</v>
      </c>
      <c r="BX250" s="51">
        <f t="shared" si="173"/>
        <v>0</v>
      </c>
      <c r="BY250" s="51">
        <f t="shared" si="181"/>
        <v>0</v>
      </c>
      <c r="BZ250" s="151"/>
      <c r="CA250" s="151"/>
      <c r="CB250" s="32"/>
      <c r="CC250" s="16">
        <f ca="1">SUM($N$7:$N250)</f>
        <v>0</v>
      </c>
      <c r="CD250" s="16">
        <f t="shared" ca="1" si="174"/>
        <v>0</v>
      </c>
      <c r="CE250" s="16">
        <f t="shared" ca="1" si="175"/>
        <v>0</v>
      </c>
      <c r="CF250" s="7">
        <f t="shared" ca="1" si="182"/>
        <v>0</v>
      </c>
    </row>
    <row r="251" spans="1:84" s="7" customFormat="1" x14ac:dyDescent="0.2">
      <c r="A251" s="149"/>
      <c r="B251" s="14">
        <f t="shared" si="144"/>
        <v>0</v>
      </c>
      <c r="C251" s="12">
        <f t="shared" si="145"/>
        <v>0</v>
      </c>
      <c r="D251" s="17">
        <f t="shared" si="183"/>
        <v>245</v>
      </c>
      <c r="E251" s="17">
        <f t="shared" ca="1" si="146"/>
        <v>80</v>
      </c>
      <c r="F251" s="12">
        <f t="shared" si="185"/>
        <v>4</v>
      </c>
      <c r="G251" s="12">
        <f t="shared" si="184"/>
        <v>41</v>
      </c>
      <c r="H251" s="17">
        <f t="shared" si="186"/>
        <v>21</v>
      </c>
      <c r="I251" s="29">
        <f t="shared" si="147"/>
        <v>0</v>
      </c>
      <c r="J251" s="211">
        <f>IFERROR(VLOOKUP(H251,Charges!$T$6:$U$35,2,0)*C251,0)</f>
        <v>0</v>
      </c>
      <c r="K251" s="29">
        <f t="shared" si="148"/>
        <v>0</v>
      </c>
      <c r="L251" s="29">
        <f t="shared" si="149"/>
        <v>0</v>
      </c>
      <c r="M251" s="147">
        <f t="shared" ca="1" si="150"/>
        <v>0</v>
      </c>
      <c r="N251" s="148">
        <f ca="1">IF(AND(Option_SPW="Y",H251&gt;=Lock_In_Period,Z250&gt;SPW_Amount_pa+IF(option="Single",1/5*pr,2*pr),H251&gt;=SPW_Start_Year,H251&lt;=SPW_Start_Year+SPW_Duration-1,age+H251&gt;=Legal_Age),IF(AND(F251=0,SPW_Payout_Freq=1),SPW_Amount_pa,IF(AND(SPW_Payout_Freq=2,MOD(F251,6)=0),SPW_Amount_pa/SPW_Payout_Freq,IF(AND(SPW_Payout_Freq=4,MOD(F251,3)=0),SPW_Amount_pa/SPW_Payout_Freq,IF(SPW_Payout_Freq=12,SPW_Amount_pa/SPW_Payout_Freq,0)))),0)+IFERROR(VLOOKUP(H251,Input!$B$68:$C$74,2,0),0)*(F251=0)*(Option_PW="Y")*(Option_SPW="N")*(age+H251&gt;=Legal_Age)</f>
        <v>0</v>
      </c>
      <c r="O251" s="148">
        <f t="shared" ca="1" si="176"/>
        <v>0</v>
      </c>
      <c r="P251" s="14">
        <f ca="1">(MAX(MAX(sa-CF250*Flag_UL_Type,105%*SUM($I$7:I251))-(AD250+L251-N251)*Flag_UL_Type,0)*B251)</f>
        <v>0</v>
      </c>
      <c r="Q251" s="213">
        <f t="shared" si="151"/>
        <v>0</v>
      </c>
      <c r="R251" s="14">
        <f t="shared" ca="1" si="152"/>
        <v>0</v>
      </c>
      <c r="S251" s="14">
        <f t="shared" ca="1" si="153"/>
        <v>0</v>
      </c>
      <c r="T251" s="14">
        <f>IFERROR(IF(WoP_Flag="Y",IF(fq=1,VLOOKUP(ppt*fq-H251,Charges!$AN$41:$AO$59,2,FALSE),IF(fq=2,VLOOKUP(ppt*fq-G251,Charges!$AP$41:$AQ$79,2,FALSE),VLOOKUP(ppt*fq-D251,Charges!$AR$41:$AS$279,2,FALSE)))*pr/fq,0),0)</f>
        <v>0</v>
      </c>
      <c r="U251" s="14">
        <f ca="1">IFERROR(((T251*(VLOOKUP(Input!$D$18+H251-1,Tab_Mort_Charge,IF(Gender_2="M",2,3),FALSE)*(1+_emr2)+_rpm2)/IF(Model_Type="LA_PQIS",1000/0.0833,(12*1000))))*Flag_Mort_Rider_Charge*(T251&gt;0),0)</f>
        <v>0</v>
      </c>
      <c r="V251" s="34">
        <f>ROUND(MIN(IF(H251&gt;=7,Charges!$C$12*(1+Charges!$C$14)^((H251-7+1)),VLOOKUP(H251,Charges!$B$7:$C$12,2,0))*pr,Charges!$C$13)*B251,Round)</f>
        <v>0</v>
      </c>
      <c r="W251" s="14">
        <f t="shared" ca="1" si="154"/>
        <v>0</v>
      </c>
      <c r="X251" s="14">
        <f t="shared" ca="1" si="155"/>
        <v>0</v>
      </c>
      <c r="Y251" s="213">
        <f t="shared" ca="1" si="177"/>
        <v>0</v>
      </c>
      <c r="Z251" s="14">
        <f t="shared" ca="1" si="156"/>
        <v>0</v>
      </c>
      <c r="AA251" s="14">
        <f>IF(AND($H251=pt,$F251=11),SUM($K$7:K251)*VLOOKUP(pt,ROC,2,FALSE),0)</f>
        <v>0</v>
      </c>
      <c r="AB251" s="14">
        <f>IF(AND($H251=pt,$F251=11),SUM($V$7:V251)*VLOOKUP(pt,ROC,2,FALSE),0)</f>
        <v>0</v>
      </c>
      <c r="AC251" s="14">
        <f>IF(AND($H251=pt,$F251=11),SUM($Q$7:Q251)*VLOOKUP(pt,ROC,2,FALSE),0)</f>
        <v>0</v>
      </c>
      <c r="AD251" s="14">
        <f t="shared" ca="1" si="178"/>
        <v>0</v>
      </c>
      <c r="AE251" s="14">
        <f ca="1">(MAX(sa-CF250*Flag_UL_Type,105%*SUM($I$7:I251),Z251)+AU251)*B251</f>
        <v>0</v>
      </c>
      <c r="AF251" s="136"/>
      <c r="AG251" s="18">
        <v>245</v>
      </c>
      <c r="AH251" s="30">
        <f t="shared" ca="1" si="157"/>
        <v>0</v>
      </c>
      <c r="AI251" s="58"/>
      <c r="AJ251" s="50">
        <f>IF(AND(Option_Sys_TopUp&gt;="Y",H251&gt;=sytp,H251&lt;=(dtp+sytp-1),F251=0,H251&lt;=ppt+1),atp,0)+IFERROR(VLOOKUP(H251,Input!$B$55:$C$61,2,0),0)*(F251=0)*(Option_TopUP="Y")*(Option_Sys_TopUp="N")*B251*(pt&gt;=H251+5)</f>
        <v>0</v>
      </c>
      <c r="AK251" s="50">
        <f t="shared" si="158"/>
        <v>0</v>
      </c>
      <c r="AL251" s="50">
        <f t="shared" si="179"/>
        <v>0</v>
      </c>
      <c r="AM251" s="50">
        <f t="shared" ca="1" si="159"/>
        <v>0</v>
      </c>
      <c r="AN251" s="50">
        <f>IF(B251=0,0,AT251*(_rpm1+(1+_emr1)*VLOOKUP(E251,Tab_Mort_Charge,IF(Input!$C$12="M",2,3),0))*(0.001*0.0833)*Flag_Mort_Rider_Charge*(AT251&gt;0))</f>
        <v>0</v>
      </c>
      <c r="AO251" s="50">
        <f t="shared" ca="1" si="180"/>
        <v>0</v>
      </c>
      <c r="AP251" s="50">
        <f t="shared" ca="1" si="187"/>
        <v>0</v>
      </c>
      <c r="AQ251" s="50">
        <f t="shared" ca="1" si="160"/>
        <v>0</v>
      </c>
      <c r="AR251" s="50">
        <f t="shared" ca="1" si="161"/>
        <v>0</v>
      </c>
      <c r="AS251" s="50">
        <f t="shared" si="162"/>
        <v>0</v>
      </c>
      <c r="AT251" s="50">
        <f ca="1">(MAX((MAX(AS251,105%*SUM($AJ$7:AJ251))-AM251*Flag_UL_Type),0)*B251)</f>
        <v>0</v>
      </c>
      <c r="AU251" s="50">
        <f ca="1">(MAX(AS251,AR251,105%*SUM($AJ$7:AJ251))*B251)</f>
        <v>0</v>
      </c>
      <c r="AV251" s="125"/>
      <c r="AW251" s="13"/>
      <c r="AX251" s="13"/>
      <c r="AY251" s="13"/>
      <c r="AZ251" s="13"/>
      <c r="BA251" s="13"/>
      <c r="BG251" s="51">
        <f t="shared" si="163"/>
        <v>0</v>
      </c>
      <c r="BH251" s="51">
        <f t="shared" si="164"/>
        <v>0</v>
      </c>
      <c r="BI251" s="51">
        <f t="shared" ca="1" si="165"/>
        <v>0</v>
      </c>
      <c r="BJ251" s="51">
        <f t="shared" ca="1" si="166"/>
        <v>0</v>
      </c>
      <c r="BK251" s="51">
        <f t="shared" si="167"/>
        <v>0</v>
      </c>
      <c r="BL251" s="51">
        <f t="shared" ca="1" si="168"/>
        <v>0</v>
      </c>
      <c r="BM251" s="51">
        <f t="shared" si="169"/>
        <v>0</v>
      </c>
      <c r="BN251" s="51">
        <f t="shared" si="170"/>
        <v>0</v>
      </c>
      <c r="BO251" s="51">
        <f t="shared" ca="1" si="171"/>
        <v>0</v>
      </c>
      <c r="BP251" s="51">
        <f t="shared" ca="1" si="172"/>
        <v>0</v>
      </c>
      <c r="BQ251" s="120"/>
      <c r="BR251" s="32"/>
      <c r="BS251" s="126"/>
      <c r="BT251" s="16"/>
      <c r="BU251" s="58"/>
      <c r="BW251" s="51">
        <f>VLOOKUP(H251,Charges!$AT$4:$AU$33,2,FALSE)*I251</f>
        <v>0</v>
      </c>
      <c r="BX251" s="51">
        <f t="shared" si="173"/>
        <v>0</v>
      </c>
      <c r="BY251" s="51">
        <f t="shared" si="181"/>
        <v>0</v>
      </c>
      <c r="BZ251" s="151"/>
      <c r="CA251" s="151"/>
      <c r="CB251" s="32"/>
      <c r="CC251" s="16">
        <f ca="1">SUM($N$7:$N251)</f>
        <v>0</v>
      </c>
      <c r="CD251" s="16">
        <f t="shared" ca="1" si="174"/>
        <v>0</v>
      </c>
      <c r="CE251" s="16">
        <f t="shared" ca="1" si="175"/>
        <v>0</v>
      </c>
      <c r="CF251" s="7">
        <f t="shared" ca="1" si="182"/>
        <v>0</v>
      </c>
    </row>
    <row r="252" spans="1:84" s="7" customFormat="1" x14ac:dyDescent="0.2">
      <c r="A252" s="149"/>
      <c r="B252" s="14">
        <f t="shared" si="144"/>
        <v>0</v>
      </c>
      <c r="C252" s="12">
        <f t="shared" si="145"/>
        <v>0</v>
      </c>
      <c r="D252" s="17">
        <f t="shared" si="183"/>
        <v>246</v>
      </c>
      <c r="E252" s="17">
        <f t="shared" ca="1" si="146"/>
        <v>80</v>
      </c>
      <c r="F252" s="12">
        <f t="shared" si="185"/>
        <v>5</v>
      </c>
      <c r="G252" s="12">
        <f t="shared" si="184"/>
        <v>41</v>
      </c>
      <c r="H252" s="17">
        <f t="shared" si="186"/>
        <v>21</v>
      </c>
      <c r="I252" s="29">
        <f t="shared" si="147"/>
        <v>0</v>
      </c>
      <c r="J252" s="211">
        <f>IFERROR(VLOOKUP(H252,Charges!$T$6:$U$35,2,0)*C252,0)</f>
        <v>0</v>
      </c>
      <c r="K252" s="29">
        <f t="shared" si="148"/>
        <v>0</v>
      </c>
      <c r="L252" s="29">
        <f t="shared" si="149"/>
        <v>0</v>
      </c>
      <c r="M252" s="147">
        <f t="shared" ca="1" si="150"/>
        <v>0</v>
      </c>
      <c r="N252" s="148">
        <f ca="1">IF(AND(Option_SPW="Y",H252&gt;=Lock_In_Period,Z251&gt;SPW_Amount_pa+IF(option="Single",1/5*pr,2*pr),H252&gt;=SPW_Start_Year,H252&lt;=SPW_Start_Year+SPW_Duration-1,age+H252&gt;=Legal_Age),IF(AND(F252=0,SPW_Payout_Freq=1),SPW_Amount_pa,IF(AND(SPW_Payout_Freq=2,MOD(F252,6)=0),SPW_Amount_pa/SPW_Payout_Freq,IF(AND(SPW_Payout_Freq=4,MOD(F252,3)=0),SPW_Amount_pa/SPW_Payout_Freq,IF(SPW_Payout_Freq=12,SPW_Amount_pa/SPW_Payout_Freq,0)))),0)+IFERROR(VLOOKUP(H252,Input!$B$68:$C$74,2,0),0)*(F252=0)*(Option_PW="Y")*(Option_SPW="N")*(age+H252&gt;=Legal_Age)</f>
        <v>0</v>
      </c>
      <c r="O252" s="148">
        <f t="shared" ca="1" si="176"/>
        <v>0</v>
      </c>
      <c r="P252" s="14">
        <f ca="1">(MAX(MAX(sa-CF251*Flag_UL_Type,105%*SUM($I$7:I252))-(AD251+L252-N252)*Flag_UL_Type,0)*B252)</f>
        <v>0</v>
      </c>
      <c r="Q252" s="213">
        <f t="shared" si="151"/>
        <v>0</v>
      </c>
      <c r="R252" s="14">
        <f t="shared" ca="1" si="152"/>
        <v>0</v>
      </c>
      <c r="S252" s="14">
        <f t="shared" ca="1" si="153"/>
        <v>0</v>
      </c>
      <c r="T252" s="14">
        <f>IFERROR(IF(WoP_Flag="Y",IF(fq=1,VLOOKUP(ppt*fq-H252,Charges!$AN$41:$AO$59,2,FALSE),IF(fq=2,VLOOKUP(ppt*fq-G252,Charges!$AP$41:$AQ$79,2,FALSE),VLOOKUP(ppt*fq-D252,Charges!$AR$41:$AS$279,2,FALSE)))*pr/fq,0),0)</f>
        <v>0</v>
      </c>
      <c r="U252" s="14">
        <f ca="1">IFERROR(((T252*(VLOOKUP(Input!$D$18+H252-1,Tab_Mort_Charge,IF(Gender_2="M",2,3),FALSE)*(1+_emr2)+_rpm2)/IF(Model_Type="LA_PQIS",1000/0.0833,(12*1000))))*Flag_Mort_Rider_Charge*(T252&gt;0),0)</f>
        <v>0</v>
      </c>
      <c r="V252" s="34">
        <f>ROUND(MIN(IF(H252&gt;=7,Charges!$C$12*(1+Charges!$C$14)^((H252-7+1)),VLOOKUP(H252,Charges!$B$7:$C$12,2,0))*pr,Charges!$C$13)*B252,Round)</f>
        <v>0</v>
      </c>
      <c r="W252" s="14">
        <f t="shared" ca="1" si="154"/>
        <v>0</v>
      </c>
      <c r="X252" s="14">
        <f t="shared" ca="1" si="155"/>
        <v>0</v>
      </c>
      <c r="Y252" s="213">
        <f t="shared" ca="1" si="177"/>
        <v>0</v>
      </c>
      <c r="Z252" s="14">
        <f t="shared" ca="1" si="156"/>
        <v>0</v>
      </c>
      <c r="AA252" s="14">
        <f>IF(AND($H252=pt,$F252=11),SUM($K$7:K252)*VLOOKUP(pt,ROC,2,FALSE),0)</f>
        <v>0</v>
      </c>
      <c r="AB252" s="14">
        <f>IF(AND($H252=pt,$F252=11),SUM($V$7:V252)*VLOOKUP(pt,ROC,2,FALSE),0)</f>
        <v>0</v>
      </c>
      <c r="AC252" s="14">
        <f>IF(AND($H252=pt,$F252=11),SUM($Q$7:Q252)*VLOOKUP(pt,ROC,2,FALSE),0)</f>
        <v>0</v>
      </c>
      <c r="AD252" s="14">
        <f t="shared" ca="1" si="178"/>
        <v>0</v>
      </c>
      <c r="AE252" s="14">
        <f ca="1">(MAX(sa-CF251*Flag_UL_Type,105%*SUM($I$7:I252),Z252)+AU252)*B252</f>
        <v>0</v>
      </c>
      <c r="AF252" s="136"/>
      <c r="AG252" s="18">
        <v>246</v>
      </c>
      <c r="AH252" s="30">
        <f t="shared" ca="1" si="157"/>
        <v>0</v>
      </c>
      <c r="AI252" s="58"/>
      <c r="AJ252" s="50">
        <f>IF(AND(Option_Sys_TopUp&gt;="Y",H252&gt;=sytp,H252&lt;=(dtp+sytp-1),F252=0,H252&lt;=ppt+1),atp,0)+IFERROR(VLOOKUP(H252,Input!$B$55:$C$61,2,0),0)*(F252=0)*(Option_TopUP="Y")*(Option_Sys_TopUp="N")*B252*(pt&gt;=H252+5)</f>
        <v>0</v>
      </c>
      <c r="AK252" s="50">
        <f t="shared" si="158"/>
        <v>0</v>
      </c>
      <c r="AL252" s="50">
        <f t="shared" si="179"/>
        <v>0</v>
      </c>
      <c r="AM252" s="50">
        <f t="shared" ca="1" si="159"/>
        <v>0</v>
      </c>
      <c r="AN252" s="50">
        <f>IF(B252=0,0,AT252*(_rpm1+(1+_emr1)*VLOOKUP(E252,Tab_Mort_Charge,IF(Input!$C$12="M",2,3),0))*(0.001*0.0833)*Flag_Mort_Rider_Charge*(AT252&gt;0))</f>
        <v>0</v>
      </c>
      <c r="AO252" s="50">
        <f t="shared" ca="1" si="180"/>
        <v>0</v>
      </c>
      <c r="AP252" s="50">
        <f t="shared" ca="1" si="187"/>
        <v>0</v>
      </c>
      <c r="AQ252" s="50">
        <f t="shared" ca="1" si="160"/>
        <v>0</v>
      </c>
      <c r="AR252" s="50">
        <f t="shared" ca="1" si="161"/>
        <v>0</v>
      </c>
      <c r="AS252" s="50">
        <f t="shared" si="162"/>
        <v>0</v>
      </c>
      <c r="AT252" s="50">
        <f ca="1">(MAX((MAX(AS252,105%*SUM($AJ$7:AJ252))-AM252*Flag_UL_Type),0)*B252)</f>
        <v>0</v>
      </c>
      <c r="AU252" s="50">
        <f ca="1">(MAX(AS252,AR252,105%*SUM($AJ$7:AJ252))*B252)</f>
        <v>0</v>
      </c>
      <c r="AV252" s="125"/>
      <c r="AW252" s="13"/>
      <c r="AX252" s="13"/>
      <c r="AY252" s="13"/>
      <c r="AZ252" s="13"/>
      <c r="BA252" s="13"/>
      <c r="BG252" s="51">
        <f t="shared" si="163"/>
        <v>0</v>
      </c>
      <c r="BH252" s="51">
        <f t="shared" si="164"/>
        <v>0</v>
      </c>
      <c r="BI252" s="51">
        <f t="shared" ca="1" si="165"/>
        <v>0</v>
      </c>
      <c r="BJ252" s="51">
        <f t="shared" ca="1" si="166"/>
        <v>0</v>
      </c>
      <c r="BK252" s="51">
        <f t="shared" si="167"/>
        <v>0</v>
      </c>
      <c r="BL252" s="51">
        <f t="shared" ca="1" si="168"/>
        <v>0</v>
      </c>
      <c r="BM252" s="51">
        <f t="shared" si="169"/>
        <v>0</v>
      </c>
      <c r="BN252" s="51">
        <f t="shared" si="170"/>
        <v>0</v>
      </c>
      <c r="BO252" s="51">
        <f t="shared" ca="1" si="171"/>
        <v>0</v>
      </c>
      <c r="BP252" s="51">
        <f t="shared" ca="1" si="172"/>
        <v>0</v>
      </c>
      <c r="BQ252" s="120"/>
      <c r="BR252" s="32"/>
      <c r="BS252" s="126"/>
      <c r="BT252" s="16"/>
      <c r="BU252" s="58"/>
      <c r="BW252" s="51">
        <f>VLOOKUP(H252,Charges!$AT$4:$AU$33,2,FALSE)*I252</f>
        <v>0</v>
      </c>
      <c r="BX252" s="51">
        <f t="shared" si="173"/>
        <v>0</v>
      </c>
      <c r="BY252" s="51">
        <f t="shared" si="181"/>
        <v>0</v>
      </c>
      <c r="BZ252" s="151"/>
      <c r="CA252" s="151"/>
      <c r="CB252" s="32"/>
      <c r="CC252" s="16">
        <f ca="1">SUM($N$7:$N252)</f>
        <v>0</v>
      </c>
      <c r="CD252" s="16">
        <f t="shared" ca="1" si="174"/>
        <v>0</v>
      </c>
      <c r="CE252" s="16">
        <f t="shared" ca="1" si="175"/>
        <v>0</v>
      </c>
      <c r="CF252" s="7">
        <f t="shared" ca="1" si="182"/>
        <v>0</v>
      </c>
    </row>
    <row r="253" spans="1:84" s="7" customFormat="1" x14ac:dyDescent="0.2">
      <c r="A253" s="149"/>
      <c r="B253" s="14">
        <f t="shared" si="144"/>
        <v>0</v>
      </c>
      <c r="C253" s="12">
        <f t="shared" si="145"/>
        <v>0</v>
      </c>
      <c r="D253" s="17">
        <f t="shared" si="183"/>
        <v>247</v>
      </c>
      <c r="E253" s="17">
        <f t="shared" ca="1" si="146"/>
        <v>80</v>
      </c>
      <c r="F253" s="12">
        <f t="shared" si="185"/>
        <v>6</v>
      </c>
      <c r="G253" s="12">
        <f t="shared" si="184"/>
        <v>42</v>
      </c>
      <c r="H253" s="17">
        <f t="shared" si="186"/>
        <v>21</v>
      </c>
      <c r="I253" s="29">
        <f t="shared" si="147"/>
        <v>0</v>
      </c>
      <c r="J253" s="211">
        <f>IFERROR(VLOOKUP(H253,Charges!$T$6:$U$35,2,0)*C253,0)</f>
        <v>0</v>
      </c>
      <c r="K253" s="29">
        <f t="shared" si="148"/>
        <v>0</v>
      </c>
      <c r="L253" s="29">
        <f t="shared" si="149"/>
        <v>0</v>
      </c>
      <c r="M253" s="147">
        <f t="shared" ca="1" si="150"/>
        <v>0</v>
      </c>
      <c r="N253" s="148">
        <f ca="1">IF(AND(Option_SPW="Y",H253&gt;=Lock_In_Period,Z252&gt;SPW_Amount_pa+IF(option="Single",1/5*pr,2*pr),H253&gt;=SPW_Start_Year,H253&lt;=SPW_Start_Year+SPW_Duration-1,age+H253&gt;=Legal_Age),IF(AND(F253=0,SPW_Payout_Freq=1),SPW_Amount_pa,IF(AND(SPW_Payout_Freq=2,MOD(F253,6)=0),SPW_Amount_pa/SPW_Payout_Freq,IF(AND(SPW_Payout_Freq=4,MOD(F253,3)=0),SPW_Amount_pa/SPW_Payout_Freq,IF(SPW_Payout_Freq=12,SPW_Amount_pa/SPW_Payout_Freq,0)))),0)+IFERROR(VLOOKUP(H253,Input!$B$68:$C$74,2,0),0)*(F253=0)*(Option_PW="Y")*(Option_SPW="N")*(age+H253&gt;=Legal_Age)</f>
        <v>0</v>
      </c>
      <c r="O253" s="148">
        <f t="shared" ca="1" si="176"/>
        <v>0</v>
      </c>
      <c r="P253" s="14">
        <f ca="1">(MAX(MAX(sa-CF252*Flag_UL_Type,105%*SUM($I$7:I253))-(AD252+L253-N253)*Flag_UL_Type,0)*B253)</f>
        <v>0</v>
      </c>
      <c r="Q253" s="213">
        <f t="shared" si="151"/>
        <v>0</v>
      </c>
      <c r="R253" s="14">
        <f t="shared" ca="1" si="152"/>
        <v>0</v>
      </c>
      <c r="S253" s="14">
        <f t="shared" ca="1" si="153"/>
        <v>0</v>
      </c>
      <c r="T253" s="14">
        <f>IFERROR(IF(WoP_Flag="Y",IF(fq=1,VLOOKUP(ppt*fq-H253,Charges!$AN$41:$AO$59,2,FALSE),IF(fq=2,VLOOKUP(ppt*fq-G253,Charges!$AP$41:$AQ$79,2,FALSE),VLOOKUP(ppt*fq-D253,Charges!$AR$41:$AS$279,2,FALSE)))*pr/fq,0),0)</f>
        <v>0</v>
      </c>
      <c r="U253" s="14">
        <f ca="1">IFERROR(((T253*(VLOOKUP(Input!$D$18+H253-1,Tab_Mort_Charge,IF(Gender_2="M",2,3),FALSE)*(1+_emr2)+_rpm2)/IF(Model_Type="LA_PQIS",1000/0.0833,(12*1000))))*Flag_Mort_Rider_Charge*(T253&gt;0),0)</f>
        <v>0</v>
      </c>
      <c r="V253" s="34">
        <f>ROUND(MIN(IF(H253&gt;=7,Charges!$C$12*(1+Charges!$C$14)^((H253-7+1)),VLOOKUP(H253,Charges!$B$7:$C$12,2,0))*pr,Charges!$C$13)*B253,Round)</f>
        <v>0</v>
      </c>
      <c r="W253" s="14">
        <f t="shared" ca="1" si="154"/>
        <v>0</v>
      </c>
      <c r="X253" s="14">
        <f t="shared" ca="1" si="155"/>
        <v>0</v>
      </c>
      <c r="Y253" s="213">
        <f t="shared" ca="1" si="177"/>
        <v>0</v>
      </c>
      <c r="Z253" s="14">
        <f t="shared" ca="1" si="156"/>
        <v>0</v>
      </c>
      <c r="AA253" s="14">
        <f>IF(AND($H253=pt,$F253=11),SUM($K$7:K253)*VLOOKUP(pt,ROC,2,FALSE),0)</f>
        <v>0</v>
      </c>
      <c r="AB253" s="14">
        <f>IF(AND($H253=pt,$F253=11),SUM($V$7:V253)*VLOOKUP(pt,ROC,2,FALSE),0)</f>
        <v>0</v>
      </c>
      <c r="AC253" s="14">
        <f>IF(AND($H253=pt,$F253=11),SUM($Q$7:Q253)*VLOOKUP(pt,ROC,2,FALSE),0)</f>
        <v>0</v>
      </c>
      <c r="AD253" s="14">
        <f t="shared" ca="1" si="178"/>
        <v>0</v>
      </c>
      <c r="AE253" s="14">
        <f ca="1">(MAX(sa-CF252*Flag_UL_Type,105%*SUM($I$7:I253),Z253)+AU253)*B253</f>
        <v>0</v>
      </c>
      <c r="AF253" s="136"/>
      <c r="AG253" s="18">
        <v>247</v>
      </c>
      <c r="AH253" s="30">
        <f t="shared" ca="1" si="157"/>
        <v>0</v>
      </c>
      <c r="AI253" s="58"/>
      <c r="AJ253" s="50">
        <f>IF(AND(Option_Sys_TopUp&gt;="Y",H253&gt;=sytp,H253&lt;=(dtp+sytp-1),F253=0,H253&lt;=ppt+1),atp,0)+IFERROR(VLOOKUP(H253,Input!$B$55:$C$61,2,0),0)*(F253=0)*(Option_TopUP="Y")*(Option_Sys_TopUp="N")*B253*(pt&gt;=H253+5)</f>
        <v>0</v>
      </c>
      <c r="AK253" s="50">
        <f t="shared" si="158"/>
        <v>0</v>
      </c>
      <c r="AL253" s="50">
        <f t="shared" si="179"/>
        <v>0</v>
      </c>
      <c r="AM253" s="50">
        <f t="shared" ca="1" si="159"/>
        <v>0</v>
      </c>
      <c r="AN253" s="50">
        <f>IF(B253=0,0,AT253*(_rpm1+(1+_emr1)*VLOOKUP(E253,Tab_Mort_Charge,IF(Input!$C$12="M",2,3),0))*(0.001*0.0833)*Flag_Mort_Rider_Charge*(AT253&gt;0))</f>
        <v>0</v>
      </c>
      <c r="AO253" s="50">
        <f t="shared" ca="1" si="180"/>
        <v>0</v>
      </c>
      <c r="AP253" s="50">
        <f t="shared" ca="1" si="187"/>
        <v>0</v>
      </c>
      <c r="AQ253" s="50">
        <f t="shared" ca="1" si="160"/>
        <v>0</v>
      </c>
      <c r="AR253" s="50">
        <f t="shared" ca="1" si="161"/>
        <v>0</v>
      </c>
      <c r="AS253" s="50">
        <f t="shared" si="162"/>
        <v>0</v>
      </c>
      <c r="AT253" s="50">
        <f ca="1">(MAX((MAX(AS253,105%*SUM($AJ$7:AJ253))-AM253*Flag_UL_Type),0)*B253)</f>
        <v>0</v>
      </c>
      <c r="AU253" s="50">
        <f ca="1">(MAX(AS253,AR253,105%*SUM($AJ$7:AJ253))*B253)</f>
        <v>0</v>
      </c>
      <c r="AV253" s="125"/>
      <c r="AW253" s="13"/>
      <c r="AX253" s="13"/>
      <c r="AY253" s="13"/>
      <c r="AZ253" s="13"/>
      <c r="BA253" s="13"/>
      <c r="BG253" s="51">
        <f t="shared" si="163"/>
        <v>0</v>
      </c>
      <c r="BH253" s="51">
        <f t="shared" si="164"/>
        <v>0</v>
      </c>
      <c r="BI253" s="51">
        <f t="shared" ca="1" si="165"/>
        <v>0</v>
      </c>
      <c r="BJ253" s="51">
        <f t="shared" ca="1" si="166"/>
        <v>0</v>
      </c>
      <c r="BK253" s="51">
        <f t="shared" si="167"/>
        <v>0</v>
      </c>
      <c r="BL253" s="51">
        <f t="shared" ca="1" si="168"/>
        <v>0</v>
      </c>
      <c r="BM253" s="51">
        <f t="shared" si="169"/>
        <v>0</v>
      </c>
      <c r="BN253" s="51">
        <f t="shared" si="170"/>
        <v>0</v>
      </c>
      <c r="BO253" s="51">
        <f t="shared" ca="1" si="171"/>
        <v>0</v>
      </c>
      <c r="BP253" s="51">
        <f t="shared" ca="1" si="172"/>
        <v>0</v>
      </c>
      <c r="BQ253" s="120"/>
      <c r="BR253" s="32"/>
      <c r="BS253" s="126"/>
      <c r="BT253" s="16"/>
      <c r="BU253" s="58"/>
      <c r="BW253" s="51">
        <f>VLOOKUP(H253,Charges!$AT$4:$AU$33,2,FALSE)*I253</f>
        <v>0</v>
      </c>
      <c r="BX253" s="51">
        <f t="shared" si="173"/>
        <v>0</v>
      </c>
      <c r="BY253" s="51">
        <f t="shared" si="181"/>
        <v>0</v>
      </c>
      <c r="BZ253" s="151"/>
      <c r="CA253" s="151"/>
      <c r="CB253" s="32"/>
      <c r="CC253" s="16">
        <f ca="1">SUM($N$7:$N253)</f>
        <v>0</v>
      </c>
      <c r="CD253" s="16">
        <f t="shared" ca="1" si="174"/>
        <v>0</v>
      </c>
      <c r="CE253" s="16">
        <f t="shared" ca="1" si="175"/>
        <v>0</v>
      </c>
      <c r="CF253" s="7">
        <f t="shared" ca="1" si="182"/>
        <v>0</v>
      </c>
    </row>
    <row r="254" spans="1:84" s="7" customFormat="1" x14ac:dyDescent="0.2">
      <c r="A254" s="149"/>
      <c r="B254" s="14">
        <f t="shared" si="144"/>
        <v>0</v>
      </c>
      <c r="C254" s="12">
        <f t="shared" si="145"/>
        <v>0</v>
      </c>
      <c r="D254" s="17">
        <f t="shared" si="183"/>
        <v>248</v>
      </c>
      <c r="E254" s="17">
        <f t="shared" ca="1" si="146"/>
        <v>80</v>
      </c>
      <c r="F254" s="12">
        <f t="shared" si="185"/>
        <v>7</v>
      </c>
      <c r="G254" s="12">
        <f t="shared" si="184"/>
        <v>42</v>
      </c>
      <c r="H254" s="17">
        <f t="shared" si="186"/>
        <v>21</v>
      </c>
      <c r="I254" s="29">
        <f t="shared" si="147"/>
        <v>0</v>
      </c>
      <c r="J254" s="211">
        <f>IFERROR(VLOOKUP(H254,Charges!$T$6:$U$35,2,0)*C254,0)</f>
        <v>0</v>
      </c>
      <c r="K254" s="29">
        <f t="shared" si="148"/>
        <v>0</v>
      </c>
      <c r="L254" s="29">
        <f t="shared" si="149"/>
        <v>0</v>
      </c>
      <c r="M254" s="147">
        <f t="shared" ca="1" si="150"/>
        <v>0</v>
      </c>
      <c r="N254" s="148">
        <f ca="1">IF(AND(Option_SPW="Y",H254&gt;=Lock_In_Period,Z253&gt;SPW_Amount_pa+IF(option="Single",1/5*pr,2*pr),H254&gt;=SPW_Start_Year,H254&lt;=SPW_Start_Year+SPW_Duration-1,age+H254&gt;=Legal_Age),IF(AND(F254=0,SPW_Payout_Freq=1),SPW_Amount_pa,IF(AND(SPW_Payout_Freq=2,MOD(F254,6)=0),SPW_Amount_pa/SPW_Payout_Freq,IF(AND(SPW_Payout_Freq=4,MOD(F254,3)=0),SPW_Amount_pa/SPW_Payout_Freq,IF(SPW_Payout_Freq=12,SPW_Amount_pa/SPW_Payout_Freq,0)))),0)+IFERROR(VLOOKUP(H254,Input!$B$68:$C$74,2,0),0)*(F254=0)*(Option_PW="Y")*(Option_SPW="N")*(age+H254&gt;=Legal_Age)</f>
        <v>0</v>
      </c>
      <c r="O254" s="148">
        <f t="shared" ca="1" si="176"/>
        <v>0</v>
      </c>
      <c r="P254" s="14">
        <f ca="1">(MAX(MAX(sa-CF253*Flag_UL_Type,105%*SUM($I$7:I254))-(AD253+L254-N254)*Flag_UL_Type,0)*B254)</f>
        <v>0</v>
      </c>
      <c r="Q254" s="213">
        <f t="shared" si="151"/>
        <v>0</v>
      </c>
      <c r="R254" s="14">
        <f t="shared" ca="1" si="152"/>
        <v>0</v>
      </c>
      <c r="S254" s="14">
        <f t="shared" ca="1" si="153"/>
        <v>0</v>
      </c>
      <c r="T254" s="14">
        <f>IFERROR(IF(WoP_Flag="Y",IF(fq=1,VLOOKUP(ppt*fq-H254,Charges!$AN$41:$AO$59,2,FALSE),IF(fq=2,VLOOKUP(ppt*fq-G254,Charges!$AP$41:$AQ$79,2,FALSE),VLOOKUP(ppt*fq-D254,Charges!$AR$41:$AS$279,2,FALSE)))*pr/fq,0),0)</f>
        <v>0</v>
      </c>
      <c r="U254" s="14">
        <f ca="1">IFERROR(((T254*(VLOOKUP(Input!$D$18+H254-1,Tab_Mort_Charge,IF(Gender_2="M",2,3),FALSE)*(1+_emr2)+_rpm2)/IF(Model_Type="LA_PQIS",1000/0.0833,(12*1000))))*Flag_Mort_Rider_Charge*(T254&gt;0),0)</f>
        <v>0</v>
      </c>
      <c r="V254" s="34">
        <f>ROUND(MIN(IF(H254&gt;=7,Charges!$C$12*(1+Charges!$C$14)^((H254-7+1)),VLOOKUP(H254,Charges!$B$7:$C$12,2,0))*pr,Charges!$C$13)*B254,Round)</f>
        <v>0</v>
      </c>
      <c r="W254" s="14">
        <f t="shared" ca="1" si="154"/>
        <v>0</v>
      </c>
      <c r="X254" s="14">
        <f t="shared" ca="1" si="155"/>
        <v>0</v>
      </c>
      <c r="Y254" s="213">
        <f t="shared" ca="1" si="177"/>
        <v>0</v>
      </c>
      <c r="Z254" s="14">
        <f t="shared" ca="1" si="156"/>
        <v>0</v>
      </c>
      <c r="AA254" s="14">
        <f>IF(AND($H254=pt,$F254=11),SUM($K$7:K254)*VLOOKUP(pt,ROC,2,FALSE),0)</f>
        <v>0</v>
      </c>
      <c r="AB254" s="14">
        <f>IF(AND($H254=pt,$F254=11),SUM($V$7:V254)*VLOOKUP(pt,ROC,2,FALSE),0)</f>
        <v>0</v>
      </c>
      <c r="AC254" s="14">
        <f>IF(AND($H254=pt,$F254=11),SUM($Q$7:Q254)*VLOOKUP(pt,ROC,2,FALSE),0)</f>
        <v>0</v>
      </c>
      <c r="AD254" s="14">
        <f t="shared" ca="1" si="178"/>
        <v>0</v>
      </c>
      <c r="AE254" s="14">
        <f ca="1">(MAX(sa-CF253*Flag_UL_Type,105%*SUM($I$7:I254),Z254)+AU254)*B254</f>
        <v>0</v>
      </c>
      <c r="AF254" s="136"/>
      <c r="AG254" s="18">
        <v>248</v>
      </c>
      <c r="AH254" s="30">
        <f t="shared" ca="1" si="157"/>
        <v>0</v>
      </c>
      <c r="AI254" s="58"/>
      <c r="AJ254" s="50">
        <f>IF(AND(Option_Sys_TopUp&gt;="Y",H254&gt;=sytp,H254&lt;=(dtp+sytp-1),F254=0,H254&lt;=ppt+1),atp,0)+IFERROR(VLOOKUP(H254,Input!$B$55:$C$61,2,0),0)*(F254=0)*(Option_TopUP="Y")*(Option_Sys_TopUp="N")*B254*(pt&gt;=H254+5)</f>
        <v>0</v>
      </c>
      <c r="AK254" s="50">
        <f t="shared" si="158"/>
        <v>0</v>
      </c>
      <c r="AL254" s="50">
        <f t="shared" si="179"/>
        <v>0</v>
      </c>
      <c r="AM254" s="50">
        <f t="shared" ca="1" si="159"/>
        <v>0</v>
      </c>
      <c r="AN254" s="50">
        <f>IF(B254=0,0,AT254*(_rpm1+(1+_emr1)*VLOOKUP(E254,Tab_Mort_Charge,IF(Input!$C$12="M",2,3),0))*(0.001*0.0833)*Flag_Mort_Rider_Charge*(AT254&gt;0))</f>
        <v>0</v>
      </c>
      <c r="AO254" s="50">
        <f t="shared" ca="1" si="180"/>
        <v>0</v>
      </c>
      <c r="AP254" s="50">
        <f t="shared" ca="1" si="187"/>
        <v>0</v>
      </c>
      <c r="AQ254" s="50">
        <f t="shared" ca="1" si="160"/>
        <v>0</v>
      </c>
      <c r="AR254" s="50">
        <f t="shared" ca="1" si="161"/>
        <v>0</v>
      </c>
      <c r="AS254" s="50">
        <f t="shared" si="162"/>
        <v>0</v>
      </c>
      <c r="AT254" s="50">
        <f ca="1">(MAX((MAX(AS254,105%*SUM($AJ$7:AJ254))-AM254*Flag_UL_Type),0)*B254)</f>
        <v>0</v>
      </c>
      <c r="AU254" s="50">
        <f ca="1">(MAX(AS254,AR254,105%*SUM($AJ$7:AJ254))*B254)</f>
        <v>0</v>
      </c>
      <c r="AV254" s="125"/>
      <c r="AW254" s="13"/>
      <c r="AX254" s="13"/>
      <c r="AY254" s="13"/>
      <c r="AZ254" s="13"/>
      <c r="BA254" s="13"/>
      <c r="BG254" s="51">
        <f t="shared" si="163"/>
        <v>0</v>
      </c>
      <c r="BH254" s="51">
        <f t="shared" si="164"/>
        <v>0</v>
      </c>
      <c r="BI254" s="51">
        <f t="shared" ca="1" si="165"/>
        <v>0</v>
      </c>
      <c r="BJ254" s="51">
        <f t="shared" ca="1" si="166"/>
        <v>0</v>
      </c>
      <c r="BK254" s="51">
        <f t="shared" si="167"/>
        <v>0</v>
      </c>
      <c r="BL254" s="51">
        <f t="shared" ca="1" si="168"/>
        <v>0</v>
      </c>
      <c r="BM254" s="51">
        <f t="shared" si="169"/>
        <v>0</v>
      </c>
      <c r="BN254" s="51">
        <f t="shared" si="170"/>
        <v>0</v>
      </c>
      <c r="BO254" s="51">
        <f t="shared" ca="1" si="171"/>
        <v>0</v>
      </c>
      <c r="BP254" s="51">
        <f t="shared" ca="1" si="172"/>
        <v>0</v>
      </c>
      <c r="BQ254" s="120"/>
      <c r="BR254" s="32"/>
      <c r="BS254" s="126"/>
      <c r="BT254" s="16"/>
      <c r="BU254" s="58"/>
      <c r="BW254" s="51">
        <f>VLOOKUP(H254,Charges!$AT$4:$AU$33,2,FALSE)*I254</f>
        <v>0</v>
      </c>
      <c r="BX254" s="51">
        <f t="shared" si="173"/>
        <v>0</v>
      </c>
      <c r="BY254" s="51">
        <f t="shared" si="181"/>
        <v>0</v>
      </c>
      <c r="BZ254" s="151"/>
      <c r="CA254" s="151"/>
      <c r="CB254" s="32"/>
      <c r="CC254" s="16">
        <f ca="1">SUM($N$7:$N254)</f>
        <v>0</v>
      </c>
      <c r="CD254" s="16">
        <f t="shared" ca="1" si="174"/>
        <v>0</v>
      </c>
      <c r="CE254" s="16">
        <f t="shared" ca="1" si="175"/>
        <v>0</v>
      </c>
      <c r="CF254" s="7">
        <f t="shared" ca="1" si="182"/>
        <v>0</v>
      </c>
    </row>
    <row r="255" spans="1:84" s="7" customFormat="1" x14ac:dyDescent="0.2">
      <c r="A255" s="149"/>
      <c r="B255" s="14">
        <f t="shared" si="144"/>
        <v>0</v>
      </c>
      <c r="C255" s="12">
        <f t="shared" si="145"/>
        <v>0</v>
      </c>
      <c r="D255" s="17">
        <f t="shared" si="183"/>
        <v>249</v>
      </c>
      <c r="E255" s="17">
        <f t="shared" ca="1" si="146"/>
        <v>80</v>
      </c>
      <c r="F255" s="12">
        <f t="shared" si="185"/>
        <v>8</v>
      </c>
      <c r="G255" s="12">
        <f t="shared" si="184"/>
        <v>42</v>
      </c>
      <c r="H255" s="17">
        <f t="shared" si="186"/>
        <v>21</v>
      </c>
      <c r="I255" s="29">
        <f t="shared" si="147"/>
        <v>0</v>
      </c>
      <c r="J255" s="211">
        <f>IFERROR(VLOOKUP(H255,Charges!$T$6:$U$35,2,0)*C255,0)</f>
        <v>0</v>
      </c>
      <c r="K255" s="29">
        <f t="shared" si="148"/>
        <v>0</v>
      </c>
      <c r="L255" s="29">
        <f t="shared" si="149"/>
        <v>0</v>
      </c>
      <c r="M255" s="147">
        <f t="shared" ca="1" si="150"/>
        <v>0</v>
      </c>
      <c r="N255" s="148">
        <f ca="1">IF(AND(Option_SPW="Y",H255&gt;=Lock_In_Period,Z254&gt;SPW_Amount_pa+IF(option="Single",1/5*pr,2*pr),H255&gt;=SPW_Start_Year,H255&lt;=SPW_Start_Year+SPW_Duration-1,age+H255&gt;=Legal_Age),IF(AND(F255=0,SPW_Payout_Freq=1),SPW_Amount_pa,IF(AND(SPW_Payout_Freq=2,MOD(F255,6)=0),SPW_Amount_pa/SPW_Payout_Freq,IF(AND(SPW_Payout_Freq=4,MOD(F255,3)=0),SPW_Amount_pa/SPW_Payout_Freq,IF(SPW_Payout_Freq=12,SPW_Amount_pa/SPW_Payout_Freq,0)))),0)+IFERROR(VLOOKUP(H255,Input!$B$68:$C$74,2,0),0)*(F255=0)*(Option_PW="Y")*(Option_SPW="N")*(age+H255&gt;=Legal_Age)</f>
        <v>0</v>
      </c>
      <c r="O255" s="148">
        <f t="shared" ca="1" si="176"/>
        <v>0</v>
      </c>
      <c r="P255" s="14">
        <f ca="1">(MAX(MAX(sa-CF254*Flag_UL_Type,105%*SUM($I$7:I255))-(AD254+L255-N255)*Flag_UL_Type,0)*B255)</f>
        <v>0</v>
      </c>
      <c r="Q255" s="213">
        <f t="shared" si="151"/>
        <v>0</v>
      </c>
      <c r="R255" s="14">
        <f t="shared" ca="1" si="152"/>
        <v>0</v>
      </c>
      <c r="S255" s="14">
        <f t="shared" ca="1" si="153"/>
        <v>0</v>
      </c>
      <c r="T255" s="14">
        <f>IFERROR(IF(WoP_Flag="Y",IF(fq=1,VLOOKUP(ppt*fq-H255,Charges!$AN$41:$AO$59,2,FALSE),IF(fq=2,VLOOKUP(ppt*fq-G255,Charges!$AP$41:$AQ$79,2,FALSE),VLOOKUP(ppt*fq-D255,Charges!$AR$41:$AS$279,2,FALSE)))*pr/fq,0),0)</f>
        <v>0</v>
      </c>
      <c r="U255" s="14">
        <f ca="1">IFERROR(((T255*(VLOOKUP(Input!$D$18+H255-1,Tab_Mort_Charge,IF(Gender_2="M",2,3),FALSE)*(1+_emr2)+_rpm2)/IF(Model_Type="LA_PQIS",1000/0.0833,(12*1000))))*Flag_Mort_Rider_Charge*(T255&gt;0),0)</f>
        <v>0</v>
      </c>
      <c r="V255" s="34">
        <f>ROUND(MIN(IF(H255&gt;=7,Charges!$C$12*(1+Charges!$C$14)^((H255-7+1)),VLOOKUP(H255,Charges!$B$7:$C$12,2,0))*pr,Charges!$C$13)*B255,Round)</f>
        <v>0</v>
      </c>
      <c r="W255" s="14">
        <f t="shared" ca="1" si="154"/>
        <v>0</v>
      </c>
      <c r="X255" s="14">
        <f t="shared" ca="1" si="155"/>
        <v>0</v>
      </c>
      <c r="Y255" s="213">
        <f t="shared" ca="1" si="177"/>
        <v>0</v>
      </c>
      <c r="Z255" s="14">
        <f t="shared" ca="1" si="156"/>
        <v>0</v>
      </c>
      <c r="AA255" s="14">
        <f>IF(AND($H255=pt,$F255=11),SUM($K$7:K255)*VLOOKUP(pt,ROC,2,FALSE),0)</f>
        <v>0</v>
      </c>
      <c r="AB255" s="14">
        <f>IF(AND($H255=pt,$F255=11),SUM($V$7:V255)*VLOOKUP(pt,ROC,2,FALSE),0)</f>
        <v>0</v>
      </c>
      <c r="AC255" s="14">
        <f>IF(AND($H255=pt,$F255=11),SUM($Q$7:Q255)*VLOOKUP(pt,ROC,2,FALSE),0)</f>
        <v>0</v>
      </c>
      <c r="AD255" s="14">
        <f t="shared" ca="1" si="178"/>
        <v>0</v>
      </c>
      <c r="AE255" s="14">
        <f ca="1">(MAX(sa-CF254*Flag_UL_Type,105%*SUM($I$7:I255),Z255)+AU255)*B255</f>
        <v>0</v>
      </c>
      <c r="AF255" s="136"/>
      <c r="AG255" s="18">
        <v>249</v>
      </c>
      <c r="AH255" s="30">
        <f t="shared" ca="1" si="157"/>
        <v>0</v>
      </c>
      <c r="AI255" s="58"/>
      <c r="AJ255" s="50">
        <f>IF(AND(Option_Sys_TopUp&gt;="Y",H255&gt;=sytp,H255&lt;=(dtp+sytp-1),F255=0,H255&lt;=ppt+1),atp,0)+IFERROR(VLOOKUP(H255,Input!$B$55:$C$61,2,0),0)*(F255=0)*(Option_TopUP="Y")*(Option_Sys_TopUp="N")*B255*(pt&gt;=H255+5)</f>
        <v>0</v>
      </c>
      <c r="AK255" s="50">
        <f t="shared" si="158"/>
        <v>0</v>
      </c>
      <c r="AL255" s="50">
        <f t="shared" si="179"/>
        <v>0</v>
      </c>
      <c r="AM255" s="50">
        <f t="shared" ca="1" si="159"/>
        <v>0</v>
      </c>
      <c r="AN255" s="50">
        <f>IF(B255=0,0,AT255*(_rpm1+(1+_emr1)*VLOOKUP(E255,Tab_Mort_Charge,IF(Input!$C$12="M",2,3),0))*(0.001*0.0833)*Flag_Mort_Rider_Charge*(AT255&gt;0))</f>
        <v>0</v>
      </c>
      <c r="AO255" s="50">
        <f t="shared" ca="1" si="180"/>
        <v>0</v>
      </c>
      <c r="AP255" s="50">
        <f t="shared" ca="1" si="187"/>
        <v>0</v>
      </c>
      <c r="AQ255" s="50">
        <f t="shared" ca="1" si="160"/>
        <v>0</v>
      </c>
      <c r="AR255" s="50">
        <f t="shared" ca="1" si="161"/>
        <v>0</v>
      </c>
      <c r="AS255" s="50">
        <f t="shared" si="162"/>
        <v>0</v>
      </c>
      <c r="AT255" s="50">
        <f ca="1">(MAX((MAX(AS255,105%*SUM($AJ$7:AJ255))-AM255*Flag_UL_Type),0)*B255)</f>
        <v>0</v>
      </c>
      <c r="AU255" s="50">
        <f ca="1">(MAX(AS255,AR255,105%*SUM($AJ$7:AJ255))*B255)</f>
        <v>0</v>
      </c>
      <c r="AV255" s="125"/>
      <c r="AW255" s="13"/>
      <c r="AX255" s="13"/>
      <c r="AY255" s="13"/>
      <c r="AZ255" s="13"/>
      <c r="BA255" s="13"/>
      <c r="BG255" s="51">
        <f t="shared" si="163"/>
        <v>0</v>
      </c>
      <c r="BH255" s="51">
        <f t="shared" si="164"/>
        <v>0</v>
      </c>
      <c r="BI255" s="51">
        <f t="shared" ca="1" si="165"/>
        <v>0</v>
      </c>
      <c r="BJ255" s="51">
        <f t="shared" ca="1" si="166"/>
        <v>0</v>
      </c>
      <c r="BK255" s="51">
        <f t="shared" si="167"/>
        <v>0</v>
      </c>
      <c r="BL255" s="51">
        <f t="shared" ca="1" si="168"/>
        <v>0</v>
      </c>
      <c r="BM255" s="51">
        <f t="shared" si="169"/>
        <v>0</v>
      </c>
      <c r="BN255" s="51">
        <f t="shared" si="170"/>
        <v>0</v>
      </c>
      <c r="BO255" s="51">
        <f t="shared" ca="1" si="171"/>
        <v>0</v>
      </c>
      <c r="BP255" s="51">
        <f t="shared" ca="1" si="172"/>
        <v>0</v>
      </c>
      <c r="BQ255" s="120"/>
      <c r="BR255" s="32"/>
      <c r="BS255" s="126"/>
      <c r="BT255" s="16"/>
      <c r="BU255" s="58"/>
      <c r="BW255" s="51">
        <f>VLOOKUP(H255,Charges!$AT$4:$AU$33,2,FALSE)*I255</f>
        <v>0</v>
      </c>
      <c r="BX255" s="51">
        <f t="shared" si="173"/>
        <v>0</v>
      </c>
      <c r="BY255" s="51">
        <f t="shared" si="181"/>
        <v>0</v>
      </c>
      <c r="BZ255" s="151"/>
      <c r="CA255" s="151"/>
      <c r="CB255" s="32"/>
      <c r="CC255" s="16">
        <f ca="1">SUM($N$7:$N255)</f>
        <v>0</v>
      </c>
      <c r="CD255" s="16">
        <f t="shared" ca="1" si="174"/>
        <v>0</v>
      </c>
      <c r="CE255" s="16">
        <f t="shared" ca="1" si="175"/>
        <v>0</v>
      </c>
      <c r="CF255" s="7">
        <f t="shared" ca="1" si="182"/>
        <v>0</v>
      </c>
    </row>
    <row r="256" spans="1:84" s="7" customFormat="1" x14ac:dyDescent="0.2">
      <c r="A256" s="149"/>
      <c r="B256" s="14">
        <f t="shared" si="144"/>
        <v>0</v>
      </c>
      <c r="C256" s="12">
        <f t="shared" si="145"/>
        <v>0</v>
      </c>
      <c r="D256" s="17">
        <f t="shared" si="183"/>
        <v>250</v>
      </c>
      <c r="E256" s="17">
        <f t="shared" ca="1" si="146"/>
        <v>80</v>
      </c>
      <c r="F256" s="12">
        <f t="shared" si="185"/>
        <v>9</v>
      </c>
      <c r="G256" s="12">
        <f t="shared" si="184"/>
        <v>42</v>
      </c>
      <c r="H256" s="17">
        <f t="shared" si="186"/>
        <v>21</v>
      </c>
      <c r="I256" s="29">
        <f t="shared" si="147"/>
        <v>0</v>
      </c>
      <c r="J256" s="211">
        <f>IFERROR(VLOOKUP(H256,Charges!$T$6:$U$35,2,0)*C256,0)</f>
        <v>0</v>
      </c>
      <c r="K256" s="29">
        <f t="shared" si="148"/>
        <v>0</v>
      </c>
      <c r="L256" s="29">
        <f t="shared" si="149"/>
        <v>0</v>
      </c>
      <c r="M256" s="147">
        <f t="shared" ca="1" si="150"/>
        <v>0</v>
      </c>
      <c r="N256" s="148">
        <f ca="1">IF(AND(Option_SPW="Y",H256&gt;=Lock_In_Period,Z255&gt;SPW_Amount_pa+IF(option="Single",1/5*pr,2*pr),H256&gt;=SPW_Start_Year,H256&lt;=SPW_Start_Year+SPW_Duration-1,age+H256&gt;=Legal_Age),IF(AND(F256=0,SPW_Payout_Freq=1),SPW_Amount_pa,IF(AND(SPW_Payout_Freq=2,MOD(F256,6)=0),SPW_Amount_pa/SPW_Payout_Freq,IF(AND(SPW_Payout_Freq=4,MOD(F256,3)=0),SPW_Amount_pa/SPW_Payout_Freq,IF(SPW_Payout_Freq=12,SPW_Amount_pa/SPW_Payout_Freq,0)))),0)+IFERROR(VLOOKUP(H256,Input!$B$68:$C$74,2,0),0)*(F256=0)*(Option_PW="Y")*(Option_SPW="N")*(age+H256&gt;=Legal_Age)</f>
        <v>0</v>
      </c>
      <c r="O256" s="148">
        <f t="shared" ca="1" si="176"/>
        <v>0</v>
      </c>
      <c r="P256" s="14">
        <f ca="1">(MAX(MAX(sa-CF255*Flag_UL_Type,105%*SUM($I$7:I256))-(AD255+L256-N256)*Flag_UL_Type,0)*B256)</f>
        <v>0</v>
      </c>
      <c r="Q256" s="213">
        <f t="shared" si="151"/>
        <v>0</v>
      </c>
      <c r="R256" s="14">
        <f t="shared" ca="1" si="152"/>
        <v>0</v>
      </c>
      <c r="S256" s="14">
        <f t="shared" ca="1" si="153"/>
        <v>0</v>
      </c>
      <c r="T256" s="14">
        <f>IFERROR(IF(WoP_Flag="Y",IF(fq=1,VLOOKUP(ppt*fq-H256,Charges!$AN$41:$AO$59,2,FALSE),IF(fq=2,VLOOKUP(ppt*fq-G256,Charges!$AP$41:$AQ$79,2,FALSE),VLOOKUP(ppt*fq-D256,Charges!$AR$41:$AS$279,2,FALSE)))*pr/fq,0),0)</f>
        <v>0</v>
      </c>
      <c r="U256" s="14">
        <f ca="1">IFERROR(((T256*(VLOOKUP(Input!$D$18+H256-1,Tab_Mort_Charge,IF(Gender_2="M",2,3),FALSE)*(1+_emr2)+_rpm2)/IF(Model_Type="LA_PQIS",1000/0.0833,(12*1000))))*Flag_Mort_Rider_Charge*(T256&gt;0),0)</f>
        <v>0</v>
      </c>
      <c r="V256" s="34">
        <f>ROUND(MIN(IF(H256&gt;=7,Charges!$C$12*(1+Charges!$C$14)^((H256-7+1)),VLOOKUP(H256,Charges!$B$7:$C$12,2,0))*pr,Charges!$C$13)*B256,Round)</f>
        <v>0</v>
      </c>
      <c r="W256" s="14">
        <f t="shared" ca="1" si="154"/>
        <v>0</v>
      </c>
      <c r="X256" s="14">
        <f t="shared" ca="1" si="155"/>
        <v>0</v>
      </c>
      <c r="Y256" s="213">
        <f t="shared" ca="1" si="177"/>
        <v>0</v>
      </c>
      <c r="Z256" s="14">
        <f t="shared" ca="1" si="156"/>
        <v>0</v>
      </c>
      <c r="AA256" s="14">
        <f>IF(AND($H256=pt,$F256=11),SUM($K$7:K256)*VLOOKUP(pt,ROC,2,FALSE),0)</f>
        <v>0</v>
      </c>
      <c r="AB256" s="14">
        <f>IF(AND($H256=pt,$F256=11),SUM($V$7:V256)*VLOOKUP(pt,ROC,2,FALSE),0)</f>
        <v>0</v>
      </c>
      <c r="AC256" s="14">
        <f>IF(AND($H256=pt,$F256=11),SUM($Q$7:Q256)*VLOOKUP(pt,ROC,2,FALSE),0)</f>
        <v>0</v>
      </c>
      <c r="AD256" s="14">
        <f t="shared" ca="1" si="178"/>
        <v>0</v>
      </c>
      <c r="AE256" s="14">
        <f ca="1">(MAX(sa-CF255*Flag_UL_Type,105%*SUM($I$7:I256),Z256)+AU256)*B256</f>
        <v>0</v>
      </c>
      <c r="AF256" s="136"/>
      <c r="AG256" s="18">
        <v>250</v>
      </c>
      <c r="AH256" s="30">
        <f t="shared" ca="1" si="157"/>
        <v>0</v>
      </c>
      <c r="AI256" s="58"/>
      <c r="AJ256" s="50">
        <f>IF(AND(Option_Sys_TopUp&gt;="Y",H256&gt;=sytp,H256&lt;=(dtp+sytp-1),F256=0,H256&lt;=ppt+1),atp,0)+IFERROR(VLOOKUP(H256,Input!$B$55:$C$61,2,0),0)*(F256=0)*(Option_TopUP="Y")*(Option_Sys_TopUp="N")*B256*(pt&gt;=H256+5)</f>
        <v>0</v>
      </c>
      <c r="AK256" s="50">
        <f t="shared" si="158"/>
        <v>0</v>
      </c>
      <c r="AL256" s="50">
        <f t="shared" si="179"/>
        <v>0</v>
      </c>
      <c r="AM256" s="50">
        <f t="shared" ca="1" si="159"/>
        <v>0</v>
      </c>
      <c r="AN256" s="50">
        <f>IF(B256=0,0,AT256*(_rpm1+(1+_emr1)*VLOOKUP(E256,Tab_Mort_Charge,IF(Input!$C$12="M",2,3),0))*(0.001*0.0833)*Flag_Mort_Rider_Charge*(AT256&gt;0))</f>
        <v>0</v>
      </c>
      <c r="AO256" s="50">
        <f t="shared" ca="1" si="180"/>
        <v>0</v>
      </c>
      <c r="AP256" s="50">
        <f t="shared" ca="1" si="187"/>
        <v>0</v>
      </c>
      <c r="AQ256" s="50">
        <f t="shared" ca="1" si="160"/>
        <v>0</v>
      </c>
      <c r="AR256" s="50">
        <f t="shared" ca="1" si="161"/>
        <v>0</v>
      </c>
      <c r="AS256" s="50">
        <f t="shared" si="162"/>
        <v>0</v>
      </c>
      <c r="AT256" s="50">
        <f ca="1">(MAX((MAX(AS256,105%*SUM($AJ$7:AJ256))-AM256*Flag_UL_Type),0)*B256)</f>
        <v>0</v>
      </c>
      <c r="AU256" s="50">
        <f ca="1">(MAX(AS256,AR256,105%*SUM($AJ$7:AJ256))*B256)</f>
        <v>0</v>
      </c>
      <c r="AV256" s="125"/>
      <c r="AW256" s="13"/>
      <c r="AX256" s="13"/>
      <c r="AY256" s="13"/>
      <c r="AZ256" s="13"/>
      <c r="BA256" s="13"/>
      <c r="BG256" s="51">
        <f t="shared" si="163"/>
        <v>0</v>
      </c>
      <c r="BH256" s="51">
        <f t="shared" si="164"/>
        <v>0</v>
      </c>
      <c r="BI256" s="51">
        <f t="shared" ca="1" si="165"/>
        <v>0</v>
      </c>
      <c r="BJ256" s="51">
        <f t="shared" ca="1" si="166"/>
        <v>0</v>
      </c>
      <c r="BK256" s="51">
        <f t="shared" si="167"/>
        <v>0</v>
      </c>
      <c r="BL256" s="51">
        <f t="shared" ca="1" si="168"/>
        <v>0</v>
      </c>
      <c r="BM256" s="51">
        <f t="shared" si="169"/>
        <v>0</v>
      </c>
      <c r="BN256" s="51">
        <f t="shared" si="170"/>
        <v>0</v>
      </c>
      <c r="BO256" s="51">
        <f t="shared" ca="1" si="171"/>
        <v>0</v>
      </c>
      <c r="BP256" s="51">
        <f t="shared" ca="1" si="172"/>
        <v>0</v>
      </c>
      <c r="BQ256" s="120"/>
      <c r="BR256" s="32"/>
      <c r="BS256" s="126"/>
      <c r="BT256" s="16"/>
      <c r="BU256" s="58"/>
      <c r="BW256" s="51">
        <f>VLOOKUP(H256,Charges!$AT$4:$AU$33,2,FALSE)*I256</f>
        <v>0</v>
      </c>
      <c r="BX256" s="51">
        <f t="shared" si="173"/>
        <v>0</v>
      </c>
      <c r="BY256" s="51">
        <f t="shared" si="181"/>
        <v>0</v>
      </c>
      <c r="BZ256" s="151"/>
      <c r="CA256" s="151"/>
      <c r="CB256" s="32"/>
      <c r="CC256" s="16">
        <f ca="1">SUM($N$7:$N256)</f>
        <v>0</v>
      </c>
      <c r="CD256" s="16">
        <f t="shared" ca="1" si="174"/>
        <v>0</v>
      </c>
      <c r="CE256" s="16">
        <f t="shared" ca="1" si="175"/>
        <v>0</v>
      </c>
      <c r="CF256" s="7">
        <f t="shared" ca="1" si="182"/>
        <v>0</v>
      </c>
    </row>
    <row r="257" spans="1:84" s="7" customFormat="1" x14ac:dyDescent="0.2">
      <c r="A257" s="149"/>
      <c r="B257" s="14">
        <f t="shared" si="144"/>
        <v>0</v>
      </c>
      <c r="C257" s="12">
        <f t="shared" si="145"/>
        <v>0</v>
      </c>
      <c r="D257" s="17">
        <f t="shared" si="183"/>
        <v>251</v>
      </c>
      <c r="E257" s="17">
        <f t="shared" ca="1" si="146"/>
        <v>80</v>
      </c>
      <c r="F257" s="12">
        <f t="shared" si="185"/>
        <v>10</v>
      </c>
      <c r="G257" s="12">
        <f t="shared" si="184"/>
        <v>42</v>
      </c>
      <c r="H257" s="17">
        <f t="shared" si="186"/>
        <v>21</v>
      </c>
      <c r="I257" s="29">
        <f t="shared" si="147"/>
        <v>0</v>
      </c>
      <c r="J257" s="211">
        <f>IFERROR(VLOOKUP(H257,Charges!$T$6:$U$35,2,0)*C257,0)</f>
        <v>0</v>
      </c>
      <c r="K257" s="29">
        <f t="shared" si="148"/>
        <v>0</v>
      </c>
      <c r="L257" s="29">
        <f t="shared" si="149"/>
        <v>0</v>
      </c>
      <c r="M257" s="147">
        <f t="shared" ca="1" si="150"/>
        <v>0</v>
      </c>
      <c r="N257" s="148">
        <f ca="1">IF(AND(Option_SPW="Y",H257&gt;=Lock_In_Period,Z256&gt;SPW_Amount_pa+IF(option="Single",1/5*pr,2*pr),H257&gt;=SPW_Start_Year,H257&lt;=SPW_Start_Year+SPW_Duration-1,age+H257&gt;=Legal_Age),IF(AND(F257=0,SPW_Payout_Freq=1),SPW_Amount_pa,IF(AND(SPW_Payout_Freq=2,MOD(F257,6)=0),SPW_Amount_pa/SPW_Payout_Freq,IF(AND(SPW_Payout_Freq=4,MOD(F257,3)=0),SPW_Amount_pa/SPW_Payout_Freq,IF(SPW_Payout_Freq=12,SPW_Amount_pa/SPW_Payout_Freq,0)))),0)+IFERROR(VLOOKUP(H257,Input!$B$68:$C$74,2,0),0)*(F257=0)*(Option_PW="Y")*(Option_SPW="N")*(age+H257&gt;=Legal_Age)</f>
        <v>0</v>
      </c>
      <c r="O257" s="148">
        <f t="shared" ca="1" si="176"/>
        <v>0</v>
      </c>
      <c r="P257" s="14">
        <f ca="1">(MAX(MAX(sa-CF256*Flag_UL_Type,105%*SUM($I$7:I257))-(AD256+L257-N257)*Flag_UL_Type,0)*B257)</f>
        <v>0</v>
      </c>
      <c r="Q257" s="213">
        <f t="shared" si="151"/>
        <v>0</v>
      </c>
      <c r="R257" s="14">
        <f t="shared" ca="1" si="152"/>
        <v>0</v>
      </c>
      <c r="S257" s="14">
        <f t="shared" ca="1" si="153"/>
        <v>0</v>
      </c>
      <c r="T257" s="14">
        <f>IFERROR(IF(WoP_Flag="Y",IF(fq=1,VLOOKUP(ppt*fq-H257,Charges!$AN$41:$AO$59,2,FALSE),IF(fq=2,VLOOKUP(ppt*fq-G257,Charges!$AP$41:$AQ$79,2,FALSE),VLOOKUP(ppt*fq-D257,Charges!$AR$41:$AS$279,2,FALSE)))*pr/fq,0),0)</f>
        <v>0</v>
      </c>
      <c r="U257" s="14">
        <f ca="1">IFERROR(((T257*(VLOOKUP(Input!$D$18+H257-1,Tab_Mort_Charge,IF(Gender_2="M",2,3),FALSE)*(1+_emr2)+_rpm2)/IF(Model_Type="LA_PQIS",1000/0.0833,(12*1000))))*Flag_Mort_Rider_Charge*(T257&gt;0),0)</f>
        <v>0</v>
      </c>
      <c r="V257" s="34">
        <f>ROUND(MIN(IF(H257&gt;=7,Charges!$C$12*(1+Charges!$C$14)^((H257-7+1)),VLOOKUP(H257,Charges!$B$7:$C$12,2,0))*pr,Charges!$C$13)*B257,Round)</f>
        <v>0</v>
      </c>
      <c r="W257" s="14">
        <f t="shared" ca="1" si="154"/>
        <v>0</v>
      </c>
      <c r="X257" s="14">
        <f t="shared" ca="1" si="155"/>
        <v>0</v>
      </c>
      <c r="Y257" s="213">
        <f t="shared" ca="1" si="177"/>
        <v>0</v>
      </c>
      <c r="Z257" s="14">
        <f t="shared" ca="1" si="156"/>
        <v>0</v>
      </c>
      <c r="AA257" s="14">
        <f>IF(AND($H257=pt,$F257=11),SUM($K$7:K257)*VLOOKUP(pt,ROC,2,FALSE),0)</f>
        <v>0</v>
      </c>
      <c r="AB257" s="14">
        <f>IF(AND($H257=pt,$F257=11),SUM($V$7:V257)*VLOOKUP(pt,ROC,2,FALSE),0)</f>
        <v>0</v>
      </c>
      <c r="AC257" s="14">
        <f>IF(AND($H257=pt,$F257=11),SUM($Q$7:Q257)*VLOOKUP(pt,ROC,2,FALSE),0)</f>
        <v>0</v>
      </c>
      <c r="AD257" s="14">
        <f t="shared" ca="1" si="178"/>
        <v>0</v>
      </c>
      <c r="AE257" s="14">
        <f ca="1">(MAX(sa-CF256*Flag_UL_Type,105%*SUM($I$7:I257),Z257)+AU257)*B257</f>
        <v>0</v>
      </c>
      <c r="AF257" s="136"/>
      <c r="AG257" s="18">
        <v>251</v>
      </c>
      <c r="AH257" s="30">
        <f t="shared" ca="1" si="157"/>
        <v>0</v>
      </c>
      <c r="AI257" s="58"/>
      <c r="AJ257" s="50">
        <f>IF(AND(Option_Sys_TopUp&gt;="Y",H257&gt;=sytp,H257&lt;=(dtp+sytp-1),F257=0,H257&lt;=ppt+1),atp,0)+IFERROR(VLOOKUP(H257,Input!$B$55:$C$61,2,0),0)*(F257=0)*(Option_TopUP="Y")*(Option_Sys_TopUp="N")*B257*(pt&gt;=H257+5)</f>
        <v>0</v>
      </c>
      <c r="AK257" s="50">
        <f t="shared" si="158"/>
        <v>0</v>
      </c>
      <c r="AL257" s="50">
        <f t="shared" si="179"/>
        <v>0</v>
      </c>
      <c r="AM257" s="50">
        <f t="shared" ca="1" si="159"/>
        <v>0</v>
      </c>
      <c r="AN257" s="50">
        <f>IF(B257=0,0,AT257*(_rpm1+(1+_emr1)*VLOOKUP(E257,Tab_Mort_Charge,IF(Input!$C$12="M",2,3),0))*(0.001*0.0833)*Flag_Mort_Rider_Charge*(AT257&gt;0))</f>
        <v>0</v>
      </c>
      <c r="AO257" s="50">
        <f t="shared" ca="1" si="180"/>
        <v>0</v>
      </c>
      <c r="AP257" s="50">
        <f t="shared" ca="1" si="187"/>
        <v>0</v>
      </c>
      <c r="AQ257" s="50">
        <f t="shared" ca="1" si="160"/>
        <v>0</v>
      </c>
      <c r="AR257" s="50">
        <f t="shared" ca="1" si="161"/>
        <v>0</v>
      </c>
      <c r="AS257" s="50">
        <f t="shared" si="162"/>
        <v>0</v>
      </c>
      <c r="AT257" s="50">
        <f ca="1">(MAX((MAX(AS257,105%*SUM($AJ$7:AJ257))-AM257*Flag_UL_Type),0)*B257)</f>
        <v>0</v>
      </c>
      <c r="AU257" s="50">
        <f ca="1">(MAX(AS257,AR257,105%*SUM($AJ$7:AJ257))*B257)</f>
        <v>0</v>
      </c>
      <c r="AV257" s="125"/>
      <c r="AW257" s="13"/>
      <c r="AX257" s="13"/>
      <c r="AY257" s="13"/>
      <c r="AZ257" s="13"/>
      <c r="BA257" s="13"/>
      <c r="BG257" s="51">
        <f t="shared" si="163"/>
        <v>0</v>
      </c>
      <c r="BH257" s="51">
        <f t="shared" si="164"/>
        <v>0</v>
      </c>
      <c r="BI257" s="51">
        <f t="shared" ca="1" si="165"/>
        <v>0</v>
      </c>
      <c r="BJ257" s="51">
        <f t="shared" ca="1" si="166"/>
        <v>0</v>
      </c>
      <c r="BK257" s="51">
        <f t="shared" si="167"/>
        <v>0</v>
      </c>
      <c r="BL257" s="51">
        <f t="shared" ca="1" si="168"/>
        <v>0</v>
      </c>
      <c r="BM257" s="51">
        <f t="shared" si="169"/>
        <v>0</v>
      </c>
      <c r="BN257" s="51">
        <f t="shared" si="170"/>
        <v>0</v>
      </c>
      <c r="BO257" s="51">
        <f t="shared" ca="1" si="171"/>
        <v>0</v>
      </c>
      <c r="BP257" s="51">
        <f t="shared" ca="1" si="172"/>
        <v>0</v>
      </c>
      <c r="BQ257" s="120"/>
      <c r="BR257" s="32"/>
      <c r="BS257" s="126"/>
      <c r="BT257" s="16"/>
      <c r="BU257" s="58"/>
      <c r="BW257" s="51">
        <f>VLOOKUP(H257,Charges!$AT$4:$AU$33,2,FALSE)*I257</f>
        <v>0</v>
      </c>
      <c r="BX257" s="51">
        <f t="shared" si="173"/>
        <v>0</v>
      </c>
      <c r="BY257" s="51">
        <f t="shared" si="181"/>
        <v>0</v>
      </c>
      <c r="BZ257" s="151"/>
      <c r="CA257" s="151"/>
      <c r="CB257" s="32"/>
      <c r="CC257" s="16">
        <f ca="1">SUM($N$7:$N257)</f>
        <v>0</v>
      </c>
      <c r="CD257" s="16">
        <f t="shared" ca="1" si="174"/>
        <v>0</v>
      </c>
      <c r="CE257" s="16">
        <f t="shared" ca="1" si="175"/>
        <v>0</v>
      </c>
      <c r="CF257" s="7">
        <f t="shared" ca="1" si="182"/>
        <v>0</v>
      </c>
    </row>
    <row r="258" spans="1:84" s="7" customFormat="1" x14ac:dyDescent="0.2">
      <c r="A258" s="149"/>
      <c r="B258" s="14">
        <f t="shared" si="144"/>
        <v>0</v>
      </c>
      <c r="C258" s="12">
        <f t="shared" si="145"/>
        <v>0</v>
      </c>
      <c r="D258" s="17">
        <f t="shared" si="183"/>
        <v>252</v>
      </c>
      <c r="E258" s="17">
        <f t="shared" ca="1" si="146"/>
        <v>80</v>
      </c>
      <c r="F258" s="12">
        <f t="shared" si="185"/>
        <v>11</v>
      </c>
      <c r="G258" s="12">
        <f t="shared" si="184"/>
        <v>42</v>
      </c>
      <c r="H258" s="17">
        <f t="shared" si="186"/>
        <v>21</v>
      </c>
      <c r="I258" s="29">
        <f t="shared" si="147"/>
        <v>0</v>
      </c>
      <c r="J258" s="211">
        <f>IFERROR(VLOOKUP(H258,Charges!$T$6:$U$35,2,0)*C258,0)</f>
        <v>0</v>
      </c>
      <c r="K258" s="29">
        <f t="shared" si="148"/>
        <v>0</v>
      </c>
      <c r="L258" s="29">
        <f t="shared" si="149"/>
        <v>0</v>
      </c>
      <c r="M258" s="147">
        <f t="shared" ca="1" si="150"/>
        <v>0</v>
      </c>
      <c r="N258" s="148">
        <f ca="1">IF(AND(Option_SPW="Y",H258&gt;=Lock_In_Period,Z257&gt;SPW_Amount_pa+IF(option="Single",1/5*pr,2*pr),H258&gt;=SPW_Start_Year,H258&lt;=SPW_Start_Year+SPW_Duration-1,age+H258&gt;=Legal_Age),IF(AND(F258=0,SPW_Payout_Freq=1),SPW_Amount_pa,IF(AND(SPW_Payout_Freq=2,MOD(F258,6)=0),SPW_Amount_pa/SPW_Payout_Freq,IF(AND(SPW_Payout_Freq=4,MOD(F258,3)=0),SPW_Amount_pa/SPW_Payout_Freq,IF(SPW_Payout_Freq=12,SPW_Amount_pa/SPW_Payout_Freq,0)))),0)+IFERROR(VLOOKUP(H258,Input!$B$68:$C$74,2,0),0)*(F258=0)*(Option_PW="Y")*(Option_SPW="N")*(age+H258&gt;=Legal_Age)</f>
        <v>0</v>
      </c>
      <c r="O258" s="148">
        <f t="shared" ca="1" si="176"/>
        <v>0</v>
      </c>
      <c r="P258" s="14">
        <f ca="1">(MAX(MAX(sa-CF257*Flag_UL_Type,105%*SUM($I$7:I258))-(AD257+L258-N258)*Flag_UL_Type,0)*B258)</f>
        <v>0</v>
      </c>
      <c r="Q258" s="213">
        <f t="shared" si="151"/>
        <v>0</v>
      </c>
      <c r="R258" s="14">
        <f t="shared" ca="1" si="152"/>
        <v>0</v>
      </c>
      <c r="S258" s="14">
        <f t="shared" ca="1" si="153"/>
        <v>0</v>
      </c>
      <c r="T258" s="14">
        <f>IFERROR(IF(WoP_Flag="Y",IF(fq=1,VLOOKUP(ppt*fq-H258,Charges!$AN$41:$AO$59,2,FALSE),IF(fq=2,VLOOKUP(ppt*fq-G258,Charges!$AP$41:$AQ$79,2,FALSE),VLOOKUP(ppt*fq-D258,Charges!$AR$41:$AS$279,2,FALSE)))*pr/fq,0),0)</f>
        <v>0</v>
      </c>
      <c r="U258" s="14">
        <f ca="1">IFERROR(((T258*(VLOOKUP(Input!$D$18+H258-1,Tab_Mort_Charge,IF(Gender_2="M",2,3),FALSE)*(1+_emr2)+_rpm2)/IF(Model_Type="LA_PQIS",1000/0.0833,(12*1000))))*Flag_Mort_Rider_Charge*(T258&gt;0),0)</f>
        <v>0</v>
      </c>
      <c r="V258" s="34">
        <f>ROUND(MIN(IF(H258&gt;=7,Charges!$C$12*(1+Charges!$C$14)^((H258-7+1)),VLOOKUP(H258,Charges!$B$7:$C$12,2,0))*pr,Charges!$C$13)*B258,Round)</f>
        <v>0</v>
      </c>
      <c r="W258" s="14">
        <f t="shared" ca="1" si="154"/>
        <v>0</v>
      </c>
      <c r="X258" s="14">
        <f t="shared" ca="1" si="155"/>
        <v>0</v>
      </c>
      <c r="Y258" s="213">
        <f t="shared" ca="1" si="177"/>
        <v>0</v>
      </c>
      <c r="Z258" s="14">
        <f t="shared" ca="1" si="156"/>
        <v>0</v>
      </c>
      <c r="AA258" s="14">
        <f>IF(AND($H258=pt,$F258=11),SUM($K$7:K258)*VLOOKUP(pt,ROC,2,FALSE),0)</f>
        <v>0</v>
      </c>
      <c r="AB258" s="14">
        <f>IF(AND($H258=pt,$F258=11),SUM($V$7:V258)*VLOOKUP(pt,ROC,2,FALSE),0)</f>
        <v>0</v>
      </c>
      <c r="AC258" s="14">
        <f>IF(AND($H258=pt,$F258=11),SUM($Q$7:Q258)*VLOOKUP(pt,ROC,2,FALSE),0)</f>
        <v>0</v>
      </c>
      <c r="AD258" s="14">
        <f t="shared" ca="1" si="178"/>
        <v>0</v>
      </c>
      <c r="AE258" s="14">
        <f ca="1">(MAX(sa-CF257*Flag_UL_Type,105%*SUM($I$7:I258),Z258)+AU258)*B258</f>
        <v>0</v>
      </c>
      <c r="AF258" s="136"/>
      <c r="AG258" s="18">
        <v>252</v>
      </c>
      <c r="AH258" s="30">
        <f t="shared" ca="1" si="157"/>
        <v>0</v>
      </c>
      <c r="AI258" s="58"/>
      <c r="AJ258" s="50">
        <f>IF(AND(Option_Sys_TopUp&gt;="Y",H258&gt;=sytp,H258&lt;=(dtp+sytp-1),F258=0,H258&lt;=ppt+1),atp,0)+IFERROR(VLOOKUP(H258,Input!$B$55:$C$61,2,0),0)*(F258=0)*(Option_TopUP="Y")*(Option_Sys_TopUp="N")*B258*(pt&gt;=H258+5)</f>
        <v>0</v>
      </c>
      <c r="AK258" s="50">
        <f t="shared" si="158"/>
        <v>0</v>
      </c>
      <c r="AL258" s="50">
        <f t="shared" si="179"/>
        <v>0</v>
      </c>
      <c r="AM258" s="50">
        <f t="shared" ca="1" si="159"/>
        <v>0</v>
      </c>
      <c r="AN258" s="50">
        <f>IF(B258=0,0,AT258*(_rpm1+(1+_emr1)*VLOOKUP(E258,Tab_Mort_Charge,IF(Input!$C$12="M",2,3),0))*(0.001*0.0833)*Flag_Mort_Rider_Charge*(AT258&gt;0))</f>
        <v>0</v>
      </c>
      <c r="AO258" s="50">
        <f t="shared" ca="1" si="180"/>
        <v>0</v>
      </c>
      <c r="AP258" s="50">
        <f t="shared" ca="1" si="187"/>
        <v>0</v>
      </c>
      <c r="AQ258" s="50">
        <f t="shared" ca="1" si="160"/>
        <v>0</v>
      </c>
      <c r="AR258" s="50">
        <f t="shared" ca="1" si="161"/>
        <v>0</v>
      </c>
      <c r="AS258" s="50">
        <f t="shared" si="162"/>
        <v>0</v>
      </c>
      <c r="AT258" s="50">
        <f ca="1">(MAX((MAX(AS258,105%*SUM($AJ$7:AJ258))-AM258*Flag_UL_Type),0)*B258)</f>
        <v>0</v>
      </c>
      <c r="AU258" s="50">
        <f ca="1">(MAX(AS258,AR258,105%*SUM($AJ$7:AJ258))*B258)</f>
        <v>0</v>
      </c>
      <c r="AV258" s="125"/>
      <c r="AW258" s="13"/>
      <c r="AX258" s="13"/>
      <c r="AY258" s="13"/>
      <c r="AZ258" s="13"/>
      <c r="BA258" s="13"/>
      <c r="BG258" s="51">
        <f t="shared" si="163"/>
        <v>0</v>
      </c>
      <c r="BH258" s="51">
        <f t="shared" si="164"/>
        <v>0</v>
      </c>
      <c r="BI258" s="51">
        <f t="shared" ca="1" si="165"/>
        <v>0</v>
      </c>
      <c r="BJ258" s="51">
        <f t="shared" ca="1" si="166"/>
        <v>0</v>
      </c>
      <c r="BK258" s="51">
        <f t="shared" si="167"/>
        <v>0</v>
      </c>
      <c r="BL258" s="51">
        <f t="shared" ca="1" si="168"/>
        <v>0</v>
      </c>
      <c r="BM258" s="51">
        <f t="shared" si="169"/>
        <v>0</v>
      </c>
      <c r="BN258" s="51">
        <f t="shared" si="170"/>
        <v>0</v>
      </c>
      <c r="BO258" s="51">
        <f t="shared" ca="1" si="171"/>
        <v>0</v>
      </c>
      <c r="BP258" s="51">
        <f t="shared" ca="1" si="172"/>
        <v>0</v>
      </c>
      <c r="BQ258" s="120"/>
      <c r="BR258" s="32"/>
      <c r="BS258" s="126"/>
      <c r="BT258" s="16"/>
      <c r="BU258" s="58"/>
      <c r="BW258" s="51">
        <f>VLOOKUP(H258,Charges!$AT$4:$AU$33,2,FALSE)*I258</f>
        <v>0</v>
      </c>
      <c r="BX258" s="51">
        <f t="shared" si="173"/>
        <v>0</v>
      </c>
      <c r="BY258" s="51">
        <f t="shared" si="181"/>
        <v>0</v>
      </c>
      <c r="BZ258" s="151"/>
      <c r="CA258" s="151"/>
      <c r="CB258" s="32"/>
      <c r="CC258" s="16">
        <f ca="1">SUM($N$7:$N258)</f>
        <v>0</v>
      </c>
      <c r="CD258" s="16">
        <f t="shared" ca="1" si="174"/>
        <v>0</v>
      </c>
      <c r="CE258" s="16">
        <f t="shared" ca="1" si="175"/>
        <v>0</v>
      </c>
      <c r="CF258" s="7">
        <f t="shared" ca="1" si="182"/>
        <v>0</v>
      </c>
    </row>
    <row r="259" spans="1:84" s="7" customFormat="1" x14ac:dyDescent="0.2">
      <c r="A259" s="149"/>
      <c r="B259" s="14">
        <f t="shared" si="144"/>
        <v>0</v>
      </c>
      <c r="C259" s="12">
        <f t="shared" si="145"/>
        <v>0</v>
      </c>
      <c r="D259" s="17">
        <f t="shared" si="183"/>
        <v>253</v>
      </c>
      <c r="E259" s="17">
        <f t="shared" ca="1" si="146"/>
        <v>81</v>
      </c>
      <c r="F259" s="12">
        <f t="shared" si="185"/>
        <v>0</v>
      </c>
      <c r="G259" s="12">
        <f t="shared" si="184"/>
        <v>43</v>
      </c>
      <c r="H259" s="17">
        <f t="shared" si="186"/>
        <v>22</v>
      </c>
      <c r="I259" s="29">
        <f t="shared" si="147"/>
        <v>0</v>
      </c>
      <c r="J259" s="211">
        <f>IFERROR(VLOOKUP(H259,Charges!$T$6:$U$35,2,0)*C259,0)</f>
        <v>0</v>
      </c>
      <c r="K259" s="29">
        <f t="shared" si="148"/>
        <v>0</v>
      </c>
      <c r="L259" s="29">
        <f t="shared" si="149"/>
        <v>0</v>
      </c>
      <c r="M259" s="147">
        <f t="shared" ca="1" si="150"/>
        <v>0</v>
      </c>
      <c r="N259" s="148">
        <f ca="1">IF(AND(Option_SPW="Y",H259&gt;=Lock_In_Period,Z258&gt;SPW_Amount_pa+IF(option="Single",1/5*pr,2*pr),H259&gt;=SPW_Start_Year,H259&lt;=SPW_Start_Year+SPW_Duration-1,age+H259&gt;=Legal_Age),IF(AND(F259=0,SPW_Payout_Freq=1),SPW_Amount_pa,IF(AND(SPW_Payout_Freq=2,MOD(F259,6)=0),SPW_Amount_pa/SPW_Payout_Freq,IF(AND(SPW_Payout_Freq=4,MOD(F259,3)=0),SPW_Amount_pa/SPW_Payout_Freq,IF(SPW_Payout_Freq=12,SPW_Amount_pa/SPW_Payout_Freq,0)))),0)+IFERROR(VLOOKUP(H259,Input!$B$68:$C$74,2,0),0)*(F259=0)*(Option_PW="Y")*(Option_SPW="N")*(age+H259&gt;=Legal_Age)</f>
        <v>0</v>
      </c>
      <c r="O259" s="148">
        <f t="shared" ca="1" si="176"/>
        <v>0</v>
      </c>
      <c r="P259" s="14">
        <f ca="1">(MAX(MAX(sa-CF258*Flag_UL_Type,105%*SUM($I$7:I259))-(AD258+L259-N259)*Flag_UL_Type,0)*B259)</f>
        <v>0</v>
      </c>
      <c r="Q259" s="213">
        <f t="shared" si="151"/>
        <v>0</v>
      </c>
      <c r="R259" s="14">
        <f t="shared" ca="1" si="152"/>
        <v>0</v>
      </c>
      <c r="S259" s="14">
        <f t="shared" ca="1" si="153"/>
        <v>0</v>
      </c>
      <c r="T259" s="14">
        <f>IFERROR(IF(WoP_Flag="Y",IF(fq=1,VLOOKUP(ppt*fq-H259,Charges!$AN$41:$AO$59,2,FALSE),IF(fq=2,VLOOKUP(ppt*fq-G259,Charges!$AP$41:$AQ$79,2,FALSE),VLOOKUP(ppt*fq-D259,Charges!$AR$41:$AS$279,2,FALSE)))*pr/fq,0),0)</f>
        <v>0</v>
      </c>
      <c r="U259" s="14">
        <f ca="1">IFERROR(((T259*(VLOOKUP(Input!$D$18+H259-1,Tab_Mort_Charge,IF(Gender_2="M",2,3),FALSE)*(1+_emr2)+_rpm2)/IF(Model_Type="LA_PQIS",1000/0.0833,(12*1000))))*Flag_Mort_Rider_Charge*(T259&gt;0),0)</f>
        <v>0</v>
      </c>
      <c r="V259" s="34">
        <f>ROUND(MIN(IF(H259&gt;=7,Charges!$C$12*(1+Charges!$C$14)^((H259-7+1)),VLOOKUP(H259,Charges!$B$7:$C$12,2,0))*pr,Charges!$C$13)*B259,Round)</f>
        <v>0</v>
      </c>
      <c r="W259" s="14">
        <f t="shared" ca="1" si="154"/>
        <v>0</v>
      </c>
      <c r="X259" s="14">
        <f t="shared" ca="1" si="155"/>
        <v>0</v>
      </c>
      <c r="Y259" s="213">
        <f t="shared" ca="1" si="177"/>
        <v>0</v>
      </c>
      <c r="Z259" s="14">
        <f t="shared" ca="1" si="156"/>
        <v>0</v>
      </c>
      <c r="AA259" s="14">
        <f>IF(AND($H259=pt,$F259=11),SUM($K$7:K259)*VLOOKUP(pt,ROC,2,FALSE),0)</f>
        <v>0</v>
      </c>
      <c r="AB259" s="14">
        <f>IF(AND($H259=pt,$F259=11),SUM($V$7:V259)*VLOOKUP(pt,ROC,2,FALSE),0)</f>
        <v>0</v>
      </c>
      <c r="AC259" s="14">
        <f>IF(AND($H259=pt,$F259=11),SUM($Q$7:Q259)*VLOOKUP(pt,ROC,2,FALSE),0)</f>
        <v>0</v>
      </c>
      <c r="AD259" s="14">
        <f t="shared" ca="1" si="178"/>
        <v>0</v>
      </c>
      <c r="AE259" s="14">
        <f ca="1">(MAX(sa-CF258*Flag_UL_Type,105%*SUM($I$7:I259),Z259)+AU259)*B259</f>
        <v>0</v>
      </c>
      <c r="AF259" s="136"/>
      <c r="AG259" s="18">
        <v>253</v>
      </c>
      <c r="AH259" s="30">
        <f t="shared" ca="1" si="157"/>
        <v>0</v>
      </c>
      <c r="AI259" s="58"/>
      <c r="AJ259" s="50">
        <f>IF(AND(Option_Sys_TopUp&gt;="Y",H259&gt;=sytp,H259&lt;=(dtp+sytp-1),F259=0,H259&lt;=ppt+1),atp,0)+IFERROR(VLOOKUP(H259,Input!$B$55:$C$61,2,0),0)*(F259=0)*(Option_TopUP="Y")*(Option_Sys_TopUp="N")*B259*(pt&gt;=H259+5)</f>
        <v>0</v>
      </c>
      <c r="AK259" s="50">
        <f t="shared" si="158"/>
        <v>0</v>
      </c>
      <c r="AL259" s="50">
        <f t="shared" si="179"/>
        <v>0</v>
      </c>
      <c r="AM259" s="50">
        <f t="shared" ca="1" si="159"/>
        <v>0</v>
      </c>
      <c r="AN259" s="50">
        <f>IF(B259=0,0,AT259*(_rpm1+(1+_emr1)*VLOOKUP(E259,Tab_Mort_Charge,IF(Input!$C$12="M",2,3),0))*(0.001*0.0833)*Flag_Mort_Rider_Charge*(AT259&gt;0))</f>
        <v>0</v>
      </c>
      <c r="AO259" s="50">
        <f t="shared" ca="1" si="180"/>
        <v>0</v>
      </c>
      <c r="AP259" s="50">
        <f t="shared" ca="1" si="187"/>
        <v>0</v>
      </c>
      <c r="AQ259" s="50">
        <f t="shared" ca="1" si="160"/>
        <v>0</v>
      </c>
      <c r="AR259" s="50">
        <f t="shared" ca="1" si="161"/>
        <v>0</v>
      </c>
      <c r="AS259" s="50">
        <f t="shared" si="162"/>
        <v>0</v>
      </c>
      <c r="AT259" s="50">
        <f ca="1">(MAX((MAX(AS259,105%*SUM($AJ$7:AJ259))-AM259*Flag_UL_Type),0)*B259)</f>
        <v>0</v>
      </c>
      <c r="AU259" s="50">
        <f ca="1">(MAX(AS259,AR259,105%*SUM($AJ$7:AJ259))*B259)</f>
        <v>0</v>
      </c>
      <c r="AV259" s="125"/>
      <c r="AW259" s="13"/>
      <c r="AX259" s="13"/>
      <c r="AY259" s="13"/>
      <c r="AZ259" s="13"/>
      <c r="BA259" s="13"/>
      <c r="BG259" s="51">
        <f t="shared" si="163"/>
        <v>0</v>
      </c>
      <c r="BH259" s="51">
        <f t="shared" si="164"/>
        <v>0</v>
      </c>
      <c r="BI259" s="51">
        <f t="shared" ca="1" si="165"/>
        <v>0</v>
      </c>
      <c r="BJ259" s="51">
        <f t="shared" ca="1" si="166"/>
        <v>0</v>
      </c>
      <c r="BK259" s="51">
        <f t="shared" si="167"/>
        <v>0</v>
      </c>
      <c r="BL259" s="51">
        <f t="shared" ca="1" si="168"/>
        <v>0</v>
      </c>
      <c r="BM259" s="51">
        <f t="shared" si="169"/>
        <v>0</v>
      </c>
      <c r="BN259" s="51">
        <f t="shared" si="170"/>
        <v>0</v>
      </c>
      <c r="BO259" s="51">
        <f t="shared" ca="1" si="171"/>
        <v>0</v>
      </c>
      <c r="BP259" s="51">
        <f t="shared" ca="1" si="172"/>
        <v>0</v>
      </c>
      <c r="BQ259" s="120"/>
      <c r="BR259" s="32"/>
      <c r="BS259" s="126"/>
      <c r="BT259" s="16"/>
      <c r="BU259" s="58"/>
      <c r="BW259" s="51">
        <f>VLOOKUP(H259,Charges!$AT$4:$AU$33,2,FALSE)*I259</f>
        <v>0</v>
      </c>
      <c r="BX259" s="51">
        <f t="shared" si="173"/>
        <v>0</v>
      </c>
      <c r="BY259" s="51">
        <f t="shared" si="181"/>
        <v>0</v>
      </c>
      <c r="BZ259" s="151"/>
      <c r="CA259" s="151"/>
      <c r="CB259" s="32"/>
      <c r="CC259" s="16">
        <f ca="1">SUM($N$7:$N259)</f>
        <v>0</v>
      </c>
      <c r="CD259" s="16">
        <f t="shared" ca="1" si="174"/>
        <v>0</v>
      </c>
      <c r="CE259" s="16">
        <f t="shared" ca="1" si="175"/>
        <v>0</v>
      </c>
      <c r="CF259" s="7">
        <f t="shared" ca="1" si="182"/>
        <v>0</v>
      </c>
    </row>
    <row r="260" spans="1:84" s="7" customFormat="1" x14ac:dyDescent="0.2">
      <c r="A260" s="149"/>
      <c r="B260" s="14">
        <f t="shared" si="144"/>
        <v>0</v>
      </c>
      <c r="C260" s="12">
        <f t="shared" si="145"/>
        <v>0</v>
      </c>
      <c r="D260" s="17">
        <f t="shared" si="183"/>
        <v>254</v>
      </c>
      <c r="E260" s="17">
        <f t="shared" ca="1" si="146"/>
        <v>81</v>
      </c>
      <c r="F260" s="12">
        <f t="shared" si="185"/>
        <v>1</v>
      </c>
      <c r="G260" s="12">
        <f t="shared" si="184"/>
        <v>43</v>
      </c>
      <c r="H260" s="17">
        <f t="shared" si="186"/>
        <v>22</v>
      </c>
      <c r="I260" s="29">
        <f t="shared" si="147"/>
        <v>0</v>
      </c>
      <c r="J260" s="211">
        <f>IFERROR(VLOOKUP(H260,Charges!$T$6:$U$35,2,0)*C260,0)</f>
        <v>0</v>
      </c>
      <c r="K260" s="29">
        <f t="shared" si="148"/>
        <v>0</v>
      </c>
      <c r="L260" s="29">
        <f t="shared" si="149"/>
        <v>0</v>
      </c>
      <c r="M260" s="147">
        <f t="shared" ca="1" si="150"/>
        <v>0</v>
      </c>
      <c r="N260" s="148">
        <f ca="1">IF(AND(Option_SPW="Y",H260&gt;=Lock_In_Period,Z259&gt;SPW_Amount_pa+IF(option="Single",1/5*pr,2*pr),H260&gt;=SPW_Start_Year,H260&lt;=SPW_Start_Year+SPW_Duration-1,age+H260&gt;=Legal_Age),IF(AND(F260=0,SPW_Payout_Freq=1),SPW_Amount_pa,IF(AND(SPW_Payout_Freq=2,MOD(F260,6)=0),SPW_Amount_pa/SPW_Payout_Freq,IF(AND(SPW_Payout_Freq=4,MOD(F260,3)=0),SPW_Amount_pa/SPW_Payout_Freq,IF(SPW_Payout_Freq=12,SPW_Amount_pa/SPW_Payout_Freq,0)))),0)+IFERROR(VLOOKUP(H260,Input!$B$68:$C$74,2,0),0)*(F260=0)*(Option_PW="Y")*(Option_SPW="N")*(age+H260&gt;=Legal_Age)</f>
        <v>0</v>
      </c>
      <c r="O260" s="148">
        <f t="shared" ca="1" si="176"/>
        <v>0</v>
      </c>
      <c r="P260" s="14">
        <f ca="1">(MAX(MAX(sa-CF259*Flag_UL_Type,105%*SUM($I$7:I260))-(AD259+L260-N260)*Flag_UL_Type,0)*B260)</f>
        <v>0</v>
      </c>
      <c r="Q260" s="213">
        <f t="shared" si="151"/>
        <v>0</v>
      </c>
      <c r="R260" s="14">
        <f t="shared" ca="1" si="152"/>
        <v>0</v>
      </c>
      <c r="S260" s="14">
        <f t="shared" ca="1" si="153"/>
        <v>0</v>
      </c>
      <c r="T260" s="14">
        <f>IFERROR(IF(WoP_Flag="Y",IF(fq=1,VLOOKUP(ppt*fq-H260,Charges!$AN$41:$AO$59,2,FALSE),IF(fq=2,VLOOKUP(ppt*fq-G260,Charges!$AP$41:$AQ$79,2,FALSE),VLOOKUP(ppt*fq-D260,Charges!$AR$41:$AS$279,2,FALSE)))*pr/fq,0),0)</f>
        <v>0</v>
      </c>
      <c r="U260" s="14">
        <f ca="1">IFERROR(((T260*(VLOOKUP(Input!$D$18+H260-1,Tab_Mort_Charge,IF(Gender_2="M",2,3),FALSE)*(1+_emr2)+_rpm2)/IF(Model_Type="LA_PQIS",1000/0.0833,(12*1000))))*Flag_Mort_Rider_Charge*(T260&gt;0),0)</f>
        <v>0</v>
      </c>
      <c r="V260" s="34">
        <f>ROUND(MIN(IF(H260&gt;=7,Charges!$C$12*(1+Charges!$C$14)^((H260-7+1)),VLOOKUP(H260,Charges!$B$7:$C$12,2,0))*pr,Charges!$C$13)*B260,Round)</f>
        <v>0</v>
      </c>
      <c r="W260" s="14">
        <f t="shared" ca="1" si="154"/>
        <v>0</v>
      </c>
      <c r="X260" s="14">
        <f t="shared" ca="1" si="155"/>
        <v>0</v>
      </c>
      <c r="Y260" s="213">
        <f t="shared" ca="1" si="177"/>
        <v>0</v>
      </c>
      <c r="Z260" s="14">
        <f t="shared" ca="1" si="156"/>
        <v>0</v>
      </c>
      <c r="AA260" s="14">
        <f>IF(AND($H260=pt,$F260=11),SUM($K$7:K260)*VLOOKUP(pt,ROC,2,FALSE),0)</f>
        <v>0</v>
      </c>
      <c r="AB260" s="14">
        <f>IF(AND($H260=pt,$F260=11),SUM($V$7:V260)*VLOOKUP(pt,ROC,2,FALSE),0)</f>
        <v>0</v>
      </c>
      <c r="AC260" s="14">
        <f>IF(AND($H260=pt,$F260=11),SUM($Q$7:Q260)*VLOOKUP(pt,ROC,2,FALSE),0)</f>
        <v>0</v>
      </c>
      <c r="AD260" s="14">
        <f t="shared" ca="1" si="178"/>
        <v>0</v>
      </c>
      <c r="AE260" s="14">
        <f ca="1">(MAX(sa-CF259*Flag_UL_Type,105%*SUM($I$7:I260),Z260)+AU260)*B260</f>
        <v>0</v>
      </c>
      <c r="AF260" s="136"/>
      <c r="AG260" s="18">
        <v>254</v>
      </c>
      <c r="AH260" s="30">
        <f t="shared" ca="1" si="157"/>
        <v>0</v>
      </c>
      <c r="AI260" s="58"/>
      <c r="AJ260" s="50">
        <f>IF(AND(Option_Sys_TopUp&gt;="Y",H260&gt;=sytp,H260&lt;=(dtp+sytp-1),F260=0,H260&lt;=ppt+1),atp,0)+IFERROR(VLOOKUP(H260,Input!$B$55:$C$61,2,0),0)*(F260=0)*(Option_TopUP="Y")*(Option_Sys_TopUp="N")*B260*(pt&gt;=H260+5)</f>
        <v>0</v>
      </c>
      <c r="AK260" s="50">
        <f t="shared" si="158"/>
        <v>0</v>
      </c>
      <c r="AL260" s="50">
        <f t="shared" si="179"/>
        <v>0</v>
      </c>
      <c r="AM260" s="50">
        <f t="shared" ca="1" si="159"/>
        <v>0</v>
      </c>
      <c r="AN260" s="50">
        <f>IF(B260=0,0,AT260*(_rpm1+(1+_emr1)*VLOOKUP(E260,Tab_Mort_Charge,IF(Input!$C$12="M",2,3),0))*(0.001*0.0833)*Flag_Mort_Rider_Charge*(AT260&gt;0))</f>
        <v>0</v>
      </c>
      <c r="AO260" s="50">
        <f t="shared" ca="1" si="180"/>
        <v>0</v>
      </c>
      <c r="AP260" s="50">
        <f t="shared" ca="1" si="187"/>
        <v>0</v>
      </c>
      <c r="AQ260" s="50">
        <f t="shared" ca="1" si="160"/>
        <v>0</v>
      </c>
      <c r="AR260" s="50">
        <f t="shared" ca="1" si="161"/>
        <v>0</v>
      </c>
      <c r="AS260" s="50">
        <f t="shared" si="162"/>
        <v>0</v>
      </c>
      <c r="AT260" s="50">
        <f ca="1">(MAX((MAX(AS260,105%*SUM($AJ$7:AJ260))-AM260*Flag_UL_Type),0)*B260)</f>
        <v>0</v>
      </c>
      <c r="AU260" s="50">
        <f ca="1">(MAX(AS260,AR260,105%*SUM($AJ$7:AJ260))*B260)</f>
        <v>0</v>
      </c>
      <c r="AV260" s="125"/>
      <c r="AW260" s="13"/>
      <c r="AX260" s="13"/>
      <c r="AY260" s="13"/>
      <c r="AZ260" s="13"/>
      <c r="BA260" s="13"/>
      <c r="BG260" s="51">
        <f t="shared" si="163"/>
        <v>0</v>
      </c>
      <c r="BH260" s="51">
        <f t="shared" si="164"/>
        <v>0</v>
      </c>
      <c r="BI260" s="51">
        <f t="shared" ca="1" si="165"/>
        <v>0</v>
      </c>
      <c r="BJ260" s="51">
        <f t="shared" ca="1" si="166"/>
        <v>0</v>
      </c>
      <c r="BK260" s="51">
        <f t="shared" si="167"/>
        <v>0</v>
      </c>
      <c r="BL260" s="51">
        <f t="shared" ca="1" si="168"/>
        <v>0</v>
      </c>
      <c r="BM260" s="51">
        <f t="shared" si="169"/>
        <v>0</v>
      </c>
      <c r="BN260" s="51">
        <f t="shared" si="170"/>
        <v>0</v>
      </c>
      <c r="BO260" s="51">
        <f t="shared" ca="1" si="171"/>
        <v>0</v>
      </c>
      <c r="BP260" s="51">
        <f t="shared" ca="1" si="172"/>
        <v>0</v>
      </c>
      <c r="BQ260" s="120"/>
      <c r="BR260" s="32"/>
      <c r="BS260" s="126"/>
      <c r="BT260" s="16"/>
      <c r="BU260" s="58"/>
      <c r="BW260" s="51">
        <f>VLOOKUP(H260,Charges!$AT$4:$AU$33,2,FALSE)*I260</f>
        <v>0</v>
      </c>
      <c r="BX260" s="51">
        <f t="shared" si="173"/>
        <v>0</v>
      </c>
      <c r="BY260" s="51">
        <f t="shared" si="181"/>
        <v>0</v>
      </c>
      <c r="BZ260" s="151"/>
      <c r="CA260" s="151"/>
      <c r="CB260" s="32"/>
      <c r="CC260" s="16">
        <f ca="1">SUM($N$7:$N260)</f>
        <v>0</v>
      </c>
      <c r="CD260" s="16">
        <f t="shared" ca="1" si="174"/>
        <v>0</v>
      </c>
      <c r="CE260" s="16">
        <f t="shared" ca="1" si="175"/>
        <v>0</v>
      </c>
      <c r="CF260" s="7">
        <f t="shared" ca="1" si="182"/>
        <v>0</v>
      </c>
    </row>
    <row r="261" spans="1:84" s="7" customFormat="1" x14ac:dyDescent="0.2">
      <c r="A261" s="149"/>
      <c r="B261" s="14">
        <f t="shared" si="144"/>
        <v>0</v>
      </c>
      <c r="C261" s="12">
        <f t="shared" si="145"/>
        <v>0</v>
      </c>
      <c r="D261" s="17">
        <f t="shared" si="183"/>
        <v>255</v>
      </c>
      <c r="E261" s="17">
        <f t="shared" ca="1" si="146"/>
        <v>81</v>
      </c>
      <c r="F261" s="12">
        <f t="shared" si="185"/>
        <v>2</v>
      </c>
      <c r="G261" s="12">
        <f t="shared" si="184"/>
        <v>43</v>
      </c>
      <c r="H261" s="17">
        <f t="shared" si="186"/>
        <v>22</v>
      </c>
      <c r="I261" s="29">
        <f t="shared" si="147"/>
        <v>0</v>
      </c>
      <c r="J261" s="211">
        <f>IFERROR(VLOOKUP(H261,Charges!$T$6:$U$35,2,0)*C261,0)</f>
        <v>0</v>
      </c>
      <c r="K261" s="29">
        <f t="shared" si="148"/>
        <v>0</v>
      </c>
      <c r="L261" s="29">
        <f t="shared" si="149"/>
        <v>0</v>
      </c>
      <c r="M261" s="147">
        <f t="shared" ca="1" si="150"/>
        <v>0</v>
      </c>
      <c r="N261" s="148">
        <f ca="1">IF(AND(Option_SPW="Y",H261&gt;=Lock_In_Period,Z260&gt;SPW_Amount_pa+IF(option="Single",1/5*pr,2*pr),H261&gt;=SPW_Start_Year,H261&lt;=SPW_Start_Year+SPW_Duration-1,age+H261&gt;=Legal_Age),IF(AND(F261=0,SPW_Payout_Freq=1),SPW_Amount_pa,IF(AND(SPW_Payout_Freq=2,MOD(F261,6)=0),SPW_Amount_pa/SPW_Payout_Freq,IF(AND(SPW_Payout_Freq=4,MOD(F261,3)=0),SPW_Amount_pa/SPW_Payout_Freq,IF(SPW_Payout_Freq=12,SPW_Amount_pa/SPW_Payout_Freq,0)))),0)+IFERROR(VLOOKUP(H261,Input!$B$68:$C$74,2,0),0)*(F261=0)*(Option_PW="Y")*(Option_SPW="N")*(age+H261&gt;=Legal_Age)</f>
        <v>0</v>
      </c>
      <c r="O261" s="148">
        <f t="shared" ca="1" si="176"/>
        <v>0</v>
      </c>
      <c r="P261" s="14">
        <f ca="1">(MAX(MAX(sa-CF260*Flag_UL_Type,105%*SUM($I$7:I261))-(AD260+L261-N261)*Flag_UL_Type,0)*B261)</f>
        <v>0</v>
      </c>
      <c r="Q261" s="213">
        <f t="shared" si="151"/>
        <v>0</v>
      </c>
      <c r="R261" s="14">
        <f t="shared" ca="1" si="152"/>
        <v>0</v>
      </c>
      <c r="S261" s="14">
        <f t="shared" ca="1" si="153"/>
        <v>0</v>
      </c>
      <c r="T261" s="14">
        <f>IFERROR(IF(WoP_Flag="Y",IF(fq=1,VLOOKUP(ppt*fq-H261,Charges!$AN$41:$AO$59,2,FALSE),IF(fq=2,VLOOKUP(ppt*fq-G261,Charges!$AP$41:$AQ$79,2,FALSE),VLOOKUP(ppt*fq-D261,Charges!$AR$41:$AS$279,2,FALSE)))*pr/fq,0),0)</f>
        <v>0</v>
      </c>
      <c r="U261" s="14">
        <f ca="1">IFERROR(((T261*(VLOOKUP(Input!$D$18+H261-1,Tab_Mort_Charge,IF(Gender_2="M",2,3),FALSE)*(1+_emr2)+_rpm2)/IF(Model_Type="LA_PQIS",1000/0.0833,(12*1000))))*Flag_Mort_Rider_Charge*(T261&gt;0),0)</f>
        <v>0</v>
      </c>
      <c r="V261" s="34">
        <f>ROUND(MIN(IF(H261&gt;=7,Charges!$C$12*(1+Charges!$C$14)^((H261-7+1)),VLOOKUP(H261,Charges!$B$7:$C$12,2,0))*pr,Charges!$C$13)*B261,Round)</f>
        <v>0</v>
      </c>
      <c r="W261" s="14">
        <f t="shared" ca="1" si="154"/>
        <v>0</v>
      </c>
      <c r="X261" s="14">
        <f t="shared" ca="1" si="155"/>
        <v>0</v>
      </c>
      <c r="Y261" s="213">
        <f t="shared" ca="1" si="177"/>
        <v>0</v>
      </c>
      <c r="Z261" s="14">
        <f t="shared" ca="1" si="156"/>
        <v>0</v>
      </c>
      <c r="AA261" s="14">
        <f>IF(AND($H261=pt,$F261=11),SUM($K$7:K261)*VLOOKUP(pt,ROC,2,FALSE),0)</f>
        <v>0</v>
      </c>
      <c r="AB261" s="14">
        <f>IF(AND($H261=pt,$F261=11),SUM($V$7:V261)*VLOOKUP(pt,ROC,2,FALSE),0)</f>
        <v>0</v>
      </c>
      <c r="AC261" s="14">
        <f>IF(AND($H261=pt,$F261=11),SUM($Q$7:Q261)*VLOOKUP(pt,ROC,2,FALSE),0)</f>
        <v>0</v>
      </c>
      <c r="AD261" s="14">
        <f t="shared" ca="1" si="178"/>
        <v>0</v>
      </c>
      <c r="AE261" s="14">
        <f ca="1">(MAX(sa-CF260*Flag_UL_Type,105%*SUM($I$7:I261),Z261)+AU261)*B261</f>
        <v>0</v>
      </c>
      <c r="AF261" s="136"/>
      <c r="AG261" s="18">
        <v>255</v>
      </c>
      <c r="AH261" s="30">
        <f t="shared" ca="1" si="157"/>
        <v>0</v>
      </c>
      <c r="AI261" s="58"/>
      <c r="AJ261" s="50">
        <f>IF(AND(Option_Sys_TopUp&gt;="Y",H261&gt;=sytp,H261&lt;=(dtp+sytp-1),F261=0,H261&lt;=ppt+1),atp,0)+IFERROR(VLOOKUP(H261,Input!$B$55:$C$61,2,0),0)*(F261=0)*(Option_TopUP="Y")*(Option_Sys_TopUp="N")*B261*(pt&gt;=H261+5)</f>
        <v>0</v>
      </c>
      <c r="AK261" s="50">
        <f t="shared" si="158"/>
        <v>0</v>
      </c>
      <c r="AL261" s="50">
        <f t="shared" si="179"/>
        <v>0</v>
      </c>
      <c r="AM261" s="50">
        <f t="shared" ca="1" si="159"/>
        <v>0</v>
      </c>
      <c r="AN261" s="50">
        <f>IF(B261=0,0,AT261*(_rpm1+(1+_emr1)*VLOOKUP(E261,Tab_Mort_Charge,IF(Input!$C$12="M",2,3),0))*(0.001*0.0833)*Flag_Mort_Rider_Charge*(AT261&gt;0))</f>
        <v>0</v>
      </c>
      <c r="AO261" s="50">
        <f t="shared" ca="1" si="180"/>
        <v>0</v>
      </c>
      <c r="AP261" s="50">
        <f t="shared" ca="1" si="187"/>
        <v>0</v>
      </c>
      <c r="AQ261" s="50">
        <f t="shared" ca="1" si="160"/>
        <v>0</v>
      </c>
      <c r="AR261" s="50">
        <f t="shared" ca="1" si="161"/>
        <v>0</v>
      </c>
      <c r="AS261" s="50">
        <f t="shared" si="162"/>
        <v>0</v>
      </c>
      <c r="AT261" s="50">
        <f ca="1">(MAX((MAX(AS261,105%*SUM($AJ$7:AJ261))-AM261*Flag_UL_Type),0)*B261)</f>
        <v>0</v>
      </c>
      <c r="AU261" s="50">
        <f ca="1">(MAX(AS261,AR261,105%*SUM($AJ$7:AJ261))*B261)</f>
        <v>0</v>
      </c>
      <c r="AV261" s="125"/>
      <c r="AW261" s="13"/>
      <c r="AX261" s="13"/>
      <c r="AY261" s="13"/>
      <c r="AZ261" s="13"/>
      <c r="BA261" s="13"/>
      <c r="BG261" s="51">
        <f t="shared" si="163"/>
        <v>0</v>
      </c>
      <c r="BH261" s="51">
        <f t="shared" si="164"/>
        <v>0</v>
      </c>
      <c r="BI261" s="51">
        <f t="shared" ca="1" si="165"/>
        <v>0</v>
      </c>
      <c r="BJ261" s="51">
        <f t="shared" ca="1" si="166"/>
        <v>0</v>
      </c>
      <c r="BK261" s="51">
        <f t="shared" si="167"/>
        <v>0</v>
      </c>
      <c r="BL261" s="51">
        <f t="shared" ca="1" si="168"/>
        <v>0</v>
      </c>
      <c r="BM261" s="51">
        <f t="shared" si="169"/>
        <v>0</v>
      </c>
      <c r="BN261" s="51">
        <f t="shared" si="170"/>
        <v>0</v>
      </c>
      <c r="BO261" s="51">
        <f t="shared" ca="1" si="171"/>
        <v>0</v>
      </c>
      <c r="BP261" s="51">
        <f t="shared" ca="1" si="172"/>
        <v>0</v>
      </c>
      <c r="BQ261" s="120"/>
      <c r="BR261" s="32"/>
      <c r="BS261" s="126"/>
      <c r="BT261" s="16"/>
      <c r="BU261" s="58"/>
      <c r="BW261" s="51">
        <f>VLOOKUP(H261,Charges!$AT$4:$AU$33,2,FALSE)*I261</f>
        <v>0</v>
      </c>
      <c r="BX261" s="51">
        <f t="shared" si="173"/>
        <v>0</v>
      </c>
      <c r="BY261" s="51">
        <f t="shared" si="181"/>
        <v>0</v>
      </c>
      <c r="BZ261" s="151"/>
      <c r="CA261" s="151"/>
      <c r="CB261" s="32"/>
      <c r="CC261" s="16">
        <f ca="1">SUM($N$7:$N261)</f>
        <v>0</v>
      </c>
      <c r="CD261" s="16">
        <f t="shared" ca="1" si="174"/>
        <v>0</v>
      </c>
      <c r="CE261" s="16">
        <f t="shared" ca="1" si="175"/>
        <v>0</v>
      </c>
      <c r="CF261" s="7">
        <f t="shared" ca="1" si="182"/>
        <v>0</v>
      </c>
    </row>
    <row r="262" spans="1:84" s="7" customFormat="1" x14ac:dyDescent="0.2">
      <c r="A262" s="149"/>
      <c r="B262" s="14">
        <f t="shared" si="144"/>
        <v>0</v>
      </c>
      <c r="C262" s="12">
        <f t="shared" si="145"/>
        <v>0</v>
      </c>
      <c r="D262" s="17">
        <f t="shared" si="183"/>
        <v>256</v>
      </c>
      <c r="E262" s="17">
        <f t="shared" ca="1" si="146"/>
        <v>81</v>
      </c>
      <c r="F262" s="12">
        <f t="shared" si="185"/>
        <v>3</v>
      </c>
      <c r="G262" s="12">
        <f t="shared" si="184"/>
        <v>43</v>
      </c>
      <c r="H262" s="17">
        <f t="shared" si="186"/>
        <v>22</v>
      </c>
      <c r="I262" s="29">
        <f t="shared" si="147"/>
        <v>0</v>
      </c>
      <c r="J262" s="211">
        <f>IFERROR(VLOOKUP(H262,Charges!$T$6:$U$35,2,0)*C262,0)</f>
        <v>0</v>
      </c>
      <c r="K262" s="29">
        <f t="shared" si="148"/>
        <v>0</v>
      </c>
      <c r="L262" s="29">
        <f t="shared" si="149"/>
        <v>0</v>
      </c>
      <c r="M262" s="147">
        <f t="shared" ca="1" si="150"/>
        <v>0</v>
      </c>
      <c r="N262" s="148">
        <f ca="1">IF(AND(Option_SPW="Y",H262&gt;=Lock_In_Period,Z261&gt;SPW_Amount_pa+IF(option="Single",1/5*pr,2*pr),H262&gt;=SPW_Start_Year,H262&lt;=SPW_Start_Year+SPW_Duration-1,age+H262&gt;=Legal_Age),IF(AND(F262=0,SPW_Payout_Freq=1),SPW_Amount_pa,IF(AND(SPW_Payout_Freq=2,MOD(F262,6)=0),SPW_Amount_pa/SPW_Payout_Freq,IF(AND(SPW_Payout_Freq=4,MOD(F262,3)=0),SPW_Amount_pa/SPW_Payout_Freq,IF(SPW_Payout_Freq=12,SPW_Amount_pa/SPW_Payout_Freq,0)))),0)+IFERROR(VLOOKUP(H262,Input!$B$68:$C$74,2,0),0)*(F262=0)*(Option_PW="Y")*(Option_SPW="N")*(age+H262&gt;=Legal_Age)</f>
        <v>0</v>
      </c>
      <c r="O262" s="148">
        <f t="shared" ca="1" si="176"/>
        <v>0</v>
      </c>
      <c r="P262" s="14">
        <f ca="1">(MAX(MAX(sa-CF261*Flag_UL_Type,105%*SUM($I$7:I262))-(AD261+L262-N262)*Flag_UL_Type,0)*B262)</f>
        <v>0</v>
      </c>
      <c r="Q262" s="213">
        <f t="shared" si="151"/>
        <v>0</v>
      </c>
      <c r="R262" s="14">
        <f t="shared" ca="1" si="152"/>
        <v>0</v>
      </c>
      <c r="S262" s="14">
        <f t="shared" ca="1" si="153"/>
        <v>0</v>
      </c>
      <c r="T262" s="14">
        <f>IFERROR(IF(WoP_Flag="Y",IF(fq=1,VLOOKUP(ppt*fq-H262,Charges!$AN$41:$AO$59,2,FALSE),IF(fq=2,VLOOKUP(ppt*fq-G262,Charges!$AP$41:$AQ$79,2,FALSE),VLOOKUP(ppt*fq-D262,Charges!$AR$41:$AS$279,2,FALSE)))*pr/fq,0),0)</f>
        <v>0</v>
      </c>
      <c r="U262" s="14">
        <f ca="1">IFERROR(((T262*(VLOOKUP(Input!$D$18+H262-1,Tab_Mort_Charge,IF(Gender_2="M",2,3),FALSE)*(1+_emr2)+_rpm2)/IF(Model_Type="LA_PQIS",1000/0.0833,(12*1000))))*Flag_Mort_Rider_Charge*(T262&gt;0),0)</f>
        <v>0</v>
      </c>
      <c r="V262" s="34">
        <f>ROUND(MIN(IF(H262&gt;=7,Charges!$C$12*(1+Charges!$C$14)^((H262-7+1)),VLOOKUP(H262,Charges!$B$7:$C$12,2,0))*pr,Charges!$C$13)*B262,Round)</f>
        <v>0</v>
      </c>
      <c r="W262" s="14">
        <f t="shared" ca="1" si="154"/>
        <v>0</v>
      </c>
      <c r="X262" s="14">
        <f t="shared" ca="1" si="155"/>
        <v>0</v>
      </c>
      <c r="Y262" s="213">
        <f t="shared" ca="1" si="177"/>
        <v>0</v>
      </c>
      <c r="Z262" s="14">
        <f t="shared" ca="1" si="156"/>
        <v>0</v>
      </c>
      <c r="AA262" s="14">
        <f>IF(AND($H262=pt,$F262=11),SUM($K$7:K262)*VLOOKUP(pt,ROC,2,FALSE),0)</f>
        <v>0</v>
      </c>
      <c r="AB262" s="14">
        <f>IF(AND($H262=pt,$F262=11),SUM($V$7:V262)*VLOOKUP(pt,ROC,2,FALSE),0)</f>
        <v>0</v>
      </c>
      <c r="AC262" s="14">
        <f>IF(AND($H262=pt,$F262=11),SUM($Q$7:Q262)*VLOOKUP(pt,ROC,2,FALSE),0)</f>
        <v>0</v>
      </c>
      <c r="AD262" s="14">
        <f t="shared" ca="1" si="178"/>
        <v>0</v>
      </c>
      <c r="AE262" s="14">
        <f ca="1">(MAX(sa-CF261*Flag_UL_Type,105%*SUM($I$7:I262),Z262)+AU262)*B262</f>
        <v>0</v>
      </c>
      <c r="AF262" s="136"/>
      <c r="AG262" s="18">
        <v>256</v>
      </c>
      <c r="AH262" s="30">
        <f t="shared" ca="1" si="157"/>
        <v>0</v>
      </c>
      <c r="AI262" s="58"/>
      <c r="AJ262" s="50">
        <f>IF(AND(Option_Sys_TopUp&gt;="Y",H262&gt;=sytp,H262&lt;=(dtp+sytp-1),F262=0,H262&lt;=ppt+1),atp,0)+IFERROR(VLOOKUP(H262,Input!$B$55:$C$61,2,0),0)*(F262=0)*(Option_TopUP="Y")*(Option_Sys_TopUp="N")*B262*(pt&gt;=H262+5)</f>
        <v>0</v>
      </c>
      <c r="AK262" s="50">
        <f t="shared" si="158"/>
        <v>0</v>
      </c>
      <c r="AL262" s="50">
        <f t="shared" si="179"/>
        <v>0</v>
      </c>
      <c r="AM262" s="50">
        <f t="shared" ca="1" si="159"/>
        <v>0</v>
      </c>
      <c r="AN262" s="50">
        <f>IF(B262=0,0,AT262*(_rpm1+(1+_emr1)*VLOOKUP(E262,Tab_Mort_Charge,IF(Input!$C$12="M",2,3),0))*(0.001*0.0833)*Flag_Mort_Rider_Charge*(AT262&gt;0))</f>
        <v>0</v>
      </c>
      <c r="AO262" s="50">
        <f t="shared" ca="1" si="180"/>
        <v>0</v>
      </c>
      <c r="AP262" s="50">
        <f t="shared" ca="1" si="187"/>
        <v>0</v>
      </c>
      <c r="AQ262" s="50">
        <f t="shared" ca="1" si="160"/>
        <v>0</v>
      </c>
      <c r="AR262" s="50">
        <f t="shared" ca="1" si="161"/>
        <v>0</v>
      </c>
      <c r="AS262" s="50">
        <f t="shared" si="162"/>
        <v>0</v>
      </c>
      <c r="AT262" s="50">
        <f ca="1">(MAX((MAX(AS262,105%*SUM($AJ$7:AJ262))-AM262*Flag_UL_Type),0)*B262)</f>
        <v>0</v>
      </c>
      <c r="AU262" s="50">
        <f ca="1">(MAX(AS262,AR262,105%*SUM($AJ$7:AJ262))*B262)</f>
        <v>0</v>
      </c>
      <c r="AV262" s="125"/>
      <c r="AW262" s="13"/>
      <c r="AX262" s="13"/>
      <c r="AY262" s="13"/>
      <c r="AZ262" s="13"/>
      <c r="BA262" s="13"/>
      <c r="BG262" s="51">
        <f t="shared" si="163"/>
        <v>0</v>
      </c>
      <c r="BH262" s="51">
        <f t="shared" si="164"/>
        <v>0</v>
      </c>
      <c r="BI262" s="51">
        <f t="shared" ca="1" si="165"/>
        <v>0</v>
      </c>
      <c r="BJ262" s="51">
        <f t="shared" ca="1" si="166"/>
        <v>0</v>
      </c>
      <c r="BK262" s="51">
        <f t="shared" si="167"/>
        <v>0</v>
      </c>
      <c r="BL262" s="51">
        <f t="shared" ca="1" si="168"/>
        <v>0</v>
      </c>
      <c r="BM262" s="51">
        <f t="shared" si="169"/>
        <v>0</v>
      </c>
      <c r="BN262" s="51">
        <f t="shared" si="170"/>
        <v>0</v>
      </c>
      <c r="BO262" s="51">
        <f t="shared" ca="1" si="171"/>
        <v>0</v>
      </c>
      <c r="BP262" s="51">
        <f t="shared" ca="1" si="172"/>
        <v>0</v>
      </c>
      <c r="BQ262" s="120"/>
      <c r="BR262" s="32"/>
      <c r="BS262" s="126"/>
      <c r="BT262" s="16"/>
      <c r="BU262" s="58"/>
      <c r="BW262" s="51">
        <f>VLOOKUP(H262,Charges!$AT$4:$AU$33,2,FALSE)*I262</f>
        <v>0</v>
      </c>
      <c r="BX262" s="51">
        <f t="shared" si="173"/>
        <v>0</v>
      </c>
      <c r="BY262" s="51">
        <f t="shared" si="181"/>
        <v>0</v>
      </c>
      <c r="BZ262" s="151"/>
      <c r="CA262" s="151"/>
      <c r="CB262" s="32"/>
      <c r="CC262" s="16">
        <f ca="1">SUM($N$7:$N262)</f>
        <v>0</v>
      </c>
      <c r="CD262" s="16">
        <f t="shared" ca="1" si="174"/>
        <v>0</v>
      </c>
      <c r="CE262" s="16">
        <f t="shared" ca="1" si="175"/>
        <v>0</v>
      </c>
      <c r="CF262" s="7">
        <f t="shared" ca="1" si="182"/>
        <v>0</v>
      </c>
    </row>
    <row r="263" spans="1:84" s="7" customFormat="1" x14ac:dyDescent="0.2">
      <c r="A263" s="149"/>
      <c r="B263" s="14">
        <f t="shared" ref="B263:B326" si="188">IF(H263&lt;=pt,1,0)</f>
        <v>0</v>
      </c>
      <c r="C263" s="12">
        <f t="shared" ref="C263:C326" si="189">IF(H263&lt;=ppt,1,0)</f>
        <v>0</v>
      </c>
      <c r="D263" s="17">
        <f t="shared" si="183"/>
        <v>257</v>
      </c>
      <c r="E263" s="17">
        <f t="shared" ref="E263:E326" ca="1" si="190">(age+(H263-1))</f>
        <v>81</v>
      </c>
      <c r="F263" s="12">
        <f t="shared" si="185"/>
        <v>4</v>
      </c>
      <c r="G263" s="12">
        <f t="shared" si="184"/>
        <v>43</v>
      </c>
      <c r="H263" s="17">
        <f t="shared" si="186"/>
        <v>22</v>
      </c>
      <c r="I263" s="29">
        <f t="shared" ref="I263:I326" si="191">IF(AND(H263&lt;=pt,H263&lt;=ppt,F263=0,fq=1),pr,IF(AND(H263&lt;=pt,H263&lt;=ppt,fq=2,MOD(F263,6)=0),pr/fq,IF(AND(H263&lt;=pt,H263&lt;=ppt,fq=12),pr/fq,0)))</f>
        <v>0</v>
      </c>
      <c r="J263" s="211">
        <f>IFERROR(VLOOKUP(H263,Charges!$T$6:$U$35,2,0)*C263,0)</f>
        <v>0</v>
      </c>
      <c r="K263" s="29">
        <f t="shared" ref="K263:K326" si="192">ROUND((100%-J263)*I263,Round)</f>
        <v>0</v>
      </c>
      <c r="L263" s="29">
        <f t="shared" ref="L263:L326" si="193">(I263-(K263+BG263*IF(Model_Type="Pricing_Unit",1,0)))*C263</f>
        <v>0</v>
      </c>
      <c r="M263" s="147">
        <f t="shared" ref="M263:M326" ca="1" si="194">IF(AND(OR(Option_PW="Y",Option_SPW="Y"),H263&gt;Lock_In_Period,H263&lt;=pt,(W263-IF(option="Single",1/5*pr,2*pr))&gt;0,(age+H263)&gt;=Legal_Age),(W262+L263-IF(option="Single",1/5*pr,2*pr)),0)</f>
        <v>0</v>
      </c>
      <c r="N263" s="148">
        <f ca="1">IF(AND(Option_SPW="Y",H263&gt;=Lock_In_Period,Z262&gt;SPW_Amount_pa+IF(option="Single",1/5*pr,2*pr),H263&gt;=SPW_Start_Year,H263&lt;=SPW_Start_Year+SPW_Duration-1,age+H263&gt;=Legal_Age),IF(AND(F263=0,SPW_Payout_Freq=1),SPW_Amount_pa,IF(AND(SPW_Payout_Freq=2,MOD(F263,6)=0),SPW_Amount_pa/SPW_Payout_Freq,IF(AND(SPW_Payout_Freq=4,MOD(F263,3)=0),SPW_Amount_pa/SPW_Payout_Freq,IF(SPW_Payout_Freq=12,SPW_Amount_pa/SPW_Payout_Freq,0)))),0)+IFERROR(VLOOKUP(H263,Input!$B$68:$C$74,2,0),0)*(F263=0)*(Option_PW="Y")*(Option_SPW="N")*(age+H263&gt;=Legal_Age)</f>
        <v>0</v>
      </c>
      <c r="O263" s="148">
        <f t="shared" ca="1" si="176"/>
        <v>0</v>
      </c>
      <c r="P263" s="14">
        <f ca="1">(MAX(MAX(sa-CF262*Flag_UL_Type,105%*SUM($I$7:I263))-(AD262+L263-N263)*Flag_UL_Type,0)*B263)</f>
        <v>0</v>
      </c>
      <c r="Q263" s="213">
        <f t="shared" ref="Q263:Q326" si="195">IF(B263=0,0,ROUND(P263*(_rpm1+(1+_emr1)*VLOOKUP(E263,Tab_Mort_Charge,IF(Gender="M",2,3),0))*Flag_Mort_Rider_Charge*(P263&gt;0),Round))*(0.001*IF(Model_Type="LA_PQIS",0.0833,(1/12)))</f>
        <v>0</v>
      </c>
      <c r="R263" s="14">
        <f t="shared" ref="R263:R326" ca="1" si="196">IF(AND(B263,ADB_Flag="Y",age&lt;=ADB_MAX_AGE,age&gt;=ADB_MIN_AGE,E263&lt;=age+pt),sa_adb,0)</f>
        <v>0</v>
      </c>
      <c r="S263" s="14">
        <f t="shared" ref="S263:S326" ca="1" si="197">ROUND((adb_rate*(1+adb_emr)+adb_rpm)*R263*(0.001*IF(Model_Type="LA_PQIS",0.0833,(1/12)))*Flag_Mort_Rider_Charge*IF(age+H263-1&lt;Max_Maturity_Age,1,0),Round)</f>
        <v>0</v>
      </c>
      <c r="T263" s="14">
        <f>IFERROR(IF(WoP_Flag="Y",IF(fq=1,VLOOKUP(ppt*fq-H263,Charges!$AN$41:$AO$59,2,FALSE),IF(fq=2,VLOOKUP(ppt*fq-G263,Charges!$AP$41:$AQ$79,2,FALSE),VLOOKUP(ppt*fq-D263,Charges!$AR$41:$AS$279,2,FALSE)))*pr/fq,0),0)</f>
        <v>0</v>
      </c>
      <c r="U263" s="14">
        <f ca="1">IFERROR(((T263*(VLOOKUP(Input!$D$18+H263-1,Tab_Mort_Charge,IF(Gender_2="M",2,3),FALSE)*(1+_emr2)+_rpm2)/IF(Model_Type="LA_PQIS",1000/0.0833,(12*1000))))*Flag_Mort_Rider_Charge*(T263&gt;0),0)</f>
        <v>0</v>
      </c>
      <c r="V263" s="34">
        <f>ROUND(MIN(IF(H263&gt;=7,Charges!$C$12*(1+Charges!$C$14)^((H263-7+1)),VLOOKUP(H263,Charges!$B$7:$C$12,2,0))*pr,Charges!$C$13)*B263,Round)</f>
        <v>0</v>
      </c>
      <c r="W263" s="14">
        <f t="shared" ref="W263:W326" ca="1" si="198">+(AD262+L263-(N263+Q263+S263+U263+V263+BG263*IF(Model_Type="La_PQIS",1,0)+BH263+BK263+BI263+BJ263+BM263*IF(Model_Type="La_PQIS",1,0)))*B263</f>
        <v>0</v>
      </c>
      <c r="X263" s="14">
        <f t="shared" ref="X263:X326" ca="1" si="199">W263*(1+$F$3)</f>
        <v>0</v>
      </c>
      <c r="Y263" s="213">
        <f t="shared" ca="1" si="177"/>
        <v>0</v>
      </c>
      <c r="Z263" s="14">
        <f t="shared" ref="Z263:Z326" ca="1" si="200">X263-(Y263+BL263)</f>
        <v>0</v>
      </c>
      <c r="AA263" s="14">
        <f>IF(AND($H263=pt,$F263=11),SUM($K$7:K263)*VLOOKUP(pt,ROC,2,FALSE),0)</f>
        <v>0</v>
      </c>
      <c r="AB263" s="14">
        <f>IF(AND($H263=pt,$F263=11),SUM($V$7:V263)*VLOOKUP(pt,ROC,2,FALSE),0)</f>
        <v>0</v>
      </c>
      <c r="AC263" s="14">
        <f>IF(AND($H263=pt,$F263=11),SUM($Q$7:Q263)*VLOOKUP(pt,ROC,2,FALSE),0)</f>
        <v>0</v>
      </c>
      <c r="AD263" s="14">
        <f t="shared" ca="1" si="178"/>
        <v>0</v>
      </c>
      <c r="AE263" s="14">
        <f ca="1">(MAX(sa-CF262*Flag_UL_Type,105%*SUM($I$7:I263),Z263)+AU263)*B263</f>
        <v>0</v>
      </c>
      <c r="AF263" s="136"/>
      <c r="AG263" s="18">
        <v>257</v>
      </c>
      <c r="AH263" s="30">
        <f t="shared" ref="AH263:AH326" ca="1" si="201">(I263+AJ263)-IF(AG263=pt*12+1,AD262,0)-IF(AG263=pt*12+1,AR262,0)-N263</f>
        <v>0</v>
      </c>
      <c r="AI263" s="58"/>
      <c r="AJ263" s="50">
        <f>IF(AND(Option_Sys_TopUp&gt;="Y",H263&gt;=sytp,H263&lt;=(dtp+sytp-1),F263=0,H263&lt;=ppt+1),atp,0)+IFERROR(VLOOKUP(H263,Input!$B$55:$C$61,2,0),0)*(F263=0)*(Option_TopUP="Y")*(Option_Sys_TopUp="N")*B263*(pt&gt;=H263+5)</f>
        <v>0</v>
      </c>
      <c r="AK263" s="50">
        <f t="shared" ref="AK263:AK326" si="202">ROUND(allctp*AJ263,0)</f>
        <v>0</v>
      </c>
      <c r="AL263" s="50">
        <f t="shared" si="179"/>
        <v>0</v>
      </c>
      <c r="AM263" s="50">
        <f t="shared" ref="AM263:AM326" ca="1" si="203">AR262+AL263</f>
        <v>0</v>
      </c>
      <c r="AN263" s="50">
        <f>IF(B263=0,0,AT263*(_rpm1+(1+_emr1)*VLOOKUP(E263,Tab_Mort_Charge,IF(Input!$C$12="M",2,3),0))*(0.001*0.0833)*Flag_Mort_Rider_Charge*(AT263&gt;0))</f>
        <v>0</v>
      </c>
      <c r="AO263" s="50">
        <f t="shared" ca="1" si="180"/>
        <v>0</v>
      </c>
      <c r="AP263" s="50">
        <f t="shared" ca="1" si="187"/>
        <v>0</v>
      </c>
      <c r="AQ263" s="50">
        <f t="shared" ref="AQ263:AQ326" ca="1" si="204">AP263*$Y$2</f>
        <v>0</v>
      </c>
      <c r="AR263" s="50">
        <f t="shared" ref="AR263:AR326" ca="1" si="205">AP263-(AQ263+BO263)</f>
        <v>0</v>
      </c>
      <c r="AS263" s="50">
        <f t="shared" ref="AS263:AS326" si="206">(AJ263*TOPUP_Cover_Level+AS262)*B263</f>
        <v>0</v>
      </c>
      <c r="AT263" s="50">
        <f ca="1">(MAX((MAX(AS263,105%*SUM($AJ$7:AJ263))-AM263*Flag_UL_Type),0)*B263)</f>
        <v>0</v>
      </c>
      <c r="AU263" s="50">
        <f ca="1">(MAX(AS263,AR263,105%*SUM($AJ$7:AJ263))*B263)</f>
        <v>0</v>
      </c>
      <c r="AV263" s="125"/>
      <c r="AW263" s="13"/>
      <c r="AX263" s="13"/>
      <c r="AY263" s="13"/>
      <c r="AZ263" s="13"/>
      <c r="BA263" s="13"/>
      <c r="BG263" s="51">
        <f t="shared" ref="BG263:BG326" si="207">ROUND(K263*Service_Tax_Rate*Flag_Service_Tax,Round)+ROUND(K263*Cess1_Rate*Flag_Service_Tax,Round)+ROUND(K263*Cess2_Rate*Flag_Service_Tax,Round)</f>
        <v>0</v>
      </c>
      <c r="BH263" s="51">
        <f t="shared" ref="BH263:BH326" si="208">ROUND(Q263*Service_Tax_Rate*Flag_Service_Tax,Round)+ROUND(Q263*Cess1_Rate*Flag_Service_Tax,Round)+ROUND(Q263*Cess2_Rate*Flag_Service_Tax,Round)</f>
        <v>0</v>
      </c>
      <c r="BI263" s="51">
        <f t="shared" ref="BI263:BI326" ca="1" si="209">ROUND(S263*Service_Tax_Rate*Flag_Service_Tax,Round)+ROUND(S263*Cess1_Rate*Flag_Service_Tax,Round)+ROUND(S263*Cess2_Rate*Flag_Service_Tax,Round)</f>
        <v>0</v>
      </c>
      <c r="BJ263" s="51">
        <f t="shared" ref="BJ263:BJ326" ca="1" si="210">ROUND(U263*Service_Tax_Rate*Flag_Service_Tax,Round)+ROUND(U263*Cess1_Rate*Flag_Service_Tax,Round)+ROUND(U263*Cess2_Rate*Flag_Service_Tax,Round)</f>
        <v>0</v>
      </c>
      <c r="BK263" s="51">
        <f t="shared" ref="BK263:BK326" si="211">ROUND(V263*Service_Tax_Rate*Flag_Service_Tax,Round)+ROUND(V263*Cess1_Rate*Flag_Service_Tax,Round)+ROUND(V263*Cess2_Rate*Flag_Service_Tax,Round)</f>
        <v>0</v>
      </c>
      <c r="BL263" s="51">
        <f t="shared" ref="BL263:BL326" ca="1" si="212">Y263*Service_Tax_Rate*Flag_Service_Tax+Y263*Cess1_Rate*Flag_Service_Tax+Y263*Cess2_Rate*Flag_Service_Tax</f>
        <v>0</v>
      </c>
      <c r="BM263" s="51">
        <f t="shared" ref="BM263:BM326" si="213">ROUND(AK263*Service_Tax_Rate*Flag_Service_Tax,Round)+ROUND(AK263*Cess1_Rate*Flag_Service_Tax,Round)+ROUND(AK263*Cess2_Rate*Flag_Service_Tax,Round)</f>
        <v>0</v>
      </c>
      <c r="BN263" s="51">
        <f t="shared" ref="BN263:BN326" si="214">ROUND(AN263*Service_Tax_Rate*Flag_Service_Tax,Round)+ROUND(AN263*Cess1_Rate*Flag_Service_Tax,Round)+ROUND(AN263*Cess2_Rate*Flag_Service_Tax,Round)</f>
        <v>0</v>
      </c>
      <c r="BO263" s="51">
        <f t="shared" ref="BO263:BO326" ca="1" si="215">AQ263*Service_Tax_Rate*Flag_Service_Tax+AQ263*Cess1_Rate*Flag_Service_Tax+AQ263*Cess2_Rate*Flag_Service_Tax</f>
        <v>0</v>
      </c>
      <c r="BP263" s="51">
        <f t="shared" ref="BP263:BP326" ca="1" si="216">SUM(BG263:BO263)</f>
        <v>0</v>
      </c>
      <c r="BQ263" s="120"/>
      <c r="BR263" s="32"/>
      <c r="BS263" s="126"/>
      <c r="BT263" s="16"/>
      <c r="BU263" s="58"/>
      <c r="BW263" s="51">
        <f>VLOOKUP(H263,Charges!$AT$4:$AU$33,2,FALSE)*I263</f>
        <v>0</v>
      </c>
      <c r="BX263" s="51">
        <f t="shared" ref="BX263:BX326" si="217">AJ263*Commission_TOPUP</f>
        <v>0</v>
      </c>
      <c r="BY263" s="51">
        <f t="shared" si="181"/>
        <v>0</v>
      </c>
      <c r="BZ263" s="151"/>
      <c r="CA263" s="151"/>
      <c r="CB263" s="32"/>
      <c r="CC263" s="16">
        <f ca="1">SUM($N$7:$N263)</f>
        <v>0</v>
      </c>
      <c r="CD263" s="16">
        <f t="shared" ref="CD263:CD326" ca="1" si="218">IF(AND((B263=1)*(H263&gt;Lock_In_Period)),CC263-INDEX($CC$7:$CC$367,D263-24,1),0)*(E263&lt;60)</f>
        <v>0</v>
      </c>
      <c r="CE263" s="16">
        <f t="shared" ref="CE263:CE326" ca="1" si="219">(B263=1)*(H263&gt;Lock_In_Period)*(E263&gt;=60)*IFERROR((CC263-INDEX($CC$7:$CC$367,D263-24,1)),0)</f>
        <v>0</v>
      </c>
      <c r="CF263" s="7">
        <f t="shared" ca="1" si="182"/>
        <v>0</v>
      </c>
    </row>
    <row r="264" spans="1:84" s="7" customFormat="1" x14ac:dyDescent="0.2">
      <c r="A264" s="149"/>
      <c r="B264" s="14">
        <f t="shared" si="188"/>
        <v>0</v>
      </c>
      <c r="C264" s="12">
        <f t="shared" si="189"/>
        <v>0</v>
      </c>
      <c r="D264" s="17">
        <f t="shared" si="183"/>
        <v>258</v>
      </c>
      <c r="E264" s="17">
        <f t="shared" ca="1" si="190"/>
        <v>81</v>
      </c>
      <c r="F264" s="12">
        <f t="shared" si="185"/>
        <v>5</v>
      </c>
      <c r="G264" s="12">
        <f t="shared" si="184"/>
        <v>43</v>
      </c>
      <c r="H264" s="17">
        <f t="shared" si="186"/>
        <v>22</v>
      </c>
      <c r="I264" s="29">
        <f t="shared" si="191"/>
        <v>0</v>
      </c>
      <c r="J264" s="211">
        <f>IFERROR(VLOOKUP(H264,Charges!$T$6:$U$35,2,0)*C264,0)</f>
        <v>0</v>
      </c>
      <c r="K264" s="29">
        <f t="shared" si="192"/>
        <v>0</v>
      </c>
      <c r="L264" s="29">
        <f t="shared" si="193"/>
        <v>0</v>
      </c>
      <c r="M264" s="147">
        <f t="shared" ca="1" si="194"/>
        <v>0</v>
      </c>
      <c r="N264" s="148">
        <f ca="1">IF(AND(Option_SPW="Y",H264&gt;=Lock_In_Period,Z263&gt;SPW_Amount_pa+IF(option="Single",1/5*pr,2*pr),H264&gt;=SPW_Start_Year,H264&lt;=SPW_Start_Year+SPW_Duration-1,age+H264&gt;=Legal_Age),IF(AND(F264=0,SPW_Payout_Freq=1),SPW_Amount_pa,IF(AND(SPW_Payout_Freq=2,MOD(F264,6)=0),SPW_Amount_pa/SPW_Payout_Freq,IF(AND(SPW_Payout_Freq=4,MOD(F264,3)=0),SPW_Amount_pa/SPW_Payout_Freq,IF(SPW_Payout_Freq=12,SPW_Amount_pa/SPW_Payout_Freq,0)))),0)+IFERROR(VLOOKUP(H264,Input!$B$68:$C$74,2,0),0)*(F264=0)*(Option_PW="Y")*(Option_SPW="N")*(age+H264&gt;=Legal_Age)</f>
        <v>0</v>
      </c>
      <c r="O264" s="148">
        <f t="shared" ref="O264:O327" ca="1" si="220">IF(N264&lt;=M264,0,1)</f>
        <v>0</v>
      </c>
      <c r="P264" s="14">
        <f ca="1">(MAX(MAX(sa-CF263*Flag_UL_Type,105%*SUM($I$7:I264))-(AD263+L264-N264)*Flag_UL_Type,0)*B264)</f>
        <v>0</v>
      </c>
      <c r="Q264" s="213">
        <f t="shared" si="195"/>
        <v>0</v>
      </c>
      <c r="R264" s="14">
        <f t="shared" ca="1" si="196"/>
        <v>0</v>
      </c>
      <c r="S264" s="14">
        <f t="shared" ca="1" si="197"/>
        <v>0</v>
      </c>
      <c r="T264" s="14">
        <f>IFERROR(IF(WoP_Flag="Y",IF(fq=1,VLOOKUP(ppt*fq-H264,Charges!$AN$41:$AO$59,2,FALSE),IF(fq=2,VLOOKUP(ppt*fq-G264,Charges!$AP$41:$AQ$79,2,FALSE),VLOOKUP(ppt*fq-D264,Charges!$AR$41:$AS$279,2,FALSE)))*pr/fq,0),0)</f>
        <v>0</v>
      </c>
      <c r="U264" s="14">
        <f ca="1">IFERROR(((T264*(VLOOKUP(Input!$D$18+H264-1,Tab_Mort_Charge,IF(Gender_2="M",2,3),FALSE)*(1+_emr2)+_rpm2)/IF(Model_Type="LA_PQIS",1000/0.0833,(12*1000))))*Flag_Mort_Rider_Charge*(T264&gt;0),0)</f>
        <v>0</v>
      </c>
      <c r="V264" s="34">
        <f>ROUND(MIN(IF(H264&gt;=7,Charges!$C$12*(1+Charges!$C$14)^((H264-7+1)),VLOOKUP(H264,Charges!$B$7:$C$12,2,0))*pr,Charges!$C$13)*B264,Round)</f>
        <v>0</v>
      </c>
      <c r="W264" s="14">
        <f t="shared" ca="1" si="198"/>
        <v>0</v>
      </c>
      <c r="X264" s="14">
        <f t="shared" ca="1" si="199"/>
        <v>0</v>
      </c>
      <c r="Y264" s="213">
        <f t="shared" ref="Y264:Y327" ca="1" si="221">X264*$Y$2</f>
        <v>0</v>
      </c>
      <c r="Z264" s="14">
        <f t="shared" ca="1" si="200"/>
        <v>0</v>
      </c>
      <c r="AA264" s="14">
        <f>IF(AND($H264=pt,$F264=11),SUM($K$7:K264)*VLOOKUP(pt,ROC,2,FALSE),0)</f>
        <v>0</v>
      </c>
      <c r="AB264" s="14">
        <f>IF(AND($H264=pt,$F264=11),SUM($V$7:V264)*VLOOKUP(pt,ROC,2,FALSE),0)</f>
        <v>0</v>
      </c>
      <c r="AC264" s="14">
        <f>IF(AND($H264=pt,$F264=11),SUM($Q$7:Q264)*VLOOKUP(pt,ROC,2,FALSE),0)</f>
        <v>0</v>
      </c>
      <c r="AD264" s="14">
        <f t="shared" ref="AD264:AD327" ca="1" si="222">Z264+AA264+AB264+AC264</f>
        <v>0</v>
      </c>
      <c r="AE264" s="14">
        <f ca="1">(MAX(sa-CF263*Flag_UL_Type,105%*SUM($I$7:I264),Z264)+AU264)*B264</f>
        <v>0</v>
      </c>
      <c r="AF264" s="136"/>
      <c r="AG264" s="18">
        <v>258</v>
      </c>
      <c r="AH264" s="30">
        <f t="shared" ca="1" si="201"/>
        <v>0</v>
      </c>
      <c r="AI264" s="58"/>
      <c r="AJ264" s="50">
        <f>IF(AND(Option_Sys_TopUp&gt;="Y",H264&gt;=sytp,H264&lt;=(dtp+sytp-1),F264=0,H264&lt;=ppt+1),atp,0)+IFERROR(VLOOKUP(H264,Input!$B$55:$C$61,2,0),0)*(F264=0)*(Option_TopUP="Y")*(Option_Sys_TopUp="N")*B264*(pt&gt;=H264+5)</f>
        <v>0</v>
      </c>
      <c r="AK264" s="50">
        <f t="shared" si="202"/>
        <v>0</v>
      </c>
      <c r="AL264" s="50">
        <f t="shared" ref="AL264:AL327" si="223">AJ264-(AK264+BM264*0)</f>
        <v>0</v>
      </c>
      <c r="AM264" s="50">
        <f t="shared" ca="1" si="203"/>
        <v>0</v>
      </c>
      <c r="AN264" s="50">
        <f>IF(B264=0,0,AT264*(_rpm1+(1+_emr1)*VLOOKUP(E264,Tab_Mort_Charge,IF(Input!$C$12="M",2,3),0))*(0.001*0.0833)*Flag_Mort_Rider_Charge*(AT264&gt;0))</f>
        <v>0</v>
      </c>
      <c r="AO264" s="50">
        <f t="shared" ref="AO264:AO327" ca="1" si="224">AM264-AN264-BM264*1-BN264*1</f>
        <v>0</v>
      </c>
      <c r="AP264" s="50">
        <f t="shared" ca="1" si="187"/>
        <v>0</v>
      </c>
      <c r="AQ264" s="50">
        <f t="shared" ca="1" si="204"/>
        <v>0</v>
      </c>
      <c r="AR264" s="50">
        <f t="shared" ca="1" si="205"/>
        <v>0</v>
      </c>
      <c r="AS264" s="50">
        <f t="shared" si="206"/>
        <v>0</v>
      </c>
      <c r="AT264" s="50">
        <f ca="1">(MAX((MAX(AS264,105%*SUM($AJ$7:AJ264))-AM264*Flag_UL_Type),0)*B264)</f>
        <v>0</v>
      </c>
      <c r="AU264" s="50">
        <f ca="1">(MAX(AS264,AR264,105%*SUM($AJ$7:AJ264))*B264)</f>
        <v>0</v>
      </c>
      <c r="AV264" s="125"/>
      <c r="AW264" s="13"/>
      <c r="AX264" s="13"/>
      <c r="AY264" s="13"/>
      <c r="AZ264" s="13"/>
      <c r="BA264" s="13"/>
      <c r="BG264" s="51">
        <f t="shared" si="207"/>
        <v>0</v>
      </c>
      <c r="BH264" s="51">
        <f t="shared" si="208"/>
        <v>0</v>
      </c>
      <c r="BI264" s="51">
        <f t="shared" ca="1" si="209"/>
        <v>0</v>
      </c>
      <c r="BJ264" s="51">
        <f t="shared" ca="1" si="210"/>
        <v>0</v>
      </c>
      <c r="BK264" s="51">
        <f t="shared" si="211"/>
        <v>0</v>
      </c>
      <c r="BL264" s="51">
        <f t="shared" ca="1" si="212"/>
        <v>0</v>
      </c>
      <c r="BM264" s="51">
        <f t="shared" si="213"/>
        <v>0</v>
      </c>
      <c r="BN264" s="51">
        <f t="shared" si="214"/>
        <v>0</v>
      </c>
      <c r="BO264" s="51">
        <f t="shared" ca="1" si="215"/>
        <v>0</v>
      </c>
      <c r="BP264" s="51">
        <f t="shared" ca="1" si="216"/>
        <v>0</v>
      </c>
      <c r="BQ264" s="120"/>
      <c r="BR264" s="32"/>
      <c r="BS264" s="126"/>
      <c r="BT264" s="16"/>
      <c r="BU264" s="58"/>
      <c r="BW264" s="51">
        <f>VLOOKUP(H264,Charges!$AT$4:$AU$33,2,FALSE)*I264</f>
        <v>0</v>
      </c>
      <c r="BX264" s="51">
        <f t="shared" si="217"/>
        <v>0</v>
      </c>
      <c r="BY264" s="51">
        <f t="shared" ref="BY264:BY327" si="225">SUM(BW264:BX264)</f>
        <v>0</v>
      </c>
      <c r="BZ264" s="151"/>
      <c r="CA264" s="151"/>
      <c r="CB264" s="32"/>
      <c r="CC264" s="16">
        <f ca="1">SUM($N$7:$N264)</f>
        <v>0</v>
      </c>
      <c r="CD264" s="16">
        <f t="shared" ca="1" si="218"/>
        <v>0</v>
      </c>
      <c r="CE264" s="16">
        <f t="shared" ca="1" si="219"/>
        <v>0</v>
      </c>
      <c r="CF264" s="7">
        <f t="shared" ref="CF264:CF327" ca="1" si="226">IF(E264&lt;60,CD264,CE264)</f>
        <v>0</v>
      </c>
    </row>
    <row r="265" spans="1:84" s="7" customFormat="1" x14ac:dyDescent="0.2">
      <c r="A265" s="149"/>
      <c r="B265" s="14">
        <f t="shared" si="188"/>
        <v>0</v>
      </c>
      <c r="C265" s="12">
        <f t="shared" si="189"/>
        <v>0</v>
      </c>
      <c r="D265" s="17">
        <f t="shared" ref="D265:D328" si="227">D264+1</f>
        <v>259</v>
      </c>
      <c r="E265" s="17">
        <f t="shared" ca="1" si="190"/>
        <v>81</v>
      </c>
      <c r="F265" s="12">
        <f t="shared" si="185"/>
        <v>6</v>
      </c>
      <c r="G265" s="12">
        <f t="shared" si="184"/>
        <v>44</v>
      </c>
      <c r="H265" s="17">
        <f t="shared" si="186"/>
        <v>22</v>
      </c>
      <c r="I265" s="29">
        <f t="shared" si="191"/>
        <v>0</v>
      </c>
      <c r="J265" s="211">
        <f>IFERROR(VLOOKUP(H265,Charges!$T$6:$U$35,2,0)*C265,0)</f>
        <v>0</v>
      </c>
      <c r="K265" s="29">
        <f t="shared" si="192"/>
        <v>0</v>
      </c>
      <c r="L265" s="29">
        <f t="shared" si="193"/>
        <v>0</v>
      </c>
      <c r="M265" s="147">
        <f t="shared" ca="1" si="194"/>
        <v>0</v>
      </c>
      <c r="N265" s="148">
        <f ca="1">IF(AND(Option_SPW="Y",H265&gt;=Lock_In_Period,Z264&gt;SPW_Amount_pa+IF(option="Single",1/5*pr,2*pr),H265&gt;=SPW_Start_Year,H265&lt;=SPW_Start_Year+SPW_Duration-1,age+H265&gt;=Legal_Age),IF(AND(F265=0,SPW_Payout_Freq=1),SPW_Amount_pa,IF(AND(SPW_Payout_Freq=2,MOD(F265,6)=0),SPW_Amount_pa/SPW_Payout_Freq,IF(AND(SPW_Payout_Freq=4,MOD(F265,3)=0),SPW_Amount_pa/SPW_Payout_Freq,IF(SPW_Payout_Freq=12,SPW_Amount_pa/SPW_Payout_Freq,0)))),0)+IFERROR(VLOOKUP(H265,Input!$B$68:$C$74,2,0),0)*(F265=0)*(Option_PW="Y")*(Option_SPW="N")*(age+H265&gt;=Legal_Age)</f>
        <v>0</v>
      </c>
      <c r="O265" s="148">
        <f t="shared" ca="1" si="220"/>
        <v>0</v>
      </c>
      <c r="P265" s="14">
        <f ca="1">(MAX(MAX(sa-CF264*Flag_UL_Type,105%*SUM($I$7:I265))-(AD264+L265-N265)*Flag_UL_Type,0)*B265)</f>
        <v>0</v>
      </c>
      <c r="Q265" s="213">
        <f t="shared" si="195"/>
        <v>0</v>
      </c>
      <c r="R265" s="14">
        <f t="shared" ca="1" si="196"/>
        <v>0</v>
      </c>
      <c r="S265" s="14">
        <f t="shared" ca="1" si="197"/>
        <v>0</v>
      </c>
      <c r="T265" s="14">
        <f>IFERROR(IF(WoP_Flag="Y",IF(fq=1,VLOOKUP(ppt*fq-H265,Charges!$AN$41:$AO$59,2,FALSE),IF(fq=2,VLOOKUP(ppt*fq-G265,Charges!$AP$41:$AQ$79,2,FALSE),VLOOKUP(ppt*fq-D265,Charges!$AR$41:$AS$279,2,FALSE)))*pr/fq,0),0)</f>
        <v>0</v>
      </c>
      <c r="U265" s="14">
        <f ca="1">IFERROR(((T265*(VLOOKUP(Input!$D$18+H265-1,Tab_Mort_Charge,IF(Gender_2="M",2,3),FALSE)*(1+_emr2)+_rpm2)/IF(Model_Type="LA_PQIS",1000/0.0833,(12*1000))))*Flag_Mort_Rider_Charge*(T265&gt;0),0)</f>
        <v>0</v>
      </c>
      <c r="V265" s="34">
        <f>ROUND(MIN(IF(H265&gt;=7,Charges!$C$12*(1+Charges!$C$14)^((H265-7+1)),VLOOKUP(H265,Charges!$B$7:$C$12,2,0))*pr,Charges!$C$13)*B265,Round)</f>
        <v>0</v>
      </c>
      <c r="W265" s="14">
        <f t="shared" ca="1" si="198"/>
        <v>0</v>
      </c>
      <c r="X265" s="14">
        <f t="shared" ca="1" si="199"/>
        <v>0</v>
      </c>
      <c r="Y265" s="213">
        <f t="shared" ca="1" si="221"/>
        <v>0</v>
      </c>
      <c r="Z265" s="14">
        <f t="shared" ca="1" si="200"/>
        <v>0</v>
      </c>
      <c r="AA265" s="14">
        <f>IF(AND($H265=pt,$F265=11),SUM($K$7:K265)*VLOOKUP(pt,ROC,2,FALSE),0)</f>
        <v>0</v>
      </c>
      <c r="AB265" s="14">
        <f>IF(AND($H265=pt,$F265=11),SUM($V$7:V265)*VLOOKUP(pt,ROC,2,FALSE),0)</f>
        <v>0</v>
      </c>
      <c r="AC265" s="14">
        <f>IF(AND($H265=pt,$F265=11),SUM($Q$7:Q265)*VLOOKUP(pt,ROC,2,FALSE),0)</f>
        <v>0</v>
      </c>
      <c r="AD265" s="14">
        <f t="shared" ca="1" si="222"/>
        <v>0</v>
      </c>
      <c r="AE265" s="14">
        <f ca="1">(MAX(sa-CF264*Flag_UL_Type,105%*SUM($I$7:I265),Z265)+AU265)*B265</f>
        <v>0</v>
      </c>
      <c r="AF265" s="136"/>
      <c r="AG265" s="18">
        <v>259</v>
      </c>
      <c r="AH265" s="30">
        <f t="shared" ca="1" si="201"/>
        <v>0</v>
      </c>
      <c r="AI265" s="58"/>
      <c r="AJ265" s="50">
        <f>IF(AND(Option_Sys_TopUp&gt;="Y",H265&gt;=sytp,H265&lt;=(dtp+sytp-1),F265=0,H265&lt;=ppt+1),atp,0)+IFERROR(VLOOKUP(H265,Input!$B$55:$C$61,2,0),0)*(F265=0)*(Option_TopUP="Y")*(Option_Sys_TopUp="N")*B265*(pt&gt;=H265+5)</f>
        <v>0</v>
      </c>
      <c r="AK265" s="50">
        <f t="shared" si="202"/>
        <v>0</v>
      </c>
      <c r="AL265" s="50">
        <f t="shared" si="223"/>
        <v>0</v>
      </c>
      <c r="AM265" s="50">
        <f t="shared" ca="1" si="203"/>
        <v>0</v>
      </c>
      <c r="AN265" s="50">
        <f>IF(B265=0,0,AT265*(_rpm1+(1+_emr1)*VLOOKUP(E265,Tab_Mort_Charge,IF(Input!$C$12="M",2,3),0))*(0.001*0.0833)*Flag_Mort_Rider_Charge*(AT265&gt;0))</f>
        <v>0</v>
      </c>
      <c r="AO265" s="50">
        <f t="shared" ca="1" si="224"/>
        <v>0</v>
      </c>
      <c r="AP265" s="50">
        <f t="shared" ca="1" si="187"/>
        <v>0</v>
      </c>
      <c r="AQ265" s="50">
        <f t="shared" ca="1" si="204"/>
        <v>0</v>
      </c>
      <c r="AR265" s="50">
        <f t="shared" ca="1" si="205"/>
        <v>0</v>
      </c>
      <c r="AS265" s="50">
        <f t="shared" si="206"/>
        <v>0</v>
      </c>
      <c r="AT265" s="50">
        <f ca="1">(MAX((MAX(AS265,105%*SUM($AJ$7:AJ265))-AM265*Flag_UL_Type),0)*B265)</f>
        <v>0</v>
      </c>
      <c r="AU265" s="50">
        <f ca="1">(MAX(AS265,AR265,105%*SUM($AJ$7:AJ265))*B265)</f>
        <v>0</v>
      </c>
      <c r="AV265" s="125"/>
      <c r="AW265" s="13"/>
      <c r="AX265" s="13"/>
      <c r="AY265" s="13"/>
      <c r="AZ265" s="13"/>
      <c r="BA265" s="13"/>
      <c r="BG265" s="51">
        <f t="shared" si="207"/>
        <v>0</v>
      </c>
      <c r="BH265" s="51">
        <f t="shared" si="208"/>
        <v>0</v>
      </c>
      <c r="BI265" s="51">
        <f t="shared" ca="1" si="209"/>
        <v>0</v>
      </c>
      <c r="BJ265" s="51">
        <f t="shared" ca="1" si="210"/>
        <v>0</v>
      </c>
      <c r="BK265" s="51">
        <f t="shared" si="211"/>
        <v>0</v>
      </c>
      <c r="BL265" s="51">
        <f t="shared" ca="1" si="212"/>
        <v>0</v>
      </c>
      <c r="BM265" s="51">
        <f t="shared" si="213"/>
        <v>0</v>
      </c>
      <c r="BN265" s="51">
        <f t="shared" si="214"/>
        <v>0</v>
      </c>
      <c r="BO265" s="51">
        <f t="shared" ca="1" si="215"/>
        <v>0</v>
      </c>
      <c r="BP265" s="51">
        <f t="shared" ca="1" si="216"/>
        <v>0</v>
      </c>
      <c r="BQ265" s="120"/>
      <c r="BR265" s="32"/>
      <c r="BS265" s="126"/>
      <c r="BT265" s="16"/>
      <c r="BU265" s="58"/>
      <c r="BW265" s="51">
        <f>VLOOKUP(H265,Charges!$AT$4:$AU$33,2,FALSE)*I265</f>
        <v>0</v>
      </c>
      <c r="BX265" s="51">
        <f t="shared" si="217"/>
        <v>0</v>
      </c>
      <c r="BY265" s="51">
        <f t="shared" si="225"/>
        <v>0</v>
      </c>
      <c r="BZ265" s="151"/>
      <c r="CA265" s="151"/>
      <c r="CB265" s="32"/>
      <c r="CC265" s="16">
        <f ca="1">SUM($N$7:$N265)</f>
        <v>0</v>
      </c>
      <c r="CD265" s="16">
        <f t="shared" ca="1" si="218"/>
        <v>0</v>
      </c>
      <c r="CE265" s="16">
        <f t="shared" ca="1" si="219"/>
        <v>0</v>
      </c>
      <c r="CF265" s="7">
        <f t="shared" ca="1" si="226"/>
        <v>0</v>
      </c>
    </row>
    <row r="266" spans="1:84" s="7" customFormat="1" x14ac:dyDescent="0.2">
      <c r="A266" s="149"/>
      <c r="B266" s="14">
        <f t="shared" si="188"/>
        <v>0</v>
      </c>
      <c r="C266" s="12">
        <f t="shared" si="189"/>
        <v>0</v>
      </c>
      <c r="D266" s="17">
        <f t="shared" si="227"/>
        <v>260</v>
      </c>
      <c r="E266" s="17">
        <f t="shared" ca="1" si="190"/>
        <v>81</v>
      </c>
      <c r="F266" s="12">
        <f t="shared" si="185"/>
        <v>7</v>
      </c>
      <c r="G266" s="12">
        <f t="shared" si="184"/>
        <v>44</v>
      </c>
      <c r="H266" s="17">
        <f t="shared" si="186"/>
        <v>22</v>
      </c>
      <c r="I266" s="29">
        <f t="shared" si="191"/>
        <v>0</v>
      </c>
      <c r="J266" s="211">
        <f>IFERROR(VLOOKUP(H266,Charges!$T$6:$U$35,2,0)*C266,0)</f>
        <v>0</v>
      </c>
      <c r="K266" s="29">
        <f t="shared" si="192"/>
        <v>0</v>
      </c>
      <c r="L266" s="29">
        <f t="shared" si="193"/>
        <v>0</v>
      </c>
      <c r="M266" s="147">
        <f t="shared" ca="1" si="194"/>
        <v>0</v>
      </c>
      <c r="N266" s="148">
        <f ca="1">IF(AND(Option_SPW="Y",H266&gt;=Lock_In_Period,Z265&gt;SPW_Amount_pa+IF(option="Single",1/5*pr,2*pr),H266&gt;=SPW_Start_Year,H266&lt;=SPW_Start_Year+SPW_Duration-1,age+H266&gt;=Legal_Age),IF(AND(F266=0,SPW_Payout_Freq=1),SPW_Amount_pa,IF(AND(SPW_Payout_Freq=2,MOD(F266,6)=0),SPW_Amount_pa/SPW_Payout_Freq,IF(AND(SPW_Payout_Freq=4,MOD(F266,3)=0),SPW_Amount_pa/SPW_Payout_Freq,IF(SPW_Payout_Freq=12,SPW_Amount_pa/SPW_Payout_Freq,0)))),0)+IFERROR(VLOOKUP(H266,Input!$B$68:$C$74,2,0),0)*(F266=0)*(Option_PW="Y")*(Option_SPW="N")*(age+H266&gt;=Legal_Age)</f>
        <v>0</v>
      </c>
      <c r="O266" s="148">
        <f t="shared" ca="1" si="220"/>
        <v>0</v>
      </c>
      <c r="P266" s="14">
        <f ca="1">(MAX(MAX(sa-CF265*Flag_UL_Type,105%*SUM($I$7:I266))-(AD265+L266-N266)*Flag_UL_Type,0)*B266)</f>
        <v>0</v>
      </c>
      <c r="Q266" s="213">
        <f t="shared" si="195"/>
        <v>0</v>
      </c>
      <c r="R266" s="14">
        <f t="shared" ca="1" si="196"/>
        <v>0</v>
      </c>
      <c r="S266" s="14">
        <f t="shared" ca="1" si="197"/>
        <v>0</v>
      </c>
      <c r="T266" s="14">
        <f>IFERROR(IF(WoP_Flag="Y",IF(fq=1,VLOOKUP(ppt*fq-H266,Charges!$AN$41:$AO$59,2,FALSE),IF(fq=2,VLOOKUP(ppt*fq-G266,Charges!$AP$41:$AQ$79,2,FALSE),VLOOKUP(ppt*fq-D266,Charges!$AR$41:$AS$279,2,FALSE)))*pr/fq,0),0)</f>
        <v>0</v>
      </c>
      <c r="U266" s="14">
        <f ca="1">IFERROR(((T266*(VLOOKUP(Input!$D$18+H266-1,Tab_Mort_Charge,IF(Gender_2="M",2,3),FALSE)*(1+_emr2)+_rpm2)/IF(Model_Type="LA_PQIS",1000/0.0833,(12*1000))))*Flag_Mort_Rider_Charge*(T266&gt;0),0)</f>
        <v>0</v>
      </c>
      <c r="V266" s="34">
        <f>ROUND(MIN(IF(H266&gt;=7,Charges!$C$12*(1+Charges!$C$14)^((H266-7+1)),VLOOKUP(H266,Charges!$B$7:$C$12,2,0))*pr,Charges!$C$13)*B266,Round)</f>
        <v>0</v>
      </c>
      <c r="W266" s="14">
        <f t="shared" ca="1" si="198"/>
        <v>0</v>
      </c>
      <c r="X266" s="14">
        <f t="shared" ca="1" si="199"/>
        <v>0</v>
      </c>
      <c r="Y266" s="213">
        <f t="shared" ca="1" si="221"/>
        <v>0</v>
      </c>
      <c r="Z266" s="14">
        <f t="shared" ca="1" si="200"/>
        <v>0</v>
      </c>
      <c r="AA266" s="14">
        <f>IF(AND($H266=pt,$F266=11),SUM($K$7:K266)*VLOOKUP(pt,ROC,2,FALSE),0)</f>
        <v>0</v>
      </c>
      <c r="AB266" s="14">
        <f>IF(AND($H266=pt,$F266=11),SUM($V$7:V266)*VLOOKUP(pt,ROC,2,FALSE),0)</f>
        <v>0</v>
      </c>
      <c r="AC266" s="14">
        <f>IF(AND($H266=pt,$F266=11),SUM($Q$7:Q266)*VLOOKUP(pt,ROC,2,FALSE),0)</f>
        <v>0</v>
      </c>
      <c r="AD266" s="14">
        <f t="shared" ca="1" si="222"/>
        <v>0</v>
      </c>
      <c r="AE266" s="14">
        <f ca="1">(MAX(sa-CF265*Flag_UL_Type,105%*SUM($I$7:I266),Z266)+AU266)*B266</f>
        <v>0</v>
      </c>
      <c r="AF266" s="136"/>
      <c r="AG266" s="18">
        <v>260</v>
      </c>
      <c r="AH266" s="30">
        <f t="shared" ca="1" si="201"/>
        <v>0</v>
      </c>
      <c r="AI266" s="58"/>
      <c r="AJ266" s="50">
        <f>IF(AND(Option_Sys_TopUp&gt;="Y",H266&gt;=sytp,H266&lt;=(dtp+sytp-1),F266=0,H266&lt;=ppt+1),atp,0)+IFERROR(VLOOKUP(H266,Input!$B$55:$C$61,2,0),0)*(F266=0)*(Option_TopUP="Y")*(Option_Sys_TopUp="N")*B266*(pt&gt;=H266+5)</f>
        <v>0</v>
      </c>
      <c r="AK266" s="50">
        <f t="shared" si="202"/>
        <v>0</v>
      </c>
      <c r="AL266" s="50">
        <f t="shared" si="223"/>
        <v>0</v>
      </c>
      <c r="AM266" s="50">
        <f t="shared" ca="1" si="203"/>
        <v>0</v>
      </c>
      <c r="AN266" s="50">
        <f>IF(B266=0,0,AT266*(_rpm1+(1+_emr1)*VLOOKUP(E266,Tab_Mort_Charge,IF(Input!$C$12="M",2,3),0))*(0.001*0.0833)*Flag_Mort_Rider_Charge*(AT266&gt;0))</f>
        <v>0</v>
      </c>
      <c r="AO266" s="50">
        <f t="shared" ca="1" si="224"/>
        <v>0</v>
      </c>
      <c r="AP266" s="50">
        <f t="shared" ca="1" si="187"/>
        <v>0</v>
      </c>
      <c r="AQ266" s="50">
        <f t="shared" ca="1" si="204"/>
        <v>0</v>
      </c>
      <c r="AR266" s="50">
        <f t="shared" ca="1" si="205"/>
        <v>0</v>
      </c>
      <c r="AS266" s="50">
        <f t="shared" si="206"/>
        <v>0</v>
      </c>
      <c r="AT266" s="50">
        <f ca="1">(MAX((MAX(AS266,105%*SUM($AJ$7:AJ266))-AM266*Flag_UL_Type),0)*B266)</f>
        <v>0</v>
      </c>
      <c r="AU266" s="50">
        <f ca="1">(MAX(AS266,AR266,105%*SUM($AJ$7:AJ266))*B266)</f>
        <v>0</v>
      </c>
      <c r="AV266" s="125"/>
      <c r="AW266" s="13"/>
      <c r="AX266" s="13"/>
      <c r="AY266" s="13"/>
      <c r="AZ266" s="13"/>
      <c r="BA266" s="13"/>
      <c r="BG266" s="51">
        <f t="shared" si="207"/>
        <v>0</v>
      </c>
      <c r="BH266" s="51">
        <f t="shared" si="208"/>
        <v>0</v>
      </c>
      <c r="BI266" s="51">
        <f t="shared" ca="1" si="209"/>
        <v>0</v>
      </c>
      <c r="BJ266" s="51">
        <f t="shared" ca="1" si="210"/>
        <v>0</v>
      </c>
      <c r="BK266" s="51">
        <f t="shared" si="211"/>
        <v>0</v>
      </c>
      <c r="BL266" s="51">
        <f t="shared" ca="1" si="212"/>
        <v>0</v>
      </c>
      <c r="BM266" s="51">
        <f t="shared" si="213"/>
        <v>0</v>
      </c>
      <c r="BN266" s="51">
        <f t="shared" si="214"/>
        <v>0</v>
      </c>
      <c r="BO266" s="51">
        <f t="shared" ca="1" si="215"/>
        <v>0</v>
      </c>
      <c r="BP266" s="51">
        <f t="shared" ca="1" si="216"/>
        <v>0</v>
      </c>
      <c r="BQ266" s="120"/>
      <c r="BR266" s="32"/>
      <c r="BS266" s="126"/>
      <c r="BT266" s="16"/>
      <c r="BU266" s="58"/>
      <c r="BW266" s="51">
        <f>VLOOKUP(H266,Charges!$AT$4:$AU$33,2,FALSE)*I266</f>
        <v>0</v>
      </c>
      <c r="BX266" s="51">
        <f t="shared" si="217"/>
        <v>0</v>
      </c>
      <c r="BY266" s="51">
        <f t="shared" si="225"/>
        <v>0</v>
      </c>
      <c r="BZ266" s="151"/>
      <c r="CA266" s="151"/>
      <c r="CB266" s="32"/>
      <c r="CC266" s="16">
        <f ca="1">SUM($N$7:$N266)</f>
        <v>0</v>
      </c>
      <c r="CD266" s="16">
        <f t="shared" ca="1" si="218"/>
        <v>0</v>
      </c>
      <c r="CE266" s="16">
        <f t="shared" ca="1" si="219"/>
        <v>0</v>
      </c>
      <c r="CF266" s="7">
        <f t="shared" ca="1" si="226"/>
        <v>0</v>
      </c>
    </row>
    <row r="267" spans="1:84" s="7" customFormat="1" x14ac:dyDescent="0.2">
      <c r="A267" s="149"/>
      <c r="B267" s="14">
        <f t="shared" si="188"/>
        <v>0</v>
      </c>
      <c r="C267" s="12">
        <f t="shared" si="189"/>
        <v>0</v>
      </c>
      <c r="D267" s="17">
        <f t="shared" si="227"/>
        <v>261</v>
      </c>
      <c r="E267" s="17">
        <f t="shared" ca="1" si="190"/>
        <v>81</v>
      </c>
      <c r="F267" s="12">
        <f t="shared" si="185"/>
        <v>8</v>
      </c>
      <c r="G267" s="12">
        <f t="shared" si="184"/>
        <v>44</v>
      </c>
      <c r="H267" s="17">
        <f t="shared" si="186"/>
        <v>22</v>
      </c>
      <c r="I267" s="29">
        <f t="shared" si="191"/>
        <v>0</v>
      </c>
      <c r="J267" s="211">
        <f>IFERROR(VLOOKUP(H267,Charges!$T$6:$U$35,2,0)*C267,0)</f>
        <v>0</v>
      </c>
      <c r="K267" s="29">
        <f t="shared" si="192"/>
        <v>0</v>
      </c>
      <c r="L267" s="29">
        <f t="shared" si="193"/>
        <v>0</v>
      </c>
      <c r="M267" s="147">
        <f t="shared" ca="1" si="194"/>
        <v>0</v>
      </c>
      <c r="N267" s="148">
        <f ca="1">IF(AND(Option_SPW="Y",H267&gt;=Lock_In_Period,Z266&gt;SPW_Amount_pa+IF(option="Single",1/5*pr,2*pr),H267&gt;=SPW_Start_Year,H267&lt;=SPW_Start_Year+SPW_Duration-1,age+H267&gt;=Legal_Age),IF(AND(F267=0,SPW_Payout_Freq=1),SPW_Amount_pa,IF(AND(SPW_Payout_Freq=2,MOD(F267,6)=0),SPW_Amount_pa/SPW_Payout_Freq,IF(AND(SPW_Payout_Freq=4,MOD(F267,3)=0),SPW_Amount_pa/SPW_Payout_Freq,IF(SPW_Payout_Freq=12,SPW_Amount_pa/SPW_Payout_Freq,0)))),0)+IFERROR(VLOOKUP(H267,Input!$B$68:$C$74,2,0),0)*(F267=0)*(Option_PW="Y")*(Option_SPW="N")*(age+H267&gt;=Legal_Age)</f>
        <v>0</v>
      </c>
      <c r="O267" s="148">
        <f t="shared" ca="1" si="220"/>
        <v>0</v>
      </c>
      <c r="P267" s="14">
        <f ca="1">(MAX(MAX(sa-CF266*Flag_UL_Type,105%*SUM($I$7:I267))-(AD266+L267-N267)*Flag_UL_Type,0)*B267)</f>
        <v>0</v>
      </c>
      <c r="Q267" s="213">
        <f t="shared" si="195"/>
        <v>0</v>
      </c>
      <c r="R267" s="14">
        <f t="shared" ca="1" si="196"/>
        <v>0</v>
      </c>
      <c r="S267" s="14">
        <f t="shared" ca="1" si="197"/>
        <v>0</v>
      </c>
      <c r="T267" s="14">
        <f>IFERROR(IF(WoP_Flag="Y",IF(fq=1,VLOOKUP(ppt*fq-H267,Charges!$AN$41:$AO$59,2,FALSE),IF(fq=2,VLOOKUP(ppt*fq-G267,Charges!$AP$41:$AQ$79,2,FALSE),VLOOKUP(ppt*fq-D267,Charges!$AR$41:$AS$279,2,FALSE)))*pr/fq,0),0)</f>
        <v>0</v>
      </c>
      <c r="U267" s="14">
        <f ca="1">IFERROR(((T267*(VLOOKUP(Input!$D$18+H267-1,Tab_Mort_Charge,IF(Gender_2="M",2,3),FALSE)*(1+_emr2)+_rpm2)/IF(Model_Type="LA_PQIS",1000/0.0833,(12*1000))))*Flag_Mort_Rider_Charge*(T267&gt;0),0)</f>
        <v>0</v>
      </c>
      <c r="V267" s="34">
        <f>ROUND(MIN(IF(H267&gt;=7,Charges!$C$12*(1+Charges!$C$14)^((H267-7+1)),VLOOKUP(H267,Charges!$B$7:$C$12,2,0))*pr,Charges!$C$13)*B267,Round)</f>
        <v>0</v>
      </c>
      <c r="W267" s="14">
        <f t="shared" ca="1" si="198"/>
        <v>0</v>
      </c>
      <c r="X267" s="14">
        <f t="shared" ca="1" si="199"/>
        <v>0</v>
      </c>
      <c r="Y267" s="213">
        <f t="shared" ca="1" si="221"/>
        <v>0</v>
      </c>
      <c r="Z267" s="14">
        <f t="shared" ca="1" si="200"/>
        <v>0</v>
      </c>
      <c r="AA267" s="14">
        <f>IF(AND($H267=pt,$F267=11),SUM($K$7:K267)*VLOOKUP(pt,ROC,2,FALSE),0)</f>
        <v>0</v>
      </c>
      <c r="AB267" s="14">
        <f>IF(AND($H267=pt,$F267=11),SUM($V$7:V267)*VLOOKUP(pt,ROC,2,FALSE),0)</f>
        <v>0</v>
      </c>
      <c r="AC267" s="14">
        <f>IF(AND($H267=pt,$F267=11),SUM($Q$7:Q267)*VLOOKUP(pt,ROC,2,FALSE),0)</f>
        <v>0</v>
      </c>
      <c r="AD267" s="14">
        <f t="shared" ca="1" si="222"/>
        <v>0</v>
      </c>
      <c r="AE267" s="14">
        <f ca="1">(MAX(sa-CF266*Flag_UL_Type,105%*SUM($I$7:I267),Z267)+AU267)*B267</f>
        <v>0</v>
      </c>
      <c r="AF267" s="136"/>
      <c r="AG267" s="18">
        <v>261</v>
      </c>
      <c r="AH267" s="30">
        <f t="shared" ca="1" si="201"/>
        <v>0</v>
      </c>
      <c r="AI267" s="58"/>
      <c r="AJ267" s="50">
        <f>IF(AND(Option_Sys_TopUp&gt;="Y",H267&gt;=sytp,H267&lt;=(dtp+sytp-1),F267=0,H267&lt;=ppt+1),atp,0)+IFERROR(VLOOKUP(H267,Input!$B$55:$C$61,2,0),0)*(F267=0)*(Option_TopUP="Y")*(Option_Sys_TopUp="N")*B267*(pt&gt;=H267+5)</f>
        <v>0</v>
      </c>
      <c r="AK267" s="50">
        <f t="shared" si="202"/>
        <v>0</v>
      </c>
      <c r="AL267" s="50">
        <f t="shared" si="223"/>
        <v>0</v>
      </c>
      <c r="AM267" s="50">
        <f t="shared" ca="1" si="203"/>
        <v>0</v>
      </c>
      <c r="AN267" s="50">
        <f>IF(B267=0,0,AT267*(_rpm1+(1+_emr1)*VLOOKUP(E267,Tab_Mort_Charge,IF(Input!$C$12="M",2,3),0))*(0.001*0.0833)*Flag_Mort_Rider_Charge*(AT267&gt;0))</f>
        <v>0</v>
      </c>
      <c r="AO267" s="50">
        <f t="shared" ca="1" si="224"/>
        <v>0</v>
      </c>
      <c r="AP267" s="50">
        <f t="shared" ca="1" si="187"/>
        <v>0</v>
      </c>
      <c r="AQ267" s="50">
        <f t="shared" ca="1" si="204"/>
        <v>0</v>
      </c>
      <c r="AR267" s="50">
        <f t="shared" ca="1" si="205"/>
        <v>0</v>
      </c>
      <c r="AS267" s="50">
        <f t="shared" si="206"/>
        <v>0</v>
      </c>
      <c r="AT267" s="50">
        <f ca="1">(MAX((MAX(AS267,105%*SUM($AJ$7:AJ267))-AM267*Flag_UL_Type),0)*B267)</f>
        <v>0</v>
      </c>
      <c r="AU267" s="50">
        <f ca="1">(MAX(AS267,AR267,105%*SUM($AJ$7:AJ267))*B267)</f>
        <v>0</v>
      </c>
      <c r="AV267" s="125"/>
      <c r="AW267" s="13"/>
      <c r="AX267" s="13"/>
      <c r="AY267" s="13"/>
      <c r="AZ267" s="13"/>
      <c r="BA267" s="13"/>
      <c r="BG267" s="51">
        <f t="shared" si="207"/>
        <v>0</v>
      </c>
      <c r="BH267" s="51">
        <f t="shared" si="208"/>
        <v>0</v>
      </c>
      <c r="BI267" s="51">
        <f t="shared" ca="1" si="209"/>
        <v>0</v>
      </c>
      <c r="BJ267" s="51">
        <f t="shared" ca="1" si="210"/>
        <v>0</v>
      </c>
      <c r="BK267" s="51">
        <f t="shared" si="211"/>
        <v>0</v>
      </c>
      <c r="BL267" s="51">
        <f t="shared" ca="1" si="212"/>
        <v>0</v>
      </c>
      <c r="BM267" s="51">
        <f t="shared" si="213"/>
        <v>0</v>
      </c>
      <c r="BN267" s="51">
        <f t="shared" si="214"/>
        <v>0</v>
      </c>
      <c r="BO267" s="51">
        <f t="shared" ca="1" si="215"/>
        <v>0</v>
      </c>
      <c r="BP267" s="51">
        <f t="shared" ca="1" si="216"/>
        <v>0</v>
      </c>
      <c r="BQ267" s="120"/>
      <c r="BR267" s="32"/>
      <c r="BS267" s="126"/>
      <c r="BT267" s="16"/>
      <c r="BU267" s="58"/>
      <c r="BW267" s="51">
        <f>VLOOKUP(H267,Charges!$AT$4:$AU$33,2,FALSE)*I267</f>
        <v>0</v>
      </c>
      <c r="BX267" s="51">
        <f t="shared" si="217"/>
        <v>0</v>
      </c>
      <c r="BY267" s="51">
        <f t="shared" si="225"/>
        <v>0</v>
      </c>
      <c r="BZ267" s="151"/>
      <c r="CA267" s="151"/>
      <c r="CB267" s="32"/>
      <c r="CC267" s="16">
        <f ca="1">SUM($N$7:$N267)</f>
        <v>0</v>
      </c>
      <c r="CD267" s="16">
        <f t="shared" ca="1" si="218"/>
        <v>0</v>
      </c>
      <c r="CE267" s="16">
        <f t="shared" ca="1" si="219"/>
        <v>0</v>
      </c>
      <c r="CF267" s="7">
        <f t="shared" ca="1" si="226"/>
        <v>0</v>
      </c>
    </row>
    <row r="268" spans="1:84" s="7" customFormat="1" x14ac:dyDescent="0.2">
      <c r="A268" s="149"/>
      <c r="B268" s="14">
        <f t="shared" si="188"/>
        <v>0</v>
      </c>
      <c r="C268" s="12">
        <f t="shared" si="189"/>
        <v>0</v>
      </c>
      <c r="D268" s="17">
        <f t="shared" si="227"/>
        <v>262</v>
      </c>
      <c r="E268" s="17">
        <f t="shared" ca="1" si="190"/>
        <v>81</v>
      </c>
      <c r="F268" s="12">
        <f t="shared" si="185"/>
        <v>9</v>
      </c>
      <c r="G268" s="12">
        <f t="shared" si="184"/>
        <v>44</v>
      </c>
      <c r="H268" s="17">
        <f t="shared" si="186"/>
        <v>22</v>
      </c>
      <c r="I268" s="29">
        <f t="shared" si="191"/>
        <v>0</v>
      </c>
      <c r="J268" s="211">
        <f>IFERROR(VLOOKUP(H268,Charges!$T$6:$U$35,2,0)*C268,0)</f>
        <v>0</v>
      </c>
      <c r="K268" s="29">
        <f t="shared" si="192"/>
        <v>0</v>
      </c>
      <c r="L268" s="29">
        <f t="shared" si="193"/>
        <v>0</v>
      </c>
      <c r="M268" s="147">
        <f t="shared" ca="1" si="194"/>
        <v>0</v>
      </c>
      <c r="N268" s="148">
        <f ca="1">IF(AND(Option_SPW="Y",H268&gt;=Lock_In_Period,Z267&gt;SPW_Amount_pa+IF(option="Single",1/5*pr,2*pr),H268&gt;=SPW_Start_Year,H268&lt;=SPW_Start_Year+SPW_Duration-1,age+H268&gt;=Legal_Age),IF(AND(F268=0,SPW_Payout_Freq=1),SPW_Amount_pa,IF(AND(SPW_Payout_Freq=2,MOD(F268,6)=0),SPW_Amount_pa/SPW_Payout_Freq,IF(AND(SPW_Payout_Freq=4,MOD(F268,3)=0),SPW_Amount_pa/SPW_Payout_Freq,IF(SPW_Payout_Freq=12,SPW_Amount_pa/SPW_Payout_Freq,0)))),0)+IFERROR(VLOOKUP(H268,Input!$B$68:$C$74,2,0),0)*(F268=0)*(Option_PW="Y")*(Option_SPW="N")*(age+H268&gt;=Legal_Age)</f>
        <v>0</v>
      </c>
      <c r="O268" s="148">
        <f t="shared" ca="1" si="220"/>
        <v>0</v>
      </c>
      <c r="P268" s="14">
        <f ca="1">(MAX(MAX(sa-CF267*Flag_UL_Type,105%*SUM($I$7:I268))-(AD267+L268-N268)*Flag_UL_Type,0)*B268)</f>
        <v>0</v>
      </c>
      <c r="Q268" s="213">
        <f t="shared" si="195"/>
        <v>0</v>
      </c>
      <c r="R268" s="14">
        <f t="shared" ca="1" si="196"/>
        <v>0</v>
      </c>
      <c r="S268" s="14">
        <f t="shared" ca="1" si="197"/>
        <v>0</v>
      </c>
      <c r="T268" s="14">
        <f>IFERROR(IF(WoP_Flag="Y",IF(fq=1,VLOOKUP(ppt*fq-H268,Charges!$AN$41:$AO$59,2,FALSE),IF(fq=2,VLOOKUP(ppt*fq-G268,Charges!$AP$41:$AQ$79,2,FALSE),VLOOKUP(ppt*fq-D268,Charges!$AR$41:$AS$279,2,FALSE)))*pr/fq,0),0)</f>
        <v>0</v>
      </c>
      <c r="U268" s="14">
        <f ca="1">IFERROR(((T268*(VLOOKUP(Input!$D$18+H268-1,Tab_Mort_Charge,IF(Gender_2="M",2,3),FALSE)*(1+_emr2)+_rpm2)/IF(Model_Type="LA_PQIS",1000/0.0833,(12*1000))))*Flag_Mort_Rider_Charge*(T268&gt;0),0)</f>
        <v>0</v>
      </c>
      <c r="V268" s="34">
        <f>ROUND(MIN(IF(H268&gt;=7,Charges!$C$12*(1+Charges!$C$14)^((H268-7+1)),VLOOKUP(H268,Charges!$B$7:$C$12,2,0))*pr,Charges!$C$13)*B268,Round)</f>
        <v>0</v>
      </c>
      <c r="W268" s="14">
        <f t="shared" ca="1" si="198"/>
        <v>0</v>
      </c>
      <c r="X268" s="14">
        <f t="shared" ca="1" si="199"/>
        <v>0</v>
      </c>
      <c r="Y268" s="213">
        <f t="shared" ca="1" si="221"/>
        <v>0</v>
      </c>
      <c r="Z268" s="14">
        <f t="shared" ca="1" si="200"/>
        <v>0</v>
      </c>
      <c r="AA268" s="14">
        <f>IF(AND($H268=pt,$F268=11),SUM($K$7:K268)*VLOOKUP(pt,ROC,2,FALSE),0)</f>
        <v>0</v>
      </c>
      <c r="AB268" s="14">
        <f>IF(AND($H268=pt,$F268=11),SUM($V$7:V268)*VLOOKUP(pt,ROC,2,FALSE),0)</f>
        <v>0</v>
      </c>
      <c r="AC268" s="14">
        <f>IF(AND($H268=pt,$F268=11),SUM($Q$7:Q268)*VLOOKUP(pt,ROC,2,FALSE),0)</f>
        <v>0</v>
      </c>
      <c r="AD268" s="14">
        <f t="shared" ca="1" si="222"/>
        <v>0</v>
      </c>
      <c r="AE268" s="14">
        <f ca="1">(MAX(sa-CF267*Flag_UL_Type,105%*SUM($I$7:I268),Z268)+AU268)*B268</f>
        <v>0</v>
      </c>
      <c r="AF268" s="136"/>
      <c r="AG268" s="18">
        <v>262</v>
      </c>
      <c r="AH268" s="30">
        <f t="shared" ca="1" si="201"/>
        <v>0</v>
      </c>
      <c r="AI268" s="58"/>
      <c r="AJ268" s="50">
        <f>IF(AND(Option_Sys_TopUp&gt;="Y",H268&gt;=sytp,H268&lt;=(dtp+sytp-1),F268=0,H268&lt;=ppt+1),atp,0)+IFERROR(VLOOKUP(H268,Input!$B$55:$C$61,2,0),0)*(F268=0)*(Option_TopUP="Y")*(Option_Sys_TopUp="N")*B268*(pt&gt;=H268+5)</f>
        <v>0</v>
      </c>
      <c r="AK268" s="50">
        <f t="shared" si="202"/>
        <v>0</v>
      </c>
      <c r="AL268" s="50">
        <f t="shared" si="223"/>
        <v>0</v>
      </c>
      <c r="AM268" s="50">
        <f t="shared" ca="1" si="203"/>
        <v>0</v>
      </c>
      <c r="AN268" s="50">
        <f>IF(B268=0,0,AT268*(_rpm1+(1+_emr1)*VLOOKUP(E268,Tab_Mort_Charge,IF(Input!$C$12="M",2,3),0))*(0.001*0.0833)*Flag_Mort_Rider_Charge*(AT268&gt;0))</f>
        <v>0</v>
      </c>
      <c r="AO268" s="50">
        <f t="shared" ca="1" si="224"/>
        <v>0</v>
      </c>
      <c r="AP268" s="50">
        <f t="shared" ca="1" si="187"/>
        <v>0</v>
      </c>
      <c r="AQ268" s="50">
        <f t="shared" ca="1" si="204"/>
        <v>0</v>
      </c>
      <c r="AR268" s="50">
        <f t="shared" ca="1" si="205"/>
        <v>0</v>
      </c>
      <c r="AS268" s="50">
        <f t="shared" si="206"/>
        <v>0</v>
      </c>
      <c r="AT268" s="50">
        <f ca="1">(MAX((MAX(AS268,105%*SUM($AJ$7:AJ268))-AM268*Flag_UL_Type),0)*B268)</f>
        <v>0</v>
      </c>
      <c r="AU268" s="50">
        <f ca="1">(MAX(AS268,AR268,105%*SUM($AJ$7:AJ268))*B268)</f>
        <v>0</v>
      </c>
      <c r="AV268" s="125"/>
      <c r="AW268" s="13"/>
      <c r="AX268" s="13"/>
      <c r="AY268" s="13"/>
      <c r="AZ268" s="13"/>
      <c r="BA268" s="13"/>
      <c r="BG268" s="51">
        <f t="shared" si="207"/>
        <v>0</v>
      </c>
      <c r="BH268" s="51">
        <f t="shared" si="208"/>
        <v>0</v>
      </c>
      <c r="BI268" s="51">
        <f t="shared" ca="1" si="209"/>
        <v>0</v>
      </c>
      <c r="BJ268" s="51">
        <f t="shared" ca="1" si="210"/>
        <v>0</v>
      </c>
      <c r="BK268" s="51">
        <f t="shared" si="211"/>
        <v>0</v>
      </c>
      <c r="BL268" s="51">
        <f t="shared" ca="1" si="212"/>
        <v>0</v>
      </c>
      <c r="BM268" s="51">
        <f t="shared" si="213"/>
        <v>0</v>
      </c>
      <c r="BN268" s="51">
        <f t="shared" si="214"/>
        <v>0</v>
      </c>
      <c r="BO268" s="51">
        <f t="shared" ca="1" si="215"/>
        <v>0</v>
      </c>
      <c r="BP268" s="51">
        <f t="shared" ca="1" si="216"/>
        <v>0</v>
      </c>
      <c r="BQ268" s="120"/>
      <c r="BR268" s="32"/>
      <c r="BS268" s="126"/>
      <c r="BT268" s="16"/>
      <c r="BU268" s="58"/>
      <c r="BW268" s="51">
        <f>VLOOKUP(H268,Charges!$AT$4:$AU$33,2,FALSE)*I268</f>
        <v>0</v>
      </c>
      <c r="BX268" s="51">
        <f t="shared" si="217"/>
        <v>0</v>
      </c>
      <c r="BY268" s="51">
        <f t="shared" si="225"/>
        <v>0</v>
      </c>
      <c r="BZ268" s="151"/>
      <c r="CA268" s="151"/>
      <c r="CB268" s="32"/>
      <c r="CC268" s="16">
        <f ca="1">SUM($N$7:$N268)</f>
        <v>0</v>
      </c>
      <c r="CD268" s="16">
        <f t="shared" ca="1" si="218"/>
        <v>0</v>
      </c>
      <c r="CE268" s="16">
        <f t="shared" ca="1" si="219"/>
        <v>0</v>
      </c>
      <c r="CF268" s="7">
        <f t="shared" ca="1" si="226"/>
        <v>0</v>
      </c>
    </row>
    <row r="269" spans="1:84" s="7" customFormat="1" x14ac:dyDescent="0.2">
      <c r="A269" s="149"/>
      <c r="B269" s="14">
        <f t="shared" si="188"/>
        <v>0</v>
      </c>
      <c r="C269" s="12">
        <f t="shared" si="189"/>
        <v>0</v>
      </c>
      <c r="D269" s="17">
        <f t="shared" si="227"/>
        <v>263</v>
      </c>
      <c r="E269" s="17">
        <f t="shared" ca="1" si="190"/>
        <v>81</v>
      </c>
      <c r="F269" s="12">
        <f t="shared" si="185"/>
        <v>10</v>
      </c>
      <c r="G269" s="12">
        <f t="shared" si="184"/>
        <v>44</v>
      </c>
      <c r="H269" s="17">
        <f t="shared" si="186"/>
        <v>22</v>
      </c>
      <c r="I269" s="29">
        <f t="shared" si="191"/>
        <v>0</v>
      </c>
      <c r="J269" s="211">
        <f>IFERROR(VLOOKUP(H269,Charges!$T$6:$U$35,2,0)*C269,0)</f>
        <v>0</v>
      </c>
      <c r="K269" s="29">
        <f t="shared" si="192"/>
        <v>0</v>
      </c>
      <c r="L269" s="29">
        <f t="shared" si="193"/>
        <v>0</v>
      </c>
      <c r="M269" s="147">
        <f t="shared" ca="1" si="194"/>
        <v>0</v>
      </c>
      <c r="N269" s="148">
        <f ca="1">IF(AND(Option_SPW="Y",H269&gt;=Lock_In_Period,Z268&gt;SPW_Amount_pa+IF(option="Single",1/5*pr,2*pr),H269&gt;=SPW_Start_Year,H269&lt;=SPW_Start_Year+SPW_Duration-1,age+H269&gt;=Legal_Age),IF(AND(F269=0,SPW_Payout_Freq=1),SPW_Amount_pa,IF(AND(SPW_Payout_Freq=2,MOD(F269,6)=0),SPW_Amount_pa/SPW_Payout_Freq,IF(AND(SPW_Payout_Freq=4,MOD(F269,3)=0),SPW_Amount_pa/SPW_Payout_Freq,IF(SPW_Payout_Freq=12,SPW_Amount_pa/SPW_Payout_Freq,0)))),0)+IFERROR(VLOOKUP(H269,Input!$B$68:$C$74,2,0),0)*(F269=0)*(Option_PW="Y")*(Option_SPW="N")*(age+H269&gt;=Legal_Age)</f>
        <v>0</v>
      </c>
      <c r="O269" s="148">
        <f t="shared" ca="1" si="220"/>
        <v>0</v>
      </c>
      <c r="P269" s="14">
        <f ca="1">(MAX(MAX(sa-CF268*Flag_UL_Type,105%*SUM($I$7:I269))-(AD268+L269-N269)*Flag_UL_Type,0)*B269)</f>
        <v>0</v>
      </c>
      <c r="Q269" s="213">
        <f t="shared" si="195"/>
        <v>0</v>
      </c>
      <c r="R269" s="14">
        <f t="shared" ca="1" si="196"/>
        <v>0</v>
      </c>
      <c r="S269" s="14">
        <f t="shared" ca="1" si="197"/>
        <v>0</v>
      </c>
      <c r="T269" s="14">
        <f>IFERROR(IF(WoP_Flag="Y",IF(fq=1,VLOOKUP(ppt*fq-H269,Charges!$AN$41:$AO$59,2,FALSE),IF(fq=2,VLOOKUP(ppt*fq-G269,Charges!$AP$41:$AQ$79,2,FALSE),VLOOKUP(ppt*fq-D269,Charges!$AR$41:$AS$279,2,FALSE)))*pr/fq,0),0)</f>
        <v>0</v>
      </c>
      <c r="U269" s="14">
        <f ca="1">IFERROR(((T269*(VLOOKUP(Input!$D$18+H269-1,Tab_Mort_Charge,IF(Gender_2="M",2,3),FALSE)*(1+_emr2)+_rpm2)/IF(Model_Type="LA_PQIS",1000/0.0833,(12*1000))))*Flag_Mort_Rider_Charge*(T269&gt;0),0)</f>
        <v>0</v>
      </c>
      <c r="V269" s="34">
        <f>ROUND(MIN(IF(H269&gt;=7,Charges!$C$12*(1+Charges!$C$14)^((H269-7+1)),VLOOKUP(H269,Charges!$B$7:$C$12,2,0))*pr,Charges!$C$13)*B269,Round)</f>
        <v>0</v>
      </c>
      <c r="W269" s="14">
        <f t="shared" ca="1" si="198"/>
        <v>0</v>
      </c>
      <c r="X269" s="14">
        <f t="shared" ca="1" si="199"/>
        <v>0</v>
      </c>
      <c r="Y269" s="213">
        <f t="shared" ca="1" si="221"/>
        <v>0</v>
      </c>
      <c r="Z269" s="14">
        <f t="shared" ca="1" si="200"/>
        <v>0</v>
      </c>
      <c r="AA269" s="14">
        <f>IF(AND($H269=pt,$F269=11),SUM($K$7:K269)*VLOOKUP(pt,ROC,2,FALSE),0)</f>
        <v>0</v>
      </c>
      <c r="AB269" s="14">
        <f>IF(AND($H269=pt,$F269=11),SUM($V$7:V269)*VLOOKUP(pt,ROC,2,FALSE),0)</f>
        <v>0</v>
      </c>
      <c r="AC269" s="14">
        <f>IF(AND($H269=pt,$F269=11),SUM($Q$7:Q269)*VLOOKUP(pt,ROC,2,FALSE),0)</f>
        <v>0</v>
      </c>
      <c r="AD269" s="14">
        <f t="shared" ca="1" si="222"/>
        <v>0</v>
      </c>
      <c r="AE269" s="14">
        <f ca="1">(MAX(sa-CF268*Flag_UL_Type,105%*SUM($I$7:I269),Z269)+AU269)*B269</f>
        <v>0</v>
      </c>
      <c r="AF269" s="136"/>
      <c r="AG269" s="18">
        <v>263</v>
      </c>
      <c r="AH269" s="30">
        <f t="shared" ca="1" si="201"/>
        <v>0</v>
      </c>
      <c r="AI269" s="58"/>
      <c r="AJ269" s="50">
        <f>IF(AND(Option_Sys_TopUp&gt;="Y",H269&gt;=sytp,H269&lt;=(dtp+sytp-1),F269=0,H269&lt;=ppt+1),atp,0)+IFERROR(VLOOKUP(H269,Input!$B$55:$C$61,2,0),0)*(F269=0)*(Option_TopUP="Y")*(Option_Sys_TopUp="N")*B269*(pt&gt;=H269+5)</f>
        <v>0</v>
      </c>
      <c r="AK269" s="50">
        <f t="shared" si="202"/>
        <v>0</v>
      </c>
      <c r="AL269" s="50">
        <f t="shared" si="223"/>
        <v>0</v>
      </c>
      <c r="AM269" s="50">
        <f t="shared" ca="1" si="203"/>
        <v>0</v>
      </c>
      <c r="AN269" s="50">
        <f>IF(B269=0,0,AT269*(_rpm1+(1+_emr1)*VLOOKUP(E269,Tab_Mort_Charge,IF(Input!$C$12="M",2,3),0))*(0.001*0.0833)*Flag_Mort_Rider_Charge*(AT269&gt;0))</f>
        <v>0</v>
      </c>
      <c r="AO269" s="50">
        <f t="shared" ca="1" si="224"/>
        <v>0</v>
      </c>
      <c r="AP269" s="50">
        <f t="shared" ca="1" si="187"/>
        <v>0</v>
      </c>
      <c r="AQ269" s="50">
        <f t="shared" ca="1" si="204"/>
        <v>0</v>
      </c>
      <c r="AR269" s="50">
        <f t="shared" ca="1" si="205"/>
        <v>0</v>
      </c>
      <c r="AS269" s="50">
        <f t="shared" si="206"/>
        <v>0</v>
      </c>
      <c r="AT269" s="50">
        <f ca="1">(MAX((MAX(AS269,105%*SUM($AJ$7:AJ269))-AM269*Flag_UL_Type),0)*B269)</f>
        <v>0</v>
      </c>
      <c r="AU269" s="50">
        <f ca="1">(MAX(AS269,AR269,105%*SUM($AJ$7:AJ269))*B269)</f>
        <v>0</v>
      </c>
      <c r="AV269" s="125"/>
      <c r="AW269" s="13"/>
      <c r="AX269" s="13"/>
      <c r="AY269" s="13"/>
      <c r="AZ269" s="13"/>
      <c r="BA269" s="13"/>
      <c r="BG269" s="51">
        <f t="shared" si="207"/>
        <v>0</v>
      </c>
      <c r="BH269" s="51">
        <f t="shared" si="208"/>
        <v>0</v>
      </c>
      <c r="BI269" s="51">
        <f t="shared" ca="1" si="209"/>
        <v>0</v>
      </c>
      <c r="BJ269" s="51">
        <f t="shared" ca="1" si="210"/>
        <v>0</v>
      </c>
      <c r="BK269" s="51">
        <f t="shared" si="211"/>
        <v>0</v>
      </c>
      <c r="BL269" s="51">
        <f t="shared" ca="1" si="212"/>
        <v>0</v>
      </c>
      <c r="BM269" s="51">
        <f t="shared" si="213"/>
        <v>0</v>
      </c>
      <c r="BN269" s="51">
        <f t="shared" si="214"/>
        <v>0</v>
      </c>
      <c r="BO269" s="51">
        <f t="shared" ca="1" si="215"/>
        <v>0</v>
      </c>
      <c r="BP269" s="51">
        <f t="shared" ca="1" si="216"/>
        <v>0</v>
      </c>
      <c r="BQ269" s="120"/>
      <c r="BR269" s="32"/>
      <c r="BS269" s="126"/>
      <c r="BT269" s="16"/>
      <c r="BU269" s="58"/>
      <c r="BW269" s="51">
        <f>VLOOKUP(H269,Charges!$AT$4:$AU$33,2,FALSE)*I269</f>
        <v>0</v>
      </c>
      <c r="BX269" s="51">
        <f t="shared" si="217"/>
        <v>0</v>
      </c>
      <c r="BY269" s="51">
        <f t="shared" si="225"/>
        <v>0</v>
      </c>
      <c r="BZ269" s="151"/>
      <c r="CA269" s="151"/>
      <c r="CB269" s="32"/>
      <c r="CC269" s="16">
        <f ca="1">SUM($N$7:$N269)</f>
        <v>0</v>
      </c>
      <c r="CD269" s="16">
        <f t="shared" ca="1" si="218"/>
        <v>0</v>
      </c>
      <c r="CE269" s="16">
        <f t="shared" ca="1" si="219"/>
        <v>0</v>
      </c>
      <c r="CF269" s="7">
        <f t="shared" ca="1" si="226"/>
        <v>0</v>
      </c>
    </row>
    <row r="270" spans="1:84" s="7" customFormat="1" x14ac:dyDescent="0.2">
      <c r="A270" s="149"/>
      <c r="B270" s="14">
        <f t="shared" si="188"/>
        <v>0</v>
      </c>
      <c r="C270" s="12">
        <f t="shared" si="189"/>
        <v>0</v>
      </c>
      <c r="D270" s="17">
        <f t="shared" si="227"/>
        <v>264</v>
      </c>
      <c r="E270" s="17">
        <f t="shared" ca="1" si="190"/>
        <v>81</v>
      </c>
      <c r="F270" s="12">
        <f t="shared" si="185"/>
        <v>11</v>
      </c>
      <c r="G270" s="12">
        <f t="shared" ref="G270:G333" si="228">G264+1</f>
        <v>44</v>
      </c>
      <c r="H270" s="17">
        <f t="shared" si="186"/>
        <v>22</v>
      </c>
      <c r="I270" s="29">
        <f t="shared" si="191"/>
        <v>0</v>
      </c>
      <c r="J270" s="211">
        <f>IFERROR(VLOOKUP(H270,Charges!$T$6:$U$35,2,0)*C270,0)</f>
        <v>0</v>
      </c>
      <c r="K270" s="29">
        <f t="shared" si="192"/>
        <v>0</v>
      </c>
      <c r="L270" s="29">
        <f t="shared" si="193"/>
        <v>0</v>
      </c>
      <c r="M270" s="147">
        <f t="shared" ca="1" si="194"/>
        <v>0</v>
      </c>
      <c r="N270" s="148">
        <f ca="1">IF(AND(Option_SPW="Y",H270&gt;=Lock_In_Period,Z269&gt;SPW_Amount_pa+IF(option="Single",1/5*pr,2*pr),H270&gt;=SPW_Start_Year,H270&lt;=SPW_Start_Year+SPW_Duration-1,age+H270&gt;=Legal_Age),IF(AND(F270=0,SPW_Payout_Freq=1),SPW_Amount_pa,IF(AND(SPW_Payout_Freq=2,MOD(F270,6)=0),SPW_Amount_pa/SPW_Payout_Freq,IF(AND(SPW_Payout_Freq=4,MOD(F270,3)=0),SPW_Amount_pa/SPW_Payout_Freq,IF(SPW_Payout_Freq=12,SPW_Amount_pa/SPW_Payout_Freq,0)))),0)+IFERROR(VLOOKUP(H270,Input!$B$68:$C$74,2,0),0)*(F270=0)*(Option_PW="Y")*(Option_SPW="N")*(age+H270&gt;=Legal_Age)</f>
        <v>0</v>
      </c>
      <c r="O270" s="148">
        <f t="shared" ca="1" si="220"/>
        <v>0</v>
      </c>
      <c r="P270" s="14">
        <f ca="1">(MAX(MAX(sa-CF269*Flag_UL_Type,105%*SUM($I$7:I270))-(AD269+L270-N270)*Flag_UL_Type,0)*B270)</f>
        <v>0</v>
      </c>
      <c r="Q270" s="213">
        <f t="shared" si="195"/>
        <v>0</v>
      </c>
      <c r="R270" s="14">
        <f t="shared" ca="1" si="196"/>
        <v>0</v>
      </c>
      <c r="S270" s="14">
        <f t="shared" ca="1" si="197"/>
        <v>0</v>
      </c>
      <c r="T270" s="14">
        <f>IFERROR(IF(WoP_Flag="Y",IF(fq=1,VLOOKUP(ppt*fq-H270,Charges!$AN$41:$AO$59,2,FALSE),IF(fq=2,VLOOKUP(ppt*fq-G270,Charges!$AP$41:$AQ$79,2,FALSE),VLOOKUP(ppt*fq-D270,Charges!$AR$41:$AS$279,2,FALSE)))*pr/fq,0),0)</f>
        <v>0</v>
      </c>
      <c r="U270" s="14">
        <f ca="1">IFERROR(((T270*(VLOOKUP(Input!$D$18+H270-1,Tab_Mort_Charge,IF(Gender_2="M",2,3),FALSE)*(1+_emr2)+_rpm2)/IF(Model_Type="LA_PQIS",1000/0.0833,(12*1000))))*Flag_Mort_Rider_Charge*(T270&gt;0),0)</f>
        <v>0</v>
      </c>
      <c r="V270" s="34">
        <f>ROUND(MIN(IF(H270&gt;=7,Charges!$C$12*(1+Charges!$C$14)^((H270-7+1)),VLOOKUP(H270,Charges!$B$7:$C$12,2,0))*pr,Charges!$C$13)*B270,Round)</f>
        <v>0</v>
      </c>
      <c r="W270" s="14">
        <f t="shared" ca="1" si="198"/>
        <v>0</v>
      </c>
      <c r="X270" s="14">
        <f t="shared" ca="1" si="199"/>
        <v>0</v>
      </c>
      <c r="Y270" s="213">
        <f t="shared" ca="1" si="221"/>
        <v>0</v>
      </c>
      <c r="Z270" s="14">
        <f t="shared" ca="1" si="200"/>
        <v>0</v>
      </c>
      <c r="AA270" s="14">
        <f>IF(AND($H270=pt,$F270=11),SUM($K$7:K270)*VLOOKUP(pt,ROC,2,FALSE),0)</f>
        <v>0</v>
      </c>
      <c r="AB270" s="14">
        <f>IF(AND($H270=pt,$F270=11),SUM($V$7:V270)*VLOOKUP(pt,ROC,2,FALSE),0)</f>
        <v>0</v>
      </c>
      <c r="AC270" s="14">
        <f>IF(AND($H270=pt,$F270=11),SUM($Q$7:Q270)*VLOOKUP(pt,ROC,2,FALSE),0)</f>
        <v>0</v>
      </c>
      <c r="AD270" s="14">
        <f t="shared" ca="1" si="222"/>
        <v>0</v>
      </c>
      <c r="AE270" s="14">
        <f ca="1">(MAX(sa-CF269*Flag_UL_Type,105%*SUM($I$7:I270),Z270)+AU270)*B270</f>
        <v>0</v>
      </c>
      <c r="AF270" s="136"/>
      <c r="AG270" s="18">
        <v>264</v>
      </c>
      <c r="AH270" s="30">
        <f t="shared" ca="1" si="201"/>
        <v>0</v>
      </c>
      <c r="AI270" s="58"/>
      <c r="AJ270" s="50">
        <f>IF(AND(Option_Sys_TopUp&gt;="Y",H270&gt;=sytp,H270&lt;=(dtp+sytp-1),F270=0,H270&lt;=ppt+1),atp,0)+IFERROR(VLOOKUP(H270,Input!$B$55:$C$61,2,0),0)*(F270=0)*(Option_TopUP="Y")*(Option_Sys_TopUp="N")*B270*(pt&gt;=H270+5)</f>
        <v>0</v>
      </c>
      <c r="AK270" s="50">
        <f t="shared" si="202"/>
        <v>0</v>
      </c>
      <c r="AL270" s="50">
        <f t="shared" si="223"/>
        <v>0</v>
      </c>
      <c r="AM270" s="50">
        <f t="shared" ca="1" si="203"/>
        <v>0</v>
      </c>
      <c r="AN270" s="50">
        <f>IF(B270=0,0,AT270*(_rpm1+(1+_emr1)*VLOOKUP(E270,Tab_Mort_Charge,IF(Input!$C$12="M",2,3),0))*(0.001*0.0833)*Flag_Mort_Rider_Charge*(AT270&gt;0))</f>
        <v>0</v>
      </c>
      <c r="AO270" s="50">
        <f t="shared" ca="1" si="224"/>
        <v>0</v>
      </c>
      <c r="AP270" s="50">
        <f t="shared" ca="1" si="187"/>
        <v>0</v>
      </c>
      <c r="AQ270" s="50">
        <f t="shared" ca="1" si="204"/>
        <v>0</v>
      </c>
      <c r="AR270" s="50">
        <f t="shared" ca="1" si="205"/>
        <v>0</v>
      </c>
      <c r="AS270" s="50">
        <f t="shared" si="206"/>
        <v>0</v>
      </c>
      <c r="AT270" s="50">
        <f ca="1">(MAX((MAX(AS270,105%*SUM($AJ$7:AJ270))-AM270*Flag_UL_Type),0)*B270)</f>
        <v>0</v>
      </c>
      <c r="AU270" s="50">
        <f ca="1">(MAX(AS270,AR270,105%*SUM($AJ$7:AJ270))*B270)</f>
        <v>0</v>
      </c>
      <c r="AV270" s="125"/>
      <c r="AW270" s="13"/>
      <c r="AX270" s="13"/>
      <c r="AY270" s="13"/>
      <c r="AZ270" s="13"/>
      <c r="BA270" s="13"/>
      <c r="BG270" s="51">
        <f t="shared" si="207"/>
        <v>0</v>
      </c>
      <c r="BH270" s="51">
        <f t="shared" si="208"/>
        <v>0</v>
      </c>
      <c r="BI270" s="51">
        <f t="shared" ca="1" si="209"/>
        <v>0</v>
      </c>
      <c r="BJ270" s="51">
        <f t="shared" ca="1" si="210"/>
        <v>0</v>
      </c>
      <c r="BK270" s="51">
        <f t="shared" si="211"/>
        <v>0</v>
      </c>
      <c r="BL270" s="51">
        <f t="shared" ca="1" si="212"/>
        <v>0</v>
      </c>
      <c r="BM270" s="51">
        <f t="shared" si="213"/>
        <v>0</v>
      </c>
      <c r="BN270" s="51">
        <f t="shared" si="214"/>
        <v>0</v>
      </c>
      <c r="BO270" s="51">
        <f t="shared" ca="1" si="215"/>
        <v>0</v>
      </c>
      <c r="BP270" s="51">
        <f t="shared" ca="1" si="216"/>
        <v>0</v>
      </c>
      <c r="BQ270" s="120"/>
      <c r="BR270" s="32"/>
      <c r="BS270" s="126"/>
      <c r="BT270" s="16"/>
      <c r="BU270" s="58"/>
      <c r="BW270" s="51">
        <f>VLOOKUP(H270,Charges!$AT$4:$AU$33,2,FALSE)*I270</f>
        <v>0</v>
      </c>
      <c r="BX270" s="51">
        <f t="shared" si="217"/>
        <v>0</v>
      </c>
      <c r="BY270" s="51">
        <f t="shared" si="225"/>
        <v>0</v>
      </c>
      <c r="BZ270" s="151"/>
      <c r="CA270" s="151"/>
      <c r="CB270" s="32"/>
      <c r="CC270" s="16">
        <f ca="1">SUM($N$7:$N270)</f>
        <v>0</v>
      </c>
      <c r="CD270" s="16">
        <f t="shared" ca="1" si="218"/>
        <v>0</v>
      </c>
      <c r="CE270" s="16">
        <f t="shared" ca="1" si="219"/>
        <v>0</v>
      </c>
      <c r="CF270" s="7">
        <f t="shared" ca="1" si="226"/>
        <v>0</v>
      </c>
    </row>
    <row r="271" spans="1:84" s="7" customFormat="1" x14ac:dyDescent="0.2">
      <c r="A271" s="149"/>
      <c r="B271" s="14">
        <f t="shared" si="188"/>
        <v>0</v>
      </c>
      <c r="C271" s="12">
        <f t="shared" si="189"/>
        <v>0</v>
      </c>
      <c r="D271" s="17">
        <f t="shared" si="227"/>
        <v>265</v>
      </c>
      <c r="E271" s="17">
        <f t="shared" ca="1" si="190"/>
        <v>82</v>
      </c>
      <c r="F271" s="12">
        <f t="shared" si="185"/>
        <v>0</v>
      </c>
      <c r="G271" s="12">
        <f t="shared" si="228"/>
        <v>45</v>
      </c>
      <c r="H271" s="17">
        <f t="shared" si="186"/>
        <v>23</v>
      </c>
      <c r="I271" s="29">
        <f t="shared" si="191"/>
        <v>0</v>
      </c>
      <c r="J271" s="211">
        <f>IFERROR(VLOOKUP(H271,Charges!$T$6:$U$35,2,0)*C271,0)</f>
        <v>0</v>
      </c>
      <c r="K271" s="29">
        <f t="shared" si="192"/>
        <v>0</v>
      </c>
      <c r="L271" s="29">
        <f t="shared" si="193"/>
        <v>0</v>
      </c>
      <c r="M271" s="147">
        <f t="shared" ca="1" si="194"/>
        <v>0</v>
      </c>
      <c r="N271" s="148">
        <f ca="1">IF(AND(Option_SPW="Y",H271&gt;=Lock_In_Period,Z270&gt;SPW_Amount_pa+IF(option="Single",1/5*pr,2*pr),H271&gt;=SPW_Start_Year,H271&lt;=SPW_Start_Year+SPW_Duration-1,age+H271&gt;=Legal_Age),IF(AND(F271=0,SPW_Payout_Freq=1),SPW_Amount_pa,IF(AND(SPW_Payout_Freq=2,MOD(F271,6)=0),SPW_Amount_pa/SPW_Payout_Freq,IF(AND(SPW_Payout_Freq=4,MOD(F271,3)=0),SPW_Amount_pa/SPW_Payout_Freq,IF(SPW_Payout_Freq=12,SPW_Amount_pa/SPW_Payout_Freq,0)))),0)+IFERROR(VLOOKUP(H271,Input!$B$68:$C$74,2,0),0)*(F271=0)*(Option_PW="Y")*(Option_SPW="N")*(age+H271&gt;=Legal_Age)</f>
        <v>0</v>
      </c>
      <c r="O271" s="148">
        <f t="shared" ca="1" si="220"/>
        <v>0</v>
      </c>
      <c r="P271" s="14">
        <f ca="1">(MAX(MAX(sa-CF270*Flag_UL_Type,105%*SUM($I$7:I271))-(AD270+L271-N271)*Flag_UL_Type,0)*B271)</f>
        <v>0</v>
      </c>
      <c r="Q271" s="213">
        <f t="shared" si="195"/>
        <v>0</v>
      </c>
      <c r="R271" s="14">
        <f t="shared" ca="1" si="196"/>
        <v>0</v>
      </c>
      <c r="S271" s="14">
        <f t="shared" ca="1" si="197"/>
        <v>0</v>
      </c>
      <c r="T271" s="14">
        <f>IFERROR(IF(WoP_Flag="Y",IF(fq=1,VLOOKUP(ppt*fq-H271,Charges!$AN$41:$AO$59,2,FALSE),IF(fq=2,VLOOKUP(ppt*fq-G271,Charges!$AP$41:$AQ$79,2,FALSE),VLOOKUP(ppt*fq-D271,Charges!$AR$41:$AS$279,2,FALSE)))*pr/fq,0),0)</f>
        <v>0</v>
      </c>
      <c r="U271" s="14">
        <f ca="1">IFERROR(((T271*(VLOOKUP(Input!$D$18+H271-1,Tab_Mort_Charge,IF(Gender_2="M",2,3),FALSE)*(1+_emr2)+_rpm2)/IF(Model_Type="LA_PQIS",1000/0.0833,(12*1000))))*Flag_Mort_Rider_Charge*(T271&gt;0),0)</f>
        <v>0</v>
      </c>
      <c r="V271" s="34">
        <f>ROUND(MIN(IF(H271&gt;=7,Charges!$C$12*(1+Charges!$C$14)^((H271-7+1)),VLOOKUP(H271,Charges!$B$7:$C$12,2,0))*pr,Charges!$C$13)*B271,Round)</f>
        <v>0</v>
      </c>
      <c r="W271" s="14">
        <f t="shared" ca="1" si="198"/>
        <v>0</v>
      </c>
      <c r="X271" s="14">
        <f t="shared" ca="1" si="199"/>
        <v>0</v>
      </c>
      <c r="Y271" s="213">
        <f t="shared" ca="1" si="221"/>
        <v>0</v>
      </c>
      <c r="Z271" s="14">
        <f t="shared" ca="1" si="200"/>
        <v>0</v>
      </c>
      <c r="AA271" s="14">
        <f>IF(AND($H271=pt,$F271=11),SUM($K$7:K271)*VLOOKUP(pt,ROC,2,FALSE),0)</f>
        <v>0</v>
      </c>
      <c r="AB271" s="14">
        <f>IF(AND($H271=pt,$F271=11),SUM($V$7:V271)*VLOOKUP(pt,ROC,2,FALSE),0)</f>
        <v>0</v>
      </c>
      <c r="AC271" s="14">
        <f>IF(AND($H271=pt,$F271=11),SUM($Q$7:Q271)*VLOOKUP(pt,ROC,2,FALSE),0)</f>
        <v>0</v>
      </c>
      <c r="AD271" s="14">
        <f t="shared" ca="1" si="222"/>
        <v>0</v>
      </c>
      <c r="AE271" s="14">
        <f ca="1">(MAX(sa-CF270*Flag_UL_Type,105%*SUM($I$7:I271),Z271)+AU271)*B271</f>
        <v>0</v>
      </c>
      <c r="AF271" s="136"/>
      <c r="AG271" s="18">
        <v>265</v>
      </c>
      <c r="AH271" s="30">
        <f t="shared" ca="1" si="201"/>
        <v>0</v>
      </c>
      <c r="AI271" s="58"/>
      <c r="AJ271" s="50">
        <f>IF(AND(Option_Sys_TopUp&gt;="Y",H271&gt;=sytp,H271&lt;=(dtp+sytp-1),F271=0,H271&lt;=ppt+1),atp,0)+IFERROR(VLOOKUP(H271,Input!$B$55:$C$61,2,0),0)*(F271=0)*(Option_TopUP="Y")*(Option_Sys_TopUp="N")*B271*(pt&gt;=H271+5)</f>
        <v>0</v>
      </c>
      <c r="AK271" s="50">
        <f t="shared" si="202"/>
        <v>0</v>
      </c>
      <c r="AL271" s="50">
        <f t="shared" si="223"/>
        <v>0</v>
      </c>
      <c r="AM271" s="50">
        <f t="shared" ca="1" si="203"/>
        <v>0</v>
      </c>
      <c r="AN271" s="50">
        <f>IF(B271=0,0,AT271*(_rpm1+(1+_emr1)*VLOOKUP(E271,Tab_Mort_Charge,IF(Input!$C$12="M",2,3),0))*(0.001*0.0833)*Flag_Mort_Rider_Charge*(AT271&gt;0))</f>
        <v>0</v>
      </c>
      <c r="AO271" s="50">
        <f t="shared" ca="1" si="224"/>
        <v>0</v>
      </c>
      <c r="AP271" s="50">
        <f t="shared" ca="1" si="187"/>
        <v>0</v>
      </c>
      <c r="AQ271" s="50">
        <f t="shared" ca="1" si="204"/>
        <v>0</v>
      </c>
      <c r="AR271" s="50">
        <f t="shared" ca="1" si="205"/>
        <v>0</v>
      </c>
      <c r="AS271" s="50">
        <f t="shared" si="206"/>
        <v>0</v>
      </c>
      <c r="AT271" s="50">
        <f ca="1">(MAX((MAX(AS271,105%*SUM($AJ$7:AJ271))-AM271*Flag_UL_Type),0)*B271)</f>
        <v>0</v>
      </c>
      <c r="AU271" s="50">
        <f ca="1">(MAX(AS271,AR271,105%*SUM($AJ$7:AJ271))*B271)</f>
        <v>0</v>
      </c>
      <c r="AV271" s="125"/>
      <c r="AW271" s="13"/>
      <c r="AX271" s="13"/>
      <c r="AY271" s="13"/>
      <c r="AZ271" s="13"/>
      <c r="BA271" s="13"/>
      <c r="BG271" s="51">
        <f t="shared" si="207"/>
        <v>0</v>
      </c>
      <c r="BH271" s="51">
        <f t="shared" si="208"/>
        <v>0</v>
      </c>
      <c r="BI271" s="51">
        <f t="shared" ca="1" si="209"/>
        <v>0</v>
      </c>
      <c r="BJ271" s="51">
        <f t="shared" ca="1" si="210"/>
        <v>0</v>
      </c>
      <c r="BK271" s="51">
        <f t="shared" si="211"/>
        <v>0</v>
      </c>
      <c r="BL271" s="51">
        <f t="shared" ca="1" si="212"/>
        <v>0</v>
      </c>
      <c r="BM271" s="51">
        <f t="shared" si="213"/>
        <v>0</v>
      </c>
      <c r="BN271" s="51">
        <f t="shared" si="214"/>
        <v>0</v>
      </c>
      <c r="BO271" s="51">
        <f t="shared" ca="1" si="215"/>
        <v>0</v>
      </c>
      <c r="BP271" s="51">
        <f t="shared" ca="1" si="216"/>
        <v>0</v>
      </c>
      <c r="BQ271" s="120"/>
      <c r="BR271" s="32"/>
      <c r="BS271" s="126"/>
      <c r="BT271" s="16"/>
      <c r="BU271" s="58"/>
      <c r="BW271" s="51">
        <f>VLOOKUP(H271,Charges!$AT$4:$AU$33,2,FALSE)*I271</f>
        <v>0</v>
      </c>
      <c r="BX271" s="51">
        <f t="shared" si="217"/>
        <v>0</v>
      </c>
      <c r="BY271" s="51">
        <f t="shared" si="225"/>
        <v>0</v>
      </c>
      <c r="BZ271" s="151"/>
      <c r="CA271" s="151"/>
      <c r="CB271" s="32"/>
      <c r="CC271" s="16">
        <f ca="1">SUM($N$7:$N271)</f>
        <v>0</v>
      </c>
      <c r="CD271" s="16">
        <f t="shared" ca="1" si="218"/>
        <v>0</v>
      </c>
      <c r="CE271" s="16">
        <f t="shared" ca="1" si="219"/>
        <v>0</v>
      </c>
      <c r="CF271" s="7">
        <f t="shared" ca="1" si="226"/>
        <v>0</v>
      </c>
    </row>
    <row r="272" spans="1:84" s="7" customFormat="1" x14ac:dyDescent="0.2">
      <c r="A272" s="149"/>
      <c r="B272" s="14">
        <f t="shared" si="188"/>
        <v>0</v>
      </c>
      <c r="C272" s="12">
        <f t="shared" si="189"/>
        <v>0</v>
      </c>
      <c r="D272" s="17">
        <f t="shared" si="227"/>
        <v>266</v>
      </c>
      <c r="E272" s="17">
        <f t="shared" ca="1" si="190"/>
        <v>82</v>
      </c>
      <c r="F272" s="12">
        <f t="shared" si="185"/>
        <v>1</v>
      </c>
      <c r="G272" s="12">
        <f t="shared" si="228"/>
        <v>45</v>
      </c>
      <c r="H272" s="17">
        <f t="shared" si="186"/>
        <v>23</v>
      </c>
      <c r="I272" s="29">
        <f t="shared" si="191"/>
        <v>0</v>
      </c>
      <c r="J272" s="211">
        <f>IFERROR(VLOOKUP(H272,Charges!$T$6:$U$35,2,0)*C272,0)</f>
        <v>0</v>
      </c>
      <c r="K272" s="29">
        <f t="shared" si="192"/>
        <v>0</v>
      </c>
      <c r="L272" s="29">
        <f t="shared" si="193"/>
        <v>0</v>
      </c>
      <c r="M272" s="147">
        <f t="shared" ca="1" si="194"/>
        <v>0</v>
      </c>
      <c r="N272" s="148">
        <f ca="1">IF(AND(Option_SPW="Y",H272&gt;=Lock_In_Period,Z271&gt;SPW_Amount_pa+IF(option="Single",1/5*pr,2*pr),H272&gt;=SPW_Start_Year,H272&lt;=SPW_Start_Year+SPW_Duration-1,age+H272&gt;=Legal_Age),IF(AND(F272=0,SPW_Payout_Freq=1),SPW_Amount_pa,IF(AND(SPW_Payout_Freq=2,MOD(F272,6)=0),SPW_Amount_pa/SPW_Payout_Freq,IF(AND(SPW_Payout_Freq=4,MOD(F272,3)=0),SPW_Amount_pa/SPW_Payout_Freq,IF(SPW_Payout_Freq=12,SPW_Amount_pa/SPW_Payout_Freq,0)))),0)+IFERROR(VLOOKUP(H272,Input!$B$68:$C$74,2,0),0)*(F272=0)*(Option_PW="Y")*(Option_SPW="N")*(age+H272&gt;=Legal_Age)</f>
        <v>0</v>
      </c>
      <c r="O272" s="148">
        <f t="shared" ca="1" si="220"/>
        <v>0</v>
      </c>
      <c r="P272" s="14">
        <f ca="1">(MAX(MAX(sa-CF271*Flag_UL_Type,105%*SUM($I$7:I272))-(AD271+L272-N272)*Flag_UL_Type,0)*B272)</f>
        <v>0</v>
      </c>
      <c r="Q272" s="213">
        <f t="shared" si="195"/>
        <v>0</v>
      </c>
      <c r="R272" s="14">
        <f t="shared" ca="1" si="196"/>
        <v>0</v>
      </c>
      <c r="S272" s="14">
        <f t="shared" ca="1" si="197"/>
        <v>0</v>
      </c>
      <c r="T272" s="14">
        <f>IFERROR(IF(WoP_Flag="Y",IF(fq=1,VLOOKUP(ppt*fq-H272,Charges!$AN$41:$AO$59,2,FALSE),IF(fq=2,VLOOKUP(ppt*fq-G272,Charges!$AP$41:$AQ$79,2,FALSE),VLOOKUP(ppt*fq-D272,Charges!$AR$41:$AS$279,2,FALSE)))*pr/fq,0),0)</f>
        <v>0</v>
      </c>
      <c r="U272" s="14">
        <f ca="1">IFERROR(((T272*(VLOOKUP(Input!$D$18+H272-1,Tab_Mort_Charge,IF(Gender_2="M",2,3),FALSE)*(1+_emr2)+_rpm2)/IF(Model_Type="LA_PQIS",1000/0.0833,(12*1000))))*Flag_Mort_Rider_Charge*(T272&gt;0),0)</f>
        <v>0</v>
      </c>
      <c r="V272" s="34">
        <f>ROUND(MIN(IF(H272&gt;=7,Charges!$C$12*(1+Charges!$C$14)^((H272-7+1)),VLOOKUP(H272,Charges!$B$7:$C$12,2,0))*pr,Charges!$C$13)*B272,Round)</f>
        <v>0</v>
      </c>
      <c r="W272" s="14">
        <f t="shared" ca="1" si="198"/>
        <v>0</v>
      </c>
      <c r="X272" s="14">
        <f t="shared" ca="1" si="199"/>
        <v>0</v>
      </c>
      <c r="Y272" s="213">
        <f t="shared" ca="1" si="221"/>
        <v>0</v>
      </c>
      <c r="Z272" s="14">
        <f t="shared" ca="1" si="200"/>
        <v>0</v>
      </c>
      <c r="AA272" s="14">
        <f>IF(AND($H272=pt,$F272=11),SUM($K$7:K272)*VLOOKUP(pt,ROC,2,FALSE),0)</f>
        <v>0</v>
      </c>
      <c r="AB272" s="14">
        <f>IF(AND($H272=pt,$F272=11),SUM($V$7:V272)*VLOOKUP(pt,ROC,2,FALSE),0)</f>
        <v>0</v>
      </c>
      <c r="AC272" s="14">
        <f>IF(AND($H272=pt,$F272=11),SUM($Q$7:Q272)*VLOOKUP(pt,ROC,2,FALSE),0)</f>
        <v>0</v>
      </c>
      <c r="AD272" s="14">
        <f t="shared" ca="1" si="222"/>
        <v>0</v>
      </c>
      <c r="AE272" s="14">
        <f ca="1">(MAX(sa-CF271*Flag_UL_Type,105%*SUM($I$7:I272),Z272)+AU272)*B272</f>
        <v>0</v>
      </c>
      <c r="AF272" s="136"/>
      <c r="AG272" s="18">
        <v>266</v>
      </c>
      <c r="AH272" s="30">
        <f t="shared" ca="1" si="201"/>
        <v>0</v>
      </c>
      <c r="AI272" s="58"/>
      <c r="AJ272" s="50">
        <f>IF(AND(Option_Sys_TopUp&gt;="Y",H272&gt;=sytp,H272&lt;=(dtp+sytp-1),F272=0,H272&lt;=ppt+1),atp,0)+IFERROR(VLOOKUP(H272,Input!$B$55:$C$61,2,0),0)*(F272=0)*(Option_TopUP="Y")*(Option_Sys_TopUp="N")*B272*(pt&gt;=H272+5)</f>
        <v>0</v>
      </c>
      <c r="AK272" s="50">
        <f t="shared" si="202"/>
        <v>0</v>
      </c>
      <c r="AL272" s="50">
        <f t="shared" si="223"/>
        <v>0</v>
      </c>
      <c r="AM272" s="50">
        <f t="shared" ca="1" si="203"/>
        <v>0</v>
      </c>
      <c r="AN272" s="50">
        <f>IF(B272=0,0,AT272*(_rpm1+(1+_emr1)*VLOOKUP(E272,Tab_Mort_Charge,IF(Input!$C$12="M",2,3),0))*(0.001*0.0833)*Flag_Mort_Rider_Charge*(AT272&gt;0))</f>
        <v>0</v>
      </c>
      <c r="AO272" s="50">
        <f t="shared" ca="1" si="224"/>
        <v>0</v>
      </c>
      <c r="AP272" s="50">
        <f t="shared" ca="1" si="187"/>
        <v>0</v>
      </c>
      <c r="AQ272" s="50">
        <f t="shared" ca="1" si="204"/>
        <v>0</v>
      </c>
      <c r="AR272" s="50">
        <f t="shared" ca="1" si="205"/>
        <v>0</v>
      </c>
      <c r="AS272" s="50">
        <f t="shared" si="206"/>
        <v>0</v>
      </c>
      <c r="AT272" s="50">
        <f ca="1">(MAX((MAX(AS272,105%*SUM($AJ$7:AJ272))-AM272*Flag_UL_Type),0)*B272)</f>
        <v>0</v>
      </c>
      <c r="AU272" s="50">
        <f ca="1">(MAX(AS272,AR272,105%*SUM($AJ$7:AJ272))*B272)</f>
        <v>0</v>
      </c>
      <c r="AV272" s="125"/>
      <c r="AW272" s="13"/>
      <c r="AX272" s="13"/>
      <c r="AY272" s="13"/>
      <c r="AZ272" s="13"/>
      <c r="BA272" s="13"/>
      <c r="BG272" s="51">
        <f t="shared" si="207"/>
        <v>0</v>
      </c>
      <c r="BH272" s="51">
        <f t="shared" si="208"/>
        <v>0</v>
      </c>
      <c r="BI272" s="51">
        <f t="shared" ca="1" si="209"/>
        <v>0</v>
      </c>
      <c r="BJ272" s="51">
        <f t="shared" ca="1" si="210"/>
        <v>0</v>
      </c>
      <c r="BK272" s="51">
        <f t="shared" si="211"/>
        <v>0</v>
      </c>
      <c r="BL272" s="51">
        <f t="shared" ca="1" si="212"/>
        <v>0</v>
      </c>
      <c r="BM272" s="51">
        <f t="shared" si="213"/>
        <v>0</v>
      </c>
      <c r="BN272" s="51">
        <f t="shared" si="214"/>
        <v>0</v>
      </c>
      <c r="BO272" s="51">
        <f t="shared" ca="1" si="215"/>
        <v>0</v>
      </c>
      <c r="BP272" s="51">
        <f t="shared" ca="1" si="216"/>
        <v>0</v>
      </c>
      <c r="BQ272" s="120"/>
      <c r="BR272" s="32"/>
      <c r="BS272" s="126"/>
      <c r="BT272" s="16"/>
      <c r="BU272" s="58"/>
      <c r="BW272" s="51">
        <f>VLOOKUP(H272,Charges!$AT$4:$AU$33,2,FALSE)*I272</f>
        <v>0</v>
      </c>
      <c r="BX272" s="51">
        <f t="shared" si="217"/>
        <v>0</v>
      </c>
      <c r="BY272" s="51">
        <f t="shared" si="225"/>
        <v>0</v>
      </c>
      <c r="BZ272" s="151"/>
      <c r="CA272" s="151"/>
      <c r="CB272" s="32"/>
      <c r="CC272" s="16">
        <f ca="1">SUM($N$7:$N272)</f>
        <v>0</v>
      </c>
      <c r="CD272" s="16">
        <f t="shared" ca="1" si="218"/>
        <v>0</v>
      </c>
      <c r="CE272" s="16">
        <f t="shared" ca="1" si="219"/>
        <v>0</v>
      </c>
      <c r="CF272" s="7">
        <f t="shared" ca="1" si="226"/>
        <v>0</v>
      </c>
    </row>
    <row r="273" spans="1:84" s="7" customFormat="1" x14ac:dyDescent="0.2">
      <c r="A273" s="149"/>
      <c r="B273" s="14">
        <f t="shared" si="188"/>
        <v>0</v>
      </c>
      <c r="C273" s="12">
        <f t="shared" si="189"/>
        <v>0</v>
      </c>
      <c r="D273" s="17">
        <f t="shared" si="227"/>
        <v>267</v>
      </c>
      <c r="E273" s="17">
        <f t="shared" ca="1" si="190"/>
        <v>82</v>
      </c>
      <c r="F273" s="12">
        <f t="shared" si="185"/>
        <v>2</v>
      </c>
      <c r="G273" s="12">
        <f t="shared" si="228"/>
        <v>45</v>
      </c>
      <c r="H273" s="17">
        <f t="shared" si="186"/>
        <v>23</v>
      </c>
      <c r="I273" s="29">
        <f t="shared" si="191"/>
        <v>0</v>
      </c>
      <c r="J273" s="211">
        <f>IFERROR(VLOOKUP(H273,Charges!$T$6:$U$35,2,0)*C273,0)</f>
        <v>0</v>
      </c>
      <c r="K273" s="29">
        <f t="shared" si="192"/>
        <v>0</v>
      </c>
      <c r="L273" s="29">
        <f t="shared" si="193"/>
        <v>0</v>
      </c>
      <c r="M273" s="147">
        <f t="shared" ca="1" si="194"/>
        <v>0</v>
      </c>
      <c r="N273" s="148">
        <f ca="1">IF(AND(Option_SPW="Y",H273&gt;=Lock_In_Period,Z272&gt;SPW_Amount_pa+IF(option="Single",1/5*pr,2*pr),H273&gt;=SPW_Start_Year,H273&lt;=SPW_Start_Year+SPW_Duration-1,age+H273&gt;=Legal_Age),IF(AND(F273=0,SPW_Payout_Freq=1),SPW_Amount_pa,IF(AND(SPW_Payout_Freq=2,MOD(F273,6)=0),SPW_Amount_pa/SPW_Payout_Freq,IF(AND(SPW_Payout_Freq=4,MOD(F273,3)=0),SPW_Amount_pa/SPW_Payout_Freq,IF(SPW_Payout_Freq=12,SPW_Amount_pa/SPW_Payout_Freq,0)))),0)+IFERROR(VLOOKUP(H273,Input!$B$68:$C$74,2,0),0)*(F273=0)*(Option_PW="Y")*(Option_SPW="N")*(age+H273&gt;=Legal_Age)</f>
        <v>0</v>
      </c>
      <c r="O273" s="148">
        <f t="shared" ca="1" si="220"/>
        <v>0</v>
      </c>
      <c r="P273" s="14">
        <f ca="1">(MAX(MAX(sa-CF272*Flag_UL_Type,105%*SUM($I$7:I273))-(AD272+L273-N273)*Flag_UL_Type,0)*B273)</f>
        <v>0</v>
      </c>
      <c r="Q273" s="213">
        <f t="shared" si="195"/>
        <v>0</v>
      </c>
      <c r="R273" s="14">
        <f t="shared" ca="1" si="196"/>
        <v>0</v>
      </c>
      <c r="S273" s="14">
        <f t="shared" ca="1" si="197"/>
        <v>0</v>
      </c>
      <c r="T273" s="14">
        <f>IFERROR(IF(WoP_Flag="Y",IF(fq=1,VLOOKUP(ppt*fq-H273,Charges!$AN$41:$AO$59,2,FALSE),IF(fq=2,VLOOKUP(ppt*fq-G273,Charges!$AP$41:$AQ$79,2,FALSE),VLOOKUP(ppt*fq-D273,Charges!$AR$41:$AS$279,2,FALSE)))*pr/fq,0),0)</f>
        <v>0</v>
      </c>
      <c r="U273" s="14">
        <f ca="1">IFERROR(((T273*(VLOOKUP(Input!$D$18+H273-1,Tab_Mort_Charge,IF(Gender_2="M",2,3),FALSE)*(1+_emr2)+_rpm2)/IF(Model_Type="LA_PQIS",1000/0.0833,(12*1000))))*Flag_Mort_Rider_Charge*(T273&gt;0),0)</f>
        <v>0</v>
      </c>
      <c r="V273" s="34">
        <f>ROUND(MIN(IF(H273&gt;=7,Charges!$C$12*(1+Charges!$C$14)^((H273-7+1)),VLOOKUP(H273,Charges!$B$7:$C$12,2,0))*pr,Charges!$C$13)*B273,Round)</f>
        <v>0</v>
      </c>
      <c r="W273" s="14">
        <f t="shared" ca="1" si="198"/>
        <v>0</v>
      </c>
      <c r="X273" s="14">
        <f t="shared" ca="1" si="199"/>
        <v>0</v>
      </c>
      <c r="Y273" s="213">
        <f t="shared" ca="1" si="221"/>
        <v>0</v>
      </c>
      <c r="Z273" s="14">
        <f t="shared" ca="1" si="200"/>
        <v>0</v>
      </c>
      <c r="AA273" s="14">
        <f>IF(AND($H273=pt,$F273=11),SUM($K$7:K273)*VLOOKUP(pt,ROC,2,FALSE),0)</f>
        <v>0</v>
      </c>
      <c r="AB273" s="14">
        <f>IF(AND($H273=pt,$F273=11),SUM($V$7:V273)*VLOOKUP(pt,ROC,2,FALSE),0)</f>
        <v>0</v>
      </c>
      <c r="AC273" s="14">
        <f>IF(AND($H273=pt,$F273=11),SUM($Q$7:Q273)*VLOOKUP(pt,ROC,2,FALSE),0)</f>
        <v>0</v>
      </c>
      <c r="AD273" s="14">
        <f t="shared" ca="1" si="222"/>
        <v>0</v>
      </c>
      <c r="AE273" s="14">
        <f ca="1">(MAX(sa-CF272*Flag_UL_Type,105%*SUM($I$7:I273),Z273)+AU273)*B273</f>
        <v>0</v>
      </c>
      <c r="AF273" s="136"/>
      <c r="AG273" s="18">
        <v>267</v>
      </c>
      <c r="AH273" s="30">
        <f t="shared" ca="1" si="201"/>
        <v>0</v>
      </c>
      <c r="AI273" s="58"/>
      <c r="AJ273" s="50">
        <f>IF(AND(Option_Sys_TopUp&gt;="Y",H273&gt;=sytp,H273&lt;=(dtp+sytp-1),F273=0,H273&lt;=ppt+1),atp,0)+IFERROR(VLOOKUP(H273,Input!$B$55:$C$61,2,0),0)*(F273=0)*(Option_TopUP="Y")*(Option_Sys_TopUp="N")*B273*(pt&gt;=H273+5)</f>
        <v>0</v>
      </c>
      <c r="AK273" s="50">
        <f t="shared" si="202"/>
        <v>0</v>
      </c>
      <c r="AL273" s="50">
        <f t="shared" si="223"/>
        <v>0</v>
      </c>
      <c r="AM273" s="50">
        <f t="shared" ca="1" si="203"/>
        <v>0</v>
      </c>
      <c r="AN273" s="50">
        <f>IF(B273=0,0,AT273*(_rpm1+(1+_emr1)*VLOOKUP(E273,Tab_Mort_Charge,IF(Input!$C$12="M",2,3),0))*(0.001*0.0833)*Flag_Mort_Rider_Charge*(AT273&gt;0))</f>
        <v>0</v>
      </c>
      <c r="AO273" s="50">
        <f t="shared" ca="1" si="224"/>
        <v>0</v>
      </c>
      <c r="AP273" s="50">
        <f t="shared" ca="1" si="187"/>
        <v>0</v>
      </c>
      <c r="AQ273" s="50">
        <f t="shared" ca="1" si="204"/>
        <v>0</v>
      </c>
      <c r="AR273" s="50">
        <f t="shared" ca="1" si="205"/>
        <v>0</v>
      </c>
      <c r="AS273" s="50">
        <f t="shared" si="206"/>
        <v>0</v>
      </c>
      <c r="AT273" s="50">
        <f ca="1">(MAX((MAX(AS273,105%*SUM($AJ$7:AJ273))-AM273*Flag_UL_Type),0)*B273)</f>
        <v>0</v>
      </c>
      <c r="AU273" s="50">
        <f ca="1">(MAX(AS273,AR273,105%*SUM($AJ$7:AJ273))*B273)</f>
        <v>0</v>
      </c>
      <c r="AV273" s="125"/>
      <c r="AW273" s="13"/>
      <c r="AX273" s="13"/>
      <c r="AY273" s="13"/>
      <c r="AZ273" s="13"/>
      <c r="BA273" s="13"/>
      <c r="BG273" s="51">
        <f t="shared" si="207"/>
        <v>0</v>
      </c>
      <c r="BH273" s="51">
        <f t="shared" si="208"/>
        <v>0</v>
      </c>
      <c r="BI273" s="51">
        <f t="shared" ca="1" si="209"/>
        <v>0</v>
      </c>
      <c r="BJ273" s="51">
        <f t="shared" ca="1" si="210"/>
        <v>0</v>
      </c>
      <c r="BK273" s="51">
        <f t="shared" si="211"/>
        <v>0</v>
      </c>
      <c r="BL273" s="51">
        <f t="shared" ca="1" si="212"/>
        <v>0</v>
      </c>
      <c r="BM273" s="51">
        <f t="shared" si="213"/>
        <v>0</v>
      </c>
      <c r="BN273" s="51">
        <f t="shared" si="214"/>
        <v>0</v>
      </c>
      <c r="BO273" s="51">
        <f t="shared" ca="1" si="215"/>
        <v>0</v>
      </c>
      <c r="BP273" s="51">
        <f t="shared" ca="1" si="216"/>
        <v>0</v>
      </c>
      <c r="BQ273" s="120"/>
      <c r="BR273" s="32"/>
      <c r="BS273" s="126"/>
      <c r="BT273" s="16"/>
      <c r="BU273" s="58"/>
      <c r="BW273" s="51">
        <f>VLOOKUP(H273,Charges!$AT$4:$AU$33,2,FALSE)*I273</f>
        <v>0</v>
      </c>
      <c r="BX273" s="51">
        <f t="shared" si="217"/>
        <v>0</v>
      </c>
      <c r="BY273" s="51">
        <f t="shared" si="225"/>
        <v>0</v>
      </c>
      <c r="BZ273" s="151"/>
      <c r="CA273" s="151"/>
      <c r="CB273" s="32"/>
      <c r="CC273" s="16">
        <f ca="1">SUM($N$7:$N273)</f>
        <v>0</v>
      </c>
      <c r="CD273" s="16">
        <f t="shared" ca="1" si="218"/>
        <v>0</v>
      </c>
      <c r="CE273" s="16">
        <f t="shared" ca="1" si="219"/>
        <v>0</v>
      </c>
      <c r="CF273" s="7">
        <f t="shared" ca="1" si="226"/>
        <v>0</v>
      </c>
    </row>
    <row r="274" spans="1:84" s="7" customFormat="1" x14ac:dyDescent="0.2">
      <c r="A274" s="149"/>
      <c r="B274" s="14">
        <f t="shared" si="188"/>
        <v>0</v>
      </c>
      <c r="C274" s="12">
        <f t="shared" si="189"/>
        <v>0</v>
      </c>
      <c r="D274" s="17">
        <f t="shared" si="227"/>
        <v>268</v>
      </c>
      <c r="E274" s="17">
        <f t="shared" ca="1" si="190"/>
        <v>82</v>
      </c>
      <c r="F274" s="12">
        <f t="shared" si="185"/>
        <v>3</v>
      </c>
      <c r="G274" s="12">
        <f t="shared" si="228"/>
        <v>45</v>
      </c>
      <c r="H274" s="17">
        <f t="shared" si="186"/>
        <v>23</v>
      </c>
      <c r="I274" s="29">
        <f t="shared" si="191"/>
        <v>0</v>
      </c>
      <c r="J274" s="211">
        <f>IFERROR(VLOOKUP(H274,Charges!$T$6:$U$35,2,0)*C274,0)</f>
        <v>0</v>
      </c>
      <c r="K274" s="29">
        <f t="shared" si="192"/>
        <v>0</v>
      </c>
      <c r="L274" s="29">
        <f t="shared" si="193"/>
        <v>0</v>
      </c>
      <c r="M274" s="147">
        <f t="shared" ca="1" si="194"/>
        <v>0</v>
      </c>
      <c r="N274" s="148">
        <f ca="1">IF(AND(Option_SPW="Y",H274&gt;=Lock_In_Period,Z273&gt;SPW_Amount_pa+IF(option="Single",1/5*pr,2*pr),H274&gt;=SPW_Start_Year,H274&lt;=SPW_Start_Year+SPW_Duration-1,age+H274&gt;=Legal_Age),IF(AND(F274=0,SPW_Payout_Freq=1),SPW_Amount_pa,IF(AND(SPW_Payout_Freq=2,MOD(F274,6)=0),SPW_Amount_pa/SPW_Payout_Freq,IF(AND(SPW_Payout_Freq=4,MOD(F274,3)=0),SPW_Amount_pa/SPW_Payout_Freq,IF(SPW_Payout_Freq=12,SPW_Amount_pa/SPW_Payout_Freq,0)))),0)+IFERROR(VLOOKUP(H274,Input!$B$68:$C$74,2,0),0)*(F274=0)*(Option_PW="Y")*(Option_SPW="N")*(age+H274&gt;=Legal_Age)</f>
        <v>0</v>
      </c>
      <c r="O274" s="148">
        <f t="shared" ca="1" si="220"/>
        <v>0</v>
      </c>
      <c r="P274" s="14">
        <f ca="1">(MAX(MAX(sa-CF273*Flag_UL_Type,105%*SUM($I$7:I274))-(AD273+L274-N274)*Flag_UL_Type,0)*B274)</f>
        <v>0</v>
      </c>
      <c r="Q274" s="213">
        <f t="shared" si="195"/>
        <v>0</v>
      </c>
      <c r="R274" s="14">
        <f t="shared" ca="1" si="196"/>
        <v>0</v>
      </c>
      <c r="S274" s="14">
        <f t="shared" ca="1" si="197"/>
        <v>0</v>
      </c>
      <c r="T274" s="14">
        <f>IFERROR(IF(WoP_Flag="Y",IF(fq=1,VLOOKUP(ppt*fq-H274,Charges!$AN$41:$AO$59,2,FALSE),IF(fq=2,VLOOKUP(ppt*fq-G274,Charges!$AP$41:$AQ$79,2,FALSE),VLOOKUP(ppt*fq-D274,Charges!$AR$41:$AS$279,2,FALSE)))*pr/fq,0),0)</f>
        <v>0</v>
      </c>
      <c r="U274" s="14">
        <f ca="1">IFERROR(((T274*(VLOOKUP(Input!$D$18+H274-1,Tab_Mort_Charge,IF(Gender_2="M",2,3),FALSE)*(1+_emr2)+_rpm2)/IF(Model_Type="LA_PQIS",1000/0.0833,(12*1000))))*Flag_Mort_Rider_Charge*(T274&gt;0),0)</f>
        <v>0</v>
      </c>
      <c r="V274" s="34">
        <f>ROUND(MIN(IF(H274&gt;=7,Charges!$C$12*(1+Charges!$C$14)^((H274-7+1)),VLOOKUP(H274,Charges!$B$7:$C$12,2,0))*pr,Charges!$C$13)*B274,Round)</f>
        <v>0</v>
      </c>
      <c r="W274" s="14">
        <f t="shared" ca="1" si="198"/>
        <v>0</v>
      </c>
      <c r="X274" s="14">
        <f t="shared" ca="1" si="199"/>
        <v>0</v>
      </c>
      <c r="Y274" s="213">
        <f t="shared" ca="1" si="221"/>
        <v>0</v>
      </c>
      <c r="Z274" s="14">
        <f t="shared" ca="1" si="200"/>
        <v>0</v>
      </c>
      <c r="AA274" s="14">
        <f>IF(AND($H274=pt,$F274=11),SUM($K$7:K274)*VLOOKUP(pt,ROC,2,FALSE),0)</f>
        <v>0</v>
      </c>
      <c r="AB274" s="14">
        <f>IF(AND($H274=pt,$F274=11),SUM($V$7:V274)*VLOOKUP(pt,ROC,2,FALSE),0)</f>
        <v>0</v>
      </c>
      <c r="AC274" s="14">
        <f>IF(AND($H274=pt,$F274=11),SUM($Q$7:Q274)*VLOOKUP(pt,ROC,2,FALSE),0)</f>
        <v>0</v>
      </c>
      <c r="AD274" s="14">
        <f t="shared" ca="1" si="222"/>
        <v>0</v>
      </c>
      <c r="AE274" s="14">
        <f ca="1">(MAX(sa-CF273*Flag_UL_Type,105%*SUM($I$7:I274),Z274)+AU274)*B274</f>
        <v>0</v>
      </c>
      <c r="AF274" s="136"/>
      <c r="AG274" s="18">
        <v>268</v>
      </c>
      <c r="AH274" s="30">
        <f t="shared" ca="1" si="201"/>
        <v>0</v>
      </c>
      <c r="AI274" s="58"/>
      <c r="AJ274" s="50">
        <f>IF(AND(Option_Sys_TopUp&gt;="Y",H274&gt;=sytp,H274&lt;=(dtp+sytp-1),F274=0,H274&lt;=ppt+1),atp,0)+IFERROR(VLOOKUP(H274,Input!$B$55:$C$61,2,0),0)*(F274=0)*(Option_TopUP="Y")*(Option_Sys_TopUp="N")*B274*(pt&gt;=H274+5)</f>
        <v>0</v>
      </c>
      <c r="AK274" s="50">
        <f t="shared" si="202"/>
        <v>0</v>
      </c>
      <c r="AL274" s="50">
        <f t="shared" si="223"/>
        <v>0</v>
      </c>
      <c r="AM274" s="50">
        <f t="shared" ca="1" si="203"/>
        <v>0</v>
      </c>
      <c r="AN274" s="50">
        <f>IF(B274=0,0,AT274*(_rpm1+(1+_emr1)*VLOOKUP(E274,Tab_Mort_Charge,IF(Input!$C$12="M",2,3),0))*(0.001*0.0833)*Flag_Mort_Rider_Charge*(AT274&gt;0))</f>
        <v>0</v>
      </c>
      <c r="AO274" s="50">
        <f t="shared" ca="1" si="224"/>
        <v>0</v>
      </c>
      <c r="AP274" s="50">
        <f t="shared" ca="1" si="187"/>
        <v>0</v>
      </c>
      <c r="AQ274" s="50">
        <f t="shared" ca="1" si="204"/>
        <v>0</v>
      </c>
      <c r="AR274" s="50">
        <f t="shared" ca="1" si="205"/>
        <v>0</v>
      </c>
      <c r="AS274" s="50">
        <f t="shared" si="206"/>
        <v>0</v>
      </c>
      <c r="AT274" s="50">
        <f ca="1">(MAX((MAX(AS274,105%*SUM($AJ$7:AJ274))-AM274*Flag_UL_Type),0)*B274)</f>
        <v>0</v>
      </c>
      <c r="AU274" s="50">
        <f ca="1">(MAX(AS274,AR274,105%*SUM($AJ$7:AJ274))*B274)</f>
        <v>0</v>
      </c>
      <c r="AV274" s="125"/>
      <c r="AW274" s="13"/>
      <c r="AX274" s="13"/>
      <c r="AY274" s="13"/>
      <c r="AZ274" s="13"/>
      <c r="BA274" s="13"/>
      <c r="BG274" s="51">
        <f t="shared" si="207"/>
        <v>0</v>
      </c>
      <c r="BH274" s="51">
        <f t="shared" si="208"/>
        <v>0</v>
      </c>
      <c r="BI274" s="51">
        <f t="shared" ca="1" si="209"/>
        <v>0</v>
      </c>
      <c r="BJ274" s="51">
        <f t="shared" ca="1" si="210"/>
        <v>0</v>
      </c>
      <c r="BK274" s="51">
        <f t="shared" si="211"/>
        <v>0</v>
      </c>
      <c r="BL274" s="51">
        <f t="shared" ca="1" si="212"/>
        <v>0</v>
      </c>
      <c r="BM274" s="51">
        <f t="shared" si="213"/>
        <v>0</v>
      </c>
      <c r="BN274" s="51">
        <f t="shared" si="214"/>
        <v>0</v>
      </c>
      <c r="BO274" s="51">
        <f t="shared" ca="1" si="215"/>
        <v>0</v>
      </c>
      <c r="BP274" s="51">
        <f t="shared" ca="1" si="216"/>
        <v>0</v>
      </c>
      <c r="BQ274" s="120"/>
      <c r="BR274" s="32"/>
      <c r="BS274" s="126"/>
      <c r="BT274" s="16"/>
      <c r="BU274" s="58"/>
      <c r="BW274" s="51">
        <f>VLOOKUP(H274,Charges!$AT$4:$AU$33,2,FALSE)*I274</f>
        <v>0</v>
      </c>
      <c r="BX274" s="51">
        <f t="shared" si="217"/>
        <v>0</v>
      </c>
      <c r="BY274" s="51">
        <f t="shared" si="225"/>
        <v>0</v>
      </c>
      <c r="BZ274" s="151"/>
      <c r="CA274" s="151"/>
      <c r="CB274" s="32"/>
      <c r="CC274" s="16">
        <f ca="1">SUM($N$7:$N274)</f>
        <v>0</v>
      </c>
      <c r="CD274" s="16">
        <f t="shared" ca="1" si="218"/>
        <v>0</v>
      </c>
      <c r="CE274" s="16">
        <f t="shared" ca="1" si="219"/>
        <v>0</v>
      </c>
      <c r="CF274" s="7">
        <f t="shared" ca="1" si="226"/>
        <v>0</v>
      </c>
    </row>
    <row r="275" spans="1:84" s="7" customFormat="1" x14ac:dyDescent="0.2">
      <c r="A275" s="149"/>
      <c r="B275" s="14">
        <f t="shared" si="188"/>
        <v>0</v>
      </c>
      <c r="C275" s="12">
        <f t="shared" si="189"/>
        <v>0</v>
      </c>
      <c r="D275" s="17">
        <f t="shared" si="227"/>
        <v>269</v>
      </c>
      <c r="E275" s="17">
        <f t="shared" ca="1" si="190"/>
        <v>82</v>
      </c>
      <c r="F275" s="12">
        <f t="shared" si="185"/>
        <v>4</v>
      </c>
      <c r="G275" s="12">
        <f t="shared" si="228"/>
        <v>45</v>
      </c>
      <c r="H275" s="17">
        <f t="shared" si="186"/>
        <v>23</v>
      </c>
      <c r="I275" s="29">
        <f t="shared" si="191"/>
        <v>0</v>
      </c>
      <c r="J275" s="211">
        <f>IFERROR(VLOOKUP(H275,Charges!$T$6:$U$35,2,0)*C275,0)</f>
        <v>0</v>
      </c>
      <c r="K275" s="29">
        <f t="shared" si="192"/>
        <v>0</v>
      </c>
      <c r="L275" s="29">
        <f t="shared" si="193"/>
        <v>0</v>
      </c>
      <c r="M275" s="147">
        <f t="shared" ca="1" si="194"/>
        <v>0</v>
      </c>
      <c r="N275" s="148">
        <f ca="1">IF(AND(Option_SPW="Y",H275&gt;=Lock_In_Period,Z274&gt;SPW_Amount_pa+IF(option="Single",1/5*pr,2*pr),H275&gt;=SPW_Start_Year,H275&lt;=SPW_Start_Year+SPW_Duration-1,age+H275&gt;=Legal_Age),IF(AND(F275=0,SPW_Payout_Freq=1),SPW_Amount_pa,IF(AND(SPW_Payout_Freq=2,MOD(F275,6)=0),SPW_Amount_pa/SPW_Payout_Freq,IF(AND(SPW_Payout_Freq=4,MOD(F275,3)=0),SPW_Amount_pa/SPW_Payout_Freq,IF(SPW_Payout_Freq=12,SPW_Amount_pa/SPW_Payout_Freq,0)))),0)+IFERROR(VLOOKUP(H275,Input!$B$68:$C$74,2,0),0)*(F275=0)*(Option_PW="Y")*(Option_SPW="N")*(age+H275&gt;=Legal_Age)</f>
        <v>0</v>
      </c>
      <c r="O275" s="148">
        <f t="shared" ca="1" si="220"/>
        <v>0</v>
      </c>
      <c r="P275" s="14">
        <f ca="1">(MAX(MAX(sa-CF274*Flag_UL_Type,105%*SUM($I$7:I275))-(AD274+L275-N275)*Flag_UL_Type,0)*B275)</f>
        <v>0</v>
      </c>
      <c r="Q275" s="213">
        <f t="shared" si="195"/>
        <v>0</v>
      </c>
      <c r="R275" s="14">
        <f t="shared" ca="1" si="196"/>
        <v>0</v>
      </c>
      <c r="S275" s="14">
        <f t="shared" ca="1" si="197"/>
        <v>0</v>
      </c>
      <c r="T275" s="14">
        <f>IFERROR(IF(WoP_Flag="Y",IF(fq=1,VLOOKUP(ppt*fq-H275,Charges!$AN$41:$AO$59,2,FALSE),IF(fq=2,VLOOKUP(ppt*fq-G275,Charges!$AP$41:$AQ$79,2,FALSE),VLOOKUP(ppt*fq-D275,Charges!$AR$41:$AS$279,2,FALSE)))*pr/fq,0),0)</f>
        <v>0</v>
      </c>
      <c r="U275" s="14">
        <f ca="1">IFERROR(((T275*(VLOOKUP(Input!$D$18+H275-1,Tab_Mort_Charge,IF(Gender_2="M",2,3),FALSE)*(1+_emr2)+_rpm2)/IF(Model_Type="LA_PQIS",1000/0.0833,(12*1000))))*Flag_Mort_Rider_Charge*(T275&gt;0),0)</f>
        <v>0</v>
      </c>
      <c r="V275" s="34">
        <f>ROUND(MIN(IF(H275&gt;=7,Charges!$C$12*(1+Charges!$C$14)^((H275-7+1)),VLOOKUP(H275,Charges!$B$7:$C$12,2,0))*pr,Charges!$C$13)*B275,Round)</f>
        <v>0</v>
      </c>
      <c r="W275" s="14">
        <f t="shared" ca="1" si="198"/>
        <v>0</v>
      </c>
      <c r="X275" s="14">
        <f t="shared" ca="1" si="199"/>
        <v>0</v>
      </c>
      <c r="Y275" s="213">
        <f t="shared" ca="1" si="221"/>
        <v>0</v>
      </c>
      <c r="Z275" s="14">
        <f t="shared" ca="1" si="200"/>
        <v>0</v>
      </c>
      <c r="AA275" s="14">
        <f>IF(AND($H275=pt,$F275=11),SUM($K$7:K275)*VLOOKUP(pt,ROC,2,FALSE),0)</f>
        <v>0</v>
      </c>
      <c r="AB275" s="14">
        <f>IF(AND($H275=pt,$F275=11),SUM($V$7:V275)*VLOOKUP(pt,ROC,2,FALSE),0)</f>
        <v>0</v>
      </c>
      <c r="AC275" s="14">
        <f>IF(AND($H275=pt,$F275=11),SUM($Q$7:Q275)*VLOOKUP(pt,ROC,2,FALSE),0)</f>
        <v>0</v>
      </c>
      <c r="AD275" s="14">
        <f t="shared" ca="1" si="222"/>
        <v>0</v>
      </c>
      <c r="AE275" s="14">
        <f ca="1">(MAX(sa-CF274*Flag_UL_Type,105%*SUM($I$7:I275),Z275)+AU275)*B275</f>
        <v>0</v>
      </c>
      <c r="AF275" s="136"/>
      <c r="AG275" s="18">
        <v>269</v>
      </c>
      <c r="AH275" s="30">
        <f t="shared" ca="1" si="201"/>
        <v>0</v>
      </c>
      <c r="AI275" s="58"/>
      <c r="AJ275" s="50">
        <f>IF(AND(Option_Sys_TopUp&gt;="Y",H275&gt;=sytp,H275&lt;=(dtp+sytp-1),F275=0,H275&lt;=ppt+1),atp,0)+IFERROR(VLOOKUP(H275,Input!$B$55:$C$61,2,0),0)*(F275=0)*(Option_TopUP="Y")*(Option_Sys_TopUp="N")*B275*(pt&gt;=H275+5)</f>
        <v>0</v>
      </c>
      <c r="AK275" s="50">
        <f t="shared" si="202"/>
        <v>0</v>
      </c>
      <c r="AL275" s="50">
        <f t="shared" si="223"/>
        <v>0</v>
      </c>
      <c r="AM275" s="50">
        <f t="shared" ca="1" si="203"/>
        <v>0</v>
      </c>
      <c r="AN275" s="50">
        <f>IF(B275=0,0,AT275*(_rpm1+(1+_emr1)*VLOOKUP(E275,Tab_Mort_Charge,IF(Input!$C$12="M",2,3),0))*(0.001*0.0833)*Flag_Mort_Rider_Charge*(AT275&gt;0))</f>
        <v>0</v>
      </c>
      <c r="AO275" s="50">
        <f t="shared" ca="1" si="224"/>
        <v>0</v>
      </c>
      <c r="AP275" s="50">
        <f t="shared" ca="1" si="187"/>
        <v>0</v>
      </c>
      <c r="AQ275" s="50">
        <f t="shared" ca="1" si="204"/>
        <v>0</v>
      </c>
      <c r="AR275" s="50">
        <f t="shared" ca="1" si="205"/>
        <v>0</v>
      </c>
      <c r="AS275" s="50">
        <f t="shared" si="206"/>
        <v>0</v>
      </c>
      <c r="AT275" s="50">
        <f ca="1">(MAX((MAX(AS275,105%*SUM($AJ$7:AJ275))-AM275*Flag_UL_Type),0)*B275)</f>
        <v>0</v>
      </c>
      <c r="AU275" s="50">
        <f ca="1">(MAX(AS275,AR275,105%*SUM($AJ$7:AJ275))*B275)</f>
        <v>0</v>
      </c>
      <c r="AV275" s="125"/>
      <c r="AW275" s="13"/>
      <c r="AX275" s="13"/>
      <c r="AY275" s="13"/>
      <c r="AZ275" s="13"/>
      <c r="BA275" s="13"/>
      <c r="BG275" s="51">
        <f t="shared" si="207"/>
        <v>0</v>
      </c>
      <c r="BH275" s="51">
        <f t="shared" si="208"/>
        <v>0</v>
      </c>
      <c r="BI275" s="51">
        <f t="shared" ca="1" si="209"/>
        <v>0</v>
      </c>
      <c r="BJ275" s="51">
        <f t="shared" ca="1" si="210"/>
        <v>0</v>
      </c>
      <c r="BK275" s="51">
        <f t="shared" si="211"/>
        <v>0</v>
      </c>
      <c r="BL275" s="51">
        <f t="shared" ca="1" si="212"/>
        <v>0</v>
      </c>
      <c r="BM275" s="51">
        <f t="shared" si="213"/>
        <v>0</v>
      </c>
      <c r="BN275" s="51">
        <f t="shared" si="214"/>
        <v>0</v>
      </c>
      <c r="BO275" s="51">
        <f t="shared" ca="1" si="215"/>
        <v>0</v>
      </c>
      <c r="BP275" s="51">
        <f t="shared" ca="1" si="216"/>
        <v>0</v>
      </c>
      <c r="BQ275" s="120"/>
      <c r="BR275" s="32"/>
      <c r="BS275" s="126"/>
      <c r="BT275" s="16"/>
      <c r="BU275" s="58"/>
      <c r="BW275" s="51">
        <f>VLOOKUP(H275,Charges!$AT$4:$AU$33,2,FALSE)*I275</f>
        <v>0</v>
      </c>
      <c r="BX275" s="51">
        <f t="shared" si="217"/>
        <v>0</v>
      </c>
      <c r="BY275" s="51">
        <f t="shared" si="225"/>
        <v>0</v>
      </c>
      <c r="BZ275" s="151"/>
      <c r="CA275" s="151"/>
      <c r="CB275" s="32"/>
      <c r="CC275" s="16">
        <f ca="1">SUM($N$7:$N275)</f>
        <v>0</v>
      </c>
      <c r="CD275" s="16">
        <f t="shared" ca="1" si="218"/>
        <v>0</v>
      </c>
      <c r="CE275" s="16">
        <f t="shared" ca="1" si="219"/>
        <v>0</v>
      </c>
      <c r="CF275" s="7">
        <f t="shared" ca="1" si="226"/>
        <v>0</v>
      </c>
    </row>
    <row r="276" spans="1:84" s="7" customFormat="1" x14ac:dyDescent="0.2">
      <c r="A276" s="149"/>
      <c r="B276" s="14">
        <f t="shared" si="188"/>
        <v>0</v>
      </c>
      <c r="C276" s="12">
        <f t="shared" si="189"/>
        <v>0</v>
      </c>
      <c r="D276" s="17">
        <f t="shared" si="227"/>
        <v>270</v>
      </c>
      <c r="E276" s="17">
        <f t="shared" ca="1" si="190"/>
        <v>82</v>
      </c>
      <c r="F276" s="12">
        <f t="shared" ref="F276:F339" si="229">F264</f>
        <v>5</v>
      </c>
      <c r="G276" s="12">
        <f t="shared" si="228"/>
        <v>45</v>
      </c>
      <c r="H276" s="17">
        <f t="shared" ref="H276:H339" si="230">+H264+1</f>
        <v>23</v>
      </c>
      <c r="I276" s="29">
        <f t="shared" si="191"/>
        <v>0</v>
      </c>
      <c r="J276" s="211">
        <f>IFERROR(VLOOKUP(H276,Charges!$T$6:$U$35,2,0)*C276,0)</f>
        <v>0</v>
      </c>
      <c r="K276" s="29">
        <f t="shared" si="192"/>
        <v>0</v>
      </c>
      <c r="L276" s="29">
        <f t="shared" si="193"/>
        <v>0</v>
      </c>
      <c r="M276" s="147">
        <f t="shared" ca="1" si="194"/>
        <v>0</v>
      </c>
      <c r="N276" s="148">
        <f ca="1">IF(AND(Option_SPW="Y",H276&gt;=Lock_In_Period,Z275&gt;SPW_Amount_pa+IF(option="Single",1/5*pr,2*pr),H276&gt;=SPW_Start_Year,H276&lt;=SPW_Start_Year+SPW_Duration-1,age+H276&gt;=Legal_Age),IF(AND(F276=0,SPW_Payout_Freq=1),SPW_Amount_pa,IF(AND(SPW_Payout_Freq=2,MOD(F276,6)=0),SPW_Amount_pa/SPW_Payout_Freq,IF(AND(SPW_Payout_Freq=4,MOD(F276,3)=0),SPW_Amount_pa/SPW_Payout_Freq,IF(SPW_Payout_Freq=12,SPW_Amount_pa/SPW_Payout_Freq,0)))),0)+IFERROR(VLOOKUP(H276,Input!$B$68:$C$74,2,0),0)*(F276=0)*(Option_PW="Y")*(Option_SPW="N")*(age+H276&gt;=Legal_Age)</f>
        <v>0</v>
      </c>
      <c r="O276" s="148">
        <f t="shared" ca="1" si="220"/>
        <v>0</v>
      </c>
      <c r="P276" s="14">
        <f ca="1">(MAX(MAX(sa-CF275*Flag_UL_Type,105%*SUM($I$7:I276))-(AD275+L276-N276)*Flag_UL_Type,0)*B276)</f>
        <v>0</v>
      </c>
      <c r="Q276" s="213">
        <f t="shared" si="195"/>
        <v>0</v>
      </c>
      <c r="R276" s="14">
        <f t="shared" ca="1" si="196"/>
        <v>0</v>
      </c>
      <c r="S276" s="14">
        <f t="shared" ca="1" si="197"/>
        <v>0</v>
      </c>
      <c r="T276" s="14">
        <f>IFERROR(IF(WoP_Flag="Y",IF(fq=1,VLOOKUP(ppt*fq-H276,Charges!$AN$41:$AO$59,2,FALSE),IF(fq=2,VLOOKUP(ppt*fq-G276,Charges!$AP$41:$AQ$79,2,FALSE),VLOOKUP(ppt*fq-D276,Charges!$AR$41:$AS$279,2,FALSE)))*pr/fq,0),0)</f>
        <v>0</v>
      </c>
      <c r="U276" s="14">
        <f ca="1">IFERROR(((T276*(VLOOKUP(Input!$D$18+H276-1,Tab_Mort_Charge,IF(Gender_2="M",2,3),FALSE)*(1+_emr2)+_rpm2)/IF(Model_Type="LA_PQIS",1000/0.0833,(12*1000))))*Flag_Mort_Rider_Charge*(T276&gt;0),0)</f>
        <v>0</v>
      </c>
      <c r="V276" s="34">
        <f>ROUND(MIN(IF(H276&gt;=7,Charges!$C$12*(1+Charges!$C$14)^((H276-7+1)),VLOOKUP(H276,Charges!$B$7:$C$12,2,0))*pr,Charges!$C$13)*B276,Round)</f>
        <v>0</v>
      </c>
      <c r="W276" s="14">
        <f t="shared" ca="1" si="198"/>
        <v>0</v>
      </c>
      <c r="X276" s="14">
        <f t="shared" ca="1" si="199"/>
        <v>0</v>
      </c>
      <c r="Y276" s="213">
        <f t="shared" ca="1" si="221"/>
        <v>0</v>
      </c>
      <c r="Z276" s="14">
        <f t="shared" ca="1" si="200"/>
        <v>0</v>
      </c>
      <c r="AA276" s="14">
        <f>IF(AND($H276=pt,$F276=11),SUM($K$7:K276)*VLOOKUP(pt,ROC,2,FALSE),0)</f>
        <v>0</v>
      </c>
      <c r="AB276" s="14">
        <f>IF(AND($H276=pt,$F276=11),SUM($V$7:V276)*VLOOKUP(pt,ROC,2,FALSE),0)</f>
        <v>0</v>
      </c>
      <c r="AC276" s="14">
        <f>IF(AND($H276=pt,$F276=11),SUM($Q$7:Q276)*VLOOKUP(pt,ROC,2,FALSE),0)</f>
        <v>0</v>
      </c>
      <c r="AD276" s="14">
        <f t="shared" ca="1" si="222"/>
        <v>0</v>
      </c>
      <c r="AE276" s="14">
        <f ca="1">(MAX(sa-CF275*Flag_UL_Type,105%*SUM($I$7:I276),Z276)+AU276)*B276</f>
        <v>0</v>
      </c>
      <c r="AF276" s="136"/>
      <c r="AG276" s="18">
        <v>270</v>
      </c>
      <c r="AH276" s="30">
        <f t="shared" ca="1" si="201"/>
        <v>0</v>
      </c>
      <c r="AI276" s="58"/>
      <c r="AJ276" s="50">
        <f>IF(AND(Option_Sys_TopUp&gt;="Y",H276&gt;=sytp,H276&lt;=(dtp+sytp-1),F276=0,H276&lt;=ppt+1),atp,0)+IFERROR(VLOOKUP(H276,Input!$B$55:$C$61,2,0),0)*(F276=0)*(Option_TopUP="Y")*(Option_Sys_TopUp="N")*B276*(pt&gt;=H276+5)</f>
        <v>0</v>
      </c>
      <c r="AK276" s="50">
        <f t="shared" si="202"/>
        <v>0</v>
      </c>
      <c r="AL276" s="50">
        <f t="shared" si="223"/>
        <v>0</v>
      </c>
      <c r="AM276" s="50">
        <f t="shared" ca="1" si="203"/>
        <v>0</v>
      </c>
      <c r="AN276" s="50">
        <f>IF(B276=0,0,AT276*(_rpm1+(1+_emr1)*VLOOKUP(E276,Tab_Mort_Charge,IF(Input!$C$12="M",2,3),0))*(0.001*0.0833)*Flag_Mort_Rider_Charge*(AT276&gt;0))</f>
        <v>0</v>
      </c>
      <c r="AO276" s="50">
        <f t="shared" ca="1" si="224"/>
        <v>0</v>
      </c>
      <c r="AP276" s="50">
        <f t="shared" ca="1" si="187"/>
        <v>0</v>
      </c>
      <c r="AQ276" s="50">
        <f t="shared" ca="1" si="204"/>
        <v>0</v>
      </c>
      <c r="AR276" s="50">
        <f t="shared" ca="1" si="205"/>
        <v>0</v>
      </c>
      <c r="AS276" s="50">
        <f t="shared" si="206"/>
        <v>0</v>
      </c>
      <c r="AT276" s="50">
        <f ca="1">(MAX((MAX(AS276,105%*SUM($AJ$7:AJ276))-AM276*Flag_UL_Type),0)*B276)</f>
        <v>0</v>
      </c>
      <c r="AU276" s="50">
        <f ca="1">(MAX(AS276,AR276,105%*SUM($AJ$7:AJ276))*B276)</f>
        <v>0</v>
      </c>
      <c r="AV276" s="125"/>
      <c r="AW276" s="13"/>
      <c r="AX276" s="13"/>
      <c r="AY276" s="13"/>
      <c r="AZ276" s="13"/>
      <c r="BA276" s="13"/>
      <c r="BG276" s="51">
        <f t="shared" si="207"/>
        <v>0</v>
      </c>
      <c r="BH276" s="51">
        <f t="shared" si="208"/>
        <v>0</v>
      </c>
      <c r="BI276" s="51">
        <f t="shared" ca="1" si="209"/>
        <v>0</v>
      </c>
      <c r="BJ276" s="51">
        <f t="shared" ca="1" si="210"/>
        <v>0</v>
      </c>
      <c r="BK276" s="51">
        <f t="shared" si="211"/>
        <v>0</v>
      </c>
      <c r="BL276" s="51">
        <f t="shared" ca="1" si="212"/>
        <v>0</v>
      </c>
      <c r="BM276" s="51">
        <f t="shared" si="213"/>
        <v>0</v>
      </c>
      <c r="BN276" s="51">
        <f t="shared" si="214"/>
        <v>0</v>
      </c>
      <c r="BO276" s="51">
        <f t="shared" ca="1" si="215"/>
        <v>0</v>
      </c>
      <c r="BP276" s="51">
        <f t="shared" ca="1" si="216"/>
        <v>0</v>
      </c>
      <c r="BQ276" s="120"/>
      <c r="BR276" s="32"/>
      <c r="BS276" s="126"/>
      <c r="BT276" s="16"/>
      <c r="BU276" s="58"/>
      <c r="BW276" s="51">
        <f>VLOOKUP(H276,Charges!$AT$4:$AU$33,2,FALSE)*I276</f>
        <v>0</v>
      </c>
      <c r="BX276" s="51">
        <f t="shared" si="217"/>
        <v>0</v>
      </c>
      <c r="BY276" s="51">
        <f t="shared" si="225"/>
        <v>0</v>
      </c>
      <c r="BZ276" s="151"/>
      <c r="CA276" s="151"/>
      <c r="CB276" s="32"/>
      <c r="CC276" s="16">
        <f ca="1">SUM($N$7:$N276)</f>
        <v>0</v>
      </c>
      <c r="CD276" s="16">
        <f t="shared" ca="1" si="218"/>
        <v>0</v>
      </c>
      <c r="CE276" s="16">
        <f t="shared" ca="1" si="219"/>
        <v>0</v>
      </c>
      <c r="CF276" s="7">
        <f t="shared" ca="1" si="226"/>
        <v>0</v>
      </c>
    </row>
    <row r="277" spans="1:84" s="7" customFormat="1" x14ac:dyDescent="0.2">
      <c r="A277" s="149"/>
      <c r="B277" s="14">
        <f t="shared" si="188"/>
        <v>0</v>
      </c>
      <c r="C277" s="12">
        <f t="shared" si="189"/>
        <v>0</v>
      </c>
      <c r="D277" s="17">
        <f t="shared" si="227"/>
        <v>271</v>
      </c>
      <c r="E277" s="17">
        <f t="shared" ca="1" si="190"/>
        <v>82</v>
      </c>
      <c r="F277" s="12">
        <f t="shared" si="229"/>
        <v>6</v>
      </c>
      <c r="G277" s="12">
        <f t="shared" si="228"/>
        <v>46</v>
      </c>
      <c r="H277" s="17">
        <f t="shared" si="230"/>
        <v>23</v>
      </c>
      <c r="I277" s="29">
        <f t="shared" si="191"/>
        <v>0</v>
      </c>
      <c r="J277" s="211">
        <f>IFERROR(VLOOKUP(H277,Charges!$T$6:$U$35,2,0)*C277,0)</f>
        <v>0</v>
      </c>
      <c r="K277" s="29">
        <f t="shared" si="192"/>
        <v>0</v>
      </c>
      <c r="L277" s="29">
        <f t="shared" si="193"/>
        <v>0</v>
      </c>
      <c r="M277" s="147">
        <f t="shared" ca="1" si="194"/>
        <v>0</v>
      </c>
      <c r="N277" s="148">
        <f ca="1">IF(AND(Option_SPW="Y",H277&gt;=Lock_In_Period,Z276&gt;SPW_Amount_pa+IF(option="Single",1/5*pr,2*pr),H277&gt;=SPW_Start_Year,H277&lt;=SPW_Start_Year+SPW_Duration-1,age+H277&gt;=Legal_Age),IF(AND(F277=0,SPW_Payout_Freq=1),SPW_Amount_pa,IF(AND(SPW_Payout_Freq=2,MOD(F277,6)=0),SPW_Amount_pa/SPW_Payout_Freq,IF(AND(SPW_Payout_Freq=4,MOD(F277,3)=0),SPW_Amount_pa/SPW_Payout_Freq,IF(SPW_Payout_Freq=12,SPW_Amount_pa/SPW_Payout_Freq,0)))),0)+IFERROR(VLOOKUP(H277,Input!$B$68:$C$74,2,0),0)*(F277=0)*(Option_PW="Y")*(Option_SPW="N")*(age+H277&gt;=Legal_Age)</f>
        <v>0</v>
      </c>
      <c r="O277" s="148">
        <f t="shared" ca="1" si="220"/>
        <v>0</v>
      </c>
      <c r="P277" s="14">
        <f ca="1">(MAX(MAX(sa-CF276*Flag_UL_Type,105%*SUM($I$7:I277))-(AD276+L277-N277)*Flag_UL_Type,0)*B277)</f>
        <v>0</v>
      </c>
      <c r="Q277" s="213">
        <f t="shared" si="195"/>
        <v>0</v>
      </c>
      <c r="R277" s="14">
        <f t="shared" ca="1" si="196"/>
        <v>0</v>
      </c>
      <c r="S277" s="14">
        <f t="shared" ca="1" si="197"/>
        <v>0</v>
      </c>
      <c r="T277" s="14">
        <f>IFERROR(IF(WoP_Flag="Y",IF(fq=1,VLOOKUP(ppt*fq-H277,Charges!$AN$41:$AO$59,2,FALSE),IF(fq=2,VLOOKUP(ppt*fq-G277,Charges!$AP$41:$AQ$79,2,FALSE),VLOOKUP(ppt*fq-D277,Charges!$AR$41:$AS$279,2,FALSE)))*pr/fq,0),0)</f>
        <v>0</v>
      </c>
      <c r="U277" s="14">
        <f ca="1">IFERROR(((T277*(VLOOKUP(Input!$D$18+H277-1,Tab_Mort_Charge,IF(Gender_2="M",2,3),FALSE)*(1+_emr2)+_rpm2)/IF(Model_Type="LA_PQIS",1000/0.0833,(12*1000))))*Flag_Mort_Rider_Charge*(T277&gt;0),0)</f>
        <v>0</v>
      </c>
      <c r="V277" s="34">
        <f>ROUND(MIN(IF(H277&gt;=7,Charges!$C$12*(1+Charges!$C$14)^((H277-7+1)),VLOOKUP(H277,Charges!$B$7:$C$12,2,0))*pr,Charges!$C$13)*B277,Round)</f>
        <v>0</v>
      </c>
      <c r="W277" s="14">
        <f t="shared" ca="1" si="198"/>
        <v>0</v>
      </c>
      <c r="X277" s="14">
        <f t="shared" ca="1" si="199"/>
        <v>0</v>
      </c>
      <c r="Y277" s="213">
        <f t="shared" ca="1" si="221"/>
        <v>0</v>
      </c>
      <c r="Z277" s="14">
        <f t="shared" ca="1" si="200"/>
        <v>0</v>
      </c>
      <c r="AA277" s="14">
        <f>IF(AND($H277=pt,$F277=11),SUM($K$7:K277)*VLOOKUP(pt,ROC,2,FALSE),0)</f>
        <v>0</v>
      </c>
      <c r="AB277" s="14">
        <f>IF(AND($H277=pt,$F277=11),SUM($V$7:V277)*VLOOKUP(pt,ROC,2,FALSE),0)</f>
        <v>0</v>
      </c>
      <c r="AC277" s="14">
        <f>IF(AND($H277=pt,$F277=11),SUM($Q$7:Q277)*VLOOKUP(pt,ROC,2,FALSE),0)</f>
        <v>0</v>
      </c>
      <c r="AD277" s="14">
        <f t="shared" ca="1" si="222"/>
        <v>0</v>
      </c>
      <c r="AE277" s="14">
        <f ca="1">(MAX(sa-CF276*Flag_UL_Type,105%*SUM($I$7:I277),Z277)+AU277)*B277</f>
        <v>0</v>
      </c>
      <c r="AF277" s="136"/>
      <c r="AG277" s="18">
        <v>271</v>
      </c>
      <c r="AH277" s="30">
        <f t="shared" ca="1" si="201"/>
        <v>0</v>
      </c>
      <c r="AI277" s="58"/>
      <c r="AJ277" s="50">
        <f>IF(AND(Option_Sys_TopUp&gt;="Y",H277&gt;=sytp,H277&lt;=(dtp+sytp-1),F277=0,H277&lt;=ppt+1),atp,0)+IFERROR(VLOOKUP(H277,Input!$B$55:$C$61,2,0),0)*(F277=0)*(Option_TopUP="Y")*(Option_Sys_TopUp="N")*B277*(pt&gt;=H277+5)</f>
        <v>0</v>
      </c>
      <c r="AK277" s="50">
        <f t="shared" si="202"/>
        <v>0</v>
      </c>
      <c r="AL277" s="50">
        <f t="shared" si="223"/>
        <v>0</v>
      </c>
      <c r="AM277" s="50">
        <f t="shared" ca="1" si="203"/>
        <v>0</v>
      </c>
      <c r="AN277" s="50">
        <f>IF(B277=0,0,AT277*(_rpm1+(1+_emr1)*VLOOKUP(E277,Tab_Mort_Charge,IF(Input!$C$12="M",2,3),0))*(0.001*0.0833)*Flag_Mort_Rider_Charge*(AT277&gt;0))</f>
        <v>0</v>
      </c>
      <c r="AO277" s="50">
        <f t="shared" ca="1" si="224"/>
        <v>0</v>
      </c>
      <c r="AP277" s="50">
        <f t="shared" ca="1" si="187"/>
        <v>0</v>
      </c>
      <c r="AQ277" s="50">
        <f t="shared" ca="1" si="204"/>
        <v>0</v>
      </c>
      <c r="AR277" s="50">
        <f t="shared" ca="1" si="205"/>
        <v>0</v>
      </c>
      <c r="AS277" s="50">
        <f t="shared" si="206"/>
        <v>0</v>
      </c>
      <c r="AT277" s="50">
        <f ca="1">(MAX((MAX(AS277,105%*SUM($AJ$7:AJ277))-AM277*Flag_UL_Type),0)*B277)</f>
        <v>0</v>
      </c>
      <c r="AU277" s="50">
        <f ca="1">(MAX(AS277,AR277,105%*SUM($AJ$7:AJ277))*B277)</f>
        <v>0</v>
      </c>
      <c r="AV277" s="125"/>
      <c r="AW277" s="13"/>
      <c r="AX277" s="13"/>
      <c r="AY277" s="13"/>
      <c r="AZ277" s="13"/>
      <c r="BA277" s="13"/>
      <c r="BG277" s="51">
        <f t="shared" si="207"/>
        <v>0</v>
      </c>
      <c r="BH277" s="51">
        <f t="shared" si="208"/>
        <v>0</v>
      </c>
      <c r="BI277" s="51">
        <f t="shared" ca="1" si="209"/>
        <v>0</v>
      </c>
      <c r="BJ277" s="51">
        <f t="shared" ca="1" si="210"/>
        <v>0</v>
      </c>
      <c r="BK277" s="51">
        <f t="shared" si="211"/>
        <v>0</v>
      </c>
      <c r="BL277" s="51">
        <f t="shared" ca="1" si="212"/>
        <v>0</v>
      </c>
      <c r="BM277" s="51">
        <f t="shared" si="213"/>
        <v>0</v>
      </c>
      <c r="BN277" s="51">
        <f t="shared" si="214"/>
        <v>0</v>
      </c>
      <c r="BO277" s="51">
        <f t="shared" ca="1" si="215"/>
        <v>0</v>
      </c>
      <c r="BP277" s="51">
        <f t="shared" ca="1" si="216"/>
        <v>0</v>
      </c>
      <c r="BQ277" s="120"/>
      <c r="BR277" s="32"/>
      <c r="BS277" s="126"/>
      <c r="BT277" s="16"/>
      <c r="BU277" s="58"/>
      <c r="BW277" s="51">
        <f>VLOOKUP(H277,Charges!$AT$4:$AU$33,2,FALSE)*I277</f>
        <v>0</v>
      </c>
      <c r="BX277" s="51">
        <f t="shared" si="217"/>
        <v>0</v>
      </c>
      <c r="BY277" s="51">
        <f t="shared" si="225"/>
        <v>0</v>
      </c>
      <c r="BZ277" s="151"/>
      <c r="CA277" s="151"/>
      <c r="CB277" s="32"/>
      <c r="CC277" s="16">
        <f ca="1">SUM($N$7:$N277)</f>
        <v>0</v>
      </c>
      <c r="CD277" s="16">
        <f t="shared" ca="1" si="218"/>
        <v>0</v>
      </c>
      <c r="CE277" s="16">
        <f t="shared" ca="1" si="219"/>
        <v>0</v>
      </c>
      <c r="CF277" s="7">
        <f t="shared" ca="1" si="226"/>
        <v>0</v>
      </c>
    </row>
    <row r="278" spans="1:84" s="7" customFormat="1" x14ac:dyDescent="0.2">
      <c r="A278" s="149"/>
      <c r="B278" s="14">
        <f t="shared" si="188"/>
        <v>0</v>
      </c>
      <c r="C278" s="12">
        <f t="shared" si="189"/>
        <v>0</v>
      </c>
      <c r="D278" s="17">
        <f t="shared" si="227"/>
        <v>272</v>
      </c>
      <c r="E278" s="17">
        <f t="shared" ca="1" si="190"/>
        <v>82</v>
      </c>
      <c r="F278" s="12">
        <f t="shared" si="229"/>
        <v>7</v>
      </c>
      <c r="G278" s="12">
        <f t="shared" si="228"/>
        <v>46</v>
      </c>
      <c r="H278" s="17">
        <f t="shared" si="230"/>
        <v>23</v>
      </c>
      <c r="I278" s="29">
        <f t="shared" si="191"/>
        <v>0</v>
      </c>
      <c r="J278" s="211">
        <f>IFERROR(VLOOKUP(H278,Charges!$T$6:$U$35,2,0)*C278,0)</f>
        <v>0</v>
      </c>
      <c r="K278" s="29">
        <f t="shared" si="192"/>
        <v>0</v>
      </c>
      <c r="L278" s="29">
        <f t="shared" si="193"/>
        <v>0</v>
      </c>
      <c r="M278" s="147">
        <f t="shared" ca="1" si="194"/>
        <v>0</v>
      </c>
      <c r="N278" s="148">
        <f ca="1">IF(AND(Option_SPW="Y",H278&gt;=Lock_In_Period,Z277&gt;SPW_Amount_pa+IF(option="Single",1/5*pr,2*pr),H278&gt;=SPW_Start_Year,H278&lt;=SPW_Start_Year+SPW_Duration-1,age+H278&gt;=Legal_Age),IF(AND(F278=0,SPW_Payout_Freq=1),SPW_Amount_pa,IF(AND(SPW_Payout_Freq=2,MOD(F278,6)=0),SPW_Amount_pa/SPW_Payout_Freq,IF(AND(SPW_Payout_Freq=4,MOD(F278,3)=0),SPW_Amount_pa/SPW_Payout_Freq,IF(SPW_Payout_Freq=12,SPW_Amount_pa/SPW_Payout_Freq,0)))),0)+IFERROR(VLOOKUP(H278,Input!$B$68:$C$74,2,0),0)*(F278=0)*(Option_PW="Y")*(Option_SPW="N")*(age+H278&gt;=Legal_Age)</f>
        <v>0</v>
      </c>
      <c r="O278" s="148">
        <f t="shared" ca="1" si="220"/>
        <v>0</v>
      </c>
      <c r="P278" s="14">
        <f ca="1">(MAX(MAX(sa-CF277*Flag_UL_Type,105%*SUM($I$7:I278))-(AD277+L278-N278)*Flag_UL_Type,0)*B278)</f>
        <v>0</v>
      </c>
      <c r="Q278" s="213">
        <f t="shared" si="195"/>
        <v>0</v>
      </c>
      <c r="R278" s="14">
        <f t="shared" ca="1" si="196"/>
        <v>0</v>
      </c>
      <c r="S278" s="14">
        <f t="shared" ca="1" si="197"/>
        <v>0</v>
      </c>
      <c r="T278" s="14">
        <f>IFERROR(IF(WoP_Flag="Y",IF(fq=1,VLOOKUP(ppt*fq-H278,Charges!$AN$41:$AO$59,2,FALSE),IF(fq=2,VLOOKUP(ppt*fq-G278,Charges!$AP$41:$AQ$79,2,FALSE),VLOOKUP(ppt*fq-D278,Charges!$AR$41:$AS$279,2,FALSE)))*pr/fq,0),0)</f>
        <v>0</v>
      </c>
      <c r="U278" s="14">
        <f ca="1">IFERROR(((T278*(VLOOKUP(Input!$D$18+H278-1,Tab_Mort_Charge,IF(Gender_2="M",2,3),FALSE)*(1+_emr2)+_rpm2)/IF(Model_Type="LA_PQIS",1000/0.0833,(12*1000))))*Flag_Mort_Rider_Charge*(T278&gt;0),0)</f>
        <v>0</v>
      </c>
      <c r="V278" s="34">
        <f>ROUND(MIN(IF(H278&gt;=7,Charges!$C$12*(1+Charges!$C$14)^((H278-7+1)),VLOOKUP(H278,Charges!$B$7:$C$12,2,0))*pr,Charges!$C$13)*B278,Round)</f>
        <v>0</v>
      </c>
      <c r="W278" s="14">
        <f t="shared" ca="1" si="198"/>
        <v>0</v>
      </c>
      <c r="X278" s="14">
        <f t="shared" ca="1" si="199"/>
        <v>0</v>
      </c>
      <c r="Y278" s="213">
        <f t="shared" ca="1" si="221"/>
        <v>0</v>
      </c>
      <c r="Z278" s="14">
        <f t="shared" ca="1" si="200"/>
        <v>0</v>
      </c>
      <c r="AA278" s="14">
        <f>IF(AND($H278=pt,$F278=11),SUM($K$7:K278)*VLOOKUP(pt,ROC,2,FALSE),0)</f>
        <v>0</v>
      </c>
      <c r="AB278" s="14">
        <f>IF(AND($H278=pt,$F278=11),SUM($V$7:V278)*VLOOKUP(pt,ROC,2,FALSE),0)</f>
        <v>0</v>
      </c>
      <c r="AC278" s="14">
        <f>IF(AND($H278=pt,$F278=11),SUM($Q$7:Q278)*VLOOKUP(pt,ROC,2,FALSE),0)</f>
        <v>0</v>
      </c>
      <c r="AD278" s="14">
        <f t="shared" ca="1" si="222"/>
        <v>0</v>
      </c>
      <c r="AE278" s="14">
        <f ca="1">(MAX(sa-CF277*Flag_UL_Type,105%*SUM($I$7:I278),Z278)+AU278)*B278</f>
        <v>0</v>
      </c>
      <c r="AF278" s="136"/>
      <c r="AG278" s="18">
        <v>272</v>
      </c>
      <c r="AH278" s="30">
        <f t="shared" ca="1" si="201"/>
        <v>0</v>
      </c>
      <c r="AI278" s="58"/>
      <c r="AJ278" s="50">
        <f>IF(AND(Option_Sys_TopUp&gt;="Y",H278&gt;=sytp,H278&lt;=(dtp+sytp-1),F278=0,H278&lt;=ppt+1),atp,0)+IFERROR(VLOOKUP(H278,Input!$B$55:$C$61,2,0),0)*(F278=0)*(Option_TopUP="Y")*(Option_Sys_TopUp="N")*B278*(pt&gt;=H278+5)</f>
        <v>0</v>
      </c>
      <c r="AK278" s="50">
        <f t="shared" si="202"/>
        <v>0</v>
      </c>
      <c r="AL278" s="50">
        <f t="shared" si="223"/>
        <v>0</v>
      </c>
      <c r="AM278" s="50">
        <f t="shared" ca="1" si="203"/>
        <v>0</v>
      </c>
      <c r="AN278" s="50">
        <f>IF(B278=0,0,AT278*(_rpm1+(1+_emr1)*VLOOKUP(E278,Tab_Mort_Charge,IF(Input!$C$12="M",2,3),0))*(0.001*0.0833)*Flag_Mort_Rider_Charge*(AT278&gt;0))</f>
        <v>0</v>
      </c>
      <c r="AO278" s="50">
        <f t="shared" ca="1" si="224"/>
        <v>0</v>
      </c>
      <c r="AP278" s="50">
        <f t="shared" ca="1" si="187"/>
        <v>0</v>
      </c>
      <c r="AQ278" s="50">
        <f t="shared" ca="1" si="204"/>
        <v>0</v>
      </c>
      <c r="AR278" s="50">
        <f t="shared" ca="1" si="205"/>
        <v>0</v>
      </c>
      <c r="AS278" s="50">
        <f t="shared" si="206"/>
        <v>0</v>
      </c>
      <c r="AT278" s="50">
        <f ca="1">(MAX((MAX(AS278,105%*SUM($AJ$7:AJ278))-AM278*Flag_UL_Type),0)*B278)</f>
        <v>0</v>
      </c>
      <c r="AU278" s="50">
        <f ca="1">(MAX(AS278,AR278,105%*SUM($AJ$7:AJ278))*B278)</f>
        <v>0</v>
      </c>
      <c r="AV278" s="125"/>
      <c r="AW278" s="13"/>
      <c r="AX278" s="13"/>
      <c r="AY278" s="13"/>
      <c r="AZ278" s="13"/>
      <c r="BA278" s="13"/>
      <c r="BG278" s="51">
        <f t="shared" si="207"/>
        <v>0</v>
      </c>
      <c r="BH278" s="51">
        <f t="shared" si="208"/>
        <v>0</v>
      </c>
      <c r="BI278" s="51">
        <f t="shared" ca="1" si="209"/>
        <v>0</v>
      </c>
      <c r="BJ278" s="51">
        <f t="shared" ca="1" si="210"/>
        <v>0</v>
      </c>
      <c r="BK278" s="51">
        <f t="shared" si="211"/>
        <v>0</v>
      </c>
      <c r="BL278" s="51">
        <f t="shared" ca="1" si="212"/>
        <v>0</v>
      </c>
      <c r="BM278" s="51">
        <f t="shared" si="213"/>
        <v>0</v>
      </c>
      <c r="BN278" s="51">
        <f t="shared" si="214"/>
        <v>0</v>
      </c>
      <c r="BO278" s="51">
        <f t="shared" ca="1" si="215"/>
        <v>0</v>
      </c>
      <c r="BP278" s="51">
        <f t="shared" ca="1" si="216"/>
        <v>0</v>
      </c>
      <c r="BQ278" s="120"/>
      <c r="BR278" s="32"/>
      <c r="BS278" s="126"/>
      <c r="BT278" s="16"/>
      <c r="BU278" s="58"/>
      <c r="BW278" s="51">
        <f>VLOOKUP(H278,Charges!$AT$4:$AU$33,2,FALSE)*I278</f>
        <v>0</v>
      </c>
      <c r="BX278" s="51">
        <f t="shared" si="217"/>
        <v>0</v>
      </c>
      <c r="BY278" s="51">
        <f t="shared" si="225"/>
        <v>0</v>
      </c>
      <c r="BZ278" s="151"/>
      <c r="CA278" s="151"/>
      <c r="CB278" s="32"/>
      <c r="CC278" s="16">
        <f ca="1">SUM($N$7:$N278)</f>
        <v>0</v>
      </c>
      <c r="CD278" s="16">
        <f t="shared" ca="1" si="218"/>
        <v>0</v>
      </c>
      <c r="CE278" s="16">
        <f t="shared" ca="1" si="219"/>
        <v>0</v>
      </c>
      <c r="CF278" s="7">
        <f t="shared" ca="1" si="226"/>
        <v>0</v>
      </c>
    </row>
    <row r="279" spans="1:84" s="7" customFormat="1" x14ac:dyDescent="0.2">
      <c r="A279" s="149"/>
      <c r="B279" s="14">
        <f t="shared" si="188"/>
        <v>0</v>
      </c>
      <c r="C279" s="12">
        <f t="shared" si="189"/>
        <v>0</v>
      </c>
      <c r="D279" s="17">
        <f t="shared" si="227"/>
        <v>273</v>
      </c>
      <c r="E279" s="17">
        <f t="shared" ca="1" si="190"/>
        <v>82</v>
      </c>
      <c r="F279" s="12">
        <f t="shared" si="229"/>
        <v>8</v>
      </c>
      <c r="G279" s="12">
        <f t="shared" si="228"/>
        <v>46</v>
      </c>
      <c r="H279" s="17">
        <f t="shared" si="230"/>
        <v>23</v>
      </c>
      <c r="I279" s="29">
        <f t="shared" si="191"/>
        <v>0</v>
      </c>
      <c r="J279" s="211">
        <f>IFERROR(VLOOKUP(H279,Charges!$T$6:$U$35,2,0)*C279,0)</f>
        <v>0</v>
      </c>
      <c r="K279" s="29">
        <f t="shared" si="192"/>
        <v>0</v>
      </c>
      <c r="L279" s="29">
        <f t="shared" si="193"/>
        <v>0</v>
      </c>
      <c r="M279" s="147">
        <f t="shared" ca="1" si="194"/>
        <v>0</v>
      </c>
      <c r="N279" s="148">
        <f ca="1">IF(AND(Option_SPW="Y",H279&gt;=Lock_In_Period,Z278&gt;SPW_Amount_pa+IF(option="Single",1/5*pr,2*pr),H279&gt;=SPW_Start_Year,H279&lt;=SPW_Start_Year+SPW_Duration-1,age+H279&gt;=Legal_Age),IF(AND(F279=0,SPW_Payout_Freq=1),SPW_Amount_pa,IF(AND(SPW_Payout_Freq=2,MOD(F279,6)=0),SPW_Amount_pa/SPW_Payout_Freq,IF(AND(SPW_Payout_Freq=4,MOD(F279,3)=0),SPW_Amount_pa/SPW_Payout_Freq,IF(SPW_Payout_Freq=12,SPW_Amount_pa/SPW_Payout_Freq,0)))),0)+IFERROR(VLOOKUP(H279,Input!$B$68:$C$74,2,0),0)*(F279=0)*(Option_PW="Y")*(Option_SPW="N")*(age+H279&gt;=Legal_Age)</f>
        <v>0</v>
      </c>
      <c r="O279" s="148">
        <f t="shared" ca="1" si="220"/>
        <v>0</v>
      </c>
      <c r="P279" s="14">
        <f ca="1">(MAX(MAX(sa-CF278*Flag_UL_Type,105%*SUM($I$7:I279))-(AD278+L279-N279)*Flag_UL_Type,0)*B279)</f>
        <v>0</v>
      </c>
      <c r="Q279" s="213">
        <f t="shared" si="195"/>
        <v>0</v>
      </c>
      <c r="R279" s="14">
        <f t="shared" ca="1" si="196"/>
        <v>0</v>
      </c>
      <c r="S279" s="14">
        <f t="shared" ca="1" si="197"/>
        <v>0</v>
      </c>
      <c r="T279" s="14">
        <f>IFERROR(IF(WoP_Flag="Y",IF(fq=1,VLOOKUP(ppt*fq-H279,Charges!$AN$41:$AO$59,2,FALSE),IF(fq=2,VLOOKUP(ppt*fq-G279,Charges!$AP$41:$AQ$79,2,FALSE),VLOOKUP(ppt*fq-D279,Charges!$AR$41:$AS$279,2,FALSE)))*pr/fq,0),0)</f>
        <v>0</v>
      </c>
      <c r="U279" s="14">
        <f ca="1">IFERROR(((T279*(VLOOKUP(Input!$D$18+H279-1,Tab_Mort_Charge,IF(Gender_2="M",2,3),FALSE)*(1+_emr2)+_rpm2)/IF(Model_Type="LA_PQIS",1000/0.0833,(12*1000))))*Flag_Mort_Rider_Charge*(T279&gt;0),0)</f>
        <v>0</v>
      </c>
      <c r="V279" s="34">
        <f>ROUND(MIN(IF(H279&gt;=7,Charges!$C$12*(1+Charges!$C$14)^((H279-7+1)),VLOOKUP(H279,Charges!$B$7:$C$12,2,0))*pr,Charges!$C$13)*B279,Round)</f>
        <v>0</v>
      </c>
      <c r="W279" s="14">
        <f t="shared" ca="1" si="198"/>
        <v>0</v>
      </c>
      <c r="X279" s="14">
        <f t="shared" ca="1" si="199"/>
        <v>0</v>
      </c>
      <c r="Y279" s="213">
        <f t="shared" ca="1" si="221"/>
        <v>0</v>
      </c>
      <c r="Z279" s="14">
        <f t="shared" ca="1" si="200"/>
        <v>0</v>
      </c>
      <c r="AA279" s="14">
        <f>IF(AND($H279=pt,$F279=11),SUM($K$7:K279)*VLOOKUP(pt,ROC,2,FALSE),0)</f>
        <v>0</v>
      </c>
      <c r="AB279" s="14">
        <f>IF(AND($H279=pt,$F279=11),SUM($V$7:V279)*VLOOKUP(pt,ROC,2,FALSE),0)</f>
        <v>0</v>
      </c>
      <c r="AC279" s="14">
        <f>IF(AND($H279=pt,$F279=11),SUM($Q$7:Q279)*VLOOKUP(pt,ROC,2,FALSE),0)</f>
        <v>0</v>
      </c>
      <c r="AD279" s="14">
        <f t="shared" ca="1" si="222"/>
        <v>0</v>
      </c>
      <c r="AE279" s="14">
        <f ca="1">(MAX(sa-CF278*Flag_UL_Type,105%*SUM($I$7:I279),Z279)+AU279)*B279</f>
        <v>0</v>
      </c>
      <c r="AF279" s="136"/>
      <c r="AG279" s="18">
        <v>273</v>
      </c>
      <c r="AH279" s="30">
        <f t="shared" ca="1" si="201"/>
        <v>0</v>
      </c>
      <c r="AI279" s="58"/>
      <c r="AJ279" s="50">
        <f>IF(AND(Option_Sys_TopUp&gt;="Y",H279&gt;=sytp,H279&lt;=(dtp+sytp-1),F279=0,H279&lt;=ppt+1),atp,0)+IFERROR(VLOOKUP(H279,Input!$B$55:$C$61,2,0),0)*(F279=0)*(Option_TopUP="Y")*(Option_Sys_TopUp="N")*B279*(pt&gt;=H279+5)</f>
        <v>0</v>
      </c>
      <c r="AK279" s="50">
        <f t="shared" si="202"/>
        <v>0</v>
      </c>
      <c r="AL279" s="50">
        <f t="shared" si="223"/>
        <v>0</v>
      </c>
      <c r="AM279" s="50">
        <f t="shared" ca="1" si="203"/>
        <v>0</v>
      </c>
      <c r="AN279" s="50">
        <f>IF(B279=0,0,AT279*(_rpm1+(1+_emr1)*VLOOKUP(E279,Tab_Mort_Charge,IF(Input!$C$12="M",2,3),0))*(0.001*0.0833)*Flag_Mort_Rider_Charge*(AT279&gt;0))</f>
        <v>0</v>
      </c>
      <c r="AO279" s="50">
        <f t="shared" ca="1" si="224"/>
        <v>0</v>
      </c>
      <c r="AP279" s="50">
        <f t="shared" ca="1" si="187"/>
        <v>0</v>
      </c>
      <c r="AQ279" s="50">
        <f t="shared" ca="1" si="204"/>
        <v>0</v>
      </c>
      <c r="AR279" s="50">
        <f t="shared" ca="1" si="205"/>
        <v>0</v>
      </c>
      <c r="AS279" s="50">
        <f t="shared" si="206"/>
        <v>0</v>
      </c>
      <c r="AT279" s="50">
        <f ca="1">(MAX((MAX(AS279,105%*SUM($AJ$7:AJ279))-AM279*Flag_UL_Type),0)*B279)</f>
        <v>0</v>
      </c>
      <c r="AU279" s="50">
        <f ca="1">(MAX(AS279,AR279,105%*SUM($AJ$7:AJ279))*B279)</f>
        <v>0</v>
      </c>
      <c r="AV279" s="125"/>
      <c r="AW279" s="13"/>
      <c r="AX279" s="13"/>
      <c r="AY279" s="13"/>
      <c r="AZ279" s="13"/>
      <c r="BA279" s="13"/>
      <c r="BG279" s="51">
        <f t="shared" si="207"/>
        <v>0</v>
      </c>
      <c r="BH279" s="51">
        <f t="shared" si="208"/>
        <v>0</v>
      </c>
      <c r="BI279" s="51">
        <f t="shared" ca="1" si="209"/>
        <v>0</v>
      </c>
      <c r="BJ279" s="51">
        <f t="shared" ca="1" si="210"/>
        <v>0</v>
      </c>
      <c r="BK279" s="51">
        <f t="shared" si="211"/>
        <v>0</v>
      </c>
      <c r="BL279" s="51">
        <f t="shared" ca="1" si="212"/>
        <v>0</v>
      </c>
      <c r="BM279" s="51">
        <f t="shared" si="213"/>
        <v>0</v>
      </c>
      <c r="BN279" s="51">
        <f t="shared" si="214"/>
        <v>0</v>
      </c>
      <c r="BO279" s="51">
        <f t="shared" ca="1" si="215"/>
        <v>0</v>
      </c>
      <c r="BP279" s="51">
        <f t="shared" ca="1" si="216"/>
        <v>0</v>
      </c>
      <c r="BQ279" s="120"/>
      <c r="BR279" s="32"/>
      <c r="BS279" s="126"/>
      <c r="BT279" s="16"/>
      <c r="BU279" s="58"/>
      <c r="BW279" s="51">
        <f>VLOOKUP(H279,Charges!$AT$4:$AU$33,2,FALSE)*I279</f>
        <v>0</v>
      </c>
      <c r="BX279" s="51">
        <f t="shared" si="217"/>
        <v>0</v>
      </c>
      <c r="BY279" s="51">
        <f t="shared" si="225"/>
        <v>0</v>
      </c>
      <c r="BZ279" s="151"/>
      <c r="CA279" s="151"/>
      <c r="CB279" s="32"/>
      <c r="CC279" s="16">
        <f ca="1">SUM($N$7:$N279)</f>
        <v>0</v>
      </c>
      <c r="CD279" s="16">
        <f t="shared" ca="1" si="218"/>
        <v>0</v>
      </c>
      <c r="CE279" s="16">
        <f t="shared" ca="1" si="219"/>
        <v>0</v>
      </c>
      <c r="CF279" s="7">
        <f t="shared" ca="1" si="226"/>
        <v>0</v>
      </c>
    </row>
    <row r="280" spans="1:84" s="7" customFormat="1" x14ac:dyDescent="0.2">
      <c r="A280" s="149"/>
      <c r="B280" s="14">
        <f t="shared" si="188"/>
        <v>0</v>
      </c>
      <c r="C280" s="12">
        <f t="shared" si="189"/>
        <v>0</v>
      </c>
      <c r="D280" s="17">
        <f t="shared" si="227"/>
        <v>274</v>
      </c>
      <c r="E280" s="17">
        <f t="shared" ca="1" si="190"/>
        <v>82</v>
      </c>
      <c r="F280" s="12">
        <f t="shared" si="229"/>
        <v>9</v>
      </c>
      <c r="G280" s="12">
        <f t="shared" si="228"/>
        <v>46</v>
      </c>
      <c r="H280" s="17">
        <f t="shared" si="230"/>
        <v>23</v>
      </c>
      <c r="I280" s="29">
        <f t="shared" si="191"/>
        <v>0</v>
      </c>
      <c r="J280" s="211">
        <f>IFERROR(VLOOKUP(H280,Charges!$T$6:$U$35,2,0)*C280,0)</f>
        <v>0</v>
      </c>
      <c r="K280" s="29">
        <f t="shared" si="192"/>
        <v>0</v>
      </c>
      <c r="L280" s="29">
        <f t="shared" si="193"/>
        <v>0</v>
      </c>
      <c r="M280" s="147">
        <f t="shared" ca="1" si="194"/>
        <v>0</v>
      </c>
      <c r="N280" s="148">
        <f ca="1">IF(AND(Option_SPW="Y",H280&gt;=Lock_In_Period,Z279&gt;SPW_Amount_pa+IF(option="Single",1/5*pr,2*pr),H280&gt;=SPW_Start_Year,H280&lt;=SPW_Start_Year+SPW_Duration-1,age+H280&gt;=Legal_Age),IF(AND(F280=0,SPW_Payout_Freq=1),SPW_Amount_pa,IF(AND(SPW_Payout_Freq=2,MOD(F280,6)=0),SPW_Amount_pa/SPW_Payout_Freq,IF(AND(SPW_Payout_Freq=4,MOD(F280,3)=0),SPW_Amount_pa/SPW_Payout_Freq,IF(SPW_Payout_Freq=12,SPW_Amount_pa/SPW_Payout_Freq,0)))),0)+IFERROR(VLOOKUP(H280,Input!$B$68:$C$74,2,0),0)*(F280=0)*(Option_PW="Y")*(Option_SPW="N")*(age+H280&gt;=Legal_Age)</f>
        <v>0</v>
      </c>
      <c r="O280" s="148">
        <f t="shared" ca="1" si="220"/>
        <v>0</v>
      </c>
      <c r="P280" s="14">
        <f ca="1">(MAX(MAX(sa-CF279*Flag_UL_Type,105%*SUM($I$7:I280))-(AD279+L280-N280)*Flag_UL_Type,0)*B280)</f>
        <v>0</v>
      </c>
      <c r="Q280" s="213">
        <f t="shared" si="195"/>
        <v>0</v>
      </c>
      <c r="R280" s="14">
        <f t="shared" ca="1" si="196"/>
        <v>0</v>
      </c>
      <c r="S280" s="14">
        <f t="shared" ca="1" si="197"/>
        <v>0</v>
      </c>
      <c r="T280" s="14">
        <f>IFERROR(IF(WoP_Flag="Y",IF(fq=1,VLOOKUP(ppt*fq-H280,Charges!$AN$41:$AO$59,2,FALSE),IF(fq=2,VLOOKUP(ppt*fq-G280,Charges!$AP$41:$AQ$79,2,FALSE),VLOOKUP(ppt*fq-D280,Charges!$AR$41:$AS$279,2,FALSE)))*pr/fq,0),0)</f>
        <v>0</v>
      </c>
      <c r="U280" s="14">
        <f ca="1">IFERROR(((T280*(VLOOKUP(Input!$D$18+H280-1,Tab_Mort_Charge,IF(Gender_2="M",2,3),FALSE)*(1+_emr2)+_rpm2)/IF(Model_Type="LA_PQIS",1000/0.0833,(12*1000))))*Flag_Mort_Rider_Charge*(T280&gt;0),0)</f>
        <v>0</v>
      </c>
      <c r="V280" s="34">
        <f>ROUND(MIN(IF(H280&gt;=7,Charges!$C$12*(1+Charges!$C$14)^((H280-7+1)),VLOOKUP(H280,Charges!$B$7:$C$12,2,0))*pr,Charges!$C$13)*B280,Round)</f>
        <v>0</v>
      </c>
      <c r="W280" s="14">
        <f t="shared" ca="1" si="198"/>
        <v>0</v>
      </c>
      <c r="X280" s="14">
        <f t="shared" ca="1" si="199"/>
        <v>0</v>
      </c>
      <c r="Y280" s="213">
        <f t="shared" ca="1" si="221"/>
        <v>0</v>
      </c>
      <c r="Z280" s="14">
        <f t="shared" ca="1" si="200"/>
        <v>0</v>
      </c>
      <c r="AA280" s="14">
        <f>IF(AND($H280=pt,$F280=11),SUM($K$7:K280)*VLOOKUP(pt,ROC,2,FALSE),0)</f>
        <v>0</v>
      </c>
      <c r="AB280" s="14">
        <f>IF(AND($H280=pt,$F280=11),SUM($V$7:V280)*VLOOKUP(pt,ROC,2,FALSE),0)</f>
        <v>0</v>
      </c>
      <c r="AC280" s="14">
        <f>IF(AND($H280=pt,$F280=11),SUM($Q$7:Q280)*VLOOKUP(pt,ROC,2,FALSE),0)</f>
        <v>0</v>
      </c>
      <c r="AD280" s="14">
        <f t="shared" ca="1" si="222"/>
        <v>0</v>
      </c>
      <c r="AE280" s="14">
        <f ca="1">(MAX(sa-CF279*Flag_UL_Type,105%*SUM($I$7:I280),Z280)+AU280)*B280</f>
        <v>0</v>
      </c>
      <c r="AF280" s="136"/>
      <c r="AG280" s="18">
        <v>274</v>
      </c>
      <c r="AH280" s="30">
        <f t="shared" ca="1" si="201"/>
        <v>0</v>
      </c>
      <c r="AI280" s="58"/>
      <c r="AJ280" s="50">
        <f>IF(AND(Option_Sys_TopUp&gt;="Y",H280&gt;=sytp,H280&lt;=(dtp+sytp-1),F280=0,H280&lt;=ppt+1),atp,0)+IFERROR(VLOOKUP(H280,Input!$B$55:$C$61,2,0),0)*(F280=0)*(Option_TopUP="Y")*(Option_Sys_TopUp="N")*B280*(pt&gt;=H280+5)</f>
        <v>0</v>
      </c>
      <c r="AK280" s="50">
        <f t="shared" si="202"/>
        <v>0</v>
      </c>
      <c r="AL280" s="50">
        <f t="shared" si="223"/>
        <v>0</v>
      </c>
      <c r="AM280" s="50">
        <f t="shared" ca="1" si="203"/>
        <v>0</v>
      </c>
      <c r="AN280" s="50">
        <f>IF(B280=0,0,AT280*(_rpm1+(1+_emr1)*VLOOKUP(E280,Tab_Mort_Charge,IF(Input!$C$12="M",2,3),0))*(0.001*0.0833)*Flag_Mort_Rider_Charge*(AT280&gt;0))</f>
        <v>0</v>
      </c>
      <c r="AO280" s="50">
        <f t="shared" ca="1" si="224"/>
        <v>0</v>
      </c>
      <c r="AP280" s="50">
        <f t="shared" ca="1" si="187"/>
        <v>0</v>
      </c>
      <c r="AQ280" s="50">
        <f t="shared" ca="1" si="204"/>
        <v>0</v>
      </c>
      <c r="AR280" s="50">
        <f t="shared" ca="1" si="205"/>
        <v>0</v>
      </c>
      <c r="AS280" s="50">
        <f t="shared" si="206"/>
        <v>0</v>
      </c>
      <c r="AT280" s="50">
        <f ca="1">(MAX((MAX(AS280,105%*SUM($AJ$7:AJ280))-AM280*Flag_UL_Type),0)*B280)</f>
        <v>0</v>
      </c>
      <c r="AU280" s="50">
        <f ca="1">(MAX(AS280,AR280,105%*SUM($AJ$7:AJ280))*B280)</f>
        <v>0</v>
      </c>
      <c r="AV280" s="125"/>
      <c r="AW280" s="13"/>
      <c r="AX280" s="13"/>
      <c r="AY280" s="13"/>
      <c r="AZ280" s="13"/>
      <c r="BA280" s="13"/>
      <c r="BG280" s="51">
        <f t="shared" si="207"/>
        <v>0</v>
      </c>
      <c r="BH280" s="51">
        <f t="shared" si="208"/>
        <v>0</v>
      </c>
      <c r="BI280" s="51">
        <f t="shared" ca="1" si="209"/>
        <v>0</v>
      </c>
      <c r="BJ280" s="51">
        <f t="shared" ca="1" si="210"/>
        <v>0</v>
      </c>
      <c r="BK280" s="51">
        <f t="shared" si="211"/>
        <v>0</v>
      </c>
      <c r="BL280" s="51">
        <f t="shared" ca="1" si="212"/>
        <v>0</v>
      </c>
      <c r="BM280" s="51">
        <f t="shared" si="213"/>
        <v>0</v>
      </c>
      <c r="BN280" s="51">
        <f t="shared" si="214"/>
        <v>0</v>
      </c>
      <c r="BO280" s="51">
        <f t="shared" ca="1" si="215"/>
        <v>0</v>
      </c>
      <c r="BP280" s="51">
        <f t="shared" ca="1" si="216"/>
        <v>0</v>
      </c>
      <c r="BQ280" s="120"/>
      <c r="BR280" s="32"/>
      <c r="BS280" s="126"/>
      <c r="BT280" s="16"/>
      <c r="BU280" s="58"/>
      <c r="BW280" s="51">
        <f>VLOOKUP(H280,Charges!$AT$4:$AU$33,2,FALSE)*I280</f>
        <v>0</v>
      </c>
      <c r="BX280" s="51">
        <f t="shared" si="217"/>
        <v>0</v>
      </c>
      <c r="BY280" s="51">
        <f t="shared" si="225"/>
        <v>0</v>
      </c>
      <c r="BZ280" s="151"/>
      <c r="CA280" s="151"/>
      <c r="CB280" s="32"/>
      <c r="CC280" s="16">
        <f ca="1">SUM($N$7:$N280)</f>
        <v>0</v>
      </c>
      <c r="CD280" s="16">
        <f t="shared" ca="1" si="218"/>
        <v>0</v>
      </c>
      <c r="CE280" s="16">
        <f t="shared" ca="1" si="219"/>
        <v>0</v>
      </c>
      <c r="CF280" s="7">
        <f t="shared" ca="1" si="226"/>
        <v>0</v>
      </c>
    </row>
    <row r="281" spans="1:84" s="7" customFormat="1" x14ac:dyDescent="0.2">
      <c r="A281" s="149"/>
      <c r="B281" s="14">
        <f t="shared" si="188"/>
        <v>0</v>
      </c>
      <c r="C281" s="12">
        <f t="shared" si="189"/>
        <v>0</v>
      </c>
      <c r="D281" s="17">
        <f t="shared" si="227"/>
        <v>275</v>
      </c>
      <c r="E281" s="17">
        <f t="shared" ca="1" si="190"/>
        <v>82</v>
      </c>
      <c r="F281" s="12">
        <f t="shared" si="229"/>
        <v>10</v>
      </c>
      <c r="G281" s="12">
        <f t="shared" si="228"/>
        <v>46</v>
      </c>
      <c r="H281" s="17">
        <f t="shared" si="230"/>
        <v>23</v>
      </c>
      <c r="I281" s="29">
        <f t="shared" si="191"/>
        <v>0</v>
      </c>
      <c r="J281" s="211">
        <f>IFERROR(VLOOKUP(H281,Charges!$T$6:$U$35,2,0)*C281,0)</f>
        <v>0</v>
      </c>
      <c r="K281" s="29">
        <f t="shared" si="192"/>
        <v>0</v>
      </c>
      <c r="L281" s="29">
        <f t="shared" si="193"/>
        <v>0</v>
      </c>
      <c r="M281" s="147">
        <f t="shared" ca="1" si="194"/>
        <v>0</v>
      </c>
      <c r="N281" s="148">
        <f ca="1">IF(AND(Option_SPW="Y",H281&gt;=Lock_In_Period,Z280&gt;SPW_Amount_pa+IF(option="Single",1/5*pr,2*pr),H281&gt;=SPW_Start_Year,H281&lt;=SPW_Start_Year+SPW_Duration-1,age+H281&gt;=Legal_Age),IF(AND(F281=0,SPW_Payout_Freq=1),SPW_Amount_pa,IF(AND(SPW_Payout_Freq=2,MOD(F281,6)=0),SPW_Amount_pa/SPW_Payout_Freq,IF(AND(SPW_Payout_Freq=4,MOD(F281,3)=0),SPW_Amount_pa/SPW_Payout_Freq,IF(SPW_Payout_Freq=12,SPW_Amount_pa/SPW_Payout_Freq,0)))),0)+IFERROR(VLOOKUP(H281,Input!$B$68:$C$74,2,0),0)*(F281=0)*(Option_PW="Y")*(Option_SPW="N")*(age+H281&gt;=Legal_Age)</f>
        <v>0</v>
      </c>
      <c r="O281" s="148">
        <f t="shared" ca="1" si="220"/>
        <v>0</v>
      </c>
      <c r="P281" s="14">
        <f ca="1">(MAX(MAX(sa-CF280*Flag_UL_Type,105%*SUM($I$7:I281))-(AD280+L281-N281)*Flag_UL_Type,0)*B281)</f>
        <v>0</v>
      </c>
      <c r="Q281" s="213">
        <f t="shared" si="195"/>
        <v>0</v>
      </c>
      <c r="R281" s="14">
        <f t="shared" ca="1" si="196"/>
        <v>0</v>
      </c>
      <c r="S281" s="14">
        <f t="shared" ca="1" si="197"/>
        <v>0</v>
      </c>
      <c r="T281" s="14">
        <f>IFERROR(IF(WoP_Flag="Y",IF(fq=1,VLOOKUP(ppt*fq-H281,Charges!$AN$41:$AO$59,2,FALSE),IF(fq=2,VLOOKUP(ppt*fq-G281,Charges!$AP$41:$AQ$79,2,FALSE),VLOOKUP(ppt*fq-D281,Charges!$AR$41:$AS$279,2,FALSE)))*pr/fq,0),0)</f>
        <v>0</v>
      </c>
      <c r="U281" s="14">
        <f ca="1">IFERROR(((T281*(VLOOKUP(Input!$D$18+H281-1,Tab_Mort_Charge,IF(Gender_2="M",2,3),FALSE)*(1+_emr2)+_rpm2)/IF(Model_Type="LA_PQIS",1000/0.0833,(12*1000))))*Flag_Mort_Rider_Charge*(T281&gt;0),0)</f>
        <v>0</v>
      </c>
      <c r="V281" s="34">
        <f>ROUND(MIN(IF(H281&gt;=7,Charges!$C$12*(1+Charges!$C$14)^((H281-7+1)),VLOOKUP(H281,Charges!$B$7:$C$12,2,0))*pr,Charges!$C$13)*B281,Round)</f>
        <v>0</v>
      </c>
      <c r="W281" s="14">
        <f t="shared" ca="1" si="198"/>
        <v>0</v>
      </c>
      <c r="X281" s="14">
        <f t="shared" ca="1" si="199"/>
        <v>0</v>
      </c>
      <c r="Y281" s="213">
        <f t="shared" ca="1" si="221"/>
        <v>0</v>
      </c>
      <c r="Z281" s="14">
        <f t="shared" ca="1" si="200"/>
        <v>0</v>
      </c>
      <c r="AA281" s="14">
        <f>IF(AND($H281=pt,$F281=11),SUM($K$7:K281)*VLOOKUP(pt,ROC,2,FALSE),0)</f>
        <v>0</v>
      </c>
      <c r="AB281" s="14">
        <f>IF(AND($H281=pt,$F281=11),SUM($V$7:V281)*VLOOKUP(pt,ROC,2,FALSE),0)</f>
        <v>0</v>
      </c>
      <c r="AC281" s="14">
        <f>IF(AND($H281=pt,$F281=11),SUM($Q$7:Q281)*VLOOKUP(pt,ROC,2,FALSE),0)</f>
        <v>0</v>
      </c>
      <c r="AD281" s="14">
        <f t="shared" ca="1" si="222"/>
        <v>0</v>
      </c>
      <c r="AE281" s="14">
        <f ca="1">(MAX(sa-CF280*Flag_UL_Type,105%*SUM($I$7:I281),Z281)+AU281)*B281</f>
        <v>0</v>
      </c>
      <c r="AF281" s="136"/>
      <c r="AG281" s="18">
        <v>275</v>
      </c>
      <c r="AH281" s="30">
        <f t="shared" ca="1" si="201"/>
        <v>0</v>
      </c>
      <c r="AI281" s="58"/>
      <c r="AJ281" s="50">
        <f>IF(AND(Option_Sys_TopUp&gt;="Y",H281&gt;=sytp,H281&lt;=(dtp+sytp-1),F281=0,H281&lt;=ppt+1),atp,0)+IFERROR(VLOOKUP(H281,Input!$B$55:$C$61,2,0),0)*(F281=0)*(Option_TopUP="Y")*(Option_Sys_TopUp="N")*B281*(pt&gt;=H281+5)</f>
        <v>0</v>
      </c>
      <c r="AK281" s="50">
        <f t="shared" si="202"/>
        <v>0</v>
      </c>
      <c r="AL281" s="50">
        <f t="shared" si="223"/>
        <v>0</v>
      </c>
      <c r="AM281" s="50">
        <f t="shared" ca="1" si="203"/>
        <v>0</v>
      </c>
      <c r="AN281" s="50">
        <f>IF(B281=0,0,AT281*(_rpm1+(1+_emr1)*VLOOKUP(E281,Tab_Mort_Charge,IF(Input!$C$12="M",2,3),0))*(0.001*0.0833)*Flag_Mort_Rider_Charge*(AT281&gt;0))</f>
        <v>0</v>
      </c>
      <c r="AO281" s="50">
        <f t="shared" ca="1" si="224"/>
        <v>0</v>
      </c>
      <c r="AP281" s="50">
        <f t="shared" ca="1" si="187"/>
        <v>0</v>
      </c>
      <c r="AQ281" s="50">
        <f t="shared" ca="1" si="204"/>
        <v>0</v>
      </c>
      <c r="AR281" s="50">
        <f t="shared" ca="1" si="205"/>
        <v>0</v>
      </c>
      <c r="AS281" s="50">
        <f t="shared" si="206"/>
        <v>0</v>
      </c>
      <c r="AT281" s="50">
        <f ca="1">(MAX((MAX(AS281,105%*SUM($AJ$7:AJ281))-AM281*Flag_UL_Type),0)*B281)</f>
        <v>0</v>
      </c>
      <c r="AU281" s="50">
        <f ca="1">(MAX(AS281,AR281,105%*SUM($AJ$7:AJ281))*B281)</f>
        <v>0</v>
      </c>
      <c r="AV281" s="125"/>
      <c r="AW281" s="13"/>
      <c r="AX281" s="13"/>
      <c r="AY281" s="13"/>
      <c r="AZ281" s="13"/>
      <c r="BA281" s="13"/>
      <c r="BG281" s="51">
        <f t="shared" si="207"/>
        <v>0</v>
      </c>
      <c r="BH281" s="51">
        <f t="shared" si="208"/>
        <v>0</v>
      </c>
      <c r="BI281" s="51">
        <f t="shared" ca="1" si="209"/>
        <v>0</v>
      </c>
      <c r="BJ281" s="51">
        <f t="shared" ca="1" si="210"/>
        <v>0</v>
      </c>
      <c r="BK281" s="51">
        <f t="shared" si="211"/>
        <v>0</v>
      </c>
      <c r="BL281" s="51">
        <f t="shared" ca="1" si="212"/>
        <v>0</v>
      </c>
      <c r="BM281" s="51">
        <f t="shared" si="213"/>
        <v>0</v>
      </c>
      <c r="BN281" s="51">
        <f t="shared" si="214"/>
        <v>0</v>
      </c>
      <c r="BO281" s="51">
        <f t="shared" ca="1" si="215"/>
        <v>0</v>
      </c>
      <c r="BP281" s="51">
        <f t="shared" ca="1" si="216"/>
        <v>0</v>
      </c>
      <c r="BQ281" s="120"/>
      <c r="BR281" s="32"/>
      <c r="BS281" s="126"/>
      <c r="BT281" s="16"/>
      <c r="BU281" s="58"/>
      <c r="BW281" s="51">
        <f>VLOOKUP(H281,Charges!$AT$4:$AU$33,2,FALSE)*I281</f>
        <v>0</v>
      </c>
      <c r="BX281" s="51">
        <f t="shared" si="217"/>
        <v>0</v>
      </c>
      <c r="BY281" s="51">
        <f t="shared" si="225"/>
        <v>0</v>
      </c>
      <c r="BZ281" s="151"/>
      <c r="CA281" s="151"/>
      <c r="CB281" s="32"/>
      <c r="CC281" s="16">
        <f ca="1">SUM($N$7:$N281)</f>
        <v>0</v>
      </c>
      <c r="CD281" s="16">
        <f t="shared" ca="1" si="218"/>
        <v>0</v>
      </c>
      <c r="CE281" s="16">
        <f t="shared" ca="1" si="219"/>
        <v>0</v>
      </c>
      <c r="CF281" s="7">
        <f t="shared" ca="1" si="226"/>
        <v>0</v>
      </c>
    </row>
    <row r="282" spans="1:84" s="7" customFormat="1" x14ac:dyDescent="0.2">
      <c r="A282" s="149"/>
      <c r="B282" s="14">
        <f t="shared" si="188"/>
        <v>0</v>
      </c>
      <c r="C282" s="12">
        <f t="shared" si="189"/>
        <v>0</v>
      </c>
      <c r="D282" s="17">
        <f t="shared" si="227"/>
        <v>276</v>
      </c>
      <c r="E282" s="17">
        <f t="shared" ca="1" si="190"/>
        <v>82</v>
      </c>
      <c r="F282" s="12">
        <f t="shared" si="229"/>
        <v>11</v>
      </c>
      <c r="G282" s="12">
        <f t="shared" si="228"/>
        <v>46</v>
      </c>
      <c r="H282" s="17">
        <f t="shared" si="230"/>
        <v>23</v>
      </c>
      <c r="I282" s="29">
        <f t="shared" si="191"/>
        <v>0</v>
      </c>
      <c r="J282" s="211">
        <f>IFERROR(VLOOKUP(H282,Charges!$T$6:$U$35,2,0)*C282,0)</f>
        <v>0</v>
      </c>
      <c r="K282" s="29">
        <f t="shared" si="192"/>
        <v>0</v>
      </c>
      <c r="L282" s="29">
        <f t="shared" si="193"/>
        <v>0</v>
      </c>
      <c r="M282" s="147">
        <f t="shared" ca="1" si="194"/>
        <v>0</v>
      </c>
      <c r="N282" s="148">
        <f ca="1">IF(AND(Option_SPW="Y",H282&gt;=Lock_In_Period,Z281&gt;SPW_Amount_pa+IF(option="Single",1/5*pr,2*pr),H282&gt;=SPW_Start_Year,H282&lt;=SPW_Start_Year+SPW_Duration-1,age+H282&gt;=Legal_Age),IF(AND(F282=0,SPW_Payout_Freq=1),SPW_Amount_pa,IF(AND(SPW_Payout_Freq=2,MOD(F282,6)=0),SPW_Amount_pa/SPW_Payout_Freq,IF(AND(SPW_Payout_Freq=4,MOD(F282,3)=0),SPW_Amount_pa/SPW_Payout_Freq,IF(SPW_Payout_Freq=12,SPW_Amount_pa/SPW_Payout_Freq,0)))),0)+IFERROR(VLOOKUP(H282,Input!$B$68:$C$74,2,0),0)*(F282=0)*(Option_PW="Y")*(Option_SPW="N")*(age+H282&gt;=Legal_Age)</f>
        <v>0</v>
      </c>
      <c r="O282" s="148">
        <f t="shared" ca="1" si="220"/>
        <v>0</v>
      </c>
      <c r="P282" s="14">
        <f ca="1">(MAX(MAX(sa-CF281*Flag_UL_Type,105%*SUM($I$7:I282))-(AD281+L282-N282)*Flag_UL_Type,0)*B282)</f>
        <v>0</v>
      </c>
      <c r="Q282" s="213">
        <f t="shared" si="195"/>
        <v>0</v>
      </c>
      <c r="R282" s="14">
        <f t="shared" ca="1" si="196"/>
        <v>0</v>
      </c>
      <c r="S282" s="14">
        <f t="shared" ca="1" si="197"/>
        <v>0</v>
      </c>
      <c r="T282" s="14">
        <f>IFERROR(IF(WoP_Flag="Y",IF(fq=1,VLOOKUP(ppt*fq-H282,Charges!$AN$41:$AO$59,2,FALSE),IF(fq=2,VLOOKUP(ppt*fq-G282,Charges!$AP$41:$AQ$79,2,FALSE),VLOOKUP(ppt*fq-D282,Charges!$AR$41:$AS$279,2,FALSE)))*pr/fq,0),0)</f>
        <v>0</v>
      </c>
      <c r="U282" s="14">
        <f ca="1">IFERROR(((T282*(VLOOKUP(Input!$D$18+H282-1,Tab_Mort_Charge,IF(Gender_2="M",2,3),FALSE)*(1+_emr2)+_rpm2)/IF(Model_Type="LA_PQIS",1000/0.0833,(12*1000))))*Flag_Mort_Rider_Charge*(T282&gt;0),0)</f>
        <v>0</v>
      </c>
      <c r="V282" s="34">
        <f>ROUND(MIN(IF(H282&gt;=7,Charges!$C$12*(1+Charges!$C$14)^((H282-7+1)),VLOOKUP(H282,Charges!$B$7:$C$12,2,0))*pr,Charges!$C$13)*B282,Round)</f>
        <v>0</v>
      </c>
      <c r="W282" s="14">
        <f t="shared" ca="1" si="198"/>
        <v>0</v>
      </c>
      <c r="X282" s="14">
        <f t="shared" ca="1" si="199"/>
        <v>0</v>
      </c>
      <c r="Y282" s="213">
        <f t="shared" ca="1" si="221"/>
        <v>0</v>
      </c>
      <c r="Z282" s="14">
        <f t="shared" ca="1" si="200"/>
        <v>0</v>
      </c>
      <c r="AA282" s="14">
        <f>IF(AND($H282=pt,$F282=11),SUM($K$7:K282)*VLOOKUP(pt,ROC,2,FALSE),0)</f>
        <v>0</v>
      </c>
      <c r="AB282" s="14">
        <f>IF(AND($H282=pt,$F282=11),SUM($V$7:V282)*VLOOKUP(pt,ROC,2,FALSE),0)</f>
        <v>0</v>
      </c>
      <c r="AC282" s="14">
        <f>IF(AND($H282=pt,$F282=11),SUM($Q$7:Q282)*VLOOKUP(pt,ROC,2,FALSE),0)</f>
        <v>0</v>
      </c>
      <c r="AD282" s="14">
        <f t="shared" ca="1" si="222"/>
        <v>0</v>
      </c>
      <c r="AE282" s="14">
        <f ca="1">(MAX(sa-CF281*Flag_UL_Type,105%*SUM($I$7:I282),Z282)+AU282)*B282</f>
        <v>0</v>
      </c>
      <c r="AF282" s="136"/>
      <c r="AG282" s="18">
        <v>276</v>
      </c>
      <c r="AH282" s="30">
        <f t="shared" ca="1" si="201"/>
        <v>0</v>
      </c>
      <c r="AI282" s="58"/>
      <c r="AJ282" s="50">
        <f>IF(AND(Option_Sys_TopUp&gt;="Y",H282&gt;=sytp,H282&lt;=(dtp+sytp-1),F282=0,H282&lt;=ppt+1),atp,0)+IFERROR(VLOOKUP(H282,Input!$B$55:$C$61,2,0),0)*(F282=0)*(Option_TopUP="Y")*(Option_Sys_TopUp="N")*B282*(pt&gt;=H282+5)</f>
        <v>0</v>
      </c>
      <c r="AK282" s="50">
        <f t="shared" si="202"/>
        <v>0</v>
      </c>
      <c r="AL282" s="50">
        <f t="shared" si="223"/>
        <v>0</v>
      </c>
      <c r="AM282" s="50">
        <f t="shared" ca="1" si="203"/>
        <v>0</v>
      </c>
      <c r="AN282" s="50">
        <f>IF(B282=0,0,AT282*(_rpm1+(1+_emr1)*VLOOKUP(E282,Tab_Mort_Charge,IF(Input!$C$12="M",2,3),0))*(0.001*0.0833)*Flag_Mort_Rider_Charge*(AT282&gt;0))</f>
        <v>0</v>
      </c>
      <c r="AO282" s="50">
        <f t="shared" ca="1" si="224"/>
        <v>0</v>
      </c>
      <c r="AP282" s="50">
        <f t="shared" ca="1" si="187"/>
        <v>0</v>
      </c>
      <c r="AQ282" s="50">
        <f t="shared" ca="1" si="204"/>
        <v>0</v>
      </c>
      <c r="AR282" s="50">
        <f t="shared" ca="1" si="205"/>
        <v>0</v>
      </c>
      <c r="AS282" s="50">
        <f t="shared" si="206"/>
        <v>0</v>
      </c>
      <c r="AT282" s="50">
        <f ca="1">(MAX((MAX(AS282,105%*SUM($AJ$7:AJ282))-AM282*Flag_UL_Type),0)*B282)</f>
        <v>0</v>
      </c>
      <c r="AU282" s="50">
        <f ca="1">(MAX(AS282,AR282,105%*SUM($AJ$7:AJ282))*B282)</f>
        <v>0</v>
      </c>
      <c r="AV282" s="125"/>
      <c r="AW282" s="13"/>
      <c r="AX282" s="13"/>
      <c r="AY282" s="13"/>
      <c r="AZ282" s="13"/>
      <c r="BA282" s="13"/>
      <c r="BG282" s="51">
        <f t="shared" si="207"/>
        <v>0</v>
      </c>
      <c r="BH282" s="51">
        <f t="shared" si="208"/>
        <v>0</v>
      </c>
      <c r="BI282" s="51">
        <f t="shared" ca="1" si="209"/>
        <v>0</v>
      </c>
      <c r="BJ282" s="51">
        <f t="shared" ca="1" si="210"/>
        <v>0</v>
      </c>
      <c r="BK282" s="51">
        <f t="shared" si="211"/>
        <v>0</v>
      </c>
      <c r="BL282" s="51">
        <f t="shared" ca="1" si="212"/>
        <v>0</v>
      </c>
      <c r="BM282" s="51">
        <f t="shared" si="213"/>
        <v>0</v>
      </c>
      <c r="BN282" s="51">
        <f t="shared" si="214"/>
        <v>0</v>
      </c>
      <c r="BO282" s="51">
        <f t="shared" ca="1" si="215"/>
        <v>0</v>
      </c>
      <c r="BP282" s="51">
        <f t="shared" ca="1" si="216"/>
        <v>0</v>
      </c>
      <c r="BQ282" s="120"/>
      <c r="BR282" s="32"/>
      <c r="BS282" s="126"/>
      <c r="BT282" s="16"/>
      <c r="BU282" s="58"/>
      <c r="BW282" s="51">
        <f>VLOOKUP(H282,Charges!$AT$4:$AU$33,2,FALSE)*I282</f>
        <v>0</v>
      </c>
      <c r="BX282" s="51">
        <f t="shared" si="217"/>
        <v>0</v>
      </c>
      <c r="BY282" s="51">
        <f t="shared" si="225"/>
        <v>0</v>
      </c>
      <c r="BZ282" s="151"/>
      <c r="CA282" s="151"/>
      <c r="CB282" s="32"/>
      <c r="CC282" s="16">
        <f ca="1">SUM($N$7:$N282)</f>
        <v>0</v>
      </c>
      <c r="CD282" s="16">
        <f t="shared" ca="1" si="218"/>
        <v>0</v>
      </c>
      <c r="CE282" s="16">
        <f t="shared" ca="1" si="219"/>
        <v>0</v>
      </c>
      <c r="CF282" s="7">
        <f t="shared" ca="1" si="226"/>
        <v>0</v>
      </c>
    </row>
    <row r="283" spans="1:84" s="7" customFormat="1" x14ac:dyDescent="0.2">
      <c r="A283" s="149"/>
      <c r="B283" s="14">
        <f t="shared" si="188"/>
        <v>0</v>
      </c>
      <c r="C283" s="12">
        <f t="shared" si="189"/>
        <v>0</v>
      </c>
      <c r="D283" s="17">
        <f t="shared" si="227"/>
        <v>277</v>
      </c>
      <c r="E283" s="17">
        <f t="shared" ca="1" si="190"/>
        <v>83</v>
      </c>
      <c r="F283" s="12">
        <f t="shared" si="229"/>
        <v>0</v>
      </c>
      <c r="G283" s="12">
        <f t="shared" si="228"/>
        <v>47</v>
      </c>
      <c r="H283" s="17">
        <f t="shared" si="230"/>
        <v>24</v>
      </c>
      <c r="I283" s="29">
        <f t="shared" si="191"/>
        <v>0</v>
      </c>
      <c r="J283" s="211">
        <f>IFERROR(VLOOKUP(H283,Charges!$T$6:$U$35,2,0)*C283,0)</f>
        <v>0</v>
      </c>
      <c r="K283" s="29">
        <f t="shared" si="192"/>
        <v>0</v>
      </c>
      <c r="L283" s="29">
        <f t="shared" si="193"/>
        <v>0</v>
      </c>
      <c r="M283" s="147">
        <f t="shared" ca="1" si="194"/>
        <v>0</v>
      </c>
      <c r="N283" s="148">
        <f ca="1">IF(AND(Option_SPW="Y",H283&gt;=Lock_In_Period,Z282&gt;SPW_Amount_pa+IF(option="Single",1/5*pr,2*pr),H283&gt;=SPW_Start_Year,H283&lt;=SPW_Start_Year+SPW_Duration-1,age+H283&gt;=Legal_Age),IF(AND(F283=0,SPW_Payout_Freq=1),SPW_Amount_pa,IF(AND(SPW_Payout_Freq=2,MOD(F283,6)=0),SPW_Amount_pa/SPW_Payout_Freq,IF(AND(SPW_Payout_Freq=4,MOD(F283,3)=0),SPW_Amount_pa/SPW_Payout_Freq,IF(SPW_Payout_Freq=12,SPW_Amount_pa/SPW_Payout_Freq,0)))),0)+IFERROR(VLOOKUP(H283,Input!$B$68:$C$74,2,0),0)*(F283=0)*(Option_PW="Y")*(Option_SPW="N")*(age+H283&gt;=Legal_Age)</f>
        <v>0</v>
      </c>
      <c r="O283" s="148">
        <f t="shared" ca="1" si="220"/>
        <v>0</v>
      </c>
      <c r="P283" s="14">
        <f ca="1">(MAX(MAX(sa-CF282*Flag_UL_Type,105%*SUM($I$7:I283))-(AD282+L283-N283)*Flag_UL_Type,0)*B283)</f>
        <v>0</v>
      </c>
      <c r="Q283" s="213">
        <f t="shared" si="195"/>
        <v>0</v>
      </c>
      <c r="R283" s="14">
        <f t="shared" ca="1" si="196"/>
        <v>0</v>
      </c>
      <c r="S283" s="14">
        <f t="shared" ca="1" si="197"/>
        <v>0</v>
      </c>
      <c r="T283" s="14">
        <f>IFERROR(IF(WoP_Flag="Y",IF(fq=1,VLOOKUP(ppt*fq-H283,Charges!$AN$41:$AO$59,2,FALSE),IF(fq=2,VLOOKUP(ppt*fq-G283,Charges!$AP$41:$AQ$79,2,FALSE),VLOOKUP(ppt*fq-D283,Charges!$AR$41:$AS$279,2,FALSE)))*pr/fq,0),0)</f>
        <v>0</v>
      </c>
      <c r="U283" s="14">
        <f ca="1">IFERROR(((T283*(VLOOKUP(Input!$D$18+H283-1,Tab_Mort_Charge,IF(Gender_2="M",2,3),FALSE)*(1+_emr2)+_rpm2)/IF(Model_Type="LA_PQIS",1000/0.0833,(12*1000))))*Flag_Mort_Rider_Charge*(T283&gt;0),0)</f>
        <v>0</v>
      </c>
      <c r="V283" s="34">
        <f>ROUND(MIN(IF(H283&gt;=7,Charges!$C$12*(1+Charges!$C$14)^((H283-7+1)),VLOOKUP(H283,Charges!$B$7:$C$12,2,0))*pr,Charges!$C$13)*B283,Round)</f>
        <v>0</v>
      </c>
      <c r="W283" s="14">
        <f t="shared" ca="1" si="198"/>
        <v>0</v>
      </c>
      <c r="X283" s="14">
        <f t="shared" ca="1" si="199"/>
        <v>0</v>
      </c>
      <c r="Y283" s="213">
        <f t="shared" ca="1" si="221"/>
        <v>0</v>
      </c>
      <c r="Z283" s="14">
        <f t="shared" ca="1" si="200"/>
        <v>0</v>
      </c>
      <c r="AA283" s="14">
        <f>IF(AND($H283=pt,$F283=11),SUM($K$7:K283)*VLOOKUP(pt,ROC,2,FALSE),0)</f>
        <v>0</v>
      </c>
      <c r="AB283" s="14">
        <f>IF(AND($H283=pt,$F283=11),SUM($V$7:V283)*VLOOKUP(pt,ROC,2,FALSE),0)</f>
        <v>0</v>
      </c>
      <c r="AC283" s="14">
        <f>IF(AND($H283=pt,$F283=11),SUM($Q$7:Q283)*VLOOKUP(pt,ROC,2,FALSE),0)</f>
        <v>0</v>
      </c>
      <c r="AD283" s="14">
        <f t="shared" ca="1" si="222"/>
        <v>0</v>
      </c>
      <c r="AE283" s="14">
        <f ca="1">(MAX(sa-CF282*Flag_UL_Type,105%*SUM($I$7:I283),Z283)+AU283)*B283</f>
        <v>0</v>
      </c>
      <c r="AF283" s="136"/>
      <c r="AG283" s="18">
        <v>277</v>
      </c>
      <c r="AH283" s="30">
        <f t="shared" ca="1" si="201"/>
        <v>0</v>
      </c>
      <c r="AI283" s="58"/>
      <c r="AJ283" s="50">
        <f>IF(AND(Option_Sys_TopUp&gt;="Y",H283&gt;=sytp,H283&lt;=(dtp+sytp-1),F283=0,H283&lt;=ppt+1),atp,0)+IFERROR(VLOOKUP(H283,Input!$B$55:$C$61,2,0),0)*(F283=0)*(Option_TopUP="Y")*(Option_Sys_TopUp="N")*B283*(pt&gt;=H283+5)</f>
        <v>0</v>
      </c>
      <c r="AK283" s="50">
        <f t="shared" si="202"/>
        <v>0</v>
      </c>
      <c r="AL283" s="50">
        <f t="shared" si="223"/>
        <v>0</v>
      </c>
      <c r="AM283" s="50">
        <f t="shared" ca="1" si="203"/>
        <v>0</v>
      </c>
      <c r="AN283" s="50">
        <f>IF(B283=0,0,AT283*(_rpm1+(1+_emr1)*VLOOKUP(E283,Tab_Mort_Charge,IF(Input!$C$12="M",2,3),0))*(0.001*0.0833)*Flag_Mort_Rider_Charge*(AT283&gt;0))</f>
        <v>0</v>
      </c>
      <c r="AO283" s="50">
        <f t="shared" ca="1" si="224"/>
        <v>0</v>
      </c>
      <c r="AP283" s="50">
        <f t="shared" ca="1" si="187"/>
        <v>0</v>
      </c>
      <c r="AQ283" s="50">
        <f t="shared" ca="1" si="204"/>
        <v>0</v>
      </c>
      <c r="AR283" s="50">
        <f t="shared" ca="1" si="205"/>
        <v>0</v>
      </c>
      <c r="AS283" s="50">
        <f t="shared" si="206"/>
        <v>0</v>
      </c>
      <c r="AT283" s="50">
        <f ca="1">(MAX((MAX(AS283,105%*SUM($AJ$7:AJ283))-AM283*Flag_UL_Type),0)*B283)</f>
        <v>0</v>
      </c>
      <c r="AU283" s="50">
        <f ca="1">(MAX(AS283,AR283,105%*SUM($AJ$7:AJ283))*B283)</f>
        <v>0</v>
      </c>
      <c r="AV283" s="125"/>
      <c r="AW283" s="13"/>
      <c r="AX283" s="13"/>
      <c r="AY283" s="13"/>
      <c r="AZ283" s="13"/>
      <c r="BA283" s="13"/>
      <c r="BG283" s="51">
        <f t="shared" si="207"/>
        <v>0</v>
      </c>
      <c r="BH283" s="51">
        <f t="shared" si="208"/>
        <v>0</v>
      </c>
      <c r="BI283" s="51">
        <f t="shared" ca="1" si="209"/>
        <v>0</v>
      </c>
      <c r="BJ283" s="51">
        <f t="shared" ca="1" si="210"/>
        <v>0</v>
      </c>
      <c r="BK283" s="51">
        <f t="shared" si="211"/>
        <v>0</v>
      </c>
      <c r="BL283" s="51">
        <f t="shared" ca="1" si="212"/>
        <v>0</v>
      </c>
      <c r="BM283" s="51">
        <f t="shared" si="213"/>
        <v>0</v>
      </c>
      <c r="BN283" s="51">
        <f t="shared" si="214"/>
        <v>0</v>
      </c>
      <c r="BO283" s="51">
        <f t="shared" ca="1" si="215"/>
        <v>0</v>
      </c>
      <c r="BP283" s="51">
        <f t="shared" ca="1" si="216"/>
        <v>0</v>
      </c>
      <c r="BQ283" s="120"/>
      <c r="BR283" s="32"/>
      <c r="BS283" s="126"/>
      <c r="BT283" s="16"/>
      <c r="BU283" s="58"/>
      <c r="BW283" s="51">
        <f>VLOOKUP(H283,Charges!$AT$4:$AU$33,2,FALSE)*I283</f>
        <v>0</v>
      </c>
      <c r="BX283" s="51">
        <f t="shared" si="217"/>
        <v>0</v>
      </c>
      <c r="BY283" s="51">
        <f t="shared" si="225"/>
        <v>0</v>
      </c>
      <c r="BZ283" s="151"/>
      <c r="CA283" s="151"/>
      <c r="CB283" s="32"/>
      <c r="CC283" s="16">
        <f ca="1">SUM($N$7:$N283)</f>
        <v>0</v>
      </c>
      <c r="CD283" s="16">
        <f t="shared" ca="1" si="218"/>
        <v>0</v>
      </c>
      <c r="CE283" s="16">
        <f t="shared" ca="1" si="219"/>
        <v>0</v>
      </c>
      <c r="CF283" s="7">
        <f t="shared" ca="1" si="226"/>
        <v>0</v>
      </c>
    </row>
    <row r="284" spans="1:84" s="7" customFormat="1" x14ac:dyDescent="0.2">
      <c r="A284" s="149"/>
      <c r="B284" s="14">
        <f t="shared" si="188"/>
        <v>0</v>
      </c>
      <c r="C284" s="12">
        <f t="shared" si="189"/>
        <v>0</v>
      </c>
      <c r="D284" s="17">
        <f t="shared" si="227"/>
        <v>278</v>
      </c>
      <c r="E284" s="17">
        <f t="shared" ca="1" si="190"/>
        <v>83</v>
      </c>
      <c r="F284" s="12">
        <f t="shared" si="229"/>
        <v>1</v>
      </c>
      <c r="G284" s="12">
        <f t="shared" si="228"/>
        <v>47</v>
      </c>
      <c r="H284" s="17">
        <f t="shared" si="230"/>
        <v>24</v>
      </c>
      <c r="I284" s="29">
        <f t="shared" si="191"/>
        <v>0</v>
      </c>
      <c r="J284" s="211">
        <f>IFERROR(VLOOKUP(H284,Charges!$T$6:$U$35,2,0)*C284,0)</f>
        <v>0</v>
      </c>
      <c r="K284" s="29">
        <f t="shared" si="192"/>
        <v>0</v>
      </c>
      <c r="L284" s="29">
        <f t="shared" si="193"/>
        <v>0</v>
      </c>
      <c r="M284" s="147">
        <f t="shared" ca="1" si="194"/>
        <v>0</v>
      </c>
      <c r="N284" s="148">
        <f ca="1">IF(AND(Option_SPW="Y",H284&gt;=Lock_In_Period,Z283&gt;SPW_Amount_pa+IF(option="Single",1/5*pr,2*pr),H284&gt;=SPW_Start_Year,H284&lt;=SPW_Start_Year+SPW_Duration-1,age+H284&gt;=Legal_Age),IF(AND(F284=0,SPW_Payout_Freq=1),SPW_Amount_pa,IF(AND(SPW_Payout_Freq=2,MOD(F284,6)=0),SPW_Amount_pa/SPW_Payout_Freq,IF(AND(SPW_Payout_Freq=4,MOD(F284,3)=0),SPW_Amount_pa/SPW_Payout_Freq,IF(SPW_Payout_Freq=12,SPW_Amount_pa/SPW_Payout_Freq,0)))),0)+IFERROR(VLOOKUP(H284,Input!$B$68:$C$74,2,0),0)*(F284=0)*(Option_PW="Y")*(Option_SPW="N")*(age+H284&gt;=Legal_Age)</f>
        <v>0</v>
      </c>
      <c r="O284" s="148">
        <f t="shared" ca="1" si="220"/>
        <v>0</v>
      </c>
      <c r="P284" s="14">
        <f ca="1">(MAX(MAX(sa-CF283*Flag_UL_Type,105%*SUM($I$7:I284))-(AD283+L284-N284)*Flag_UL_Type,0)*B284)</f>
        <v>0</v>
      </c>
      <c r="Q284" s="213">
        <f t="shared" si="195"/>
        <v>0</v>
      </c>
      <c r="R284" s="14">
        <f t="shared" ca="1" si="196"/>
        <v>0</v>
      </c>
      <c r="S284" s="14">
        <f t="shared" ca="1" si="197"/>
        <v>0</v>
      </c>
      <c r="T284" s="14">
        <f>IFERROR(IF(WoP_Flag="Y",IF(fq=1,VLOOKUP(ppt*fq-H284,Charges!$AN$41:$AO$59,2,FALSE),IF(fq=2,VLOOKUP(ppt*fq-G284,Charges!$AP$41:$AQ$79,2,FALSE),VLOOKUP(ppt*fq-D284,Charges!$AR$41:$AS$279,2,FALSE)))*pr/fq,0),0)</f>
        <v>0</v>
      </c>
      <c r="U284" s="14">
        <f ca="1">IFERROR(((T284*(VLOOKUP(Input!$D$18+H284-1,Tab_Mort_Charge,IF(Gender_2="M",2,3),FALSE)*(1+_emr2)+_rpm2)/IF(Model_Type="LA_PQIS",1000/0.0833,(12*1000))))*Flag_Mort_Rider_Charge*(T284&gt;0),0)</f>
        <v>0</v>
      </c>
      <c r="V284" s="34">
        <f>ROUND(MIN(IF(H284&gt;=7,Charges!$C$12*(1+Charges!$C$14)^((H284-7+1)),VLOOKUP(H284,Charges!$B$7:$C$12,2,0))*pr,Charges!$C$13)*B284,Round)</f>
        <v>0</v>
      </c>
      <c r="W284" s="14">
        <f t="shared" ca="1" si="198"/>
        <v>0</v>
      </c>
      <c r="X284" s="14">
        <f t="shared" ca="1" si="199"/>
        <v>0</v>
      </c>
      <c r="Y284" s="213">
        <f t="shared" ca="1" si="221"/>
        <v>0</v>
      </c>
      <c r="Z284" s="14">
        <f t="shared" ca="1" si="200"/>
        <v>0</v>
      </c>
      <c r="AA284" s="14">
        <f>IF(AND($H284=pt,$F284=11),SUM($K$7:K284)*VLOOKUP(pt,ROC,2,FALSE),0)</f>
        <v>0</v>
      </c>
      <c r="AB284" s="14">
        <f>IF(AND($H284=pt,$F284=11),SUM($V$7:V284)*VLOOKUP(pt,ROC,2,FALSE),0)</f>
        <v>0</v>
      </c>
      <c r="AC284" s="14">
        <f>IF(AND($H284=pt,$F284=11),SUM($Q$7:Q284)*VLOOKUP(pt,ROC,2,FALSE),0)</f>
        <v>0</v>
      </c>
      <c r="AD284" s="14">
        <f t="shared" ca="1" si="222"/>
        <v>0</v>
      </c>
      <c r="AE284" s="14">
        <f ca="1">(MAX(sa-CF283*Flag_UL_Type,105%*SUM($I$7:I284),Z284)+AU284)*B284</f>
        <v>0</v>
      </c>
      <c r="AF284" s="136"/>
      <c r="AG284" s="18">
        <v>278</v>
      </c>
      <c r="AH284" s="30">
        <f t="shared" ca="1" si="201"/>
        <v>0</v>
      </c>
      <c r="AI284" s="58"/>
      <c r="AJ284" s="50">
        <f>IF(AND(Option_Sys_TopUp&gt;="Y",H284&gt;=sytp,H284&lt;=(dtp+sytp-1),F284=0,H284&lt;=ppt+1),atp,0)+IFERROR(VLOOKUP(H284,Input!$B$55:$C$61,2,0),0)*(F284=0)*(Option_TopUP="Y")*(Option_Sys_TopUp="N")*B284*(pt&gt;=H284+5)</f>
        <v>0</v>
      </c>
      <c r="AK284" s="50">
        <f t="shared" si="202"/>
        <v>0</v>
      </c>
      <c r="AL284" s="50">
        <f t="shared" si="223"/>
        <v>0</v>
      </c>
      <c r="AM284" s="50">
        <f t="shared" ca="1" si="203"/>
        <v>0</v>
      </c>
      <c r="AN284" s="50">
        <f>IF(B284=0,0,AT284*(_rpm1+(1+_emr1)*VLOOKUP(E284,Tab_Mort_Charge,IF(Input!$C$12="M",2,3),0))*(0.001*0.0833)*Flag_Mort_Rider_Charge*(AT284&gt;0))</f>
        <v>0</v>
      </c>
      <c r="AO284" s="50">
        <f t="shared" ca="1" si="224"/>
        <v>0</v>
      </c>
      <c r="AP284" s="50">
        <f t="shared" ref="AP284:AP347" ca="1" si="231">AO284*(1+$F$3)*B284</f>
        <v>0</v>
      </c>
      <c r="AQ284" s="50">
        <f t="shared" ca="1" si="204"/>
        <v>0</v>
      </c>
      <c r="AR284" s="50">
        <f t="shared" ca="1" si="205"/>
        <v>0</v>
      </c>
      <c r="AS284" s="50">
        <f t="shared" si="206"/>
        <v>0</v>
      </c>
      <c r="AT284" s="50">
        <f ca="1">(MAX((MAX(AS284,105%*SUM($AJ$7:AJ284))-AM284*Flag_UL_Type),0)*B284)</f>
        <v>0</v>
      </c>
      <c r="AU284" s="50">
        <f ca="1">(MAX(AS284,AR284,105%*SUM($AJ$7:AJ284))*B284)</f>
        <v>0</v>
      </c>
      <c r="AV284" s="125"/>
      <c r="AW284" s="13"/>
      <c r="AX284" s="13"/>
      <c r="AY284" s="13"/>
      <c r="AZ284" s="13"/>
      <c r="BA284" s="13"/>
      <c r="BG284" s="51">
        <f t="shared" si="207"/>
        <v>0</v>
      </c>
      <c r="BH284" s="51">
        <f t="shared" si="208"/>
        <v>0</v>
      </c>
      <c r="BI284" s="51">
        <f t="shared" ca="1" si="209"/>
        <v>0</v>
      </c>
      <c r="BJ284" s="51">
        <f t="shared" ca="1" si="210"/>
        <v>0</v>
      </c>
      <c r="BK284" s="51">
        <f t="shared" si="211"/>
        <v>0</v>
      </c>
      <c r="BL284" s="51">
        <f t="shared" ca="1" si="212"/>
        <v>0</v>
      </c>
      <c r="BM284" s="51">
        <f t="shared" si="213"/>
        <v>0</v>
      </c>
      <c r="BN284" s="51">
        <f t="shared" si="214"/>
        <v>0</v>
      </c>
      <c r="BO284" s="51">
        <f t="shared" ca="1" si="215"/>
        <v>0</v>
      </c>
      <c r="BP284" s="51">
        <f t="shared" ca="1" si="216"/>
        <v>0</v>
      </c>
      <c r="BQ284" s="120"/>
      <c r="BR284" s="32"/>
      <c r="BS284" s="126"/>
      <c r="BT284" s="16"/>
      <c r="BU284" s="58"/>
      <c r="BW284" s="51">
        <f>VLOOKUP(H284,Charges!$AT$4:$AU$33,2,FALSE)*I284</f>
        <v>0</v>
      </c>
      <c r="BX284" s="51">
        <f t="shared" si="217"/>
        <v>0</v>
      </c>
      <c r="BY284" s="51">
        <f t="shared" si="225"/>
        <v>0</v>
      </c>
      <c r="BZ284" s="151"/>
      <c r="CA284" s="151"/>
      <c r="CB284" s="32"/>
      <c r="CC284" s="16">
        <f ca="1">SUM($N$7:$N284)</f>
        <v>0</v>
      </c>
      <c r="CD284" s="16">
        <f t="shared" ca="1" si="218"/>
        <v>0</v>
      </c>
      <c r="CE284" s="16">
        <f t="shared" ca="1" si="219"/>
        <v>0</v>
      </c>
      <c r="CF284" s="7">
        <f t="shared" ca="1" si="226"/>
        <v>0</v>
      </c>
    </row>
    <row r="285" spans="1:84" s="7" customFormat="1" x14ac:dyDescent="0.2">
      <c r="A285" s="149"/>
      <c r="B285" s="14">
        <f t="shared" si="188"/>
        <v>0</v>
      </c>
      <c r="C285" s="12">
        <f t="shared" si="189"/>
        <v>0</v>
      </c>
      <c r="D285" s="17">
        <f t="shared" si="227"/>
        <v>279</v>
      </c>
      <c r="E285" s="17">
        <f t="shared" ca="1" si="190"/>
        <v>83</v>
      </c>
      <c r="F285" s="12">
        <f t="shared" si="229"/>
        <v>2</v>
      </c>
      <c r="G285" s="12">
        <f t="shared" si="228"/>
        <v>47</v>
      </c>
      <c r="H285" s="17">
        <f t="shared" si="230"/>
        <v>24</v>
      </c>
      <c r="I285" s="29">
        <f t="shared" si="191"/>
        <v>0</v>
      </c>
      <c r="J285" s="211">
        <f>IFERROR(VLOOKUP(H285,Charges!$T$6:$U$35,2,0)*C285,0)</f>
        <v>0</v>
      </c>
      <c r="K285" s="29">
        <f t="shared" si="192"/>
        <v>0</v>
      </c>
      <c r="L285" s="29">
        <f t="shared" si="193"/>
        <v>0</v>
      </c>
      <c r="M285" s="147">
        <f t="shared" ca="1" si="194"/>
        <v>0</v>
      </c>
      <c r="N285" s="148">
        <f ca="1">IF(AND(Option_SPW="Y",H285&gt;=Lock_In_Period,Z284&gt;SPW_Amount_pa+IF(option="Single",1/5*pr,2*pr),H285&gt;=SPW_Start_Year,H285&lt;=SPW_Start_Year+SPW_Duration-1,age+H285&gt;=Legal_Age),IF(AND(F285=0,SPW_Payout_Freq=1),SPW_Amount_pa,IF(AND(SPW_Payout_Freq=2,MOD(F285,6)=0),SPW_Amount_pa/SPW_Payout_Freq,IF(AND(SPW_Payout_Freq=4,MOD(F285,3)=0),SPW_Amount_pa/SPW_Payout_Freq,IF(SPW_Payout_Freq=12,SPW_Amount_pa/SPW_Payout_Freq,0)))),0)+IFERROR(VLOOKUP(H285,Input!$B$68:$C$74,2,0),0)*(F285=0)*(Option_PW="Y")*(Option_SPW="N")*(age+H285&gt;=Legal_Age)</f>
        <v>0</v>
      </c>
      <c r="O285" s="148">
        <f t="shared" ca="1" si="220"/>
        <v>0</v>
      </c>
      <c r="P285" s="14">
        <f ca="1">(MAX(MAX(sa-CF284*Flag_UL_Type,105%*SUM($I$7:I285))-(AD284+L285-N285)*Flag_UL_Type,0)*B285)</f>
        <v>0</v>
      </c>
      <c r="Q285" s="213">
        <f t="shared" si="195"/>
        <v>0</v>
      </c>
      <c r="R285" s="14">
        <f t="shared" ca="1" si="196"/>
        <v>0</v>
      </c>
      <c r="S285" s="14">
        <f t="shared" ca="1" si="197"/>
        <v>0</v>
      </c>
      <c r="T285" s="14">
        <f>IFERROR(IF(WoP_Flag="Y",IF(fq=1,VLOOKUP(ppt*fq-H285,Charges!$AN$41:$AO$59,2,FALSE),IF(fq=2,VLOOKUP(ppt*fq-G285,Charges!$AP$41:$AQ$79,2,FALSE),VLOOKUP(ppt*fq-D285,Charges!$AR$41:$AS$279,2,FALSE)))*pr/fq,0),0)</f>
        <v>0</v>
      </c>
      <c r="U285" s="14">
        <f ca="1">IFERROR(((T285*(VLOOKUP(Input!$D$18+H285-1,Tab_Mort_Charge,IF(Gender_2="M",2,3),FALSE)*(1+_emr2)+_rpm2)/IF(Model_Type="LA_PQIS",1000/0.0833,(12*1000))))*Flag_Mort_Rider_Charge*(T285&gt;0),0)</f>
        <v>0</v>
      </c>
      <c r="V285" s="34">
        <f>ROUND(MIN(IF(H285&gt;=7,Charges!$C$12*(1+Charges!$C$14)^((H285-7+1)),VLOOKUP(H285,Charges!$B$7:$C$12,2,0))*pr,Charges!$C$13)*B285,Round)</f>
        <v>0</v>
      </c>
      <c r="W285" s="14">
        <f t="shared" ca="1" si="198"/>
        <v>0</v>
      </c>
      <c r="X285" s="14">
        <f t="shared" ca="1" si="199"/>
        <v>0</v>
      </c>
      <c r="Y285" s="213">
        <f t="shared" ca="1" si="221"/>
        <v>0</v>
      </c>
      <c r="Z285" s="14">
        <f t="shared" ca="1" si="200"/>
        <v>0</v>
      </c>
      <c r="AA285" s="14">
        <f>IF(AND($H285=pt,$F285=11),SUM($K$7:K285)*VLOOKUP(pt,ROC,2,FALSE),0)</f>
        <v>0</v>
      </c>
      <c r="AB285" s="14">
        <f>IF(AND($H285=pt,$F285=11),SUM($V$7:V285)*VLOOKUP(pt,ROC,2,FALSE),0)</f>
        <v>0</v>
      </c>
      <c r="AC285" s="14">
        <f>IF(AND($H285=pt,$F285=11),SUM($Q$7:Q285)*VLOOKUP(pt,ROC,2,FALSE),0)</f>
        <v>0</v>
      </c>
      <c r="AD285" s="14">
        <f t="shared" ca="1" si="222"/>
        <v>0</v>
      </c>
      <c r="AE285" s="14">
        <f ca="1">(MAX(sa-CF284*Flag_UL_Type,105%*SUM($I$7:I285),Z285)+AU285)*B285</f>
        <v>0</v>
      </c>
      <c r="AF285" s="136"/>
      <c r="AG285" s="18">
        <v>279</v>
      </c>
      <c r="AH285" s="30">
        <f t="shared" ca="1" si="201"/>
        <v>0</v>
      </c>
      <c r="AI285" s="58"/>
      <c r="AJ285" s="50">
        <f>IF(AND(Option_Sys_TopUp&gt;="Y",H285&gt;=sytp,H285&lt;=(dtp+sytp-1),F285=0,H285&lt;=ppt+1),atp,0)+IFERROR(VLOOKUP(H285,Input!$B$55:$C$61,2,0),0)*(F285=0)*(Option_TopUP="Y")*(Option_Sys_TopUp="N")*B285*(pt&gt;=H285+5)</f>
        <v>0</v>
      </c>
      <c r="AK285" s="50">
        <f t="shared" si="202"/>
        <v>0</v>
      </c>
      <c r="AL285" s="50">
        <f t="shared" si="223"/>
        <v>0</v>
      </c>
      <c r="AM285" s="50">
        <f t="shared" ca="1" si="203"/>
        <v>0</v>
      </c>
      <c r="AN285" s="50">
        <f>IF(B285=0,0,AT285*(_rpm1+(1+_emr1)*VLOOKUP(E285,Tab_Mort_Charge,IF(Input!$C$12="M",2,3),0))*(0.001*0.0833)*Flag_Mort_Rider_Charge*(AT285&gt;0))</f>
        <v>0</v>
      </c>
      <c r="AO285" s="50">
        <f t="shared" ca="1" si="224"/>
        <v>0</v>
      </c>
      <c r="AP285" s="50">
        <f t="shared" ca="1" si="231"/>
        <v>0</v>
      </c>
      <c r="AQ285" s="50">
        <f t="shared" ca="1" si="204"/>
        <v>0</v>
      </c>
      <c r="AR285" s="50">
        <f t="shared" ca="1" si="205"/>
        <v>0</v>
      </c>
      <c r="AS285" s="50">
        <f t="shared" si="206"/>
        <v>0</v>
      </c>
      <c r="AT285" s="50">
        <f ca="1">(MAX((MAX(AS285,105%*SUM($AJ$7:AJ285))-AM285*Flag_UL_Type),0)*B285)</f>
        <v>0</v>
      </c>
      <c r="AU285" s="50">
        <f ca="1">(MAX(AS285,AR285,105%*SUM($AJ$7:AJ285))*B285)</f>
        <v>0</v>
      </c>
      <c r="AV285" s="125"/>
      <c r="AW285" s="13"/>
      <c r="AX285" s="13"/>
      <c r="AY285" s="13"/>
      <c r="AZ285" s="13"/>
      <c r="BA285" s="13"/>
      <c r="BG285" s="51">
        <f t="shared" si="207"/>
        <v>0</v>
      </c>
      <c r="BH285" s="51">
        <f t="shared" si="208"/>
        <v>0</v>
      </c>
      <c r="BI285" s="51">
        <f t="shared" ca="1" si="209"/>
        <v>0</v>
      </c>
      <c r="BJ285" s="51">
        <f t="shared" ca="1" si="210"/>
        <v>0</v>
      </c>
      <c r="BK285" s="51">
        <f t="shared" si="211"/>
        <v>0</v>
      </c>
      <c r="BL285" s="51">
        <f t="shared" ca="1" si="212"/>
        <v>0</v>
      </c>
      <c r="BM285" s="51">
        <f t="shared" si="213"/>
        <v>0</v>
      </c>
      <c r="BN285" s="51">
        <f t="shared" si="214"/>
        <v>0</v>
      </c>
      <c r="BO285" s="51">
        <f t="shared" ca="1" si="215"/>
        <v>0</v>
      </c>
      <c r="BP285" s="51">
        <f t="shared" ca="1" si="216"/>
        <v>0</v>
      </c>
      <c r="BQ285" s="120"/>
      <c r="BR285" s="32"/>
      <c r="BS285" s="126"/>
      <c r="BT285" s="16"/>
      <c r="BU285" s="58"/>
      <c r="BW285" s="51">
        <f>VLOOKUP(H285,Charges!$AT$4:$AU$33,2,FALSE)*I285</f>
        <v>0</v>
      </c>
      <c r="BX285" s="51">
        <f t="shared" si="217"/>
        <v>0</v>
      </c>
      <c r="BY285" s="51">
        <f t="shared" si="225"/>
        <v>0</v>
      </c>
      <c r="BZ285" s="151"/>
      <c r="CA285" s="151"/>
      <c r="CB285" s="32"/>
      <c r="CC285" s="16">
        <f ca="1">SUM($N$7:$N285)</f>
        <v>0</v>
      </c>
      <c r="CD285" s="16">
        <f t="shared" ca="1" si="218"/>
        <v>0</v>
      </c>
      <c r="CE285" s="16">
        <f t="shared" ca="1" si="219"/>
        <v>0</v>
      </c>
      <c r="CF285" s="7">
        <f t="shared" ca="1" si="226"/>
        <v>0</v>
      </c>
    </row>
    <row r="286" spans="1:84" s="7" customFormat="1" x14ac:dyDescent="0.2">
      <c r="A286" s="149"/>
      <c r="B286" s="14">
        <f t="shared" si="188"/>
        <v>0</v>
      </c>
      <c r="C286" s="12">
        <f t="shared" si="189"/>
        <v>0</v>
      </c>
      <c r="D286" s="17">
        <f t="shared" si="227"/>
        <v>280</v>
      </c>
      <c r="E286" s="17">
        <f t="shared" ca="1" si="190"/>
        <v>83</v>
      </c>
      <c r="F286" s="12">
        <f t="shared" si="229"/>
        <v>3</v>
      </c>
      <c r="G286" s="12">
        <f t="shared" si="228"/>
        <v>47</v>
      </c>
      <c r="H286" s="17">
        <f t="shared" si="230"/>
        <v>24</v>
      </c>
      <c r="I286" s="29">
        <f t="shared" si="191"/>
        <v>0</v>
      </c>
      <c r="J286" s="211">
        <f>IFERROR(VLOOKUP(H286,Charges!$T$6:$U$35,2,0)*C286,0)</f>
        <v>0</v>
      </c>
      <c r="K286" s="29">
        <f t="shared" si="192"/>
        <v>0</v>
      </c>
      <c r="L286" s="29">
        <f t="shared" si="193"/>
        <v>0</v>
      </c>
      <c r="M286" s="147">
        <f t="shared" ca="1" si="194"/>
        <v>0</v>
      </c>
      <c r="N286" s="148">
        <f ca="1">IF(AND(Option_SPW="Y",H286&gt;=Lock_In_Period,Z285&gt;SPW_Amount_pa+IF(option="Single",1/5*pr,2*pr),H286&gt;=SPW_Start_Year,H286&lt;=SPW_Start_Year+SPW_Duration-1,age+H286&gt;=Legal_Age),IF(AND(F286=0,SPW_Payout_Freq=1),SPW_Amount_pa,IF(AND(SPW_Payout_Freq=2,MOD(F286,6)=0),SPW_Amount_pa/SPW_Payout_Freq,IF(AND(SPW_Payout_Freq=4,MOD(F286,3)=0),SPW_Amount_pa/SPW_Payout_Freq,IF(SPW_Payout_Freq=12,SPW_Amount_pa/SPW_Payout_Freq,0)))),0)+IFERROR(VLOOKUP(H286,Input!$B$68:$C$74,2,0),0)*(F286=0)*(Option_PW="Y")*(Option_SPW="N")*(age+H286&gt;=Legal_Age)</f>
        <v>0</v>
      </c>
      <c r="O286" s="148">
        <f t="shared" ca="1" si="220"/>
        <v>0</v>
      </c>
      <c r="P286" s="14">
        <f ca="1">(MAX(MAX(sa-CF285*Flag_UL_Type,105%*SUM($I$7:I286))-(AD285+L286-N286)*Flag_UL_Type,0)*B286)</f>
        <v>0</v>
      </c>
      <c r="Q286" s="213">
        <f t="shared" si="195"/>
        <v>0</v>
      </c>
      <c r="R286" s="14">
        <f t="shared" ca="1" si="196"/>
        <v>0</v>
      </c>
      <c r="S286" s="14">
        <f t="shared" ca="1" si="197"/>
        <v>0</v>
      </c>
      <c r="T286" s="14">
        <f>IFERROR(IF(WoP_Flag="Y",IF(fq=1,VLOOKUP(ppt*fq-H286,Charges!$AN$41:$AO$59,2,FALSE),IF(fq=2,VLOOKUP(ppt*fq-G286,Charges!$AP$41:$AQ$79,2,FALSE),VLOOKUP(ppt*fq-D286,Charges!$AR$41:$AS$279,2,FALSE)))*pr/fq,0),0)</f>
        <v>0</v>
      </c>
      <c r="U286" s="14">
        <f ca="1">IFERROR(((T286*(VLOOKUP(Input!$D$18+H286-1,Tab_Mort_Charge,IF(Gender_2="M",2,3),FALSE)*(1+_emr2)+_rpm2)/IF(Model_Type="LA_PQIS",1000/0.0833,(12*1000))))*Flag_Mort_Rider_Charge*(T286&gt;0),0)</f>
        <v>0</v>
      </c>
      <c r="V286" s="34">
        <f>ROUND(MIN(IF(H286&gt;=7,Charges!$C$12*(1+Charges!$C$14)^((H286-7+1)),VLOOKUP(H286,Charges!$B$7:$C$12,2,0))*pr,Charges!$C$13)*B286,Round)</f>
        <v>0</v>
      </c>
      <c r="W286" s="14">
        <f t="shared" ca="1" si="198"/>
        <v>0</v>
      </c>
      <c r="X286" s="14">
        <f t="shared" ca="1" si="199"/>
        <v>0</v>
      </c>
      <c r="Y286" s="213">
        <f t="shared" ca="1" si="221"/>
        <v>0</v>
      </c>
      <c r="Z286" s="14">
        <f t="shared" ca="1" si="200"/>
        <v>0</v>
      </c>
      <c r="AA286" s="14">
        <f>IF(AND($H286=pt,$F286=11),SUM($K$7:K286)*VLOOKUP(pt,ROC,2,FALSE),0)</f>
        <v>0</v>
      </c>
      <c r="AB286" s="14">
        <f>IF(AND($H286=pt,$F286=11),SUM($V$7:V286)*VLOOKUP(pt,ROC,2,FALSE),0)</f>
        <v>0</v>
      </c>
      <c r="AC286" s="14">
        <f>IF(AND($H286=pt,$F286=11),SUM($Q$7:Q286)*VLOOKUP(pt,ROC,2,FALSE),0)</f>
        <v>0</v>
      </c>
      <c r="AD286" s="14">
        <f t="shared" ca="1" si="222"/>
        <v>0</v>
      </c>
      <c r="AE286" s="14">
        <f ca="1">(MAX(sa-CF285*Flag_UL_Type,105%*SUM($I$7:I286),Z286)+AU286)*B286</f>
        <v>0</v>
      </c>
      <c r="AF286" s="136"/>
      <c r="AG286" s="18">
        <v>280</v>
      </c>
      <c r="AH286" s="30">
        <f t="shared" ca="1" si="201"/>
        <v>0</v>
      </c>
      <c r="AI286" s="58"/>
      <c r="AJ286" s="50">
        <f>IF(AND(Option_Sys_TopUp&gt;="Y",H286&gt;=sytp,H286&lt;=(dtp+sytp-1),F286=0,H286&lt;=ppt+1),atp,0)+IFERROR(VLOOKUP(H286,Input!$B$55:$C$61,2,0),0)*(F286=0)*(Option_TopUP="Y")*(Option_Sys_TopUp="N")*B286*(pt&gt;=H286+5)</f>
        <v>0</v>
      </c>
      <c r="AK286" s="50">
        <f t="shared" si="202"/>
        <v>0</v>
      </c>
      <c r="AL286" s="50">
        <f t="shared" si="223"/>
        <v>0</v>
      </c>
      <c r="AM286" s="50">
        <f t="shared" ca="1" si="203"/>
        <v>0</v>
      </c>
      <c r="AN286" s="50">
        <f>IF(B286=0,0,AT286*(_rpm1+(1+_emr1)*VLOOKUP(E286,Tab_Mort_Charge,IF(Input!$C$12="M",2,3),0))*(0.001*0.0833)*Flag_Mort_Rider_Charge*(AT286&gt;0))</f>
        <v>0</v>
      </c>
      <c r="AO286" s="50">
        <f t="shared" ca="1" si="224"/>
        <v>0</v>
      </c>
      <c r="AP286" s="50">
        <f t="shared" ca="1" si="231"/>
        <v>0</v>
      </c>
      <c r="AQ286" s="50">
        <f t="shared" ca="1" si="204"/>
        <v>0</v>
      </c>
      <c r="AR286" s="50">
        <f t="shared" ca="1" si="205"/>
        <v>0</v>
      </c>
      <c r="AS286" s="50">
        <f t="shared" si="206"/>
        <v>0</v>
      </c>
      <c r="AT286" s="50">
        <f ca="1">(MAX((MAX(AS286,105%*SUM($AJ$7:AJ286))-AM286*Flag_UL_Type),0)*B286)</f>
        <v>0</v>
      </c>
      <c r="AU286" s="50">
        <f ca="1">(MAX(AS286,AR286,105%*SUM($AJ$7:AJ286))*B286)</f>
        <v>0</v>
      </c>
      <c r="AV286" s="125"/>
      <c r="AW286" s="13"/>
      <c r="AX286" s="13"/>
      <c r="AY286" s="13"/>
      <c r="AZ286" s="13"/>
      <c r="BA286" s="13"/>
      <c r="BG286" s="51">
        <f t="shared" si="207"/>
        <v>0</v>
      </c>
      <c r="BH286" s="51">
        <f t="shared" si="208"/>
        <v>0</v>
      </c>
      <c r="BI286" s="51">
        <f t="shared" ca="1" si="209"/>
        <v>0</v>
      </c>
      <c r="BJ286" s="51">
        <f t="shared" ca="1" si="210"/>
        <v>0</v>
      </c>
      <c r="BK286" s="51">
        <f t="shared" si="211"/>
        <v>0</v>
      </c>
      <c r="BL286" s="51">
        <f t="shared" ca="1" si="212"/>
        <v>0</v>
      </c>
      <c r="BM286" s="51">
        <f t="shared" si="213"/>
        <v>0</v>
      </c>
      <c r="BN286" s="51">
        <f t="shared" si="214"/>
        <v>0</v>
      </c>
      <c r="BO286" s="51">
        <f t="shared" ca="1" si="215"/>
        <v>0</v>
      </c>
      <c r="BP286" s="51">
        <f t="shared" ca="1" si="216"/>
        <v>0</v>
      </c>
      <c r="BQ286" s="120"/>
      <c r="BR286" s="32"/>
      <c r="BS286" s="126"/>
      <c r="BT286" s="16"/>
      <c r="BU286" s="58"/>
      <c r="BW286" s="51">
        <f>VLOOKUP(H286,Charges!$AT$4:$AU$33,2,FALSE)*I286</f>
        <v>0</v>
      </c>
      <c r="BX286" s="51">
        <f t="shared" si="217"/>
        <v>0</v>
      </c>
      <c r="BY286" s="51">
        <f t="shared" si="225"/>
        <v>0</v>
      </c>
      <c r="BZ286" s="151"/>
      <c r="CA286" s="151"/>
      <c r="CB286" s="32"/>
      <c r="CC286" s="16">
        <f ca="1">SUM($N$7:$N286)</f>
        <v>0</v>
      </c>
      <c r="CD286" s="16">
        <f t="shared" ca="1" si="218"/>
        <v>0</v>
      </c>
      <c r="CE286" s="16">
        <f t="shared" ca="1" si="219"/>
        <v>0</v>
      </c>
      <c r="CF286" s="7">
        <f t="shared" ca="1" si="226"/>
        <v>0</v>
      </c>
    </row>
    <row r="287" spans="1:84" s="7" customFormat="1" x14ac:dyDescent="0.2">
      <c r="A287" s="149"/>
      <c r="B287" s="14">
        <f t="shared" si="188"/>
        <v>0</v>
      </c>
      <c r="C287" s="12">
        <f t="shared" si="189"/>
        <v>0</v>
      </c>
      <c r="D287" s="17">
        <f t="shared" si="227"/>
        <v>281</v>
      </c>
      <c r="E287" s="17">
        <f t="shared" ca="1" si="190"/>
        <v>83</v>
      </c>
      <c r="F287" s="12">
        <f t="shared" si="229"/>
        <v>4</v>
      </c>
      <c r="G287" s="12">
        <f t="shared" si="228"/>
        <v>47</v>
      </c>
      <c r="H287" s="17">
        <f t="shared" si="230"/>
        <v>24</v>
      </c>
      <c r="I287" s="29">
        <f t="shared" si="191"/>
        <v>0</v>
      </c>
      <c r="J287" s="211">
        <f>IFERROR(VLOOKUP(H287,Charges!$T$6:$U$35,2,0)*C287,0)</f>
        <v>0</v>
      </c>
      <c r="K287" s="29">
        <f t="shared" si="192"/>
        <v>0</v>
      </c>
      <c r="L287" s="29">
        <f t="shared" si="193"/>
        <v>0</v>
      </c>
      <c r="M287" s="147">
        <f t="shared" ca="1" si="194"/>
        <v>0</v>
      </c>
      <c r="N287" s="148">
        <f ca="1">IF(AND(Option_SPW="Y",H287&gt;=Lock_In_Period,Z286&gt;SPW_Amount_pa+IF(option="Single",1/5*pr,2*pr),H287&gt;=SPW_Start_Year,H287&lt;=SPW_Start_Year+SPW_Duration-1,age+H287&gt;=Legal_Age),IF(AND(F287=0,SPW_Payout_Freq=1),SPW_Amount_pa,IF(AND(SPW_Payout_Freq=2,MOD(F287,6)=0),SPW_Amount_pa/SPW_Payout_Freq,IF(AND(SPW_Payout_Freq=4,MOD(F287,3)=0),SPW_Amount_pa/SPW_Payout_Freq,IF(SPW_Payout_Freq=12,SPW_Amount_pa/SPW_Payout_Freq,0)))),0)+IFERROR(VLOOKUP(H287,Input!$B$68:$C$74,2,0),0)*(F287=0)*(Option_PW="Y")*(Option_SPW="N")*(age+H287&gt;=Legal_Age)</f>
        <v>0</v>
      </c>
      <c r="O287" s="148">
        <f t="shared" ca="1" si="220"/>
        <v>0</v>
      </c>
      <c r="P287" s="14">
        <f ca="1">(MAX(MAX(sa-CF286*Flag_UL_Type,105%*SUM($I$7:I287))-(AD286+L287-N287)*Flag_UL_Type,0)*B287)</f>
        <v>0</v>
      </c>
      <c r="Q287" s="213">
        <f t="shared" si="195"/>
        <v>0</v>
      </c>
      <c r="R287" s="14">
        <f t="shared" ca="1" si="196"/>
        <v>0</v>
      </c>
      <c r="S287" s="14">
        <f t="shared" ca="1" si="197"/>
        <v>0</v>
      </c>
      <c r="T287" s="14">
        <f>IFERROR(IF(WoP_Flag="Y",IF(fq=1,VLOOKUP(ppt*fq-H287,Charges!$AN$41:$AO$59,2,FALSE),IF(fq=2,VLOOKUP(ppt*fq-G287,Charges!$AP$41:$AQ$79,2,FALSE),VLOOKUP(ppt*fq-D287,Charges!$AR$41:$AS$279,2,FALSE)))*pr/fq,0),0)</f>
        <v>0</v>
      </c>
      <c r="U287" s="14">
        <f ca="1">IFERROR(((T287*(VLOOKUP(Input!$D$18+H287-1,Tab_Mort_Charge,IF(Gender_2="M",2,3),FALSE)*(1+_emr2)+_rpm2)/IF(Model_Type="LA_PQIS",1000/0.0833,(12*1000))))*Flag_Mort_Rider_Charge*(T287&gt;0),0)</f>
        <v>0</v>
      </c>
      <c r="V287" s="34">
        <f>ROUND(MIN(IF(H287&gt;=7,Charges!$C$12*(1+Charges!$C$14)^((H287-7+1)),VLOOKUP(H287,Charges!$B$7:$C$12,2,0))*pr,Charges!$C$13)*B287,Round)</f>
        <v>0</v>
      </c>
      <c r="W287" s="14">
        <f t="shared" ca="1" si="198"/>
        <v>0</v>
      </c>
      <c r="X287" s="14">
        <f t="shared" ca="1" si="199"/>
        <v>0</v>
      </c>
      <c r="Y287" s="213">
        <f t="shared" ca="1" si="221"/>
        <v>0</v>
      </c>
      <c r="Z287" s="14">
        <f t="shared" ca="1" si="200"/>
        <v>0</v>
      </c>
      <c r="AA287" s="14">
        <f>IF(AND($H287=pt,$F287=11),SUM($K$7:K287)*VLOOKUP(pt,ROC,2,FALSE),0)</f>
        <v>0</v>
      </c>
      <c r="AB287" s="14">
        <f>IF(AND($H287=pt,$F287=11),SUM($V$7:V287)*VLOOKUP(pt,ROC,2,FALSE),0)</f>
        <v>0</v>
      </c>
      <c r="AC287" s="14">
        <f>IF(AND($H287=pt,$F287=11),SUM($Q$7:Q287)*VLOOKUP(pt,ROC,2,FALSE),0)</f>
        <v>0</v>
      </c>
      <c r="AD287" s="14">
        <f t="shared" ca="1" si="222"/>
        <v>0</v>
      </c>
      <c r="AE287" s="14">
        <f ca="1">(MAX(sa-CF286*Flag_UL_Type,105%*SUM($I$7:I287),Z287)+AU287)*B287</f>
        <v>0</v>
      </c>
      <c r="AF287" s="136"/>
      <c r="AG287" s="18">
        <v>281</v>
      </c>
      <c r="AH287" s="30">
        <f t="shared" ca="1" si="201"/>
        <v>0</v>
      </c>
      <c r="AI287" s="58"/>
      <c r="AJ287" s="50">
        <f>IF(AND(Option_Sys_TopUp&gt;="Y",H287&gt;=sytp,H287&lt;=(dtp+sytp-1),F287=0,H287&lt;=ppt+1),atp,0)+IFERROR(VLOOKUP(H287,Input!$B$55:$C$61,2,0),0)*(F287=0)*(Option_TopUP="Y")*(Option_Sys_TopUp="N")*B287*(pt&gt;=H287+5)</f>
        <v>0</v>
      </c>
      <c r="AK287" s="50">
        <f t="shared" si="202"/>
        <v>0</v>
      </c>
      <c r="AL287" s="50">
        <f t="shared" si="223"/>
        <v>0</v>
      </c>
      <c r="AM287" s="50">
        <f t="shared" ca="1" si="203"/>
        <v>0</v>
      </c>
      <c r="AN287" s="50">
        <f>IF(B287=0,0,AT287*(_rpm1+(1+_emr1)*VLOOKUP(E287,Tab_Mort_Charge,IF(Input!$C$12="M",2,3),0))*(0.001*0.0833)*Flag_Mort_Rider_Charge*(AT287&gt;0))</f>
        <v>0</v>
      </c>
      <c r="AO287" s="50">
        <f t="shared" ca="1" si="224"/>
        <v>0</v>
      </c>
      <c r="AP287" s="50">
        <f t="shared" ca="1" si="231"/>
        <v>0</v>
      </c>
      <c r="AQ287" s="50">
        <f t="shared" ca="1" si="204"/>
        <v>0</v>
      </c>
      <c r="AR287" s="50">
        <f t="shared" ca="1" si="205"/>
        <v>0</v>
      </c>
      <c r="AS287" s="50">
        <f t="shared" si="206"/>
        <v>0</v>
      </c>
      <c r="AT287" s="50">
        <f ca="1">(MAX((MAX(AS287,105%*SUM($AJ$7:AJ287))-AM287*Flag_UL_Type),0)*B287)</f>
        <v>0</v>
      </c>
      <c r="AU287" s="50">
        <f ca="1">(MAX(AS287,AR287,105%*SUM($AJ$7:AJ287))*B287)</f>
        <v>0</v>
      </c>
      <c r="AV287" s="125"/>
      <c r="AW287" s="13"/>
      <c r="AX287" s="13"/>
      <c r="AY287" s="13"/>
      <c r="AZ287" s="13"/>
      <c r="BA287" s="13"/>
      <c r="BG287" s="51">
        <f t="shared" si="207"/>
        <v>0</v>
      </c>
      <c r="BH287" s="51">
        <f t="shared" si="208"/>
        <v>0</v>
      </c>
      <c r="BI287" s="51">
        <f t="shared" ca="1" si="209"/>
        <v>0</v>
      </c>
      <c r="BJ287" s="51">
        <f t="shared" ca="1" si="210"/>
        <v>0</v>
      </c>
      <c r="BK287" s="51">
        <f t="shared" si="211"/>
        <v>0</v>
      </c>
      <c r="BL287" s="51">
        <f t="shared" ca="1" si="212"/>
        <v>0</v>
      </c>
      <c r="BM287" s="51">
        <f t="shared" si="213"/>
        <v>0</v>
      </c>
      <c r="BN287" s="51">
        <f t="shared" si="214"/>
        <v>0</v>
      </c>
      <c r="BO287" s="51">
        <f t="shared" ca="1" si="215"/>
        <v>0</v>
      </c>
      <c r="BP287" s="51">
        <f t="shared" ca="1" si="216"/>
        <v>0</v>
      </c>
      <c r="BQ287" s="120"/>
      <c r="BR287" s="32"/>
      <c r="BS287" s="126"/>
      <c r="BT287" s="16"/>
      <c r="BU287" s="58"/>
      <c r="BW287" s="51">
        <f>VLOOKUP(H287,Charges!$AT$4:$AU$33,2,FALSE)*I287</f>
        <v>0</v>
      </c>
      <c r="BX287" s="51">
        <f t="shared" si="217"/>
        <v>0</v>
      </c>
      <c r="BY287" s="51">
        <f t="shared" si="225"/>
        <v>0</v>
      </c>
      <c r="BZ287" s="151"/>
      <c r="CA287" s="151"/>
      <c r="CB287" s="32"/>
      <c r="CC287" s="16">
        <f ca="1">SUM($N$7:$N287)</f>
        <v>0</v>
      </c>
      <c r="CD287" s="16">
        <f t="shared" ca="1" si="218"/>
        <v>0</v>
      </c>
      <c r="CE287" s="16">
        <f t="shared" ca="1" si="219"/>
        <v>0</v>
      </c>
      <c r="CF287" s="7">
        <f t="shared" ca="1" si="226"/>
        <v>0</v>
      </c>
    </row>
    <row r="288" spans="1:84" s="7" customFormat="1" x14ac:dyDescent="0.2">
      <c r="A288" s="149"/>
      <c r="B288" s="14">
        <f t="shared" si="188"/>
        <v>0</v>
      </c>
      <c r="C288" s="12">
        <f t="shared" si="189"/>
        <v>0</v>
      </c>
      <c r="D288" s="17">
        <f t="shared" si="227"/>
        <v>282</v>
      </c>
      <c r="E288" s="17">
        <f t="shared" ca="1" si="190"/>
        <v>83</v>
      </c>
      <c r="F288" s="12">
        <f t="shared" si="229"/>
        <v>5</v>
      </c>
      <c r="G288" s="12">
        <f t="shared" si="228"/>
        <v>47</v>
      </c>
      <c r="H288" s="17">
        <f t="shared" si="230"/>
        <v>24</v>
      </c>
      <c r="I288" s="29">
        <f t="shared" si="191"/>
        <v>0</v>
      </c>
      <c r="J288" s="211">
        <f>IFERROR(VLOOKUP(H288,Charges!$T$6:$U$35,2,0)*C288,0)</f>
        <v>0</v>
      </c>
      <c r="K288" s="29">
        <f t="shared" si="192"/>
        <v>0</v>
      </c>
      <c r="L288" s="29">
        <f t="shared" si="193"/>
        <v>0</v>
      </c>
      <c r="M288" s="147">
        <f t="shared" ca="1" si="194"/>
        <v>0</v>
      </c>
      <c r="N288" s="148">
        <f ca="1">IF(AND(Option_SPW="Y",H288&gt;=Lock_In_Period,Z287&gt;SPW_Amount_pa+IF(option="Single",1/5*pr,2*pr),H288&gt;=SPW_Start_Year,H288&lt;=SPW_Start_Year+SPW_Duration-1,age+H288&gt;=Legal_Age),IF(AND(F288=0,SPW_Payout_Freq=1),SPW_Amount_pa,IF(AND(SPW_Payout_Freq=2,MOD(F288,6)=0),SPW_Amount_pa/SPW_Payout_Freq,IF(AND(SPW_Payout_Freq=4,MOD(F288,3)=0),SPW_Amount_pa/SPW_Payout_Freq,IF(SPW_Payout_Freq=12,SPW_Amount_pa/SPW_Payout_Freq,0)))),0)+IFERROR(VLOOKUP(H288,Input!$B$68:$C$74,2,0),0)*(F288=0)*(Option_PW="Y")*(Option_SPW="N")*(age+H288&gt;=Legal_Age)</f>
        <v>0</v>
      </c>
      <c r="O288" s="148">
        <f t="shared" ca="1" si="220"/>
        <v>0</v>
      </c>
      <c r="P288" s="14">
        <f ca="1">(MAX(MAX(sa-CF287*Flag_UL_Type,105%*SUM($I$7:I288))-(AD287+L288-N288)*Flag_UL_Type,0)*B288)</f>
        <v>0</v>
      </c>
      <c r="Q288" s="213">
        <f t="shared" si="195"/>
        <v>0</v>
      </c>
      <c r="R288" s="14">
        <f t="shared" ca="1" si="196"/>
        <v>0</v>
      </c>
      <c r="S288" s="14">
        <f t="shared" ca="1" si="197"/>
        <v>0</v>
      </c>
      <c r="T288" s="14">
        <f>IFERROR(IF(WoP_Flag="Y",IF(fq=1,VLOOKUP(ppt*fq-H288,Charges!$AN$41:$AO$59,2,FALSE),IF(fq=2,VLOOKUP(ppt*fq-G288,Charges!$AP$41:$AQ$79,2,FALSE),VLOOKUP(ppt*fq-D288,Charges!$AR$41:$AS$279,2,FALSE)))*pr/fq,0),0)</f>
        <v>0</v>
      </c>
      <c r="U288" s="14">
        <f ca="1">IFERROR(((T288*(VLOOKUP(Input!$D$18+H288-1,Tab_Mort_Charge,IF(Gender_2="M",2,3),FALSE)*(1+_emr2)+_rpm2)/IF(Model_Type="LA_PQIS",1000/0.0833,(12*1000))))*Flag_Mort_Rider_Charge*(T288&gt;0),0)</f>
        <v>0</v>
      </c>
      <c r="V288" s="34">
        <f>ROUND(MIN(IF(H288&gt;=7,Charges!$C$12*(1+Charges!$C$14)^((H288-7+1)),VLOOKUP(H288,Charges!$B$7:$C$12,2,0))*pr,Charges!$C$13)*B288,Round)</f>
        <v>0</v>
      </c>
      <c r="W288" s="14">
        <f t="shared" ca="1" si="198"/>
        <v>0</v>
      </c>
      <c r="X288" s="14">
        <f t="shared" ca="1" si="199"/>
        <v>0</v>
      </c>
      <c r="Y288" s="213">
        <f t="shared" ca="1" si="221"/>
        <v>0</v>
      </c>
      <c r="Z288" s="14">
        <f t="shared" ca="1" si="200"/>
        <v>0</v>
      </c>
      <c r="AA288" s="14">
        <f>IF(AND($H288=pt,$F288=11),SUM($K$7:K288)*VLOOKUP(pt,ROC,2,FALSE),0)</f>
        <v>0</v>
      </c>
      <c r="AB288" s="14">
        <f>IF(AND($H288=pt,$F288=11),SUM($V$7:V288)*VLOOKUP(pt,ROC,2,FALSE),0)</f>
        <v>0</v>
      </c>
      <c r="AC288" s="14">
        <f>IF(AND($H288=pt,$F288=11),SUM($Q$7:Q288)*VLOOKUP(pt,ROC,2,FALSE),0)</f>
        <v>0</v>
      </c>
      <c r="AD288" s="14">
        <f t="shared" ca="1" si="222"/>
        <v>0</v>
      </c>
      <c r="AE288" s="14">
        <f ca="1">(MAX(sa-CF287*Flag_UL_Type,105%*SUM($I$7:I288),Z288)+AU288)*B288</f>
        <v>0</v>
      </c>
      <c r="AF288" s="136"/>
      <c r="AG288" s="18">
        <v>282</v>
      </c>
      <c r="AH288" s="30">
        <f t="shared" ca="1" si="201"/>
        <v>0</v>
      </c>
      <c r="AI288" s="58"/>
      <c r="AJ288" s="50">
        <f>IF(AND(Option_Sys_TopUp&gt;="Y",H288&gt;=sytp,H288&lt;=(dtp+sytp-1),F288=0,H288&lt;=ppt+1),atp,0)+IFERROR(VLOOKUP(H288,Input!$B$55:$C$61,2,0),0)*(F288=0)*(Option_TopUP="Y")*(Option_Sys_TopUp="N")*B288*(pt&gt;=H288+5)</f>
        <v>0</v>
      </c>
      <c r="AK288" s="50">
        <f t="shared" si="202"/>
        <v>0</v>
      </c>
      <c r="AL288" s="50">
        <f t="shared" si="223"/>
        <v>0</v>
      </c>
      <c r="AM288" s="50">
        <f t="shared" ca="1" si="203"/>
        <v>0</v>
      </c>
      <c r="AN288" s="50">
        <f>IF(B288=0,0,AT288*(_rpm1+(1+_emr1)*VLOOKUP(E288,Tab_Mort_Charge,IF(Input!$C$12="M",2,3),0))*(0.001*0.0833)*Flag_Mort_Rider_Charge*(AT288&gt;0))</f>
        <v>0</v>
      </c>
      <c r="AO288" s="50">
        <f t="shared" ca="1" si="224"/>
        <v>0</v>
      </c>
      <c r="AP288" s="50">
        <f t="shared" ca="1" si="231"/>
        <v>0</v>
      </c>
      <c r="AQ288" s="50">
        <f t="shared" ca="1" si="204"/>
        <v>0</v>
      </c>
      <c r="AR288" s="50">
        <f t="shared" ca="1" si="205"/>
        <v>0</v>
      </c>
      <c r="AS288" s="50">
        <f t="shared" si="206"/>
        <v>0</v>
      </c>
      <c r="AT288" s="50">
        <f ca="1">(MAX((MAX(AS288,105%*SUM($AJ$7:AJ288))-AM288*Flag_UL_Type),0)*B288)</f>
        <v>0</v>
      </c>
      <c r="AU288" s="50">
        <f ca="1">(MAX(AS288,AR288,105%*SUM($AJ$7:AJ288))*B288)</f>
        <v>0</v>
      </c>
      <c r="AV288" s="125"/>
      <c r="AW288" s="13"/>
      <c r="AX288" s="13"/>
      <c r="AY288" s="13"/>
      <c r="AZ288" s="13"/>
      <c r="BA288" s="13"/>
      <c r="BG288" s="51">
        <f t="shared" si="207"/>
        <v>0</v>
      </c>
      <c r="BH288" s="51">
        <f t="shared" si="208"/>
        <v>0</v>
      </c>
      <c r="BI288" s="51">
        <f t="shared" ca="1" si="209"/>
        <v>0</v>
      </c>
      <c r="BJ288" s="51">
        <f t="shared" ca="1" si="210"/>
        <v>0</v>
      </c>
      <c r="BK288" s="51">
        <f t="shared" si="211"/>
        <v>0</v>
      </c>
      <c r="BL288" s="51">
        <f t="shared" ca="1" si="212"/>
        <v>0</v>
      </c>
      <c r="BM288" s="51">
        <f t="shared" si="213"/>
        <v>0</v>
      </c>
      <c r="BN288" s="51">
        <f t="shared" si="214"/>
        <v>0</v>
      </c>
      <c r="BO288" s="51">
        <f t="shared" ca="1" si="215"/>
        <v>0</v>
      </c>
      <c r="BP288" s="51">
        <f t="shared" ca="1" si="216"/>
        <v>0</v>
      </c>
      <c r="BQ288" s="120"/>
      <c r="BR288" s="32"/>
      <c r="BS288" s="126"/>
      <c r="BT288" s="16"/>
      <c r="BU288" s="58"/>
      <c r="BW288" s="51">
        <f>VLOOKUP(H288,Charges!$AT$4:$AU$33,2,FALSE)*I288</f>
        <v>0</v>
      </c>
      <c r="BX288" s="51">
        <f t="shared" si="217"/>
        <v>0</v>
      </c>
      <c r="BY288" s="51">
        <f t="shared" si="225"/>
        <v>0</v>
      </c>
      <c r="BZ288" s="151"/>
      <c r="CA288" s="151"/>
      <c r="CB288" s="32"/>
      <c r="CC288" s="16">
        <f ca="1">SUM($N$7:$N288)</f>
        <v>0</v>
      </c>
      <c r="CD288" s="16">
        <f t="shared" ca="1" si="218"/>
        <v>0</v>
      </c>
      <c r="CE288" s="16">
        <f t="shared" ca="1" si="219"/>
        <v>0</v>
      </c>
      <c r="CF288" s="7">
        <f t="shared" ca="1" si="226"/>
        <v>0</v>
      </c>
    </row>
    <row r="289" spans="1:84" s="7" customFormat="1" x14ac:dyDescent="0.2">
      <c r="A289" s="149"/>
      <c r="B289" s="14">
        <f t="shared" si="188"/>
        <v>0</v>
      </c>
      <c r="C289" s="12">
        <f t="shared" si="189"/>
        <v>0</v>
      </c>
      <c r="D289" s="17">
        <f t="shared" si="227"/>
        <v>283</v>
      </c>
      <c r="E289" s="17">
        <f t="shared" ca="1" si="190"/>
        <v>83</v>
      </c>
      <c r="F289" s="12">
        <f t="shared" si="229"/>
        <v>6</v>
      </c>
      <c r="G289" s="12">
        <f t="shared" si="228"/>
        <v>48</v>
      </c>
      <c r="H289" s="17">
        <f t="shared" si="230"/>
        <v>24</v>
      </c>
      <c r="I289" s="29">
        <f t="shared" si="191"/>
        <v>0</v>
      </c>
      <c r="J289" s="211">
        <f>IFERROR(VLOOKUP(H289,Charges!$T$6:$U$35,2,0)*C289,0)</f>
        <v>0</v>
      </c>
      <c r="K289" s="29">
        <f t="shared" si="192"/>
        <v>0</v>
      </c>
      <c r="L289" s="29">
        <f t="shared" si="193"/>
        <v>0</v>
      </c>
      <c r="M289" s="147">
        <f t="shared" ca="1" si="194"/>
        <v>0</v>
      </c>
      <c r="N289" s="148">
        <f ca="1">IF(AND(Option_SPW="Y",H289&gt;=Lock_In_Period,Z288&gt;SPW_Amount_pa+IF(option="Single",1/5*pr,2*pr),H289&gt;=SPW_Start_Year,H289&lt;=SPW_Start_Year+SPW_Duration-1,age+H289&gt;=Legal_Age),IF(AND(F289=0,SPW_Payout_Freq=1),SPW_Amount_pa,IF(AND(SPW_Payout_Freq=2,MOD(F289,6)=0),SPW_Amount_pa/SPW_Payout_Freq,IF(AND(SPW_Payout_Freq=4,MOD(F289,3)=0),SPW_Amount_pa/SPW_Payout_Freq,IF(SPW_Payout_Freq=12,SPW_Amount_pa/SPW_Payout_Freq,0)))),0)+IFERROR(VLOOKUP(H289,Input!$B$68:$C$74,2,0),0)*(F289=0)*(Option_PW="Y")*(Option_SPW="N")*(age+H289&gt;=Legal_Age)</f>
        <v>0</v>
      </c>
      <c r="O289" s="148">
        <f t="shared" ca="1" si="220"/>
        <v>0</v>
      </c>
      <c r="P289" s="14">
        <f ca="1">(MAX(MAX(sa-CF288*Flag_UL_Type,105%*SUM($I$7:I289))-(AD288+L289-N289)*Flag_UL_Type,0)*B289)</f>
        <v>0</v>
      </c>
      <c r="Q289" s="213">
        <f t="shared" si="195"/>
        <v>0</v>
      </c>
      <c r="R289" s="14">
        <f t="shared" ca="1" si="196"/>
        <v>0</v>
      </c>
      <c r="S289" s="14">
        <f t="shared" ca="1" si="197"/>
        <v>0</v>
      </c>
      <c r="T289" s="14">
        <f>IFERROR(IF(WoP_Flag="Y",IF(fq=1,VLOOKUP(ppt*fq-H289,Charges!$AN$41:$AO$59,2,FALSE),IF(fq=2,VLOOKUP(ppt*fq-G289,Charges!$AP$41:$AQ$79,2,FALSE),VLOOKUP(ppt*fq-D289,Charges!$AR$41:$AS$279,2,FALSE)))*pr/fq,0),0)</f>
        <v>0</v>
      </c>
      <c r="U289" s="14">
        <f ca="1">IFERROR(((T289*(VLOOKUP(Input!$D$18+H289-1,Tab_Mort_Charge,IF(Gender_2="M",2,3),FALSE)*(1+_emr2)+_rpm2)/IF(Model_Type="LA_PQIS",1000/0.0833,(12*1000))))*Flag_Mort_Rider_Charge*(T289&gt;0),0)</f>
        <v>0</v>
      </c>
      <c r="V289" s="34">
        <f>ROUND(MIN(IF(H289&gt;=7,Charges!$C$12*(1+Charges!$C$14)^((H289-7+1)),VLOOKUP(H289,Charges!$B$7:$C$12,2,0))*pr,Charges!$C$13)*B289,Round)</f>
        <v>0</v>
      </c>
      <c r="W289" s="14">
        <f t="shared" ca="1" si="198"/>
        <v>0</v>
      </c>
      <c r="X289" s="14">
        <f t="shared" ca="1" si="199"/>
        <v>0</v>
      </c>
      <c r="Y289" s="213">
        <f t="shared" ca="1" si="221"/>
        <v>0</v>
      </c>
      <c r="Z289" s="14">
        <f t="shared" ca="1" si="200"/>
        <v>0</v>
      </c>
      <c r="AA289" s="14">
        <f>IF(AND($H289=pt,$F289=11),SUM($K$7:K289)*VLOOKUP(pt,ROC,2,FALSE),0)</f>
        <v>0</v>
      </c>
      <c r="AB289" s="14">
        <f>IF(AND($H289=pt,$F289=11),SUM($V$7:V289)*VLOOKUP(pt,ROC,2,FALSE),0)</f>
        <v>0</v>
      </c>
      <c r="AC289" s="14">
        <f>IF(AND($H289=pt,$F289=11),SUM($Q$7:Q289)*VLOOKUP(pt,ROC,2,FALSE),0)</f>
        <v>0</v>
      </c>
      <c r="AD289" s="14">
        <f t="shared" ca="1" si="222"/>
        <v>0</v>
      </c>
      <c r="AE289" s="14">
        <f ca="1">(MAX(sa-CF288*Flag_UL_Type,105%*SUM($I$7:I289),Z289)+AU289)*B289</f>
        <v>0</v>
      </c>
      <c r="AF289" s="136"/>
      <c r="AG289" s="18">
        <v>283</v>
      </c>
      <c r="AH289" s="30">
        <f t="shared" ca="1" si="201"/>
        <v>0</v>
      </c>
      <c r="AI289" s="58"/>
      <c r="AJ289" s="50">
        <f>IF(AND(Option_Sys_TopUp&gt;="Y",H289&gt;=sytp,H289&lt;=(dtp+sytp-1),F289=0,H289&lt;=ppt+1),atp,0)+IFERROR(VLOOKUP(H289,Input!$B$55:$C$61,2,0),0)*(F289=0)*(Option_TopUP="Y")*(Option_Sys_TopUp="N")*B289*(pt&gt;=H289+5)</f>
        <v>0</v>
      </c>
      <c r="AK289" s="50">
        <f t="shared" si="202"/>
        <v>0</v>
      </c>
      <c r="AL289" s="50">
        <f t="shared" si="223"/>
        <v>0</v>
      </c>
      <c r="AM289" s="50">
        <f t="shared" ca="1" si="203"/>
        <v>0</v>
      </c>
      <c r="AN289" s="50">
        <f>IF(B289=0,0,AT289*(_rpm1+(1+_emr1)*VLOOKUP(E289,Tab_Mort_Charge,IF(Input!$C$12="M",2,3),0))*(0.001*0.0833)*Flag_Mort_Rider_Charge*(AT289&gt;0))</f>
        <v>0</v>
      </c>
      <c r="AO289" s="50">
        <f t="shared" ca="1" si="224"/>
        <v>0</v>
      </c>
      <c r="AP289" s="50">
        <f t="shared" ca="1" si="231"/>
        <v>0</v>
      </c>
      <c r="AQ289" s="50">
        <f t="shared" ca="1" si="204"/>
        <v>0</v>
      </c>
      <c r="AR289" s="50">
        <f t="shared" ca="1" si="205"/>
        <v>0</v>
      </c>
      <c r="AS289" s="50">
        <f t="shared" si="206"/>
        <v>0</v>
      </c>
      <c r="AT289" s="50">
        <f ca="1">(MAX((MAX(AS289,105%*SUM($AJ$7:AJ289))-AM289*Flag_UL_Type),0)*B289)</f>
        <v>0</v>
      </c>
      <c r="AU289" s="50">
        <f ca="1">(MAX(AS289,AR289,105%*SUM($AJ$7:AJ289))*B289)</f>
        <v>0</v>
      </c>
      <c r="AV289" s="125"/>
      <c r="AW289" s="13"/>
      <c r="AX289" s="13"/>
      <c r="AY289" s="13"/>
      <c r="AZ289" s="13"/>
      <c r="BA289" s="13"/>
      <c r="BG289" s="51">
        <f t="shared" si="207"/>
        <v>0</v>
      </c>
      <c r="BH289" s="51">
        <f t="shared" si="208"/>
        <v>0</v>
      </c>
      <c r="BI289" s="51">
        <f t="shared" ca="1" si="209"/>
        <v>0</v>
      </c>
      <c r="BJ289" s="51">
        <f t="shared" ca="1" si="210"/>
        <v>0</v>
      </c>
      <c r="BK289" s="51">
        <f t="shared" si="211"/>
        <v>0</v>
      </c>
      <c r="BL289" s="51">
        <f t="shared" ca="1" si="212"/>
        <v>0</v>
      </c>
      <c r="BM289" s="51">
        <f t="shared" si="213"/>
        <v>0</v>
      </c>
      <c r="BN289" s="51">
        <f t="shared" si="214"/>
        <v>0</v>
      </c>
      <c r="BO289" s="51">
        <f t="shared" ca="1" si="215"/>
        <v>0</v>
      </c>
      <c r="BP289" s="51">
        <f t="shared" ca="1" si="216"/>
        <v>0</v>
      </c>
      <c r="BQ289" s="120"/>
      <c r="BR289" s="32"/>
      <c r="BS289" s="126"/>
      <c r="BT289" s="16"/>
      <c r="BU289" s="58"/>
      <c r="BW289" s="51">
        <f>VLOOKUP(H289,Charges!$AT$4:$AU$33,2,FALSE)*I289</f>
        <v>0</v>
      </c>
      <c r="BX289" s="51">
        <f t="shared" si="217"/>
        <v>0</v>
      </c>
      <c r="BY289" s="51">
        <f t="shared" si="225"/>
        <v>0</v>
      </c>
      <c r="BZ289" s="151"/>
      <c r="CA289" s="151"/>
      <c r="CB289" s="32"/>
      <c r="CC289" s="16">
        <f ca="1">SUM($N$7:$N289)</f>
        <v>0</v>
      </c>
      <c r="CD289" s="16">
        <f t="shared" ca="1" si="218"/>
        <v>0</v>
      </c>
      <c r="CE289" s="16">
        <f t="shared" ca="1" si="219"/>
        <v>0</v>
      </c>
      <c r="CF289" s="7">
        <f t="shared" ca="1" si="226"/>
        <v>0</v>
      </c>
    </row>
    <row r="290" spans="1:84" s="7" customFormat="1" x14ac:dyDescent="0.2">
      <c r="A290" s="149"/>
      <c r="B290" s="14">
        <f t="shared" si="188"/>
        <v>0</v>
      </c>
      <c r="C290" s="12">
        <f t="shared" si="189"/>
        <v>0</v>
      </c>
      <c r="D290" s="17">
        <f t="shared" si="227"/>
        <v>284</v>
      </c>
      <c r="E290" s="17">
        <f t="shared" ca="1" si="190"/>
        <v>83</v>
      </c>
      <c r="F290" s="12">
        <f t="shared" si="229"/>
        <v>7</v>
      </c>
      <c r="G290" s="12">
        <f t="shared" si="228"/>
        <v>48</v>
      </c>
      <c r="H290" s="17">
        <f t="shared" si="230"/>
        <v>24</v>
      </c>
      <c r="I290" s="29">
        <f t="shared" si="191"/>
        <v>0</v>
      </c>
      <c r="J290" s="211">
        <f>IFERROR(VLOOKUP(H290,Charges!$T$6:$U$35,2,0)*C290,0)</f>
        <v>0</v>
      </c>
      <c r="K290" s="29">
        <f t="shared" si="192"/>
        <v>0</v>
      </c>
      <c r="L290" s="29">
        <f t="shared" si="193"/>
        <v>0</v>
      </c>
      <c r="M290" s="147">
        <f t="shared" ca="1" si="194"/>
        <v>0</v>
      </c>
      <c r="N290" s="148">
        <f ca="1">IF(AND(Option_SPW="Y",H290&gt;=Lock_In_Period,Z289&gt;SPW_Amount_pa+IF(option="Single",1/5*pr,2*pr),H290&gt;=SPW_Start_Year,H290&lt;=SPW_Start_Year+SPW_Duration-1,age+H290&gt;=Legal_Age),IF(AND(F290=0,SPW_Payout_Freq=1),SPW_Amount_pa,IF(AND(SPW_Payout_Freq=2,MOD(F290,6)=0),SPW_Amount_pa/SPW_Payout_Freq,IF(AND(SPW_Payout_Freq=4,MOD(F290,3)=0),SPW_Amount_pa/SPW_Payout_Freq,IF(SPW_Payout_Freq=12,SPW_Amount_pa/SPW_Payout_Freq,0)))),0)+IFERROR(VLOOKUP(H290,Input!$B$68:$C$74,2,0),0)*(F290=0)*(Option_PW="Y")*(Option_SPW="N")*(age+H290&gt;=Legal_Age)</f>
        <v>0</v>
      </c>
      <c r="O290" s="148">
        <f t="shared" ca="1" si="220"/>
        <v>0</v>
      </c>
      <c r="P290" s="14">
        <f ca="1">(MAX(MAX(sa-CF289*Flag_UL_Type,105%*SUM($I$7:I290))-(AD289+L290-N290)*Flag_UL_Type,0)*B290)</f>
        <v>0</v>
      </c>
      <c r="Q290" s="213">
        <f t="shared" si="195"/>
        <v>0</v>
      </c>
      <c r="R290" s="14">
        <f t="shared" ca="1" si="196"/>
        <v>0</v>
      </c>
      <c r="S290" s="14">
        <f t="shared" ca="1" si="197"/>
        <v>0</v>
      </c>
      <c r="T290" s="14">
        <f>IFERROR(IF(WoP_Flag="Y",IF(fq=1,VLOOKUP(ppt*fq-H290,Charges!$AN$41:$AO$59,2,FALSE),IF(fq=2,VLOOKUP(ppt*fq-G290,Charges!$AP$41:$AQ$79,2,FALSE),VLOOKUP(ppt*fq-D290,Charges!$AR$41:$AS$279,2,FALSE)))*pr/fq,0),0)</f>
        <v>0</v>
      </c>
      <c r="U290" s="14">
        <f ca="1">IFERROR(((T290*(VLOOKUP(Input!$D$18+H290-1,Tab_Mort_Charge,IF(Gender_2="M",2,3),FALSE)*(1+_emr2)+_rpm2)/IF(Model_Type="LA_PQIS",1000/0.0833,(12*1000))))*Flag_Mort_Rider_Charge*(T290&gt;0),0)</f>
        <v>0</v>
      </c>
      <c r="V290" s="34">
        <f>ROUND(MIN(IF(H290&gt;=7,Charges!$C$12*(1+Charges!$C$14)^((H290-7+1)),VLOOKUP(H290,Charges!$B$7:$C$12,2,0))*pr,Charges!$C$13)*B290,Round)</f>
        <v>0</v>
      </c>
      <c r="W290" s="14">
        <f t="shared" ca="1" si="198"/>
        <v>0</v>
      </c>
      <c r="X290" s="14">
        <f t="shared" ca="1" si="199"/>
        <v>0</v>
      </c>
      <c r="Y290" s="213">
        <f t="shared" ca="1" si="221"/>
        <v>0</v>
      </c>
      <c r="Z290" s="14">
        <f t="shared" ca="1" si="200"/>
        <v>0</v>
      </c>
      <c r="AA290" s="14">
        <f>IF(AND($H290=pt,$F290=11),SUM($K$7:K290)*VLOOKUP(pt,ROC,2,FALSE),0)</f>
        <v>0</v>
      </c>
      <c r="AB290" s="14">
        <f>IF(AND($H290=pt,$F290=11),SUM($V$7:V290)*VLOOKUP(pt,ROC,2,FALSE),0)</f>
        <v>0</v>
      </c>
      <c r="AC290" s="14">
        <f>IF(AND($H290=pt,$F290=11),SUM($Q$7:Q290)*VLOOKUP(pt,ROC,2,FALSE),0)</f>
        <v>0</v>
      </c>
      <c r="AD290" s="14">
        <f t="shared" ca="1" si="222"/>
        <v>0</v>
      </c>
      <c r="AE290" s="14">
        <f ca="1">(MAX(sa-CF289*Flag_UL_Type,105%*SUM($I$7:I290),Z290)+AU290)*B290</f>
        <v>0</v>
      </c>
      <c r="AF290" s="136"/>
      <c r="AG290" s="18">
        <v>284</v>
      </c>
      <c r="AH290" s="30">
        <f t="shared" ca="1" si="201"/>
        <v>0</v>
      </c>
      <c r="AI290" s="58"/>
      <c r="AJ290" s="50">
        <f>IF(AND(Option_Sys_TopUp&gt;="Y",H290&gt;=sytp,H290&lt;=(dtp+sytp-1),F290=0,H290&lt;=ppt+1),atp,0)+IFERROR(VLOOKUP(H290,Input!$B$55:$C$61,2,0),0)*(F290=0)*(Option_TopUP="Y")*(Option_Sys_TopUp="N")*B290*(pt&gt;=H290+5)</f>
        <v>0</v>
      </c>
      <c r="AK290" s="50">
        <f t="shared" si="202"/>
        <v>0</v>
      </c>
      <c r="AL290" s="50">
        <f t="shared" si="223"/>
        <v>0</v>
      </c>
      <c r="AM290" s="50">
        <f t="shared" ca="1" si="203"/>
        <v>0</v>
      </c>
      <c r="AN290" s="50">
        <f>IF(B290=0,0,AT290*(_rpm1+(1+_emr1)*VLOOKUP(E290,Tab_Mort_Charge,IF(Input!$C$12="M",2,3),0))*(0.001*0.0833)*Flag_Mort_Rider_Charge*(AT290&gt;0))</f>
        <v>0</v>
      </c>
      <c r="AO290" s="50">
        <f t="shared" ca="1" si="224"/>
        <v>0</v>
      </c>
      <c r="AP290" s="50">
        <f t="shared" ca="1" si="231"/>
        <v>0</v>
      </c>
      <c r="AQ290" s="50">
        <f t="shared" ca="1" si="204"/>
        <v>0</v>
      </c>
      <c r="AR290" s="50">
        <f t="shared" ca="1" si="205"/>
        <v>0</v>
      </c>
      <c r="AS290" s="50">
        <f t="shared" si="206"/>
        <v>0</v>
      </c>
      <c r="AT290" s="50">
        <f ca="1">(MAX((MAX(AS290,105%*SUM($AJ$7:AJ290))-AM290*Flag_UL_Type),0)*B290)</f>
        <v>0</v>
      </c>
      <c r="AU290" s="50">
        <f ca="1">(MAX(AS290,AR290,105%*SUM($AJ$7:AJ290))*B290)</f>
        <v>0</v>
      </c>
      <c r="AV290" s="125"/>
      <c r="AW290" s="13"/>
      <c r="AX290" s="13"/>
      <c r="AY290" s="13"/>
      <c r="AZ290" s="13"/>
      <c r="BA290" s="13"/>
      <c r="BG290" s="51">
        <f t="shared" si="207"/>
        <v>0</v>
      </c>
      <c r="BH290" s="51">
        <f t="shared" si="208"/>
        <v>0</v>
      </c>
      <c r="BI290" s="51">
        <f t="shared" ca="1" si="209"/>
        <v>0</v>
      </c>
      <c r="BJ290" s="51">
        <f t="shared" ca="1" si="210"/>
        <v>0</v>
      </c>
      <c r="BK290" s="51">
        <f t="shared" si="211"/>
        <v>0</v>
      </c>
      <c r="BL290" s="51">
        <f t="shared" ca="1" si="212"/>
        <v>0</v>
      </c>
      <c r="BM290" s="51">
        <f t="shared" si="213"/>
        <v>0</v>
      </c>
      <c r="BN290" s="51">
        <f t="shared" si="214"/>
        <v>0</v>
      </c>
      <c r="BO290" s="51">
        <f t="shared" ca="1" si="215"/>
        <v>0</v>
      </c>
      <c r="BP290" s="51">
        <f t="shared" ca="1" si="216"/>
        <v>0</v>
      </c>
      <c r="BQ290" s="120"/>
      <c r="BR290" s="32"/>
      <c r="BS290" s="126"/>
      <c r="BT290" s="16"/>
      <c r="BU290" s="58"/>
      <c r="BW290" s="51">
        <f>VLOOKUP(H290,Charges!$AT$4:$AU$33,2,FALSE)*I290</f>
        <v>0</v>
      </c>
      <c r="BX290" s="51">
        <f t="shared" si="217"/>
        <v>0</v>
      </c>
      <c r="BY290" s="51">
        <f t="shared" si="225"/>
        <v>0</v>
      </c>
      <c r="BZ290" s="151"/>
      <c r="CA290" s="151"/>
      <c r="CB290" s="32"/>
      <c r="CC290" s="16">
        <f ca="1">SUM($N$7:$N290)</f>
        <v>0</v>
      </c>
      <c r="CD290" s="16">
        <f t="shared" ca="1" si="218"/>
        <v>0</v>
      </c>
      <c r="CE290" s="16">
        <f t="shared" ca="1" si="219"/>
        <v>0</v>
      </c>
      <c r="CF290" s="7">
        <f t="shared" ca="1" si="226"/>
        <v>0</v>
      </c>
    </row>
    <row r="291" spans="1:84" s="7" customFormat="1" x14ac:dyDescent="0.2">
      <c r="A291" s="149"/>
      <c r="B291" s="14">
        <f t="shared" si="188"/>
        <v>0</v>
      </c>
      <c r="C291" s="12">
        <f t="shared" si="189"/>
        <v>0</v>
      </c>
      <c r="D291" s="17">
        <f t="shared" si="227"/>
        <v>285</v>
      </c>
      <c r="E291" s="17">
        <f t="shared" ca="1" si="190"/>
        <v>83</v>
      </c>
      <c r="F291" s="12">
        <f t="shared" si="229"/>
        <v>8</v>
      </c>
      <c r="G291" s="12">
        <f t="shared" si="228"/>
        <v>48</v>
      </c>
      <c r="H291" s="17">
        <f t="shared" si="230"/>
        <v>24</v>
      </c>
      <c r="I291" s="29">
        <f t="shared" si="191"/>
        <v>0</v>
      </c>
      <c r="J291" s="211">
        <f>IFERROR(VLOOKUP(H291,Charges!$T$6:$U$35,2,0)*C291,0)</f>
        <v>0</v>
      </c>
      <c r="K291" s="29">
        <f t="shared" si="192"/>
        <v>0</v>
      </c>
      <c r="L291" s="29">
        <f t="shared" si="193"/>
        <v>0</v>
      </c>
      <c r="M291" s="147">
        <f t="shared" ca="1" si="194"/>
        <v>0</v>
      </c>
      <c r="N291" s="148">
        <f ca="1">IF(AND(Option_SPW="Y",H291&gt;=Lock_In_Period,Z290&gt;SPW_Amount_pa+IF(option="Single",1/5*pr,2*pr),H291&gt;=SPW_Start_Year,H291&lt;=SPW_Start_Year+SPW_Duration-1,age+H291&gt;=Legal_Age),IF(AND(F291=0,SPW_Payout_Freq=1),SPW_Amount_pa,IF(AND(SPW_Payout_Freq=2,MOD(F291,6)=0),SPW_Amount_pa/SPW_Payout_Freq,IF(AND(SPW_Payout_Freq=4,MOD(F291,3)=0),SPW_Amount_pa/SPW_Payout_Freq,IF(SPW_Payout_Freq=12,SPW_Amount_pa/SPW_Payout_Freq,0)))),0)+IFERROR(VLOOKUP(H291,Input!$B$68:$C$74,2,0),0)*(F291=0)*(Option_PW="Y")*(Option_SPW="N")*(age+H291&gt;=Legal_Age)</f>
        <v>0</v>
      </c>
      <c r="O291" s="148">
        <f t="shared" ca="1" si="220"/>
        <v>0</v>
      </c>
      <c r="P291" s="14">
        <f ca="1">(MAX(MAX(sa-CF290*Flag_UL_Type,105%*SUM($I$7:I291))-(AD290+L291-N291)*Flag_UL_Type,0)*B291)</f>
        <v>0</v>
      </c>
      <c r="Q291" s="213">
        <f t="shared" si="195"/>
        <v>0</v>
      </c>
      <c r="R291" s="14">
        <f t="shared" ca="1" si="196"/>
        <v>0</v>
      </c>
      <c r="S291" s="14">
        <f t="shared" ca="1" si="197"/>
        <v>0</v>
      </c>
      <c r="T291" s="14">
        <f>IFERROR(IF(WoP_Flag="Y",IF(fq=1,VLOOKUP(ppt*fq-H291,Charges!$AN$41:$AO$59,2,FALSE),IF(fq=2,VLOOKUP(ppt*fq-G291,Charges!$AP$41:$AQ$79,2,FALSE),VLOOKUP(ppt*fq-D291,Charges!$AR$41:$AS$279,2,FALSE)))*pr/fq,0),0)</f>
        <v>0</v>
      </c>
      <c r="U291" s="14">
        <f ca="1">IFERROR(((T291*(VLOOKUP(Input!$D$18+H291-1,Tab_Mort_Charge,IF(Gender_2="M",2,3),FALSE)*(1+_emr2)+_rpm2)/IF(Model_Type="LA_PQIS",1000/0.0833,(12*1000))))*Flag_Mort_Rider_Charge*(T291&gt;0),0)</f>
        <v>0</v>
      </c>
      <c r="V291" s="34">
        <f>ROUND(MIN(IF(H291&gt;=7,Charges!$C$12*(1+Charges!$C$14)^((H291-7+1)),VLOOKUP(H291,Charges!$B$7:$C$12,2,0))*pr,Charges!$C$13)*B291,Round)</f>
        <v>0</v>
      </c>
      <c r="W291" s="14">
        <f t="shared" ca="1" si="198"/>
        <v>0</v>
      </c>
      <c r="X291" s="14">
        <f t="shared" ca="1" si="199"/>
        <v>0</v>
      </c>
      <c r="Y291" s="213">
        <f t="shared" ca="1" si="221"/>
        <v>0</v>
      </c>
      <c r="Z291" s="14">
        <f t="shared" ca="1" si="200"/>
        <v>0</v>
      </c>
      <c r="AA291" s="14">
        <f>IF(AND($H291=pt,$F291=11),SUM($K$7:K291)*VLOOKUP(pt,ROC,2,FALSE),0)</f>
        <v>0</v>
      </c>
      <c r="AB291" s="14">
        <f>IF(AND($H291=pt,$F291=11),SUM($V$7:V291)*VLOOKUP(pt,ROC,2,FALSE),0)</f>
        <v>0</v>
      </c>
      <c r="AC291" s="14">
        <f>IF(AND($H291=pt,$F291=11),SUM($Q$7:Q291)*VLOOKUP(pt,ROC,2,FALSE),0)</f>
        <v>0</v>
      </c>
      <c r="AD291" s="14">
        <f t="shared" ca="1" si="222"/>
        <v>0</v>
      </c>
      <c r="AE291" s="14">
        <f ca="1">(MAX(sa-CF290*Flag_UL_Type,105%*SUM($I$7:I291),Z291)+AU291)*B291</f>
        <v>0</v>
      </c>
      <c r="AF291" s="136"/>
      <c r="AG291" s="18">
        <v>285</v>
      </c>
      <c r="AH291" s="30">
        <f t="shared" ca="1" si="201"/>
        <v>0</v>
      </c>
      <c r="AI291" s="58"/>
      <c r="AJ291" s="50">
        <f>IF(AND(Option_Sys_TopUp&gt;="Y",H291&gt;=sytp,H291&lt;=(dtp+sytp-1),F291=0,H291&lt;=ppt+1),atp,0)+IFERROR(VLOOKUP(H291,Input!$B$55:$C$61,2,0),0)*(F291=0)*(Option_TopUP="Y")*(Option_Sys_TopUp="N")*B291*(pt&gt;=H291+5)</f>
        <v>0</v>
      </c>
      <c r="AK291" s="50">
        <f t="shared" si="202"/>
        <v>0</v>
      </c>
      <c r="AL291" s="50">
        <f t="shared" si="223"/>
        <v>0</v>
      </c>
      <c r="AM291" s="50">
        <f t="shared" ca="1" si="203"/>
        <v>0</v>
      </c>
      <c r="AN291" s="50">
        <f>IF(B291=0,0,AT291*(_rpm1+(1+_emr1)*VLOOKUP(E291,Tab_Mort_Charge,IF(Input!$C$12="M",2,3),0))*(0.001*0.0833)*Flag_Mort_Rider_Charge*(AT291&gt;0))</f>
        <v>0</v>
      </c>
      <c r="AO291" s="50">
        <f t="shared" ca="1" si="224"/>
        <v>0</v>
      </c>
      <c r="AP291" s="50">
        <f t="shared" ca="1" si="231"/>
        <v>0</v>
      </c>
      <c r="AQ291" s="50">
        <f t="shared" ca="1" si="204"/>
        <v>0</v>
      </c>
      <c r="AR291" s="50">
        <f t="shared" ca="1" si="205"/>
        <v>0</v>
      </c>
      <c r="AS291" s="50">
        <f t="shared" si="206"/>
        <v>0</v>
      </c>
      <c r="AT291" s="50">
        <f ca="1">(MAX((MAX(AS291,105%*SUM($AJ$7:AJ291))-AM291*Flag_UL_Type),0)*B291)</f>
        <v>0</v>
      </c>
      <c r="AU291" s="50">
        <f ca="1">(MAX(AS291,AR291,105%*SUM($AJ$7:AJ291))*B291)</f>
        <v>0</v>
      </c>
      <c r="AV291" s="125"/>
      <c r="AW291" s="13"/>
      <c r="AX291" s="13"/>
      <c r="AY291" s="13"/>
      <c r="AZ291" s="13"/>
      <c r="BA291" s="13"/>
      <c r="BG291" s="51">
        <f t="shared" si="207"/>
        <v>0</v>
      </c>
      <c r="BH291" s="51">
        <f t="shared" si="208"/>
        <v>0</v>
      </c>
      <c r="BI291" s="51">
        <f t="shared" ca="1" si="209"/>
        <v>0</v>
      </c>
      <c r="BJ291" s="51">
        <f t="shared" ca="1" si="210"/>
        <v>0</v>
      </c>
      <c r="BK291" s="51">
        <f t="shared" si="211"/>
        <v>0</v>
      </c>
      <c r="BL291" s="51">
        <f t="shared" ca="1" si="212"/>
        <v>0</v>
      </c>
      <c r="BM291" s="51">
        <f t="shared" si="213"/>
        <v>0</v>
      </c>
      <c r="BN291" s="51">
        <f t="shared" si="214"/>
        <v>0</v>
      </c>
      <c r="BO291" s="51">
        <f t="shared" ca="1" si="215"/>
        <v>0</v>
      </c>
      <c r="BP291" s="51">
        <f t="shared" ca="1" si="216"/>
        <v>0</v>
      </c>
      <c r="BQ291" s="120"/>
      <c r="BR291" s="32"/>
      <c r="BS291" s="126"/>
      <c r="BT291" s="16"/>
      <c r="BU291" s="58"/>
      <c r="BW291" s="51">
        <f>VLOOKUP(H291,Charges!$AT$4:$AU$33,2,FALSE)*I291</f>
        <v>0</v>
      </c>
      <c r="BX291" s="51">
        <f t="shared" si="217"/>
        <v>0</v>
      </c>
      <c r="BY291" s="51">
        <f t="shared" si="225"/>
        <v>0</v>
      </c>
      <c r="BZ291" s="151"/>
      <c r="CA291" s="151"/>
      <c r="CB291" s="32"/>
      <c r="CC291" s="16">
        <f ca="1">SUM($N$7:$N291)</f>
        <v>0</v>
      </c>
      <c r="CD291" s="16">
        <f t="shared" ca="1" si="218"/>
        <v>0</v>
      </c>
      <c r="CE291" s="16">
        <f t="shared" ca="1" si="219"/>
        <v>0</v>
      </c>
      <c r="CF291" s="7">
        <f t="shared" ca="1" si="226"/>
        <v>0</v>
      </c>
    </row>
    <row r="292" spans="1:84" s="7" customFormat="1" x14ac:dyDescent="0.2">
      <c r="A292" s="149"/>
      <c r="B292" s="14">
        <f t="shared" si="188"/>
        <v>0</v>
      </c>
      <c r="C292" s="12">
        <f t="shared" si="189"/>
        <v>0</v>
      </c>
      <c r="D292" s="17">
        <f t="shared" si="227"/>
        <v>286</v>
      </c>
      <c r="E292" s="17">
        <f t="shared" ca="1" si="190"/>
        <v>83</v>
      </c>
      <c r="F292" s="12">
        <f t="shared" si="229"/>
        <v>9</v>
      </c>
      <c r="G292" s="12">
        <f t="shared" si="228"/>
        <v>48</v>
      </c>
      <c r="H292" s="17">
        <f t="shared" si="230"/>
        <v>24</v>
      </c>
      <c r="I292" s="29">
        <f t="shared" si="191"/>
        <v>0</v>
      </c>
      <c r="J292" s="211">
        <f>IFERROR(VLOOKUP(H292,Charges!$T$6:$U$35,2,0)*C292,0)</f>
        <v>0</v>
      </c>
      <c r="K292" s="29">
        <f t="shared" si="192"/>
        <v>0</v>
      </c>
      <c r="L292" s="29">
        <f t="shared" si="193"/>
        <v>0</v>
      </c>
      <c r="M292" s="147">
        <f t="shared" ca="1" si="194"/>
        <v>0</v>
      </c>
      <c r="N292" s="148">
        <f ca="1">IF(AND(Option_SPW="Y",H292&gt;=Lock_In_Period,Z291&gt;SPW_Amount_pa+IF(option="Single",1/5*pr,2*pr),H292&gt;=SPW_Start_Year,H292&lt;=SPW_Start_Year+SPW_Duration-1,age+H292&gt;=Legal_Age),IF(AND(F292=0,SPW_Payout_Freq=1),SPW_Amount_pa,IF(AND(SPW_Payout_Freq=2,MOD(F292,6)=0),SPW_Amount_pa/SPW_Payout_Freq,IF(AND(SPW_Payout_Freq=4,MOD(F292,3)=0),SPW_Amount_pa/SPW_Payout_Freq,IF(SPW_Payout_Freq=12,SPW_Amount_pa/SPW_Payout_Freq,0)))),0)+IFERROR(VLOOKUP(H292,Input!$B$68:$C$74,2,0),0)*(F292=0)*(Option_PW="Y")*(Option_SPW="N")*(age+H292&gt;=Legal_Age)</f>
        <v>0</v>
      </c>
      <c r="O292" s="148">
        <f t="shared" ca="1" si="220"/>
        <v>0</v>
      </c>
      <c r="P292" s="14">
        <f ca="1">(MAX(MAX(sa-CF291*Flag_UL_Type,105%*SUM($I$7:I292))-(AD291+L292-N292)*Flag_UL_Type,0)*B292)</f>
        <v>0</v>
      </c>
      <c r="Q292" s="213">
        <f t="shared" si="195"/>
        <v>0</v>
      </c>
      <c r="R292" s="14">
        <f t="shared" ca="1" si="196"/>
        <v>0</v>
      </c>
      <c r="S292" s="14">
        <f t="shared" ca="1" si="197"/>
        <v>0</v>
      </c>
      <c r="T292" s="14">
        <f>IFERROR(IF(WoP_Flag="Y",IF(fq=1,VLOOKUP(ppt*fq-H292,Charges!$AN$41:$AO$59,2,FALSE),IF(fq=2,VLOOKUP(ppt*fq-G292,Charges!$AP$41:$AQ$79,2,FALSE),VLOOKUP(ppt*fq-D292,Charges!$AR$41:$AS$279,2,FALSE)))*pr/fq,0),0)</f>
        <v>0</v>
      </c>
      <c r="U292" s="14">
        <f ca="1">IFERROR(((T292*(VLOOKUP(Input!$D$18+H292-1,Tab_Mort_Charge,IF(Gender_2="M",2,3),FALSE)*(1+_emr2)+_rpm2)/IF(Model_Type="LA_PQIS",1000/0.0833,(12*1000))))*Flag_Mort_Rider_Charge*(T292&gt;0),0)</f>
        <v>0</v>
      </c>
      <c r="V292" s="34">
        <f>ROUND(MIN(IF(H292&gt;=7,Charges!$C$12*(1+Charges!$C$14)^((H292-7+1)),VLOOKUP(H292,Charges!$B$7:$C$12,2,0))*pr,Charges!$C$13)*B292,Round)</f>
        <v>0</v>
      </c>
      <c r="W292" s="14">
        <f t="shared" ca="1" si="198"/>
        <v>0</v>
      </c>
      <c r="X292" s="14">
        <f t="shared" ca="1" si="199"/>
        <v>0</v>
      </c>
      <c r="Y292" s="213">
        <f t="shared" ca="1" si="221"/>
        <v>0</v>
      </c>
      <c r="Z292" s="14">
        <f t="shared" ca="1" si="200"/>
        <v>0</v>
      </c>
      <c r="AA292" s="14">
        <f>IF(AND($H292=pt,$F292=11),SUM($K$7:K292)*VLOOKUP(pt,ROC,2,FALSE),0)</f>
        <v>0</v>
      </c>
      <c r="AB292" s="14">
        <f>IF(AND($H292=pt,$F292=11),SUM($V$7:V292)*VLOOKUP(pt,ROC,2,FALSE),0)</f>
        <v>0</v>
      </c>
      <c r="AC292" s="14">
        <f>IF(AND($H292=pt,$F292=11),SUM($Q$7:Q292)*VLOOKUP(pt,ROC,2,FALSE),0)</f>
        <v>0</v>
      </c>
      <c r="AD292" s="14">
        <f t="shared" ca="1" si="222"/>
        <v>0</v>
      </c>
      <c r="AE292" s="14">
        <f ca="1">(MAX(sa-CF291*Flag_UL_Type,105%*SUM($I$7:I292),Z292)+AU292)*B292</f>
        <v>0</v>
      </c>
      <c r="AF292" s="136"/>
      <c r="AG292" s="18">
        <v>286</v>
      </c>
      <c r="AH292" s="30">
        <f t="shared" ca="1" si="201"/>
        <v>0</v>
      </c>
      <c r="AI292" s="58"/>
      <c r="AJ292" s="50">
        <f>IF(AND(Option_Sys_TopUp&gt;="Y",H292&gt;=sytp,H292&lt;=(dtp+sytp-1),F292=0,H292&lt;=ppt+1),atp,0)+IFERROR(VLOOKUP(H292,Input!$B$55:$C$61,2,0),0)*(F292=0)*(Option_TopUP="Y")*(Option_Sys_TopUp="N")*B292*(pt&gt;=H292+5)</f>
        <v>0</v>
      </c>
      <c r="AK292" s="50">
        <f t="shared" si="202"/>
        <v>0</v>
      </c>
      <c r="AL292" s="50">
        <f t="shared" si="223"/>
        <v>0</v>
      </c>
      <c r="AM292" s="50">
        <f t="shared" ca="1" si="203"/>
        <v>0</v>
      </c>
      <c r="AN292" s="50">
        <f>IF(B292=0,0,AT292*(_rpm1+(1+_emr1)*VLOOKUP(E292,Tab_Mort_Charge,IF(Input!$C$12="M",2,3),0))*(0.001*0.0833)*Flag_Mort_Rider_Charge*(AT292&gt;0))</f>
        <v>0</v>
      </c>
      <c r="AO292" s="50">
        <f t="shared" ca="1" si="224"/>
        <v>0</v>
      </c>
      <c r="AP292" s="50">
        <f t="shared" ca="1" si="231"/>
        <v>0</v>
      </c>
      <c r="AQ292" s="50">
        <f t="shared" ca="1" si="204"/>
        <v>0</v>
      </c>
      <c r="AR292" s="50">
        <f t="shared" ca="1" si="205"/>
        <v>0</v>
      </c>
      <c r="AS292" s="50">
        <f t="shared" si="206"/>
        <v>0</v>
      </c>
      <c r="AT292" s="50">
        <f ca="1">(MAX((MAX(AS292,105%*SUM($AJ$7:AJ292))-AM292*Flag_UL_Type),0)*B292)</f>
        <v>0</v>
      </c>
      <c r="AU292" s="50">
        <f ca="1">(MAX(AS292,AR292,105%*SUM($AJ$7:AJ292))*B292)</f>
        <v>0</v>
      </c>
      <c r="AV292" s="125"/>
      <c r="AW292" s="13"/>
      <c r="AX292" s="13"/>
      <c r="AY292" s="13"/>
      <c r="AZ292" s="13"/>
      <c r="BA292" s="13"/>
      <c r="BG292" s="51">
        <f t="shared" si="207"/>
        <v>0</v>
      </c>
      <c r="BH292" s="51">
        <f t="shared" si="208"/>
        <v>0</v>
      </c>
      <c r="BI292" s="51">
        <f t="shared" ca="1" si="209"/>
        <v>0</v>
      </c>
      <c r="BJ292" s="51">
        <f t="shared" ca="1" si="210"/>
        <v>0</v>
      </c>
      <c r="BK292" s="51">
        <f t="shared" si="211"/>
        <v>0</v>
      </c>
      <c r="BL292" s="51">
        <f t="shared" ca="1" si="212"/>
        <v>0</v>
      </c>
      <c r="BM292" s="51">
        <f t="shared" si="213"/>
        <v>0</v>
      </c>
      <c r="BN292" s="51">
        <f t="shared" si="214"/>
        <v>0</v>
      </c>
      <c r="BO292" s="51">
        <f t="shared" ca="1" si="215"/>
        <v>0</v>
      </c>
      <c r="BP292" s="51">
        <f t="shared" ca="1" si="216"/>
        <v>0</v>
      </c>
      <c r="BQ292" s="120"/>
      <c r="BR292" s="32"/>
      <c r="BS292" s="126"/>
      <c r="BT292" s="16"/>
      <c r="BU292" s="58"/>
      <c r="BW292" s="51">
        <f>VLOOKUP(H292,Charges!$AT$4:$AU$33,2,FALSE)*I292</f>
        <v>0</v>
      </c>
      <c r="BX292" s="51">
        <f t="shared" si="217"/>
        <v>0</v>
      </c>
      <c r="BY292" s="51">
        <f t="shared" si="225"/>
        <v>0</v>
      </c>
      <c r="BZ292" s="151"/>
      <c r="CA292" s="151"/>
      <c r="CB292" s="32"/>
      <c r="CC292" s="16">
        <f ca="1">SUM($N$7:$N292)</f>
        <v>0</v>
      </c>
      <c r="CD292" s="16">
        <f t="shared" ca="1" si="218"/>
        <v>0</v>
      </c>
      <c r="CE292" s="16">
        <f t="shared" ca="1" si="219"/>
        <v>0</v>
      </c>
      <c r="CF292" s="7">
        <f t="shared" ca="1" si="226"/>
        <v>0</v>
      </c>
    </row>
    <row r="293" spans="1:84" s="7" customFormat="1" x14ac:dyDescent="0.2">
      <c r="A293" s="149"/>
      <c r="B293" s="14">
        <f t="shared" si="188"/>
        <v>0</v>
      </c>
      <c r="C293" s="12">
        <f t="shared" si="189"/>
        <v>0</v>
      </c>
      <c r="D293" s="17">
        <f t="shared" si="227"/>
        <v>287</v>
      </c>
      <c r="E293" s="17">
        <f t="shared" ca="1" si="190"/>
        <v>83</v>
      </c>
      <c r="F293" s="12">
        <f t="shared" si="229"/>
        <v>10</v>
      </c>
      <c r="G293" s="12">
        <f t="shared" si="228"/>
        <v>48</v>
      </c>
      <c r="H293" s="17">
        <f t="shared" si="230"/>
        <v>24</v>
      </c>
      <c r="I293" s="29">
        <f t="shared" si="191"/>
        <v>0</v>
      </c>
      <c r="J293" s="211">
        <f>IFERROR(VLOOKUP(H293,Charges!$T$6:$U$35,2,0)*C293,0)</f>
        <v>0</v>
      </c>
      <c r="K293" s="29">
        <f t="shared" si="192"/>
        <v>0</v>
      </c>
      <c r="L293" s="29">
        <f t="shared" si="193"/>
        <v>0</v>
      </c>
      <c r="M293" s="147">
        <f t="shared" ca="1" si="194"/>
        <v>0</v>
      </c>
      <c r="N293" s="148">
        <f ca="1">IF(AND(Option_SPW="Y",H293&gt;=Lock_In_Period,Z292&gt;SPW_Amount_pa+IF(option="Single",1/5*pr,2*pr),H293&gt;=SPW_Start_Year,H293&lt;=SPW_Start_Year+SPW_Duration-1,age+H293&gt;=Legal_Age),IF(AND(F293=0,SPW_Payout_Freq=1),SPW_Amount_pa,IF(AND(SPW_Payout_Freq=2,MOD(F293,6)=0),SPW_Amount_pa/SPW_Payout_Freq,IF(AND(SPW_Payout_Freq=4,MOD(F293,3)=0),SPW_Amount_pa/SPW_Payout_Freq,IF(SPW_Payout_Freq=12,SPW_Amount_pa/SPW_Payout_Freq,0)))),0)+IFERROR(VLOOKUP(H293,Input!$B$68:$C$74,2,0),0)*(F293=0)*(Option_PW="Y")*(Option_SPW="N")*(age+H293&gt;=Legal_Age)</f>
        <v>0</v>
      </c>
      <c r="O293" s="148">
        <f t="shared" ca="1" si="220"/>
        <v>0</v>
      </c>
      <c r="P293" s="14">
        <f ca="1">(MAX(MAX(sa-CF292*Flag_UL_Type,105%*SUM($I$7:I293))-(AD292+L293-N293)*Flag_UL_Type,0)*B293)</f>
        <v>0</v>
      </c>
      <c r="Q293" s="213">
        <f t="shared" si="195"/>
        <v>0</v>
      </c>
      <c r="R293" s="14">
        <f t="shared" ca="1" si="196"/>
        <v>0</v>
      </c>
      <c r="S293" s="14">
        <f t="shared" ca="1" si="197"/>
        <v>0</v>
      </c>
      <c r="T293" s="14">
        <f>IFERROR(IF(WoP_Flag="Y",IF(fq=1,VLOOKUP(ppt*fq-H293,Charges!$AN$41:$AO$59,2,FALSE),IF(fq=2,VLOOKUP(ppt*fq-G293,Charges!$AP$41:$AQ$79,2,FALSE),VLOOKUP(ppt*fq-D293,Charges!$AR$41:$AS$279,2,FALSE)))*pr/fq,0),0)</f>
        <v>0</v>
      </c>
      <c r="U293" s="14">
        <f ca="1">IFERROR(((T293*(VLOOKUP(Input!$D$18+H293-1,Tab_Mort_Charge,IF(Gender_2="M",2,3),FALSE)*(1+_emr2)+_rpm2)/IF(Model_Type="LA_PQIS",1000/0.0833,(12*1000))))*Flag_Mort_Rider_Charge*(T293&gt;0),0)</f>
        <v>0</v>
      </c>
      <c r="V293" s="34">
        <f>ROUND(MIN(IF(H293&gt;=7,Charges!$C$12*(1+Charges!$C$14)^((H293-7+1)),VLOOKUP(H293,Charges!$B$7:$C$12,2,0))*pr,Charges!$C$13)*B293,Round)</f>
        <v>0</v>
      </c>
      <c r="W293" s="14">
        <f t="shared" ca="1" si="198"/>
        <v>0</v>
      </c>
      <c r="X293" s="14">
        <f t="shared" ca="1" si="199"/>
        <v>0</v>
      </c>
      <c r="Y293" s="213">
        <f t="shared" ca="1" si="221"/>
        <v>0</v>
      </c>
      <c r="Z293" s="14">
        <f t="shared" ca="1" si="200"/>
        <v>0</v>
      </c>
      <c r="AA293" s="14">
        <f>IF(AND($H293=pt,$F293=11),SUM($K$7:K293)*VLOOKUP(pt,ROC,2,FALSE),0)</f>
        <v>0</v>
      </c>
      <c r="AB293" s="14">
        <f>IF(AND($H293=pt,$F293=11),SUM($V$7:V293)*VLOOKUP(pt,ROC,2,FALSE),0)</f>
        <v>0</v>
      </c>
      <c r="AC293" s="14">
        <f>IF(AND($H293=pt,$F293=11),SUM($Q$7:Q293)*VLOOKUP(pt,ROC,2,FALSE),0)</f>
        <v>0</v>
      </c>
      <c r="AD293" s="14">
        <f t="shared" ca="1" si="222"/>
        <v>0</v>
      </c>
      <c r="AE293" s="14">
        <f ca="1">(MAX(sa-CF292*Flag_UL_Type,105%*SUM($I$7:I293),Z293)+AU293)*B293</f>
        <v>0</v>
      </c>
      <c r="AF293" s="136"/>
      <c r="AG293" s="18">
        <v>287</v>
      </c>
      <c r="AH293" s="30">
        <f t="shared" ca="1" si="201"/>
        <v>0</v>
      </c>
      <c r="AI293" s="58"/>
      <c r="AJ293" s="50">
        <f>IF(AND(Option_Sys_TopUp&gt;="Y",H293&gt;=sytp,H293&lt;=(dtp+sytp-1),F293=0,H293&lt;=ppt+1),atp,0)+IFERROR(VLOOKUP(H293,Input!$B$55:$C$61,2,0),0)*(F293=0)*(Option_TopUP="Y")*(Option_Sys_TopUp="N")*B293*(pt&gt;=H293+5)</f>
        <v>0</v>
      </c>
      <c r="AK293" s="50">
        <f t="shared" si="202"/>
        <v>0</v>
      </c>
      <c r="AL293" s="50">
        <f t="shared" si="223"/>
        <v>0</v>
      </c>
      <c r="AM293" s="50">
        <f t="shared" ca="1" si="203"/>
        <v>0</v>
      </c>
      <c r="AN293" s="50">
        <f>IF(B293=0,0,AT293*(_rpm1+(1+_emr1)*VLOOKUP(E293,Tab_Mort_Charge,IF(Input!$C$12="M",2,3),0))*(0.001*0.0833)*Flag_Mort_Rider_Charge*(AT293&gt;0))</f>
        <v>0</v>
      </c>
      <c r="AO293" s="50">
        <f t="shared" ca="1" si="224"/>
        <v>0</v>
      </c>
      <c r="AP293" s="50">
        <f t="shared" ca="1" si="231"/>
        <v>0</v>
      </c>
      <c r="AQ293" s="50">
        <f t="shared" ca="1" si="204"/>
        <v>0</v>
      </c>
      <c r="AR293" s="50">
        <f t="shared" ca="1" si="205"/>
        <v>0</v>
      </c>
      <c r="AS293" s="50">
        <f t="shared" si="206"/>
        <v>0</v>
      </c>
      <c r="AT293" s="50">
        <f ca="1">(MAX((MAX(AS293,105%*SUM($AJ$7:AJ293))-AM293*Flag_UL_Type),0)*B293)</f>
        <v>0</v>
      </c>
      <c r="AU293" s="50">
        <f ca="1">(MAX(AS293,AR293,105%*SUM($AJ$7:AJ293))*B293)</f>
        <v>0</v>
      </c>
      <c r="AV293" s="125"/>
      <c r="AW293" s="13"/>
      <c r="AX293" s="13"/>
      <c r="AY293" s="13"/>
      <c r="AZ293" s="13"/>
      <c r="BA293" s="13"/>
      <c r="BG293" s="51">
        <f t="shared" si="207"/>
        <v>0</v>
      </c>
      <c r="BH293" s="51">
        <f t="shared" si="208"/>
        <v>0</v>
      </c>
      <c r="BI293" s="51">
        <f t="shared" ca="1" si="209"/>
        <v>0</v>
      </c>
      <c r="BJ293" s="51">
        <f t="shared" ca="1" si="210"/>
        <v>0</v>
      </c>
      <c r="BK293" s="51">
        <f t="shared" si="211"/>
        <v>0</v>
      </c>
      <c r="BL293" s="51">
        <f t="shared" ca="1" si="212"/>
        <v>0</v>
      </c>
      <c r="BM293" s="51">
        <f t="shared" si="213"/>
        <v>0</v>
      </c>
      <c r="BN293" s="51">
        <f t="shared" si="214"/>
        <v>0</v>
      </c>
      <c r="BO293" s="51">
        <f t="shared" ca="1" si="215"/>
        <v>0</v>
      </c>
      <c r="BP293" s="51">
        <f t="shared" ca="1" si="216"/>
        <v>0</v>
      </c>
      <c r="BQ293" s="120"/>
      <c r="BR293" s="32"/>
      <c r="BS293" s="126"/>
      <c r="BT293" s="16"/>
      <c r="BU293" s="58"/>
      <c r="BW293" s="51">
        <f>VLOOKUP(H293,Charges!$AT$4:$AU$33,2,FALSE)*I293</f>
        <v>0</v>
      </c>
      <c r="BX293" s="51">
        <f t="shared" si="217"/>
        <v>0</v>
      </c>
      <c r="BY293" s="51">
        <f t="shared" si="225"/>
        <v>0</v>
      </c>
      <c r="BZ293" s="151"/>
      <c r="CA293" s="151"/>
      <c r="CB293" s="32"/>
      <c r="CC293" s="16">
        <f ca="1">SUM($N$7:$N293)</f>
        <v>0</v>
      </c>
      <c r="CD293" s="16">
        <f t="shared" ca="1" si="218"/>
        <v>0</v>
      </c>
      <c r="CE293" s="16">
        <f t="shared" ca="1" si="219"/>
        <v>0</v>
      </c>
      <c r="CF293" s="7">
        <f t="shared" ca="1" si="226"/>
        <v>0</v>
      </c>
    </row>
    <row r="294" spans="1:84" s="7" customFormat="1" x14ac:dyDescent="0.2">
      <c r="A294" s="149"/>
      <c r="B294" s="14">
        <f t="shared" si="188"/>
        <v>0</v>
      </c>
      <c r="C294" s="12">
        <f t="shared" si="189"/>
        <v>0</v>
      </c>
      <c r="D294" s="17">
        <f t="shared" si="227"/>
        <v>288</v>
      </c>
      <c r="E294" s="17">
        <f t="shared" ca="1" si="190"/>
        <v>83</v>
      </c>
      <c r="F294" s="12">
        <f t="shared" si="229"/>
        <v>11</v>
      </c>
      <c r="G294" s="12">
        <f t="shared" si="228"/>
        <v>48</v>
      </c>
      <c r="H294" s="17">
        <f t="shared" si="230"/>
        <v>24</v>
      </c>
      <c r="I294" s="29">
        <f t="shared" si="191"/>
        <v>0</v>
      </c>
      <c r="J294" s="211">
        <f>IFERROR(VLOOKUP(H294,Charges!$T$6:$U$35,2,0)*C294,0)</f>
        <v>0</v>
      </c>
      <c r="K294" s="29">
        <f t="shared" si="192"/>
        <v>0</v>
      </c>
      <c r="L294" s="29">
        <f t="shared" si="193"/>
        <v>0</v>
      </c>
      <c r="M294" s="147">
        <f t="shared" ca="1" si="194"/>
        <v>0</v>
      </c>
      <c r="N294" s="148">
        <f ca="1">IF(AND(Option_SPW="Y",H294&gt;=Lock_In_Period,Z293&gt;SPW_Amount_pa+IF(option="Single",1/5*pr,2*pr),H294&gt;=SPW_Start_Year,H294&lt;=SPW_Start_Year+SPW_Duration-1,age+H294&gt;=Legal_Age),IF(AND(F294=0,SPW_Payout_Freq=1),SPW_Amount_pa,IF(AND(SPW_Payout_Freq=2,MOD(F294,6)=0),SPW_Amount_pa/SPW_Payout_Freq,IF(AND(SPW_Payout_Freq=4,MOD(F294,3)=0),SPW_Amount_pa/SPW_Payout_Freq,IF(SPW_Payout_Freq=12,SPW_Amount_pa/SPW_Payout_Freq,0)))),0)+IFERROR(VLOOKUP(H294,Input!$B$68:$C$74,2,0),0)*(F294=0)*(Option_PW="Y")*(Option_SPW="N")*(age+H294&gt;=Legal_Age)</f>
        <v>0</v>
      </c>
      <c r="O294" s="148">
        <f t="shared" ca="1" si="220"/>
        <v>0</v>
      </c>
      <c r="P294" s="14">
        <f ca="1">(MAX(MAX(sa-CF293*Flag_UL_Type,105%*SUM($I$7:I294))-(AD293+L294-N294)*Flag_UL_Type,0)*B294)</f>
        <v>0</v>
      </c>
      <c r="Q294" s="213">
        <f t="shared" si="195"/>
        <v>0</v>
      </c>
      <c r="R294" s="14">
        <f t="shared" ca="1" si="196"/>
        <v>0</v>
      </c>
      <c r="S294" s="14">
        <f t="shared" ca="1" si="197"/>
        <v>0</v>
      </c>
      <c r="T294" s="14">
        <f>IFERROR(IF(WoP_Flag="Y",IF(fq=1,VLOOKUP(ppt*fq-H294,Charges!$AN$41:$AO$59,2,FALSE),IF(fq=2,VLOOKUP(ppt*fq-G294,Charges!$AP$41:$AQ$79,2,FALSE),VLOOKUP(ppt*fq-D294,Charges!$AR$41:$AS$279,2,FALSE)))*pr/fq,0),0)</f>
        <v>0</v>
      </c>
      <c r="U294" s="14">
        <f ca="1">IFERROR(((T294*(VLOOKUP(Input!$D$18+H294-1,Tab_Mort_Charge,IF(Gender_2="M",2,3),FALSE)*(1+_emr2)+_rpm2)/IF(Model_Type="LA_PQIS",1000/0.0833,(12*1000))))*Flag_Mort_Rider_Charge*(T294&gt;0),0)</f>
        <v>0</v>
      </c>
      <c r="V294" s="34">
        <f>ROUND(MIN(IF(H294&gt;=7,Charges!$C$12*(1+Charges!$C$14)^((H294-7+1)),VLOOKUP(H294,Charges!$B$7:$C$12,2,0))*pr,Charges!$C$13)*B294,Round)</f>
        <v>0</v>
      </c>
      <c r="W294" s="14">
        <f t="shared" ca="1" si="198"/>
        <v>0</v>
      </c>
      <c r="X294" s="14">
        <f t="shared" ca="1" si="199"/>
        <v>0</v>
      </c>
      <c r="Y294" s="213">
        <f t="shared" ca="1" si="221"/>
        <v>0</v>
      </c>
      <c r="Z294" s="14">
        <f t="shared" ca="1" si="200"/>
        <v>0</v>
      </c>
      <c r="AA294" s="14">
        <f>IF(AND($H294=pt,$F294=11),SUM($K$7:K294)*VLOOKUP(pt,ROC,2,FALSE),0)</f>
        <v>0</v>
      </c>
      <c r="AB294" s="14">
        <f>IF(AND($H294=pt,$F294=11),SUM($V$7:V294)*VLOOKUP(pt,ROC,2,FALSE),0)</f>
        <v>0</v>
      </c>
      <c r="AC294" s="14">
        <f>IF(AND($H294=pt,$F294=11),SUM($Q$7:Q294)*VLOOKUP(pt,ROC,2,FALSE),0)</f>
        <v>0</v>
      </c>
      <c r="AD294" s="14">
        <f t="shared" ca="1" si="222"/>
        <v>0</v>
      </c>
      <c r="AE294" s="14">
        <f ca="1">(MAX(sa-CF293*Flag_UL_Type,105%*SUM($I$7:I294),Z294)+AU294)*B294</f>
        <v>0</v>
      </c>
      <c r="AF294" s="136"/>
      <c r="AG294" s="18">
        <v>288</v>
      </c>
      <c r="AH294" s="30">
        <f t="shared" ca="1" si="201"/>
        <v>0</v>
      </c>
      <c r="AI294" s="58"/>
      <c r="AJ294" s="50">
        <f>IF(AND(Option_Sys_TopUp&gt;="Y",H294&gt;=sytp,H294&lt;=(dtp+sytp-1),F294=0,H294&lt;=ppt+1),atp,0)+IFERROR(VLOOKUP(H294,Input!$B$55:$C$61,2,0),0)*(F294=0)*(Option_TopUP="Y")*(Option_Sys_TopUp="N")*B294*(pt&gt;=H294+5)</f>
        <v>0</v>
      </c>
      <c r="AK294" s="50">
        <f t="shared" si="202"/>
        <v>0</v>
      </c>
      <c r="AL294" s="50">
        <f t="shared" si="223"/>
        <v>0</v>
      </c>
      <c r="AM294" s="50">
        <f t="shared" ca="1" si="203"/>
        <v>0</v>
      </c>
      <c r="AN294" s="50">
        <f>IF(B294=0,0,AT294*(_rpm1+(1+_emr1)*VLOOKUP(E294,Tab_Mort_Charge,IF(Input!$C$12="M",2,3),0))*(0.001*0.0833)*Flag_Mort_Rider_Charge*(AT294&gt;0))</f>
        <v>0</v>
      </c>
      <c r="AO294" s="50">
        <f t="shared" ca="1" si="224"/>
        <v>0</v>
      </c>
      <c r="AP294" s="50">
        <f t="shared" ca="1" si="231"/>
        <v>0</v>
      </c>
      <c r="AQ294" s="50">
        <f t="shared" ca="1" si="204"/>
        <v>0</v>
      </c>
      <c r="AR294" s="50">
        <f t="shared" ca="1" si="205"/>
        <v>0</v>
      </c>
      <c r="AS294" s="50">
        <f t="shared" si="206"/>
        <v>0</v>
      </c>
      <c r="AT294" s="50">
        <f ca="1">(MAX((MAX(AS294,105%*SUM($AJ$7:AJ294))-AM294*Flag_UL_Type),0)*B294)</f>
        <v>0</v>
      </c>
      <c r="AU294" s="50">
        <f ca="1">(MAX(AS294,AR294,105%*SUM($AJ$7:AJ294))*B294)</f>
        <v>0</v>
      </c>
      <c r="AV294" s="125"/>
      <c r="AW294" s="13"/>
      <c r="AX294" s="13"/>
      <c r="AY294" s="13"/>
      <c r="AZ294" s="13"/>
      <c r="BA294" s="13"/>
      <c r="BG294" s="51">
        <f t="shared" si="207"/>
        <v>0</v>
      </c>
      <c r="BH294" s="51">
        <f t="shared" si="208"/>
        <v>0</v>
      </c>
      <c r="BI294" s="51">
        <f t="shared" ca="1" si="209"/>
        <v>0</v>
      </c>
      <c r="BJ294" s="51">
        <f t="shared" ca="1" si="210"/>
        <v>0</v>
      </c>
      <c r="BK294" s="51">
        <f t="shared" si="211"/>
        <v>0</v>
      </c>
      <c r="BL294" s="51">
        <f t="shared" ca="1" si="212"/>
        <v>0</v>
      </c>
      <c r="BM294" s="51">
        <f t="shared" si="213"/>
        <v>0</v>
      </c>
      <c r="BN294" s="51">
        <f t="shared" si="214"/>
        <v>0</v>
      </c>
      <c r="BO294" s="51">
        <f t="shared" ca="1" si="215"/>
        <v>0</v>
      </c>
      <c r="BP294" s="51">
        <f t="shared" ca="1" si="216"/>
        <v>0</v>
      </c>
      <c r="BQ294" s="120"/>
      <c r="BR294" s="32"/>
      <c r="BS294" s="126"/>
      <c r="BT294" s="16"/>
      <c r="BU294" s="58"/>
      <c r="BW294" s="51">
        <f>VLOOKUP(H294,Charges!$AT$4:$AU$33,2,FALSE)*I294</f>
        <v>0</v>
      </c>
      <c r="BX294" s="51">
        <f t="shared" si="217"/>
        <v>0</v>
      </c>
      <c r="BY294" s="51">
        <f t="shared" si="225"/>
        <v>0</v>
      </c>
      <c r="BZ294" s="151"/>
      <c r="CA294" s="151"/>
      <c r="CB294" s="32"/>
      <c r="CC294" s="16">
        <f ca="1">SUM($N$7:$N294)</f>
        <v>0</v>
      </c>
      <c r="CD294" s="16">
        <f t="shared" ca="1" si="218"/>
        <v>0</v>
      </c>
      <c r="CE294" s="16">
        <f t="shared" ca="1" si="219"/>
        <v>0</v>
      </c>
      <c r="CF294" s="7">
        <f t="shared" ca="1" si="226"/>
        <v>0</v>
      </c>
    </row>
    <row r="295" spans="1:84" s="7" customFormat="1" x14ac:dyDescent="0.2">
      <c r="A295" s="149"/>
      <c r="B295" s="14">
        <f t="shared" si="188"/>
        <v>0</v>
      </c>
      <c r="C295" s="12">
        <f t="shared" si="189"/>
        <v>0</v>
      </c>
      <c r="D295" s="17">
        <f t="shared" si="227"/>
        <v>289</v>
      </c>
      <c r="E295" s="17">
        <f t="shared" ca="1" si="190"/>
        <v>84</v>
      </c>
      <c r="F295" s="12">
        <f t="shared" si="229"/>
        <v>0</v>
      </c>
      <c r="G295" s="12">
        <f t="shared" si="228"/>
        <v>49</v>
      </c>
      <c r="H295" s="17">
        <f t="shared" si="230"/>
        <v>25</v>
      </c>
      <c r="I295" s="29">
        <f t="shared" si="191"/>
        <v>0</v>
      </c>
      <c r="J295" s="211">
        <f>IFERROR(VLOOKUP(H295,Charges!$T$6:$U$35,2,0)*C295,0)</f>
        <v>0</v>
      </c>
      <c r="K295" s="29">
        <f t="shared" si="192"/>
        <v>0</v>
      </c>
      <c r="L295" s="29">
        <f t="shared" si="193"/>
        <v>0</v>
      </c>
      <c r="M295" s="147">
        <f t="shared" ca="1" si="194"/>
        <v>0</v>
      </c>
      <c r="N295" s="148">
        <f ca="1">IF(AND(Option_SPW="Y",H295&gt;=Lock_In_Period,Z294&gt;SPW_Amount_pa+IF(option="Single",1/5*pr,2*pr),H295&gt;=SPW_Start_Year,H295&lt;=SPW_Start_Year+SPW_Duration-1,age+H295&gt;=Legal_Age),IF(AND(F295=0,SPW_Payout_Freq=1),SPW_Amount_pa,IF(AND(SPW_Payout_Freq=2,MOD(F295,6)=0),SPW_Amount_pa/SPW_Payout_Freq,IF(AND(SPW_Payout_Freq=4,MOD(F295,3)=0),SPW_Amount_pa/SPW_Payout_Freq,IF(SPW_Payout_Freq=12,SPW_Amount_pa/SPW_Payout_Freq,0)))),0)+IFERROR(VLOOKUP(H295,Input!$B$68:$C$74,2,0),0)*(F295=0)*(Option_PW="Y")*(Option_SPW="N")*(age+H295&gt;=Legal_Age)</f>
        <v>0</v>
      </c>
      <c r="O295" s="148">
        <f t="shared" ca="1" si="220"/>
        <v>0</v>
      </c>
      <c r="P295" s="14">
        <f ca="1">(MAX(MAX(sa-CF294*Flag_UL_Type,105%*SUM($I$7:I295))-(AD294+L295-N295)*Flag_UL_Type,0)*B295)</f>
        <v>0</v>
      </c>
      <c r="Q295" s="213">
        <f t="shared" si="195"/>
        <v>0</v>
      </c>
      <c r="R295" s="14">
        <f t="shared" ca="1" si="196"/>
        <v>0</v>
      </c>
      <c r="S295" s="14">
        <f t="shared" ca="1" si="197"/>
        <v>0</v>
      </c>
      <c r="T295" s="14">
        <f>IFERROR(IF(WoP_Flag="Y",IF(fq=1,VLOOKUP(ppt*fq-H295,Charges!$AN$41:$AO$59,2,FALSE),IF(fq=2,VLOOKUP(ppt*fq-G295,Charges!$AP$41:$AQ$79,2,FALSE),VLOOKUP(ppt*fq-D295,Charges!$AR$41:$AS$279,2,FALSE)))*pr/fq,0),0)</f>
        <v>0</v>
      </c>
      <c r="U295" s="14">
        <f ca="1">IFERROR(((T295*(VLOOKUP(Input!$D$18+H295-1,Tab_Mort_Charge,IF(Gender_2="M",2,3),FALSE)*(1+_emr2)+_rpm2)/IF(Model_Type="LA_PQIS",1000/0.0833,(12*1000))))*Flag_Mort_Rider_Charge*(T295&gt;0),0)</f>
        <v>0</v>
      </c>
      <c r="V295" s="34">
        <f>ROUND(MIN(IF(H295&gt;=7,Charges!$C$12*(1+Charges!$C$14)^((H295-7+1)),VLOOKUP(H295,Charges!$B$7:$C$12,2,0))*pr,Charges!$C$13)*B295,Round)</f>
        <v>0</v>
      </c>
      <c r="W295" s="14">
        <f t="shared" ca="1" si="198"/>
        <v>0</v>
      </c>
      <c r="X295" s="14">
        <f t="shared" ca="1" si="199"/>
        <v>0</v>
      </c>
      <c r="Y295" s="213">
        <f t="shared" ca="1" si="221"/>
        <v>0</v>
      </c>
      <c r="Z295" s="14">
        <f t="shared" ca="1" si="200"/>
        <v>0</v>
      </c>
      <c r="AA295" s="14">
        <f>IF(AND($H295=pt,$F295=11),SUM($K$7:K295)*VLOOKUP(pt,ROC,2,FALSE),0)</f>
        <v>0</v>
      </c>
      <c r="AB295" s="14">
        <f>IF(AND($H295=pt,$F295=11),SUM($V$7:V295)*VLOOKUP(pt,ROC,2,FALSE),0)</f>
        <v>0</v>
      </c>
      <c r="AC295" s="14">
        <f>IF(AND($H295=pt,$F295=11),SUM($Q$7:Q295)*VLOOKUP(pt,ROC,2,FALSE),0)</f>
        <v>0</v>
      </c>
      <c r="AD295" s="14">
        <f t="shared" ca="1" si="222"/>
        <v>0</v>
      </c>
      <c r="AE295" s="14">
        <f ca="1">(MAX(sa-CF294*Flag_UL_Type,105%*SUM($I$7:I295),Z295)+AU295)*B295</f>
        <v>0</v>
      </c>
      <c r="AF295" s="136"/>
      <c r="AG295" s="18">
        <v>289</v>
      </c>
      <c r="AH295" s="30">
        <f t="shared" ca="1" si="201"/>
        <v>0</v>
      </c>
      <c r="AI295" s="58"/>
      <c r="AJ295" s="50">
        <f>IF(AND(Option_Sys_TopUp&gt;="Y",H295&gt;=sytp,H295&lt;=(dtp+sytp-1),F295=0,H295&lt;=ppt+1),atp,0)+IFERROR(VLOOKUP(H295,Input!$B$55:$C$61,2,0),0)*(F295=0)*(Option_TopUP="Y")*(Option_Sys_TopUp="N")*B295*(pt&gt;=H295+5)</f>
        <v>0</v>
      </c>
      <c r="AK295" s="50">
        <f t="shared" si="202"/>
        <v>0</v>
      </c>
      <c r="AL295" s="50">
        <f t="shared" si="223"/>
        <v>0</v>
      </c>
      <c r="AM295" s="50">
        <f t="shared" ca="1" si="203"/>
        <v>0</v>
      </c>
      <c r="AN295" s="50">
        <f>IF(B295=0,0,AT295*(_rpm1+(1+_emr1)*VLOOKUP(E295,Tab_Mort_Charge,IF(Input!$C$12="M",2,3),0))*(0.001*0.0833)*Flag_Mort_Rider_Charge*(AT295&gt;0))</f>
        <v>0</v>
      </c>
      <c r="AO295" s="50">
        <f t="shared" ca="1" si="224"/>
        <v>0</v>
      </c>
      <c r="AP295" s="50">
        <f t="shared" ca="1" si="231"/>
        <v>0</v>
      </c>
      <c r="AQ295" s="50">
        <f t="shared" ca="1" si="204"/>
        <v>0</v>
      </c>
      <c r="AR295" s="50">
        <f t="shared" ca="1" si="205"/>
        <v>0</v>
      </c>
      <c r="AS295" s="50">
        <f t="shared" si="206"/>
        <v>0</v>
      </c>
      <c r="AT295" s="50">
        <f ca="1">(MAX((MAX(AS295,105%*SUM($AJ$7:AJ295))-AM295*Flag_UL_Type),0)*B295)</f>
        <v>0</v>
      </c>
      <c r="AU295" s="50">
        <f ca="1">(MAX(AS295,AR295,105%*SUM($AJ$7:AJ295))*B295)</f>
        <v>0</v>
      </c>
      <c r="AV295" s="125"/>
      <c r="AW295" s="13"/>
      <c r="AX295" s="13"/>
      <c r="AY295" s="13"/>
      <c r="AZ295" s="13"/>
      <c r="BA295" s="13"/>
      <c r="BG295" s="51">
        <f t="shared" si="207"/>
        <v>0</v>
      </c>
      <c r="BH295" s="51">
        <f t="shared" si="208"/>
        <v>0</v>
      </c>
      <c r="BI295" s="51">
        <f t="shared" ca="1" si="209"/>
        <v>0</v>
      </c>
      <c r="BJ295" s="51">
        <f t="shared" ca="1" si="210"/>
        <v>0</v>
      </c>
      <c r="BK295" s="51">
        <f t="shared" si="211"/>
        <v>0</v>
      </c>
      <c r="BL295" s="51">
        <f t="shared" ca="1" si="212"/>
        <v>0</v>
      </c>
      <c r="BM295" s="51">
        <f t="shared" si="213"/>
        <v>0</v>
      </c>
      <c r="BN295" s="51">
        <f t="shared" si="214"/>
        <v>0</v>
      </c>
      <c r="BO295" s="51">
        <f t="shared" ca="1" si="215"/>
        <v>0</v>
      </c>
      <c r="BP295" s="51">
        <f t="shared" ca="1" si="216"/>
        <v>0</v>
      </c>
      <c r="BQ295" s="120"/>
      <c r="BR295" s="32"/>
      <c r="BS295" s="126"/>
      <c r="BT295" s="16"/>
      <c r="BU295" s="58"/>
      <c r="BW295" s="51">
        <f>VLOOKUP(H295,Charges!$AT$4:$AU$33,2,FALSE)*I295</f>
        <v>0</v>
      </c>
      <c r="BX295" s="51">
        <f t="shared" si="217"/>
        <v>0</v>
      </c>
      <c r="BY295" s="51">
        <f t="shared" si="225"/>
        <v>0</v>
      </c>
      <c r="BZ295" s="151"/>
      <c r="CA295" s="151"/>
      <c r="CB295" s="32"/>
      <c r="CC295" s="16">
        <f ca="1">SUM($N$7:$N295)</f>
        <v>0</v>
      </c>
      <c r="CD295" s="16">
        <f t="shared" ca="1" si="218"/>
        <v>0</v>
      </c>
      <c r="CE295" s="16">
        <f t="shared" ca="1" si="219"/>
        <v>0</v>
      </c>
      <c r="CF295" s="7">
        <f t="shared" ca="1" si="226"/>
        <v>0</v>
      </c>
    </row>
    <row r="296" spans="1:84" s="7" customFormat="1" x14ac:dyDescent="0.2">
      <c r="A296" s="149"/>
      <c r="B296" s="14">
        <f t="shared" si="188"/>
        <v>0</v>
      </c>
      <c r="C296" s="12">
        <f t="shared" si="189"/>
        <v>0</v>
      </c>
      <c r="D296" s="17">
        <f t="shared" si="227"/>
        <v>290</v>
      </c>
      <c r="E296" s="17">
        <f t="shared" ca="1" si="190"/>
        <v>84</v>
      </c>
      <c r="F296" s="12">
        <f t="shared" si="229"/>
        <v>1</v>
      </c>
      <c r="G296" s="12">
        <f t="shared" si="228"/>
        <v>49</v>
      </c>
      <c r="H296" s="17">
        <f t="shared" si="230"/>
        <v>25</v>
      </c>
      <c r="I296" s="29">
        <f t="shared" si="191"/>
        <v>0</v>
      </c>
      <c r="J296" s="211">
        <f>IFERROR(VLOOKUP(H296,Charges!$T$6:$U$35,2,0)*C296,0)</f>
        <v>0</v>
      </c>
      <c r="K296" s="29">
        <f t="shared" si="192"/>
        <v>0</v>
      </c>
      <c r="L296" s="29">
        <f t="shared" si="193"/>
        <v>0</v>
      </c>
      <c r="M296" s="147">
        <f t="shared" ca="1" si="194"/>
        <v>0</v>
      </c>
      <c r="N296" s="148">
        <f ca="1">IF(AND(Option_SPW="Y",H296&gt;=Lock_In_Period,Z295&gt;SPW_Amount_pa+IF(option="Single",1/5*pr,2*pr),H296&gt;=SPW_Start_Year,H296&lt;=SPW_Start_Year+SPW_Duration-1,age+H296&gt;=Legal_Age),IF(AND(F296=0,SPW_Payout_Freq=1),SPW_Amount_pa,IF(AND(SPW_Payout_Freq=2,MOD(F296,6)=0),SPW_Amount_pa/SPW_Payout_Freq,IF(AND(SPW_Payout_Freq=4,MOD(F296,3)=0),SPW_Amount_pa/SPW_Payout_Freq,IF(SPW_Payout_Freq=12,SPW_Amount_pa/SPW_Payout_Freq,0)))),0)+IFERROR(VLOOKUP(H296,Input!$B$68:$C$74,2,0),0)*(F296=0)*(Option_PW="Y")*(Option_SPW="N")*(age+H296&gt;=Legal_Age)</f>
        <v>0</v>
      </c>
      <c r="O296" s="148">
        <f t="shared" ca="1" si="220"/>
        <v>0</v>
      </c>
      <c r="P296" s="14">
        <f ca="1">(MAX(MAX(sa-CF295*Flag_UL_Type,105%*SUM($I$7:I296))-(AD295+L296-N296)*Flag_UL_Type,0)*B296)</f>
        <v>0</v>
      </c>
      <c r="Q296" s="213">
        <f t="shared" si="195"/>
        <v>0</v>
      </c>
      <c r="R296" s="14">
        <f t="shared" ca="1" si="196"/>
        <v>0</v>
      </c>
      <c r="S296" s="14">
        <f t="shared" ca="1" si="197"/>
        <v>0</v>
      </c>
      <c r="T296" s="14">
        <f>IFERROR(IF(WoP_Flag="Y",IF(fq=1,VLOOKUP(ppt*fq-H296,Charges!$AN$41:$AO$59,2,FALSE),IF(fq=2,VLOOKUP(ppt*fq-G296,Charges!$AP$41:$AQ$79,2,FALSE),VLOOKUP(ppt*fq-D296,Charges!$AR$41:$AS$279,2,FALSE)))*pr/fq,0),0)</f>
        <v>0</v>
      </c>
      <c r="U296" s="14">
        <f ca="1">IFERROR(((T296*(VLOOKUP(Input!$D$18+H296-1,Tab_Mort_Charge,IF(Gender_2="M",2,3),FALSE)*(1+_emr2)+_rpm2)/IF(Model_Type="LA_PQIS",1000/0.0833,(12*1000))))*Flag_Mort_Rider_Charge*(T296&gt;0),0)</f>
        <v>0</v>
      </c>
      <c r="V296" s="34">
        <f>ROUND(MIN(IF(H296&gt;=7,Charges!$C$12*(1+Charges!$C$14)^((H296-7+1)),VLOOKUP(H296,Charges!$B$7:$C$12,2,0))*pr,Charges!$C$13)*B296,Round)</f>
        <v>0</v>
      </c>
      <c r="W296" s="14">
        <f t="shared" ca="1" si="198"/>
        <v>0</v>
      </c>
      <c r="X296" s="14">
        <f t="shared" ca="1" si="199"/>
        <v>0</v>
      </c>
      <c r="Y296" s="213">
        <f t="shared" ca="1" si="221"/>
        <v>0</v>
      </c>
      <c r="Z296" s="14">
        <f t="shared" ca="1" si="200"/>
        <v>0</v>
      </c>
      <c r="AA296" s="14">
        <f>IF(AND($H296=pt,$F296=11),SUM($K$7:K296)*VLOOKUP(pt,ROC,2,FALSE),0)</f>
        <v>0</v>
      </c>
      <c r="AB296" s="14">
        <f>IF(AND($H296=pt,$F296=11),SUM($V$7:V296)*VLOOKUP(pt,ROC,2,FALSE),0)</f>
        <v>0</v>
      </c>
      <c r="AC296" s="14">
        <f>IF(AND($H296=pt,$F296=11),SUM($Q$7:Q296)*VLOOKUP(pt,ROC,2,FALSE),0)</f>
        <v>0</v>
      </c>
      <c r="AD296" s="14">
        <f t="shared" ca="1" si="222"/>
        <v>0</v>
      </c>
      <c r="AE296" s="14">
        <f ca="1">(MAX(sa-CF295*Flag_UL_Type,105%*SUM($I$7:I296),Z296)+AU296)*B296</f>
        <v>0</v>
      </c>
      <c r="AF296" s="136"/>
      <c r="AG296" s="18">
        <v>290</v>
      </c>
      <c r="AH296" s="30">
        <f t="shared" ca="1" si="201"/>
        <v>0</v>
      </c>
      <c r="AI296" s="58"/>
      <c r="AJ296" s="50">
        <f>IF(AND(Option_Sys_TopUp&gt;="Y",H296&gt;=sytp,H296&lt;=(dtp+sytp-1),F296=0,H296&lt;=ppt+1),atp,0)+IFERROR(VLOOKUP(H296,Input!$B$55:$C$61,2,0),0)*(F296=0)*(Option_TopUP="Y")*(Option_Sys_TopUp="N")*B296*(pt&gt;=H296+5)</f>
        <v>0</v>
      </c>
      <c r="AK296" s="50">
        <f t="shared" si="202"/>
        <v>0</v>
      </c>
      <c r="AL296" s="50">
        <f t="shared" si="223"/>
        <v>0</v>
      </c>
      <c r="AM296" s="50">
        <f t="shared" ca="1" si="203"/>
        <v>0</v>
      </c>
      <c r="AN296" s="50">
        <f>IF(B296=0,0,AT296*(_rpm1+(1+_emr1)*VLOOKUP(E296,Tab_Mort_Charge,IF(Input!$C$12="M",2,3),0))*(0.001*0.0833)*Flag_Mort_Rider_Charge*(AT296&gt;0))</f>
        <v>0</v>
      </c>
      <c r="AO296" s="50">
        <f t="shared" ca="1" si="224"/>
        <v>0</v>
      </c>
      <c r="AP296" s="50">
        <f t="shared" ca="1" si="231"/>
        <v>0</v>
      </c>
      <c r="AQ296" s="50">
        <f t="shared" ca="1" si="204"/>
        <v>0</v>
      </c>
      <c r="AR296" s="50">
        <f t="shared" ca="1" si="205"/>
        <v>0</v>
      </c>
      <c r="AS296" s="50">
        <f t="shared" si="206"/>
        <v>0</v>
      </c>
      <c r="AT296" s="50">
        <f ca="1">(MAX((MAX(AS296,105%*SUM($AJ$7:AJ296))-AM296*Flag_UL_Type),0)*B296)</f>
        <v>0</v>
      </c>
      <c r="AU296" s="50">
        <f ca="1">(MAX(AS296,AR296,105%*SUM($AJ$7:AJ296))*B296)</f>
        <v>0</v>
      </c>
      <c r="AV296" s="125"/>
      <c r="AW296" s="13"/>
      <c r="AX296" s="13"/>
      <c r="AY296" s="13"/>
      <c r="AZ296" s="13"/>
      <c r="BA296" s="13"/>
      <c r="BG296" s="51">
        <f t="shared" si="207"/>
        <v>0</v>
      </c>
      <c r="BH296" s="51">
        <f t="shared" si="208"/>
        <v>0</v>
      </c>
      <c r="BI296" s="51">
        <f t="shared" ca="1" si="209"/>
        <v>0</v>
      </c>
      <c r="BJ296" s="51">
        <f t="shared" ca="1" si="210"/>
        <v>0</v>
      </c>
      <c r="BK296" s="51">
        <f t="shared" si="211"/>
        <v>0</v>
      </c>
      <c r="BL296" s="51">
        <f t="shared" ca="1" si="212"/>
        <v>0</v>
      </c>
      <c r="BM296" s="51">
        <f t="shared" si="213"/>
        <v>0</v>
      </c>
      <c r="BN296" s="51">
        <f t="shared" si="214"/>
        <v>0</v>
      </c>
      <c r="BO296" s="51">
        <f t="shared" ca="1" si="215"/>
        <v>0</v>
      </c>
      <c r="BP296" s="51">
        <f t="shared" ca="1" si="216"/>
        <v>0</v>
      </c>
      <c r="BQ296" s="120"/>
      <c r="BR296" s="32"/>
      <c r="BS296" s="126"/>
      <c r="BT296" s="16"/>
      <c r="BU296" s="58"/>
      <c r="BW296" s="51">
        <f>VLOOKUP(H296,Charges!$AT$4:$AU$33,2,FALSE)*I296</f>
        <v>0</v>
      </c>
      <c r="BX296" s="51">
        <f t="shared" si="217"/>
        <v>0</v>
      </c>
      <c r="BY296" s="51">
        <f t="shared" si="225"/>
        <v>0</v>
      </c>
      <c r="BZ296" s="151"/>
      <c r="CA296" s="151"/>
      <c r="CB296" s="32"/>
      <c r="CC296" s="16">
        <f ca="1">SUM($N$7:$N296)</f>
        <v>0</v>
      </c>
      <c r="CD296" s="16">
        <f t="shared" ca="1" si="218"/>
        <v>0</v>
      </c>
      <c r="CE296" s="16">
        <f t="shared" ca="1" si="219"/>
        <v>0</v>
      </c>
      <c r="CF296" s="7">
        <f t="shared" ca="1" si="226"/>
        <v>0</v>
      </c>
    </row>
    <row r="297" spans="1:84" s="7" customFormat="1" x14ac:dyDescent="0.2">
      <c r="A297" s="149"/>
      <c r="B297" s="14">
        <f t="shared" si="188"/>
        <v>0</v>
      </c>
      <c r="C297" s="12">
        <f t="shared" si="189"/>
        <v>0</v>
      </c>
      <c r="D297" s="17">
        <f t="shared" si="227"/>
        <v>291</v>
      </c>
      <c r="E297" s="17">
        <f t="shared" ca="1" si="190"/>
        <v>84</v>
      </c>
      <c r="F297" s="12">
        <f t="shared" si="229"/>
        <v>2</v>
      </c>
      <c r="G297" s="12">
        <f t="shared" si="228"/>
        <v>49</v>
      </c>
      <c r="H297" s="17">
        <f t="shared" si="230"/>
        <v>25</v>
      </c>
      <c r="I297" s="29">
        <f t="shared" si="191"/>
        <v>0</v>
      </c>
      <c r="J297" s="211">
        <f>IFERROR(VLOOKUP(H297,Charges!$T$6:$U$35,2,0)*C297,0)</f>
        <v>0</v>
      </c>
      <c r="K297" s="29">
        <f t="shared" si="192"/>
        <v>0</v>
      </c>
      <c r="L297" s="29">
        <f t="shared" si="193"/>
        <v>0</v>
      </c>
      <c r="M297" s="147">
        <f t="shared" ca="1" si="194"/>
        <v>0</v>
      </c>
      <c r="N297" s="148">
        <f ca="1">IF(AND(Option_SPW="Y",H297&gt;=Lock_In_Period,Z296&gt;SPW_Amount_pa+IF(option="Single",1/5*pr,2*pr),H297&gt;=SPW_Start_Year,H297&lt;=SPW_Start_Year+SPW_Duration-1,age+H297&gt;=Legal_Age),IF(AND(F297=0,SPW_Payout_Freq=1),SPW_Amount_pa,IF(AND(SPW_Payout_Freq=2,MOD(F297,6)=0),SPW_Amount_pa/SPW_Payout_Freq,IF(AND(SPW_Payout_Freq=4,MOD(F297,3)=0),SPW_Amount_pa/SPW_Payout_Freq,IF(SPW_Payout_Freq=12,SPW_Amount_pa/SPW_Payout_Freq,0)))),0)+IFERROR(VLOOKUP(H297,Input!$B$68:$C$74,2,0),0)*(F297=0)*(Option_PW="Y")*(Option_SPW="N")*(age+H297&gt;=Legal_Age)</f>
        <v>0</v>
      </c>
      <c r="O297" s="148">
        <f t="shared" ca="1" si="220"/>
        <v>0</v>
      </c>
      <c r="P297" s="14">
        <f ca="1">(MAX(MAX(sa-CF296*Flag_UL_Type,105%*SUM($I$7:I297))-(AD296+L297-N297)*Flag_UL_Type,0)*B297)</f>
        <v>0</v>
      </c>
      <c r="Q297" s="213">
        <f t="shared" si="195"/>
        <v>0</v>
      </c>
      <c r="R297" s="14">
        <f t="shared" ca="1" si="196"/>
        <v>0</v>
      </c>
      <c r="S297" s="14">
        <f t="shared" ca="1" si="197"/>
        <v>0</v>
      </c>
      <c r="T297" s="14">
        <f>IFERROR(IF(WoP_Flag="Y",IF(fq=1,VLOOKUP(ppt*fq-H297,Charges!$AN$41:$AO$59,2,FALSE),IF(fq=2,VLOOKUP(ppt*fq-G297,Charges!$AP$41:$AQ$79,2,FALSE),VLOOKUP(ppt*fq-D297,Charges!$AR$41:$AS$279,2,FALSE)))*pr/fq,0),0)</f>
        <v>0</v>
      </c>
      <c r="U297" s="14">
        <f ca="1">IFERROR(((T297*(VLOOKUP(Input!$D$18+H297-1,Tab_Mort_Charge,IF(Gender_2="M",2,3),FALSE)*(1+_emr2)+_rpm2)/IF(Model_Type="LA_PQIS",1000/0.0833,(12*1000))))*Flag_Mort_Rider_Charge*(T297&gt;0),0)</f>
        <v>0</v>
      </c>
      <c r="V297" s="34">
        <f>ROUND(MIN(IF(H297&gt;=7,Charges!$C$12*(1+Charges!$C$14)^((H297-7+1)),VLOOKUP(H297,Charges!$B$7:$C$12,2,0))*pr,Charges!$C$13)*B297,Round)</f>
        <v>0</v>
      </c>
      <c r="W297" s="14">
        <f t="shared" ca="1" si="198"/>
        <v>0</v>
      </c>
      <c r="X297" s="14">
        <f t="shared" ca="1" si="199"/>
        <v>0</v>
      </c>
      <c r="Y297" s="213">
        <f t="shared" ca="1" si="221"/>
        <v>0</v>
      </c>
      <c r="Z297" s="14">
        <f t="shared" ca="1" si="200"/>
        <v>0</v>
      </c>
      <c r="AA297" s="14">
        <f>IF(AND($H297=pt,$F297=11),SUM($K$7:K297)*VLOOKUP(pt,ROC,2,FALSE),0)</f>
        <v>0</v>
      </c>
      <c r="AB297" s="14">
        <f>IF(AND($H297=pt,$F297=11),SUM($V$7:V297)*VLOOKUP(pt,ROC,2,FALSE),0)</f>
        <v>0</v>
      </c>
      <c r="AC297" s="14">
        <f>IF(AND($H297=pt,$F297=11),SUM($Q$7:Q297)*VLOOKUP(pt,ROC,2,FALSE),0)</f>
        <v>0</v>
      </c>
      <c r="AD297" s="14">
        <f t="shared" ca="1" si="222"/>
        <v>0</v>
      </c>
      <c r="AE297" s="14">
        <f ca="1">(MAX(sa-CF296*Flag_UL_Type,105%*SUM($I$7:I297),Z297)+AU297)*B297</f>
        <v>0</v>
      </c>
      <c r="AF297" s="136"/>
      <c r="AG297" s="18">
        <v>291</v>
      </c>
      <c r="AH297" s="30">
        <f t="shared" ca="1" si="201"/>
        <v>0</v>
      </c>
      <c r="AI297" s="58"/>
      <c r="AJ297" s="50">
        <f>IF(AND(Option_Sys_TopUp&gt;="Y",H297&gt;=sytp,H297&lt;=(dtp+sytp-1),F297=0,H297&lt;=ppt+1),atp,0)+IFERROR(VLOOKUP(H297,Input!$B$55:$C$61,2,0),0)*(F297=0)*(Option_TopUP="Y")*(Option_Sys_TopUp="N")*B297*(pt&gt;=H297+5)</f>
        <v>0</v>
      </c>
      <c r="AK297" s="50">
        <f t="shared" si="202"/>
        <v>0</v>
      </c>
      <c r="AL297" s="50">
        <f t="shared" si="223"/>
        <v>0</v>
      </c>
      <c r="AM297" s="50">
        <f t="shared" ca="1" si="203"/>
        <v>0</v>
      </c>
      <c r="AN297" s="50">
        <f>IF(B297=0,0,AT297*(_rpm1+(1+_emr1)*VLOOKUP(E297,Tab_Mort_Charge,IF(Input!$C$12="M",2,3),0))*(0.001*0.0833)*Flag_Mort_Rider_Charge*(AT297&gt;0))</f>
        <v>0</v>
      </c>
      <c r="AO297" s="50">
        <f t="shared" ca="1" si="224"/>
        <v>0</v>
      </c>
      <c r="AP297" s="50">
        <f t="shared" ca="1" si="231"/>
        <v>0</v>
      </c>
      <c r="AQ297" s="50">
        <f t="shared" ca="1" si="204"/>
        <v>0</v>
      </c>
      <c r="AR297" s="50">
        <f t="shared" ca="1" si="205"/>
        <v>0</v>
      </c>
      <c r="AS297" s="50">
        <f t="shared" si="206"/>
        <v>0</v>
      </c>
      <c r="AT297" s="50">
        <f ca="1">(MAX((MAX(AS297,105%*SUM($AJ$7:AJ297))-AM297*Flag_UL_Type),0)*B297)</f>
        <v>0</v>
      </c>
      <c r="AU297" s="50">
        <f ca="1">(MAX(AS297,AR297,105%*SUM($AJ$7:AJ297))*B297)</f>
        <v>0</v>
      </c>
      <c r="AV297" s="125"/>
      <c r="AW297" s="13"/>
      <c r="AX297" s="13"/>
      <c r="AY297" s="13"/>
      <c r="AZ297" s="13"/>
      <c r="BA297" s="13"/>
      <c r="BG297" s="51">
        <f t="shared" si="207"/>
        <v>0</v>
      </c>
      <c r="BH297" s="51">
        <f t="shared" si="208"/>
        <v>0</v>
      </c>
      <c r="BI297" s="51">
        <f t="shared" ca="1" si="209"/>
        <v>0</v>
      </c>
      <c r="BJ297" s="51">
        <f t="shared" ca="1" si="210"/>
        <v>0</v>
      </c>
      <c r="BK297" s="51">
        <f t="shared" si="211"/>
        <v>0</v>
      </c>
      <c r="BL297" s="51">
        <f t="shared" ca="1" si="212"/>
        <v>0</v>
      </c>
      <c r="BM297" s="51">
        <f t="shared" si="213"/>
        <v>0</v>
      </c>
      <c r="BN297" s="51">
        <f t="shared" si="214"/>
        <v>0</v>
      </c>
      <c r="BO297" s="51">
        <f t="shared" ca="1" si="215"/>
        <v>0</v>
      </c>
      <c r="BP297" s="51">
        <f t="shared" ca="1" si="216"/>
        <v>0</v>
      </c>
      <c r="BQ297" s="120"/>
      <c r="BR297" s="32"/>
      <c r="BS297" s="126"/>
      <c r="BT297" s="16"/>
      <c r="BU297" s="58"/>
      <c r="BW297" s="51">
        <f>VLOOKUP(H297,Charges!$AT$4:$AU$33,2,FALSE)*I297</f>
        <v>0</v>
      </c>
      <c r="BX297" s="51">
        <f t="shared" si="217"/>
        <v>0</v>
      </c>
      <c r="BY297" s="51">
        <f t="shared" si="225"/>
        <v>0</v>
      </c>
      <c r="BZ297" s="151"/>
      <c r="CA297" s="151"/>
      <c r="CB297" s="32"/>
      <c r="CC297" s="16">
        <f ca="1">SUM($N$7:$N297)</f>
        <v>0</v>
      </c>
      <c r="CD297" s="16">
        <f t="shared" ca="1" si="218"/>
        <v>0</v>
      </c>
      <c r="CE297" s="16">
        <f t="shared" ca="1" si="219"/>
        <v>0</v>
      </c>
      <c r="CF297" s="7">
        <f t="shared" ca="1" si="226"/>
        <v>0</v>
      </c>
    </row>
    <row r="298" spans="1:84" s="7" customFormat="1" x14ac:dyDescent="0.2">
      <c r="A298" s="149"/>
      <c r="B298" s="14">
        <f t="shared" si="188"/>
        <v>0</v>
      </c>
      <c r="C298" s="12">
        <f t="shared" si="189"/>
        <v>0</v>
      </c>
      <c r="D298" s="17">
        <f t="shared" si="227"/>
        <v>292</v>
      </c>
      <c r="E298" s="17">
        <f t="shared" ca="1" si="190"/>
        <v>84</v>
      </c>
      <c r="F298" s="12">
        <f t="shared" si="229"/>
        <v>3</v>
      </c>
      <c r="G298" s="12">
        <f t="shared" si="228"/>
        <v>49</v>
      </c>
      <c r="H298" s="17">
        <f t="shared" si="230"/>
        <v>25</v>
      </c>
      <c r="I298" s="29">
        <f t="shared" si="191"/>
        <v>0</v>
      </c>
      <c r="J298" s="211">
        <f>IFERROR(VLOOKUP(H298,Charges!$T$6:$U$35,2,0)*C298,0)</f>
        <v>0</v>
      </c>
      <c r="K298" s="29">
        <f t="shared" si="192"/>
        <v>0</v>
      </c>
      <c r="L298" s="29">
        <f t="shared" si="193"/>
        <v>0</v>
      </c>
      <c r="M298" s="147">
        <f t="shared" ca="1" si="194"/>
        <v>0</v>
      </c>
      <c r="N298" s="148">
        <f ca="1">IF(AND(Option_SPW="Y",H298&gt;=Lock_In_Period,Z297&gt;SPW_Amount_pa+IF(option="Single",1/5*pr,2*pr),H298&gt;=SPW_Start_Year,H298&lt;=SPW_Start_Year+SPW_Duration-1,age+H298&gt;=Legal_Age),IF(AND(F298=0,SPW_Payout_Freq=1),SPW_Amount_pa,IF(AND(SPW_Payout_Freq=2,MOD(F298,6)=0),SPW_Amount_pa/SPW_Payout_Freq,IF(AND(SPW_Payout_Freq=4,MOD(F298,3)=0),SPW_Amount_pa/SPW_Payout_Freq,IF(SPW_Payout_Freq=12,SPW_Amount_pa/SPW_Payout_Freq,0)))),0)+IFERROR(VLOOKUP(H298,Input!$B$68:$C$74,2,0),0)*(F298=0)*(Option_PW="Y")*(Option_SPW="N")*(age+H298&gt;=Legal_Age)</f>
        <v>0</v>
      </c>
      <c r="O298" s="148">
        <f t="shared" ca="1" si="220"/>
        <v>0</v>
      </c>
      <c r="P298" s="14">
        <f ca="1">(MAX(MAX(sa-CF297*Flag_UL_Type,105%*SUM($I$7:I298))-(AD297+L298-N298)*Flag_UL_Type,0)*B298)</f>
        <v>0</v>
      </c>
      <c r="Q298" s="213">
        <f t="shared" si="195"/>
        <v>0</v>
      </c>
      <c r="R298" s="14">
        <f t="shared" ca="1" si="196"/>
        <v>0</v>
      </c>
      <c r="S298" s="14">
        <f t="shared" ca="1" si="197"/>
        <v>0</v>
      </c>
      <c r="T298" s="14">
        <f>IFERROR(IF(WoP_Flag="Y",IF(fq=1,VLOOKUP(ppt*fq-H298,Charges!$AN$41:$AO$59,2,FALSE),IF(fq=2,VLOOKUP(ppt*fq-G298,Charges!$AP$41:$AQ$79,2,FALSE),VLOOKUP(ppt*fq-D298,Charges!$AR$41:$AS$279,2,FALSE)))*pr/fq,0),0)</f>
        <v>0</v>
      </c>
      <c r="U298" s="14">
        <f ca="1">IFERROR(((T298*(VLOOKUP(Input!$D$18+H298-1,Tab_Mort_Charge,IF(Gender_2="M",2,3),FALSE)*(1+_emr2)+_rpm2)/IF(Model_Type="LA_PQIS",1000/0.0833,(12*1000))))*Flag_Mort_Rider_Charge*(T298&gt;0),0)</f>
        <v>0</v>
      </c>
      <c r="V298" s="34">
        <f>ROUND(MIN(IF(H298&gt;=7,Charges!$C$12*(1+Charges!$C$14)^((H298-7+1)),VLOOKUP(H298,Charges!$B$7:$C$12,2,0))*pr,Charges!$C$13)*B298,Round)</f>
        <v>0</v>
      </c>
      <c r="W298" s="14">
        <f t="shared" ca="1" si="198"/>
        <v>0</v>
      </c>
      <c r="X298" s="14">
        <f t="shared" ca="1" si="199"/>
        <v>0</v>
      </c>
      <c r="Y298" s="213">
        <f t="shared" ca="1" si="221"/>
        <v>0</v>
      </c>
      <c r="Z298" s="14">
        <f t="shared" ca="1" si="200"/>
        <v>0</v>
      </c>
      <c r="AA298" s="14">
        <f>IF(AND($H298=pt,$F298=11),SUM($K$7:K298)*VLOOKUP(pt,ROC,2,FALSE),0)</f>
        <v>0</v>
      </c>
      <c r="AB298" s="14">
        <f>IF(AND($H298=pt,$F298=11),SUM($V$7:V298)*VLOOKUP(pt,ROC,2,FALSE),0)</f>
        <v>0</v>
      </c>
      <c r="AC298" s="14">
        <f>IF(AND($H298=pt,$F298=11),SUM($Q$7:Q298)*VLOOKUP(pt,ROC,2,FALSE),0)</f>
        <v>0</v>
      </c>
      <c r="AD298" s="14">
        <f t="shared" ca="1" si="222"/>
        <v>0</v>
      </c>
      <c r="AE298" s="14">
        <f ca="1">(MAX(sa-CF297*Flag_UL_Type,105%*SUM($I$7:I298),Z298)+AU298)*B298</f>
        <v>0</v>
      </c>
      <c r="AF298" s="136"/>
      <c r="AG298" s="18">
        <v>292</v>
      </c>
      <c r="AH298" s="30">
        <f t="shared" ca="1" si="201"/>
        <v>0</v>
      </c>
      <c r="AI298" s="58"/>
      <c r="AJ298" s="50">
        <f>IF(AND(Option_Sys_TopUp&gt;="Y",H298&gt;=sytp,H298&lt;=(dtp+sytp-1),F298=0,H298&lt;=ppt+1),atp,0)+IFERROR(VLOOKUP(H298,Input!$B$55:$C$61,2,0),0)*(F298=0)*(Option_TopUP="Y")*(Option_Sys_TopUp="N")*B298*(pt&gt;=H298+5)</f>
        <v>0</v>
      </c>
      <c r="AK298" s="50">
        <f t="shared" si="202"/>
        <v>0</v>
      </c>
      <c r="AL298" s="50">
        <f t="shared" si="223"/>
        <v>0</v>
      </c>
      <c r="AM298" s="50">
        <f t="shared" ca="1" si="203"/>
        <v>0</v>
      </c>
      <c r="AN298" s="50">
        <f>IF(B298=0,0,AT298*(_rpm1+(1+_emr1)*VLOOKUP(E298,Tab_Mort_Charge,IF(Input!$C$12="M",2,3),0))*(0.001*0.0833)*Flag_Mort_Rider_Charge*(AT298&gt;0))</f>
        <v>0</v>
      </c>
      <c r="AO298" s="50">
        <f t="shared" ca="1" si="224"/>
        <v>0</v>
      </c>
      <c r="AP298" s="50">
        <f t="shared" ca="1" si="231"/>
        <v>0</v>
      </c>
      <c r="AQ298" s="50">
        <f t="shared" ca="1" si="204"/>
        <v>0</v>
      </c>
      <c r="AR298" s="50">
        <f t="shared" ca="1" si="205"/>
        <v>0</v>
      </c>
      <c r="AS298" s="50">
        <f t="shared" si="206"/>
        <v>0</v>
      </c>
      <c r="AT298" s="50">
        <f ca="1">(MAX((MAX(AS298,105%*SUM($AJ$7:AJ298))-AM298*Flag_UL_Type),0)*B298)</f>
        <v>0</v>
      </c>
      <c r="AU298" s="50">
        <f ca="1">(MAX(AS298,AR298,105%*SUM($AJ$7:AJ298))*B298)</f>
        <v>0</v>
      </c>
      <c r="AV298" s="125"/>
      <c r="AW298" s="13"/>
      <c r="AX298" s="13"/>
      <c r="AY298" s="13"/>
      <c r="AZ298" s="13"/>
      <c r="BA298" s="13"/>
      <c r="BG298" s="51">
        <f t="shared" si="207"/>
        <v>0</v>
      </c>
      <c r="BH298" s="51">
        <f t="shared" si="208"/>
        <v>0</v>
      </c>
      <c r="BI298" s="51">
        <f t="shared" ca="1" si="209"/>
        <v>0</v>
      </c>
      <c r="BJ298" s="51">
        <f t="shared" ca="1" si="210"/>
        <v>0</v>
      </c>
      <c r="BK298" s="51">
        <f t="shared" si="211"/>
        <v>0</v>
      </c>
      <c r="BL298" s="51">
        <f t="shared" ca="1" si="212"/>
        <v>0</v>
      </c>
      <c r="BM298" s="51">
        <f t="shared" si="213"/>
        <v>0</v>
      </c>
      <c r="BN298" s="51">
        <f t="shared" si="214"/>
        <v>0</v>
      </c>
      <c r="BO298" s="51">
        <f t="shared" ca="1" si="215"/>
        <v>0</v>
      </c>
      <c r="BP298" s="51">
        <f t="shared" ca="1" si="216"/>
        <v>0</v>
      </c>
      <c r="BQ298" s="120"/>
      <c r="BR298" s="32"/>
      <c r="BS298" s="126"/>
      <c r="BT298" s="16"/>
      <c r="BU298" s="58"/>
      <c r="BW298" s="51">
        <f>VLOOKUP(H298,Charges!$AT$4:$AU$33,2,FALSE)*I298</f>
        <v>0</v>
      </c>
      <c r="BX298" s="51">
        <f t="shared" si="217"/>
        <v>0</v>
      </c>
      <c r="BY298" s="51">
        <f t="shared" si="225"/>
        <v>0</v>
      </c>
      <c r="BZ298" s="151"/>
      <c r="CA298" s="151"/>
      <c r="CB298" s="32"/>
      <c r="CC298" s="16">
        <f ca="1">SUM($N$7:$N298)</f>
        <v>0</v>
      </c>
      <c r="CD298" s="16">
        <f t="shared" ca="1" si="218"/>
        <v>0</v>
      </c>
      <c r="CE298" s="16">
        <f t="shared" ca="1" si="219"/>
        <v>0</v>
      </c>
      <c r="CF298" s="7">
        <f t="shared" ca="1" si="226"/>
        <v>0</v>
      </c>
    </row>
    <row r="299" spans="1:84" s="7" customFormat="1" x14ac:dyDescent="0.2">
      <c r="A299" s="149"/>
      <c r="B299" s="14">
        <f t="shared" si="188"/>
        <v>0</v>
      </c>
      <c r="C299" s="12">
        <f t="shared" si="189"/>
        <v>0</v>
      </c>
      <c r="D299" s="17">
        <f t="shared" si="227"/>
        <v>293</v>
      </c>
      <c r="E299" s="17">
        <f t="shared" ca="1" si="190"/>
        <v>84</v>
      </c>
      <c r="F299" s="12">
        <f t="shared" si="229"/>
        <v>4</v>
      </c>
      <c r="G299" s="12">
        <f t="shared" si="228"/>
        <v>49</v>
      </c>
      <c r="H299" s="17">
        <f t="shared" si="230"/>
        <v>25</v>
      </c>
      <c r="I299" s="29">
        <f t="shared" si="191"/>
        <v>0</v>
      </c>
      <c r="J299" s="211">
        <f>IFERROR(VLOOKUP(H299,Charges!$T$6:$U$35,2,0)*C299,0)</f>
        <v>0</v>
      </c>
      <c r="K299" s="29">
        <f t="shared" si="192"/>
        <v>0</v>
      </c>
      <c r="L299" s="29">
        <f t="shared" si="193"/>
        <v>0</v>
      </c>
      <c r="M299" s="147">
        <f t="shared" ca="1" si="194"/>
        <v>0</v>
      </c>
      <c r="N299" s="148">
        <f ca="1">IF(AND(Option_SPW="Y",H299&gt;=Lock_In_Period,Z298&gt;SPW_Amount_pa+IF(option="Single",1/5*pr,2*pr),H299&gt;=SPW_Start_Year,H299&lt;=SPW_Start_Year+SPW_Duration-1,age+H299&gt;=Legal_Age),IF(AND(F299=0,SPW_Payout_Freq=1),SPW_Amount_pa,IF(AND(SPW_Payout_Freq=2,MOD(F299,6)=0),SPW_Amount_pa/SPW_Payout_Freq,IF(AND(SPW_Payout_Freq=4,MOD(F299,3)=0),SPW_Amount_pa/SPW_Payout_Freq,IF(SPW_Payout_Freq=12,SPW_Amount_pa/SPW_Payout_Freq,0)))),0)+IFERROR(VLOOKUP(H299,Input!$B$68:$C$74,2,0),0)*(F299=0)*(Option_PW="Y")*(Option_SPW="N")*(age+H299&gt;=Legal_Age)</f>
        <v>0</v>
      </c>
      <c r="O299" s="148">
        <f t="shared" ca="1" si="220"/>
        <v>0</v>
      </c>
      <c r="P299" s="14">
        <f ca="1">(MAX(MAX(sa-CF298*Flag_UL_Type,105%*SUM($I$7:I299))-(AD298+L299-N299)*Flag_UL_Type,0)*B299)</f>
        <v>0</v>
      </c>
      <c r="Q299" s="213">
        <f t="shared" si="195"/>
        <v>0</v>
      </c>
      <c r="R299" s="14">
        <f t="shared" ca="1" si="196"/>
        <v>0</v>
      </c>
      <c r="S299" s="14">
        <f t="shared" ca="1" si="197"/>
        <v>0</v>
      </c>
      <c r="T299" s="14">
        <f>IFERROR(IF(WoP_Flag="Y",IF(fq=1,VLOOKUP(ppt*fq-H299,Charges!$AN$41:$AO$59,2,FALSE),IF(fq=2,VLOOKUP(ppt*fq-G299,Charges!$AP$41:$AQ$79,2,FALSE),VLOOKUP(ppt*fq-D299,Charges!$AR$41:$AS$279,2,FALSE)))*pr/fq,0),0)</f>
        <v>0</v>
      </c>
      <c r="U299" s="14">
        <f ca="1">IFERROR(((T299*(VLOOKUP(Input!$D$18+H299-1,Tab_Mort_Charge,IF(Gender_2="M",2,3),FALSE)*(1+_emr2)+_rpm2)/IF(Model_Type="LA_PQIS",1000/0.0833,(12*1000))))*Flag_Mort_Rider_Charge*(T299&gt;0),0)</f>
        <v>0</v>
      </c>
      <c r="V299" s="34">
        <f>ROUND(MIN(IF(H299&gt;=7,Charges!$C$12*(1+Charges!$C$14)^((H299-7+1)),VLOOKUP(H299,Charges!$B$7:$C$12,2,0))*pr,Charges!$C$13)*B299,Round)</f>
        <v>0</v>
      </c>
      <c r="W299" s="14">
        <f t="shared" ca="1" si="198"/>
        <v>0</v>
      </c>
      <c r="X299" s="14">
        <f t="shared" ca="1" si="199"/>
        <v>0</v>
      </c>
      <c r="Y299" s="213">
        <f t="shared" ca="1" si="221"/>
        <v>0</v>
      </c>
      <c r="Z299" s="14">
        <f t="shared" ca="1" si="200"/>
        <v>0</v>
      </c>
      <c r="AA299" s="14">
        <f>IF(AND($H299=pt,$F299=11),SUM($K$7:K299)*VLOOKUP(pt,ROC,2,FALSE),0)</f>
        <v>0</v>
      </c>
      <c r="AB299" s="14">
        <f>IF(AND($H299=pt,$F299=11),SUM($V$7:V299)*VLOOKUP(pt,ROC,2,FALSE),0)</f>
        <v>0</v>
      </c>
      <c r="AC299" s="14">
        <f>IF(AND($H299=pt,$F299=11),SUM($Q$7:Q299)*VLOOKUP(pt,ROC,2,FALSE),0)</f>
        <v>0</v>
      </c>
      <c r="AD299" s="14">
        <f t="shared" ca="1" si="222"/>
        <v>0</v>
      </c>
      <c r="AE299" s="14">
        <f ca="1">(MAX(sa-CF298*Flag_UL_Type,105%*SUM($I$7:I299),Z299)+AU299)*B299</f>
        <v>0</v>
      </c>
      <c r="AF299" s="136"/>
      <c r="AG299" s="18">
        <v>293</v>
      </c>
      <c r="AH299" s="30">
        <f t="shared" ca="1" si="201"/>
        <v>0</v>
      </c>
      <c r="AI299" s="58"/>
      <c r="AJ299" s="50">
        <f>IF(AND(Option_Sys_TopUp&gt;="Y",H299&gt;=sytp,H299&lt;=(dtp+sytp-1),F299=0,H299&lt;=ppt+1),atp,0)+IFERROR(VLOOKUP(H299,Input!$B$55:$C$61,2,0),0)*(F299=0)*(Option_TopUP="Y")*(Option_Sys_TopUp="N")*B299*(pt&gt;=H299+5)</f>
        <v>0</v>
      </c>
      <c r="AK299" s="50">
        <f t="shared" si="202"/>
        <v>0</v>
      </c>
      <c r="AL299" s="50">
        <f t="shared" si="223"/>
        <v>0</v>
      </c>
      <c r="AM299" s="50">
        <f t="shared" ca="1" si="203"/>
        <v>0</v>
      </c>
      <c r="AN299" s="50">
        <f>IF(B299=0,0,AT299*(_rpm1+(1+_emr1)*VLOOKUP(E299,Tab_Mort_Charge,IF(Input!$C$12="M",2,3),0))*(0.001*0.0833)*Flag_Mort_Rider_Charge*(AT299&gt;0))</f>
        <v>0</v>
      </c>
      <c r="AO299" s="50">
        <f t="shared" ca="1" si="224"/>
        <v>0</v>
      </c>
      <c r="AP299" s="50">
        <f t="shared" ca="1" si="231"/>
        <v>0</v>
      </c>
      <c r="AQ299" s="50">
        <f t="shared" ca="1" si="204"/>
        <v>0</v>
      </c>
      <c r="AR299" s="50">
        <f t="shared" ca="1" si="205"/>
        <v>0</v>
      </c>
      <c r="AS299" s="50">
        <f t="shared" si="206"/>
        <v>0</v>
      </c>
      <c r="AT299" s="50">
        <f ca="1">(MAX((MAX(AS299,105%*SUM($AJ$7:AJ299))-AM299*Flag_UL_Type),0)*B299)</f>
        <v>0</v>
      </c>
      <c r="AU299" s="50">
        <f ca="1">(MAX(AS299,AR299,105%*SUM($AJ$7:AJ299))*B299)</f>
        <v>0</v>
      </c>
      <c r="AV299" s="125"/>
      <c r="AW299" s="13"/>
      <c r="AX299" s="13"/>
      <c r="AY299" s="13"/>
      <c r="AZ299" s="13"/>
      <c r="BA299" s="13"/>
      <c r="BG299" s="51">
        <f t="shared" si="207"/>
        <v>0</v>
      </c>
      <c r="BH299" s="51">
        <f t="shared" si="208"/>
        <v>0</v>
      </c>
      <c r="BI299" s="51">
        <f t="shared" ca="1" si="209"/>
        <v>0</v>
      </c>
      <c r="BJ299" s="51">
        <f t="shared" ca="1" si="210"/>
        <v>0</v>
      </c>
      <c r="BK299" s="51">
        <f t="shared" si="211"/>
        <v>0</v>
      </c>
      <c r="BL299" s="51">
        <f t="shared" ca="1" si="212"/>
        <v>0</v>
      </c>
      <c r="BM299" s="51">
        <f t="shared" si="213"/>
        <v>0</v>
      </c>
      <c r="BN299" s="51">
        <f t="shared" si="214"/>
        <v>0</v>
      </c>
      <c r="BO299" s="51">
        <f t="shared" ca="1" si="215"/>
        <v>0</v>
      </c>
      <c r="BP299" s="51">
        <f t="shared" ca="1" si="216"/>
        <v>0</v>
      </c>
      <c r="BQ299" s="120"/>
      <c r="BR299" s="32"/>
      <c r="BS299" s="126"/>
      <c r="BT299" s="16"/>
      <c r="BU299" s="58"/>
      <c r="BW299" s="51">
        <f>VLOOKUP(H299,Charges!$AT$4:$AU$33,2,FALSE)*I299</f>
        <v>0</v>
      </c>
      <c r="BX299" s="51">
        <f t="shared" si="217"/>
        <v>0</v>
      </c>
      <c r="BY299" s="51">
        <f t="shared" si="225"/>
        <v>0</v>
      </c>
      <c r="BZ299" s="151"/>
      <c r="CA299" s="151"/>
      <c r="CB299" s="32"/>
      <c r="CC299" s="16">
        <f ca="1">SUM($N$7:$N299)</f>
        <v>0</v>
      </c>
      <c r="CD299" s="16">
        <f t="shared" ca="1" si="218"/>
        <v>0</v>
      </c>
      <c r="CE299" s="16">
        <f t="shared" ca="1" si="219"/>
        <v>0</v>
      </c>
      <c r="CF299" s="7">
        <f t="shared" ca="1" si="226"/>
        <v>0</v>
      </c>
    </row>
    <row r="300" spans="1:84" s="7" customFormat="1" x14ac:dyDescent="0.2">
      <c r="A300" s="149"/>
      <c r="B300" s="14">
        <f t="shared" si="188"/>
        <v>0</v>
      </c>
      <c r="C300" s="12">
        <f t="shared" si="189"/>
        <v>0</v>
      </c>
      <c r="D300" s="17">
        <f t="shared" si="227"/>
        <v>294</v>
      </c>
      <c r="E300" s="17">
        <f t="shared" ca="1" si="190"/>
        <v>84</v>
      </c>
      <c r="F300" s="12">
        <f t="shared" si="229"/>
        <v>5</v>
      </c>
      <c r="G300" s="12">
        <f t="shared" si="228"/>
        <v>49</v>
      </c>
      <c r="H300" s="17">
        <f t="shared" si="230"/>
        <v>25</v>
      </c>
      <c r="I300" s="29">
        <f t="shared" si="191"/>
        <v>0</v>
      </c>
      <c r="J300" s="211">
        <f>IFERROR(VLOOKUP(H300,Charges!$T$6:$U$35,2,0)*C300,0)</f>
        <v>0</v>
      </c>
      <c r="K300" s="29">
        <f t="shared" si="192"/>
        <v>0</v>
      </c>
      <c r="L300" s="29">
        <f t="shared" si="193"/>
        <v>0</v>
      </c>
      <c r="M300" s="147">
        <f t="shared" ca="1" si="194"/>
        <v>0</v>
      </c>
      <c r="N300" s="148">
        <f ca="1">IF(AND(Option_SPW="Y",H300&gt;=Lock_In_Period,Z299&gt;SPW_Amount_pa+IF(option="Single",1/5*pr,2*pr),H300&gt;=SPW_Start_Year,H300&lt;=SPW_Start_Year+SPW_Duration-1,age+H300&gt;=Legal_Age),IF(AND(F300=0,SPW_Payout_Freq=1),SPW_Amount_pa,IF(AND(SPW_Payout_Freq=2,MOD(F300,6)=0),SPW_Amount_pa/SPW_Payout_Freq,IF(AND(SPW_Payout_Freq=4,MOD(F300,3)=0),SPW_Amount_pa/SPW_Payout_Freq,IF(SPW_Payout_Freq=12,SPW_Amount_pa/SPW_Payout_Freq,0)))),0)+IFERROR(VLOOKUP(H300,Input!$B$68:$C$74,2,0),0)*(F300=0)*(Option_PW="Y")*(Option_SPW="N")*(age+H300&gt;=Legal_Age)</f>
        <v>0</v>
      </c>
      <c r="O300" s="148">
        <f t="shared" ca="1" si="220"/>
        <v>0</v>
      </c>
      <c r="P300" s="14">
        <f ca="1">(MAX(MAX(sa-CF299*Flag_UL_Type,105%*SUM($I$7:I300))-(AD299+L300-N300)*Flag_UL_Type,0)*B300)</f>
        <v>0</v>
      </c>
      <c r="Q300" s="213">
        <f t="shared" si="195"/>
        <v>0</v>
      </c>
      <c r="R300" s="14">
        <f t="shared" ca="1" si="196"/>
        <v>0</v>
      </c>
      <c r="S300" s="14">
        <f t="shared" ca="1" si="197"/>
        <v>0</v>
      </c>
      <c r="T300" s="14">
        <f>IFERROR(IF(WoP_Flag="Y",IF(fq=1,VLOOKUP(ppt*fq-H300,Charges!$AN$41:$AO$59,2,FALSE),IF(fq=2,VLOOKUP(ppt*fq-G300,Charges!$AP$41:$AQ$79,2,FALSE),VLOOKUP(ppt*fq-D300,Charges!$AR$41:$AS$279,2,FALSE)))*pr/fq,0),0)</f>
        <v>0</v>
      </c>
      <c r="U300" s="14">
        <f ca="1">IFERROR(((T300*(VLOOKUP(Input!$D$18+H300-1,Tab_Mort_Charge,IF(Gender_2="M",2,3),FALSE)*(1+_emr2)+_rpm2)/IF(Model_Type="LA_PQIS",1000/0.0833,(12*1000))))*Flag_Mort_Rider_Charge*(T300&gt;0),0)</f>
        <v>0</v>
      </c>
      <c r="V300" s="34">
        <f>ROUND(MIN(IF(H300&gt;=7,Charges!$C$12*(1+Charges!$C$14)^((H300-7+1)),VLOOKUP(H300,Charges!$B$7:$C$12,2,0))*pr,Charges!$C$13)*B300,Round)</f>
        <v>0</v>
      </c>
      <c r="W300" s="14">
        <f t="shared" ca="1" si="198"/>
        <v>0</v>
      </c>
      <c r="X300" s="14">
        <f t="shared" ca="1" si="199"/>
        <v>0</v>
      </c>
      <c r="Y300" s="213">
        <f t="shared" ca="1" si="221"/>
        <v>0</v>
      </c>
      <c r="Z300" s="14">
        <f t="shared" ca="1" si="200"/>
        <v>0</v>
      </c>
      <c r="AA300" s="14">
        <f>IF(AND($H300=pt,$F300=11),SUM($K$7:K300)*VLOOKUP(pt,ROC,2,FALSE),0)</f>
        <v>0</v>
      </c>
      <c r="AB300" s="14">
        <f>IF(AND($H300=pt,$F300=11),SUM($V$7:V300)*VLOOKUP(pt,ROC,2,FALSE),0)</f>
        <v>0</v>
      </c>
      <c r="AC300" s="14">
        <f>IF(AND($H300=pt,$F300=11),SUM($Q$7:Q300)*VLOOKUP(pt,ROC,2,FALSE),0)</f>
        <v>0</v>
      </c>
      <c r="AD300" s="14">
        <f t="shared" ca="1" si="222"/>
        <v>0</v>
      </c>
      <c r="AE300" s="14">
        <f ca="1">(MAX(sa-CF299*Flag_UL_Type,105%*SUM($I$7:I300),Z300)+AU300)*B300</f>
        <v>0</v>
      </c>
      <c r="AF300" s="136"/>
      <c r="AG300" s="18">
        <v>294</v>
      </c>
      <c r="AH300" s="30">
        <f t="shared" ca="1" si="201"/>
        <v>0</v>
      </c>
      <c r="AI300" s="58"/>
      <c r="AJ300" s="50">
        <f>IF(AND(Option_Sys_TopUp&gt;="Y",H300&gt;=sytp,H300&lt;=(dtp+sytp-1),F300=0,H300&lt;=ppt+1),atp,0)+IFERROR(VLOOKUP(H300,Input!$B$55:$C$61,2,0),0)*(F300=0)*(Option_TopUP="Y")*(Option_Sys_TopUp="N")*B300*(pt&gt;=H300+5)</f>
        <v>0</v>
      </c>
      <c r="AK300" s="50">
        <f t="shared" si="202"/>
        <v>0</v>
      </c>
      <c r="AL300" s="50">
        <f t="shared" si="223"/>
        <v>0</v>
      </c>
      <c r="AM300" s="50">
        <f t="shared" ca="1" si="203"/>
        <v>0</v>
      </c>
      <c r="AN300" s="50">
        <f>IF(B300=0,0,AT300*(_rpm1+(1+_emr1)*VLOOKUP(E300,Tab_Mort_Charge,IF(Input!$C$12="M",2,3),0))*(0.001*0.0833)*Flag_Mort_Rider_Charge*(AT300&gt;0))</f>
        <v>0</v>
      </c>
      <c r="AO300" s="50">
        <f t="shared" ca="1" si="224"/>
        <v>0</v>
      </c>
      <c r="AP300" s="50">
        <f t="shared" ca="1" si="231"/>
        <v>0</v>
      </c>
      <c r="AQ300" s="50">
        <f t="shared" ca="1" si="204"/>
        <v>0</v>
      </c>
      <c r="AR300" s="50">
        <f t="shared" ca="1" si="205"/>
        <v>0</v>
      </c>
      <c r="AS300" s="50">
        <f t="shared" si="206"/>
        <v>0</v>
      </c>
      <c r="AT300" s="50">
        <f ca="1">(MAX((MAX(AS300,105%*SUM($AJ$7:AJ300))-AM300*Flag_UL_Type),0)*B300)</f>
        <v>0</v>
      </c>
      <c r="AU300" s="50">
        <f ca="1">(MAX(AS300,AR300,105%*SUM($AJ$7:AJ300))*B300)</f>
        <v>0</v>
      </c>
      <c r="AV300" s="125"/>
      <c r="AW300" s="13"/>
      <c r="AX300" s="13"/>
      <c r="AY300" s="13"/>
      <c r="AZ300" s="13"/>
      <c r="BA300" s="13"/>
      <c r="BG300" s="51">
        <f t="shared" si="207"/>
        <v>0</v>
      </c>
      <c r="BH300" s="51">
        <f t="shared" si="208"/>
        <v>0</v>
      </c>
      <c r="BI300" s="51">
        <f t="shared" ca="1" si="209"/>
        <v>0</v>
      </c>
      <c r="BJ300" s="51">
        <f t="shared" ca="1" si="210"/>
        <v>0</v>
      </c>
      <c r="BK300" s="51">
        <f t="shared" si="211"/>
        <v>0</v>
      </c>
      <c r="BL300" s="51">
        <f t="shared" ca="1" si="212"/>
        <v>0</v>
      </c>
      <c r="BM300" s="51">
        <f t="shared" si="213"/>
        <v>0</v>
      </c>
      <c r="BN300" s="51">
        <f t="shared" si="214"/>
        <v>0</v>
      </c>
      <c r="BO300" s="51">
        <f t="shared" ca="1" si="215"/>
        <v>0</v>
      </c>
      <c r="BP300" s="51">
        <f t="shared" ca="1" si="216"/>
        <v>0</v>
      </c>
      <c r="BQ300" s="120"/>
      <c r="BR300" s="32"/>
      <c r="BS300" s="126"/>
      <c r="BT300" s="16"/>
      <c r="BU300" s="58"/>
      <c r="BW300" s="51">
        <f>VLOOKUP(H300,Charges!$AT$4:$AU$33,2,FALSE)*I300</f>
        <v>0</v>
      </c>
      <c r="BX300" s="51">
        <f t="shared" si="217"/>
        <v>0</v>
      </c>
      <c r="BY300" s="51">
        <f t="shared" si="225"/>
        <v>0</v>
      </c>
      <c r="BZ300" s="151"/>
      <c r="CA300" s="151"/>
      <c r="CB300" s="32"/>
      <c r="CC300" s="16">
        <f ca="1">SUM($N$7:$N300)</f>
        <v>0</v>
      </c>
      <c r="CD300" s="16">
        <f t="shared" ca="1" si="218"/>
        <v>0</v>
      </c>
      <c r="CE300" s="16">
        <f t="shared" ca="1" si="219"/>
        <v>0</v>
      </c>
      <c r="CF300" s="7">
        <f t="shared" ca="1" si="226"/>
        <v>0</v>
      </c>
    </row>
    <row r="301" spans="1:84" s="7" customFormat="1" x14ac:dyDescent="0.2">
      <c r="A301" s="149"/>
      <c r="B301" s="14">
        <f t="shared" si="188"/>
        <v>0</v>
      </c>
      <c r="C301" s="12">
        <f t="shared" si="189"/>
        <v>0</v>
      </c>
      <c r="D301" s="17">
        <f t="shared" si="227"/>
        <v>295</v>
      </c>
      <c r="E301" s="17">
        <f t="shared" ca="1" si="190"/>
        <v>84</v>
      </c>
      <c r="F301" s="12">
        <f t="shared" si="229"/>
        <v>6</v>
      </c>
      <c r="G301" s="12">
        <f t="shared" si="228"/>
        <v>50</v>
      </c>
      <c r="H301" s="17">
        <f t="shared" si="230"/>
        <v>25</v>
      </c>
      <c r="I301" s="29">
        <f t="shared" si="191"/>
        <v>0</v>
      </c>
      <c r="J301" s="211">
        <f>IFERROR(VLOOKUP(H301,Charges!$T$6:$U$35,2,0)*C301,0)</f>
        <v>0</v>
      </c>
      <c r="K301" s="29">
        <f t="shared" si="192"/>
        <v>0</v>
      </c>
      <c r="L301" s="29">
        <f t="shared" si="193"/>
        <v>0</v>
      </c>
      <c r="M301" s="147">
        <f t="shared" ca="1" si="194"/>
        <v>0</v>
      </c>
      <c r="N301" s="148">
        <f ca="1">IF(AND(Option_SPW="Y",H301&gt;=Lock_In_Period,Z300&gt;SPW_Amount_pa+IF(option="Single",1/5*pr,2*pr),H301&gt;=SPW_Start_Year,H301&lt;=SPW_Start_Year+SPW_Duration-1,age+H301&gt;=Legal_Age),IF(AND(F301=0,SPW_Payout_Freq=1),SPW_Amount_pa,IF(AND(SPW_Payout_Freq=2,MOD(F301,6)=0),SPW_Amount_pa/SPW_Payout_Freq,IF(AND(SPW_Payout_Freq=4,MOD(F301,3)=0),SPW_Amount_pa/SPW_Payout_Freq,IF(SPW_Payout_Freq=12,SPW_Amount_pa/SPW_Payout_Freq,0)))),0)+IFERROR(VLOOKUP(H301,Input!$B$68:$C$74,2,0),0)*(F301=0)*(Option_PW="Y")*(Option_SPW="N")*(age+H301&gt;=Legal_Age)</f>
        <v>0</v>
      </c>
      <c r="O301" s="148">
        <f t="shared" ca="1" si="220"/>
        <v>0</v>
      </c>
      <c r="P301" s="14">
        <f ca="1">(MAX(MAX(sa-CF300*Flag_UL_Type,105%*SUM($I$7:I301))-(AD300+L301-N301)*Flag_UL_Type,0)*B301)</f>
        <v>0</v>
      </c>
      <c r="Q301" s="213">
        <f t="shared" si="195"/>
        <v>0</v>
      </c>
      <c r="R301" s="14">
        <f t="shared" ca="1" si="196"/>
        <v>0</v>
      </c>
      <c r="S301" s="14">
        <f t="shared" ca="1" si="197"/>
        <v>0</v>
      </c>
      <c r="T301" s="14">
        <f>IFERROR(IF(WoP_Flag="Y",IF(fq=1,VLOOKUP(ppt*fq-H301,Charges!$AN$41:$AO$59,2,FALSE),IF(fq=2,VLOOKUP(ppt*fq-G301,Charges!$AP$41:$AQ$79,2,FALSE),VLOOKUP(ppt*fq-D301,Charges!$AR$41:$AS$279,2,FALSE)))*pr/fq,0),0)</f>
        <v>0</v>
      </c>
      <c r="U301" s="14">
        <f ca="1">IFERROR(((T301*(VLOOKUP(Input!$D$18+H301-1,Tab_Mort_Charge,IF(Gender_2="M",2,3),FALSE)*(1+_emr2)+_rpm2)/IF(Model_Type="LA_PQIS",1000/0.0833,(12*1000))))*Flag_Mort_Rider_Charge*(T301&gt;0),0)</f>
        <v>0</v>
      </c>
      <c r="V301" s="34">
        <f>ROUND(MIN(IF(H301&gt;=7,Charges!$C$12*(1+Charges!$C$14)^((H301-7+1)),VLOOKUP(H301,Charges!$B$7:$C$12,2,0))*pr,Charges!$C$13)*B301,Round)</f>
        <v>0</v>
      </c>
      <c r="W301" s="14">
        <f t="shared" ca="1" si="198"/>
        <v>0</v>
      </c>
      <c r="X301" s="14">
        <f t="shared" ca="1" si="199"/>
        <v>0</v>
      </c>
      <c r="Y301" s="213">
        <f t="shared" ca="1" si="221"/>
        <v>0</v>
      </c>
      <c r="Z301" s="14">
        <f t="shared" ca="1" si="200"/>
        <v>0</v>
      </c>
      <c r="AA301" s="14">
        <f>IF(AND($H301=pt,$F301=11),SUM($K$7:K301)*VLOOKUP(pt,ROC,2,FALSE),0)</f>
        <v>0</v>
      </c>
      <c r="AB301" s="14">
        <f>IF(AND($H301=pt,$F301=11),SUM($V$7:V301)*VLOOKUP(pt,ROC,2,FALSE),0)</f>
        <v>0</v>
      </c>
      <c r="AC301" s="14">
        <f>IF(AND($H301=pt,$F301=11),SUM($Q$7:Q301)*VLOOKUP(pt,ROC,2,FALSE),0)</f>
        <v>0</v>
      </c>
      <c r="AD301" s="14">
        <f t="shared" ca="1" si="222"/>
        <v>0</v>
      </c>
      <c r="AE301" s="14">
        <f ca="1">(MAX(sa-CF300*Flag_UL_Type,105%*SUM($I$7:I301),Z301)+AU301)*B301</f>
        <v>0</v>
      </c>
      <c r="AF301" s="136"/>
      <c r="AG301" s="18">
        <v>295</v>
      </c>
      <c r="AH301" s="30">
        <f t="shared" ca="1" si="201"/>
        <v>0</v>
      </c>
      <c r="AI301" s="58"/>
      <c r="AJ301" s="50">
        <f>IF(AND(Option_Sys_TopUp&gt;="Y",H301&gt;=sytp,H301&lt;=(dtp+sytp-1),F301=0,H301&lt;=ppt+1),atp,0)+IFERROR(VLOOKUP(H301,Input!$B$55:$C$61,2,0),0)*(F301=0)*(Option_TopUP="Y")*(Option_Sys_TopUp="N")*B301*(pt&gt;=H301+5)</f>
        <v>0</v>
      </c>
      <c r="AK301" s="50">
        <f t="shared" si="202"/>
        <v>0</v>
      </c>
      <c r="AL301" s="50">
        <f t="shared" si="223"/>
        <v>0</v>
      </c>
      <c r="AM301" s="50">
        <f t="shared" ca="1" si="203"/>
        <v>0</v>
      </c>
      <c r="AN301" s="50">
        <f>IF(B301=0,0,AT301*(_rpm1+(1+_emr1)*VLOOKUP(E301,Tab_Mort_Charge,IF(Input!$C$12="M",2,3),0))*(0.001*0.0833)*Flag_Mort_Rider_Charge*(AT301&gt;0))</f>
        <v>0</v>
      </c>
      <c r="AO301" s="50">
        <f t="shared" ca="1" si="224"/>
        <v>0</v>
      </c>
      <c r="AP301" s="50">
        <f t="shared" ca="1" si="231"/>
        <v>0</v>
      </c>
      <c r="AQ301" s="50">
        <f t="shared" ca="1" si="204"/>
        <v>0</v>
      </c>
      <c r="AR301" s="50">
        <f t="shared" ca="1" si="205"/>
        <v>0</v>
      </c>
      <c r="AS301" s="50">
        <f t="shared" si="206"/>
        <v>0</v>
      </c>
      <c r="AT301" s="50">
        <f ca="1">(MAX((MAX(AS301,105%*SUM($AJ$7:AJ301))-AM301*Flag_UL_Type),0)*B301)</f>
        <v>0</v>
      </c>
      <c r="AU301" s="50">
        <f ca="1">(MAX(AS301,AR301,105%*SUM($AJ$7:AJ301))*B301)</f>
        <v>0</v>
      </c>
      <c r="AV301" s="125"/>
      <c r="AW301" s="13"/>
      <c r="AX301" s="13"/>
      <c r="AY301" s="13"/>
      <c r="AZ301" s="13"/>
      <c r="BA301" s="13"/>
      <c r="BG301" s="51">
        <f t="shared" si="207"/>
        <v>0</v>
      </c>
      <c r="BH301" s="51">
        <f t="shared" si="208"/>
        <v>0</v>
      </c>
      <c r="BI301" s="51">
        <f t="shared" ca="1" si="209"/>
        <v>0</v>
      </c>
      <c r="BJ301" s="51">
        <f t="shared" ca="1" si="210"/>
        <v>0</v>
      </c>
      <c r="BK301" s="51">
        <f t="shared" si="211"/>
        <v>0</v>
      </c>
      <c r="BL301" s="51">
        <f t="shared" ca="1" si="212"/>
        <v>0</v>
      </c>
      <c r="BM301" s="51">
        <f t="shared" si="213"/>
        <v>0</v>
      </c>
      <c r="BN301" s="51">
        <f t="shared" si="214"/>
        <v>0</v>
      </c>
      <c r="BO301" s="51">
        <f t="shared" ca="1" si="215"/>
        <v>0</v>
      </c>
      <c r="BP301" s="51">
        <f t="shared" ca="1" si="216"/>
        <v>0</v>
      </c>
      <c r="BQ301" s="120"/>
      <c r="BR301" s="32"/>
      <c r="BS301" s="126"/>
      <c r="BT301" s="16"/>
      <c r="BU301" s="58"/>
      <c r="BW301" s="51">
        <f>VLOOKUP(H301,Charges!$AT$4:$AU$33,2,FALSE)*I301</f>
        <v>0</v>
      </c>
      <c r="BX301" s="51">
        <f t="shared" si="217"/>
        <v>0</v>
      </c>
      <c r="BY301" s="51">
        <f t="shared" si="225"/>
        <v>0</v>
      </c>
      <c r="BZ301" s="151"/>
      <c r="CA301" s="151"/>
      <c r="CB301" s="32"/>
      <c r="CC301" s="16">
        <f ca="1">SUM($N$7:$N301)</f>
        <v>0</v>
      </c>
      <c r="CD301" s="16">
        <f t="shared" ca="1" si="218"/>
        <v>0</v>
      </c>
      <c r="CE301" s="16">
        <f t="shared" ca="1" si="219"/>
        <v>0</v>
      </c>
      <c r="CF301" s="7">
        <f t="shared" ca="1" si="226"/>
        <v>0</v>
      </c>
    </row>
    <row r="302" spans="1:84" s="7" customFormat="1" x14ac:dyDescent="0.2">
      <c r="A302" s="149"/>
      <c r="B302" s="14">
        <f t="shared" si="188"/>
        <v>0</v>
      </c>
      <c r="C302" s="12">
        <f t="shared" si="189"/>
        <v>0</v>
      </c>
      <c r="D302" s="17">
        <f t="shared" si="227"/>
        <v>296</v>
      </c>
      <c r="E302" s="17">
        <f t="shared" ca="1" si="190"/>
        <v>84</v>
      </c>
      <c r="F302" s="12">
        <f t="shared" si="229"/>
        <v>7</v>
      </c>
      <c r="G302" s="12">
        <f t="shared" si="228"/>
        <v>50</v>
      </c>
      <c r="H302" s="17">
        <f t="shared" si="230"/>
        <v>25</v>
      </c>
      <c r="I302" s="29">
        <f t="shared" si="191"/>
        <v>0</v>
      </c>
      <c r="J302" s="211">
        <f>IFERROR(VLOOKUP(H302,Charges!$T$6:$U$35,2,0)*C302,0)</f>
        <v>0</v>
      </c>
      <c r="K302" s="29">
        <f t="shared" si="192"/>
        <v>0</v>
      </c>
      <c r="L302" s="29">
        <f t="shared" si="193"/>
        <v>0</v>
      </c>
      <c r="M302" s="147">
        <f t="shared" ca="1" si="194"/>
        <v>0</v>
      </c>
      <c r="N302" s="148">
        <f ca="1">IF(AND(Option_SPW="Y",H302&gt;=Lock_In_Period,Z301&gt;SPW_Amount_pa+IF(option="Single",1/5*pr,2*pr),H302&gt;=SPW_Start_Year,H302&lt;=SPW_Start_Year+SPW_Duration-1,age+H302&gt;=Legal_Age),IF(AND(F302=0,SPW_Payout_Freq=1),SPW_Amount_pa,IF(AND(SPW_Payout_Freq=2,MOD(F302,6)=0),SPW_Amount_pa/SPW_Payout_Freq,IF(AND(SPW_Payout_Freq=4,MOD(F302,3)=0),SPW_Amount_pa/SPW_Payout_Freq,IF(SPW_Payout_Freq=12,SPW_Amount_pa/SPW_Payout_Freq,0)))),0)+IFERROR(VLOOKUP(H302,Input!$B$68:$C$74,2,0),0)*(F302=0)*(Option_PW="Y")*(Option_SPW="N")*(age+H302&gt;=Legal_Age)</f>
        <v>0</v>
      </c>
      <c r="O302" s="148">
        <f t="shared" ca="1" si="220"/>
        <v>0</v>
      </c>
      <c r="P302" s="14">
        <f ca="1">(MAX(MAX(sa-CF301*Flag_UL_Type,105%*SUM($I$7:I302))-(AD301+L302-N302)*Flag_UL_Type,0)*B302)</f>
        <v>0</v>
      </c>
      <c r="Q302" s="213">
        <f t="shared" si="195"/>
        <v>0</v>
      </c>
      <c r="R302" s="14">
        <f t="shared" ca="1" si="196"/>
        <v>0</v>
      </c>
      <c r="S302" s="14">
        <f t="shared" ca="1" si="197"/>
        <v>0</v>
      </c>
      <c r="T302" s="14">
        <f>IFERROR(IF(WoP_Flag="Y",IF(fq=1,VLOOKUP(ppt*fq-H302,Charges!$AN$41:$AO$59,2,FALSE),IF(fq=2,VLOOKUP(ppt*fq-G302,Charges!$AP$41:$AQ$79,2,FALSE),VLOOKUP(ppt*fq-D302,Charges!$AR$41:$AS$279,2,FALSE)))*pr/fq,0),0)</f>
        <v>0</v>
      </c>
      <c r="U302" s="14">
        <f ca="1">IFERROR(((T302*(VLOOKUP(Input!$D$18+H302-1,Tab_Mort_Charge,IF(Gender_2="M",2,3),FALSE)*(1+_emr2)+_rpm2)/IF(Model_Type="LA_PQIS",1000/0.0833,(12*1000))))*Flag_Mort_Rider_Charge*(T302&gt;0),0)</f>
        <v>0</v>
      </c>
      <c r="V302" s="34">
        <f>ROUND(MIN(IF(H302&gt;=7,Charges!$C$12*(1+Charges!$C$14)^((H302-7+1)),VLOOKUP(H302,Charges!$B$7:$C$12,2,0))*pr,Charges!$C$13)*B302,Round)</f>
        <v>0</v>
      </c>
      <c r="W302" s="14">
        <f t="shared" ca="1" si="198"/>
        <v>0</v>
      </c>
      <c r="X302" s="14">
        <f t="shared" ca="1" si="199"/>
        <v>0</v>
      </c>
      <c r="Y302" s="213">
        <f t="shared" ca="1" si="221"/>
        <v>0</v>
      </c>
      <c r="Z302" s="14">
        <f t="shared" ca="1" si="200"/>
        <v>0</v>
      </c>
      <c r="AA302" s="14">
        <f>IF(AND($H302=pt,$F302=11),SUM($K$7:K302)*VLOOKUP(pt,ROC,2,FALSE),0)</f>
        <v>0</v>
      </c>
      <c r="AB302" s="14">
        <f>IF(AND($H302=pt,$F302=11),SUM($V$7:V302)*VLOOKUP(pt,ROC,2,FALSE),0)</f>
        <v>0</v>
      </c>
      <c r="AC302" s="14">
        <f>IF(AND($H302=pt,$F302=11),SUM($Q$7:Q302)*VLOOKUP(pt,ROC,2,FALSE),0)</f>
        <v>0</v>
      </c>
      <c r="AD302" s="14">
        <f t="shared" ca="1" si="222"/>
        <v>0</v>
      </c>
      <c r="AE302" s="14">
        <f ca="1">(MAX(sa-CF301*Flag_UL_Type,105%*SUM($I$7:I302),Z302)+AU302)*B302</f>
        <v>0</v>
      </c>
      <c r="AF302" s="136"/>
      <c r="AG302" s="18">
        <v>296</v>
      </c>
      <c r="AH302" s="30">
        <f t="shared" ca="1" si="201"/>
        <v>0</v>
      </c>
      <c r="AI302" s="58"/>
      <c r="AJ302" s="50">
        <f>IF(AND(Option_Sys_TopUp&gt;="Y",H302&gt;=sytp,H302&lt;=(dtp+sytp-1),F302=0,H302&lt;=ppt+1),atp,0)+IFERROR(VLOOKUP(H302,Input!$B$55:$C$61,2,0),0)*(F302=0)*(Option_TopUP="Y")*(Option_Sys_TopUp="N")*B302*(pt&gt;=H302+5)</f>
        <v>0</v>
      </c>
      <c r="AK302" s="50">
        <f t="shared" si="202"/>
        <v>0</v>
      </c>
      <c r="AL302" s="50">
        <f t="shared" si="223"/>
        <v>0</v>
      </c>
      <c r="AM302" s="50">
        <f t="shared" ca="1" si="203"/>
        <v>0</v>
      </c>
      <c r="AN302" s="50">
        <f>IF(B302=0,0,AT302*(_rpm1+(1+_emr1)*VLOOKUP(E302,Tab_Mort_Charge,IF(Input!$C$12="M",2,3),0))*(0.001*0.0833)*Flag_Mort_Rider_Charge*(AT302&gt;0))</f>
        <v>0</v>
      </c>
      <c r="AO302" s="50">
        <f t="shared" ca="1" si="224"/>
        <v>0</v>
      </c>
      <c r="AP302" s="50">
        <f t="shared" ca="1" si="231"/>
        <v>0</v>
      </c>
      <c r="AQ302" s="50">
        <f t="shared" ca="1" si="204"/>
        <v>0</v>
      </c>
      <c r="AR302" s="50">
        <f t="shared" ca="1" si="205"/>
        <v>0</v>
      </c>
      <c r="AS302" s="50">
        <f t="shared" si="206"/>
        <v>0</v>
      </c>
      <c r="AT302" s="50">
        <f ca="1">(MAX((MAX(AS302,105%*SUM($AJ$7:AJ302))-AM302*Flag_UL_Type),0)*B302)</f>
        <v>0</v>
      </c>
      <c r="AU302" s="50">
        <f ca="1">(MAX(AS302,AR302,105%*SUM($AJ$7:AJ302))*B302)</f>
        <v>0</v>
      </c>
      <c r="AV302" s="125"/>
      <c r="AW302" s="13"/>
      <c r="AX302" s="13"/>
      <c r="AY302" s="13"/>
      <c r="AZ302" s="13"/>
      <c r="BA302" s="13"/>
      <c r="BG302" s="51">
        <f t="shared" si="207"/>
        <v>0</v>
      </c>
      <c r="BH302" s="51">
        <f t="shared" si="208"/>
        <v>0</v>
      </c>
      <c r="BI302" s="51">
        <f t="shared" ca="1" si="209"/>
        <v>0</v>
      </c>
      <c r="BJ302" s="51">
        <f t="shared" ca="1" si="210"/>
        <v>0</v>
      </c>
      <c r="BK302" s="51">
        <f t="shared" si="211"/>
        <v>0</v>
      </c>
      <c r="BL302" s="51">
        <f t="shared" ca="1" si="212"/>
        <v>0</v>
      </c>
      <c r="BM302" s="51">
        <f t="shared" si="213"/>
        <v>0</v>
      </c>
      <c r="BN302" s="51">
        <f t="shared" si="214"/>
        <v>0</v>
      </c>
      <c r="BO302" s="51">
        <f t="shared" ca="1" si="215"/>
        <v>0</v>
      </c>
      <c r="BP302" s="51">
        <f t="shared" ca="1" si="216"/>
        <v>0</v>
      </c>
      <c r="BQ302" s="120"/>
      <c r="BR302" s="32"/>
      <c r="BS302" s="126"/>
      <c r="BT302" s="16"/>
      <c r="BU302" s="58"/>
      <c r="BW302" s="51">
        <f>VLOOKUP(H302,Charges!$AT$4:$AU$33,2,FALSE)*I302</f>
        <v>0</v>
      </c>
      <c r="BX302" s="51">
        <f t="shared" si="217"/>
        <v>0</v>
      </c>
      <c r="BY302" s="51">
        <f t="shared" si="225"/>
        <v>0</v>
      </c>
      <c r="BZ302" s="151"/>
      <c r="CA302" s="151"/>
      <c r="CB302" s="32"/>
      <c r="CC302" s="16">
        <f ca="1">SUM($N$7:$N302)</f>
        <v>0</v>
      </c>
      <c r="CD302" s="16">
        <f t="shared" ca="1" si="218"/>
        <v>0</v>
      </c>
      <c r="CE302" s="16">
        <f t="shared" ca="1" si="219"/>
        <v>0</v>
      </c>
      <c r="CF302" s="7">
        <f t="shared" ca="1" si="226"/>
        <v>0</v>
      </c>
    </row>
    <row r="303" spans="1:84" s="7" customFormat="1" x14ac:dyDescent="0.2">
      <c r="A303" s="149"/>
      <c r="B303" s="14">
        <f t="shared" si="188"/>
        <v>0</v>
      </c>
      <c r="C303" s="12">
        <f t="shared" si="189"/>
        <v>0</v>
      </c>
      <c r="D303" s="17">
        <f t="shared" si="227"/>
        <v>297</v>
      </c>
      <c r="E303" s="17">
        <f t="shared" ca="1" si="190"/>
        <v>84</v>
      </c>
      <c r="F303" s="12">
        <f t="shared" si="229"/>
        <v>8</v>
      </c>
      <c r="G303" s="12">
        <f t="shared" si="228"/>
        <v>50</v>
      </c>
      <c r="H303" s="17">
        <f t="shared" si="230"/>
        <v>25</v>
      </c>
      <c r="I303" s="29">
        <f t="shared" si="191"/>
        <v>0</v>
      </c>
      <c r="J303" s="211">
        <f>IFERROR(VLOOKUP(H303,Charges!$T$6:$U$35,2,0)*C303,0)</f>
        <v>0</v>
      </c>
      <c r="K303" s="29">
        <f t="shared" si="192"/>
        <v>0</v>
      </c>
      <c r="L303" s="29">
        <f t="shared" si="193"/>
        <v>0</v>
      </c>
      <c r="M303" s="147">
        <f t="shared" ca="1" si="194"/>
        <v>0</v>
      </c>
      <c r="N303" s="148">
        <f ca="1">IF(AND(Option_SPW="Y",H303&gt;=Lock_In_Period,Z302&gt;SPW_Amount_pa+IF(option="Single",1/5*pr,2*pr),H303&gt;=SPW_Start_Year,H303&lt;=SPW_Start_Year+SPW_Duration-1,age+H303&gt;=Legal_Age),IF(AND(F303=0,SPW_Payout_Freq=1),SPW_Amount_pa,IF(AND(SPW_Payout_Freq=2,MOD(F303,6)=0),SPW_Amount_pa/SPW_Payout_Freq,IF(AND(SPW_Payout_Freq=4,MOD(F303,3)=0),SPW_Amount_pa/SPW_Payout_Freq,IF(SPW_Payout_Freq=12,SPW_Amount_pa/SPW_Payout_Freq,0)))),0)+IFERROR(VLOOKUP(H303,Input!$B$68:$C$74,2,0),0)*(F303=0)*(Option_PW="Y")*(Option_SPW="N")*(age+H303&gt;=Legal_Age)</f>
        <v>0</v>
      </c>
      <c r="O303" s="148">
        <f t="shared" ca="1" si="220"/>
        <v>0</v>
      </c>
      <c r="P303" s="14">
        <f ca="1">(MAX(MAX(sa-CF302*Flag_UL_Type,105%*SUM($I$7:I303))-(AD302+L303-N303)*Flag_UL_Type,0)*B303)</f>
        <v>0</v>
      </c>
      <c r="Q303" s="213">
        <f t="shared" si="195"/>
        <v>0</v>
      </c>
      <c r="R303" s="14">
        <f t="shared" ca="1" si="196"/>
        <v>0</v>
      </c>
      <c r="S303" s="14">
        <f t="shared" ca="1" si="197"/>
        <v>0</v>
      </c>
      <c r="T303" s="14">
        <f>IFERROR(IF(WoP_Flag="Y",IF(fq=1,VLOOKUP(ppt*fq-H303,Charges!$AN$41:$AO$59,2,FALSE),IF(fq=2,VLOOKUP(ppt*fq-G303,Charges!$AP$41:$AQ$79,2,FALSE),VLOOKUP(ppt*fq-D303,Charges!$AR$41:$AS$279,2,FALSE)))*pr/fq,0),0)</f>
        <v>0</v>
      </c>
      <c r="U303" s="14">
        <f ca="1">IFERROR(((T303*(VLOOKUP(Input!$D$18+H303-1,Tab_Mort_Charge,IF(Gender_2="M",2,3),FALSE)*(1+_emr2)+_rpm2)/IF(Model_Type="LA_PQIS",1000/0.0833,(12*1000))))*Flag_Mort_Rider_Charge*(T303&gt;0),0)</f>
        <v>0</v>
      </c>
      <c r="V303" s="34">
        <f>ROUND(MIN(IF(H303&gt;=7,Charges!$C$12*(1+Charges!$C$14)^((H303-7+1)),VLOOKUP(H303,Charges!$B$7:$C$12,2,0))*pr,Charges!$C$13)*B303,Round)</f>
        <v>0</v>
      </c>
      <c r="W303" s="14">
        <f t="shared" ca="1" si="198"/>
        <v>0</v>
      </c>
      <c r="X303" s="14">
        <f t="shared" ca="1" si="199"/>
        <v>0</v>
      </c>
      <c r="Y303" s="213">
        <f t="shared" ca="1" si="221"/>
        <v>0</v>
      </c>
      <c r="Z303" s="14">
        <f t="shared" ca="1" si="200"/>
        <v>0</v>
      </c>
      <c r="AA303" s="14">
        <f>IF(AND($H303=pt,$F303=11),SUM($K$7:K303)*VLOOKUP(pt,ROC,2,FALSE),0)</f>
        <v>0</v>
      </c>
      <c r="AB303" s="14">
        <f>IF(AND($H303=pt,$F303=11),SUM($V$7:V303)*VLOOKUP(pt,ROC,2,FALSE),0)</f>
        <v>0</v>
      </c>
      <c r="AC303" s="14">
        <f>IF(AND($H303=pt,$F303=11),SUM($Q$7:Q303)*VLOOKUP(pt,ROC,2,FALSE),0)</f>
        <v>0</v>
      </c>
      <c r="AD303" s="14">
        <f t="shared" ca="1" si="222"/>
        <v>0</v>
      </c>
      <c r="AE303" s="14">
        <f ca="1">(MAX(sa-CF302*Flag_UL_Type,105%*SUM($I$7:I303),Z303)+AU303)*B303</f>
        <v>0</v>
      </c>
      <c r="AF303" s="136"/>
      <c r="AG303" s="18">
        <v>297</v>
      </c>
      <c r="AH303" s="30">
        <f t="shared" ca="1" si="201"/>
        <v>0</v>
      </c>
      <c r="AI303" s="58"/>
      <c r="AJ303" s="50">
        <f>IF(AND(Option_Sys_TopUp&gt;="Y",H303&gt;=sytp,H303&lt;=(dtp+sytp-1),F303=0,H303&lt;=ppt+1),atp,0)+IFERROR(VLOOKUP(H303,Input!$B$55:$C$61,2,0),0)*(F303=0)*(Option_TopUP="Y")*(Option_Sys_TopUp="N")*B303*(pt&gt;=H303+5)</f>
        <v>0</v>
      </c>
      <c r="AK303" s="50">
        <f t="shared" si="202"/>
        <v>0</v>
      </c>
      <c r="AL303" s="50">
        <f t="shared" si="223"/>
        <v>0</v>
      </c>
      <c r="AM303" s="50">
        <f t="shared" ca="1" si="203"/>
        <v>0</v>
      </c>
      <c r="AN303" s="50">
        <f>IF(B303=0,0,AT303*(_rpm1+(1+_emr1)*VLOOKUP(E303,Tab_Mort_Charge,IF(Input!$C$12="M",2,3),0))*(0.001*0.0833)*Flag_Mort_Rider_Charge*(AT303&gt;0))</f>
        <v>0</v>
      </c>
      <c r="AO303" s="50">
        <f t="shared" ca="1" si="224"/>
        <v>0</v>
      </c>
      <c r="AP303" s="50">
        <f t="shared" ca="1" si="231"/>
        <v>0</v>
      </c>
      <c r="AQ303" s="50">
        <f t="shared" ca="1" si="204"/>
        <v>0</v>
      </c>
      <c r="AR303" s="50">
        <f t="shared" ca="1" si="205"/>
        <v>0</v>
      </c>
      <c r="AS303" s="50">
        <f t="shared" si="206"/>
        <v>0</v>
      </c>
      <c r="AT303" s="50">
        <f ca="1">(MAX((MAX(AS303,105%*SUM($AJ$7:AJ303))-AM303*Flag_UL_Type),0)*B303)</f>
        <v>0</v>
      </c>
      <c r="AU303" s="50">
        <f ca="1">(MAX(AS303,AR303,105%*SUM($AJ$7:AJ303))*B303)</f>
        <v>0</v>
      </c>
      <c r="AV303" s="125"/>
      <c r="AW303" s="13"/>
      <c r="AX303" s="13"/>
      <c r="AY303" s="13"/>
      <c r="AZ303" s="13"/>
      <c r="BA303" s="13"/>
      <c r="BG303" s="51">
        <f t="shared" si="207"/>
        <v>0</v>
      </c>
      <c r="BH303" s="51">
        <f t="shared" si="208"/>
        <v>0</v>
      </c>
      <c r="BI303" s="51">
        <f t="shared" ca="1" si="209"/>
        <v>0</v>
      </c>
      <c r="BJ303" s="51">
        <f t="shared" ca="1" si="210"/>
        <v>0</v>
      </c>
      <c r="BK303" s="51">
        <f t="shared" si="211"/>
        <v>0</v>
      </c>
      <c r="BL303" s="51">
        <f t="shared" ca="1" si="212"/>
        <v>0</v>
      </c>
      <c r="BM303" s="51">
        <f t="shared" si="213"/>
        <v>0</v>
      </c>
      <c r="BN303" s="51">
        <f t="shared" si="214"/>
        <v>0</v>
      </c>
      <c r="BO303" s="51">
        <f t="shared" ca="1" si="215"/>
        <v>0</v>
      </c>
      <c r="BP303" s="51">
        <f t="shared" ca="1" si="216"/>
        <v>0</v>
      </c>
      <c r="BQ303" s="120"/>
      <c r="BR303" s="32"/>
      <c r="BS303" s="126"/>
      <c r="BT303" s="16"/>
      <c r="BU303" s="58"/>
      <c r="BW303" s="51">
        <f>VLOOKUP(H303,Charges!$AT$4:$AU$33,2,FALSE)*I303</f>
        <v>0</v>
      </c>
      <c r="BX303" s="51">
        <f t="shared" si="217"/>
        <v>0</v>
      </c>
      <c r="BY303" s="51">
        <f t="shared" si="225"/>
        <v>0</v>
      </c>
      <c r="BZ303" s="151"/>
      <c r="CA303" s="151"/>
      <c r="CB303" s="32"/>
      <c r="CC303" s="16">
        <f ca="1">SUM($N$7:$N303)</f>
        <v>0</v>
      </c>
      <c r="CD303" s="16">
        <f t="shared" ca="1" si="218"/>
        <v>0</v>
      </c>
      <c r="CE303" s="16">
        <f t="shared" ca="1" si="219"/>
        <v>0</v>
      </c>
      <c r="CF303" s="7">
        <f t="shared" ca="1" si="226"/>
        <v>0</v>
      </c>
    </row>
    <row r="304" spans="1:84" s="7" customFormat="1" x14ac:dyDescent="0.2">
      <c r="A304" s="149"/>
      <c r="B304" s="14">
        <f t="shared" si="188"/>
        <v>0</v>
      </c>
      <c r="C304" s="12">
        <f t="shared" si="189"/>
        <v>0</v>
      </c>
      <c r="D304" s="17">
        <f t="shared" si="227"/>
        <v>298</v>
      </c>
      <c r="E304" s="17">
        <f t="shared" ca="1" si="190"/>
        <v>84</v>
      </c>
      <c r="F304" s="12">
        <f t="shared" si="229"/>
        <v>9</v>
      </c>
      <c r="G304" s="12">
        <f t="shared" si="228"/>
        <v>50</v>
      </c>
      <c r="H304" s="17">
        <f t="shared" si="230"/>
        <v>25</v>
      </c>
      <c r="I304" s="29">
        <f t="shared" si="191"/>
        <v>0</v>
      </c>
      <c r="J304" s="211">
        <f>IFERROR(VLOOKUP(H304,Charges!$T$6:$U$35,2,0)*C304,0)</f>
        <v>0</v>
      </c>
      <c r="K304" s="29">
        <f t="shared" si="192"/>
        <v>0</v>
      </c>
      <c r="L304" s="29">
        <f t="shared" si="193"/>
        <v>0</v>
      </c>
      <c r="M304" s="147">
        <f t="shared" ca="1" si="194"/>
        <v>0</v>
      </c>
      <c r="N304" s="148">
        <f ca="1">IF(AND(Option_SPW="Y",H304&gt;=Lock_In_Period,Z303&gt;SPW_Amount_pa+IF(option="Single",1/5*pr,2*pr),H304&gt;=SPW_Start_Year,H304&lt;=SPW_Start_Year+SPW_Duration-1,age+H304&gt;=Legal_Age),IF(AND(F304=0,SPW_Payout_Freq=1),SPW_Amount_pa,IF(AND(SPW_Payout_Freq=2,MOD(F304,6)=0),SPW_Amount_pa/SPW_Payout_Freq,IF(AND(SPW_Payout_Freq=4,MOD(F304,3)=0),SPW_Amount_pa/SPW_Payout_Freq,IF(SPW_Payout_Freq=12,SPW_Amount_pa/SPW_Payout_Freq,0)))),0)+IFERROR(VLOOKUP(H304,Input!$B$68:$C$74,2,0),0)*(F304=0)*(Option_PW="Y")*(Option_SPW="N")*(age+H304&gt;=Legal_Age)</f>
        <v>0</v>
      </c>
      <c r="O304" s="148">
        <f t="shared" ca="1" si="220"/>
        <v>0</v>
      </c>
      <c r="P304" s="14">
        <f ca="1">(MAX(MAX(sa-CF303*Flag_UL_Type,105%*SUM($I$7:I304))-(AD303+L304-N304)*Flag_UL_Type,0)*B304)</f>
        <v>0</v>
      </c>
      <c r="Q304" s="213">
        <f t="shared" si="195"/>
        <v>0</v>
      </c>
      <c r="R304" s="14">
        <f t="shared" ca="1" si="196"/>
        <v>0</v>
      </c>
      <c r="S304" s="14">
        <f t="shared" ca="1" si="197"/>
        <v>0</v>
      </c>
      <c r="T304" s="14">
        <f>IFERROR(IF(WoP_Flag="Y",IF(fq=1,VLOOKUP(ppt*fq-H304,Charges!$AN$41:$AO$59,2,FALSE),IF(fq=2,VLOOKUP(ppt*fq-G304,Charges!$AP$41:$AQ$79,2,FALSE),VLOOKUP(ppt*fq-D304,Charges!$AR$41:$AS$279,2,FALSE)))*pr/fq,0),0)</f>
        <v>0</v>
      </c>
      <c r="U304" s="14">
        <f ca="1">IFERROR(((T304*(VLOOKUP(Input!$D$18+H304-1,Tab_Mort_Charge,IF(Gender_2="M",2,3),FALSE)*(1+_emr2)+_rpm2)/IF(Model_Type="LA_PQIS",1000/0.0833,(12*1000))))*Flag_Mort_Rider_Charge*(T304&gt;0),0)</f>
        <v>0</v>
      </c>
      <c r="V304" s="34">
        <f>ROUND(MIN(IF(H304&gt;=7,Charges!$C$12*(1+Charges!$C$14)^((H304-7+1)),VLOOKUP(H304,Charges!$B$7:$C$12,2,0))*pr,Charges!$C$13)*B304,Round)</f>
        <v>0</v>
      </c>
      <c r="W304" s="14">
        <f t="shared" ca="1" si="198"/>
        <v>0</v>
      </c>
      <c r="X304" s="14">
        <f t="shared" ca="1" si="199"/>
        <v>0</v>
      </c>
      <c r="Y304" s="213">
        <f t="shared" ca="1" si="221"/>
        <v>0</v>
      </c>
      <c r="Z304" s="14">
        <f t="shared" ca="1" si="200"/>
        <v>0</v>
      </c>
      <c r="AA304" s="14">
        <f>IF(AND($H304=pt,$F304=11),SUM($K$7:K304)*VLOOKUP(pt,ROC,2,FALSE),0)</f>
        <v>0</v>
      </c>
      <c r="AB304" s="14">
        <f>IF(AND($H304=pt,$F304=11),SUM($V$7:V304)*VLOOKUP(pt,ROC,2,FALSE),0)</f>
        <v>0</v>
      </c>
      <c r="AC304" s="14">
        <f>IF(AND($H304=pt,$F304=11),SUM($Q$7:Q304)*VLOOKUP(pt,ROC,2,FALSE),0)</f>
        <v>0</v>
      </c>
      <c r="AD304" s="14">
        <f t="shared" ca="1" si="222"/>
        <v>0</v>
      </c>
      <c r="AE304" s="14">
        <f ca="1">(MAX(sa-CF303*Flag_UL_Type,105%*SUM($I$7:I304),Z304)+AU304)*B304</f>
        <v>0</v>
      </c>
      <c r="AF304" s="136"/>
      <c r="AG304" s="18">
        <v>298</v>
      </c>
      <c r="AH304" s="30">
        <f t="shared" ca="1" si="201"/>
        <v>0</v>
      </c>
      <c r="AI304" s="58"/>
      <c r="AJ304" s="50">
        <f>IF(AND(Option_Sys_TopUp&gt;="Y",H304&gt;=sytp,H304&lt;=(dtp+sytp-1),F304=0,H304&lt;=ppt+1),atp,0)+IFERROR(VLOOKUP(H304,Input!$B$55:$C$61,2,0),0)*(F304=0)*(Option_TopUP="Y")*(Option_Sys_TopUp="N")*B304*(pt&gt;=H304+5)</f>
        <v>0</v>
      </c>
      <c r="AK304" s="50">
        <f t="shared" si="202"/>
        <v>0</v>
      </c>
      <c r="AL304" s="50">
        <f t="shared" si="223"/>
        <v>0</v>
      </c>
      <c r="AM304" s="50">
        <f t="shared" ca="1" si="203"/>
        <v>0</v>
      </c>
      <c r="AN304" s="50">
        <f>IF(B304=0,0,AT304*(_rpm1+(1+_emr1)*VLOOKUP(E304,Tab_Mort_Charge,IF(Input!$C$12="M",2,3),0))*(0.001*0.0833)*Flag_Mort_Rider_Charge*(AT304&gt;0))</f>
        <v>0</v>
      </c>
      <c r="AO304" s="50">
        <f t="shared" ca="1" si="224"/>
        <v>0</v>
      </c>
      <c r="AP304" s="50">
        <f t="shared" ca="1" si="231"/>
        <v>0</v>
      </c>
      <c r="AQ304" s="50">
        <f t="shared" ca="1" si="204"/>
        <v>0</v>
      </c>
      <c r="AR304" s="50">
        <f t="shared" ca="1" si="205"/>
        <v>0</v>
      </c>
      <c r="AS304" s="50">
        <f t="shared" si="206"/>
        <v>0</v>
      </c>
      <c r="AT304" s="50">
        <f ca="1">(MAX((MAX(AS304,105%*SUM($AJ$7:AJ304))-AM304*Flag_UL_Type),0)*B304)</f>
        <v>0</v>
      </c>
      <c r="AU304" s="50">
        <f ca="1">(MAX(AS304,AR304,105%*SUM($AJ$7:AJ304))*B304)</f>
        <v>0</v>
      </c>
      <c r="AV304" s="125"/>
      <c r="AW304" s="13"/>
      <c r="AX304" s="13"/>
      <c r="AY304" s="13"/>
      <c r="AZ304" s="13"/>
      <c r="BA304" s="13"/>
      <c r="BG304" s="51">
        <f t="shared" si="207"/>
        <v>0</v>
      </c>
      <c r="BH304" s="51">
        <f t="shared" si="208"/>
        <v>0</v>
      </c>
      <c r="BI304" s="51">
        <f t="shared" ca="1" si="209"/>
        <v>0</v>
      </c>
      <c r="BJ304" s="51">
        <f t="shared" ca="1" si="210"/>
        <v>0</v>
      </c>
      <c r="BK304" s="51">
        <f t="shared" si="211"/>
        <v>0</v>
      </c>
      <c r="BL304" s="51">
        <f t="shared" ca="1" si="212"/>
        <v>0</v>
      </c>
      <c r="BM304" s="51">
        <f t="shared" si="213"/>
        <v>0</v>
      </c>
      <c r="BN304" s="51">
        <f t="shared" si="214"/>
        <v>0</v>
      </c>
      <c r="BO304" s="51">
        <f t="shared" ca="1" si="215"/>
        <v>0</v>
      </c>
      <c r="BP304" s="51">
        <f t="shared" ca="1" si="216"/>
        <v>0</v>
      </c>
      <c r="BQ304" s="120"/>
      <c r="BR304" s="32"/>
      <c r="BS304" s="126"/>
      <c r="BT304" s="16"/>
      <c r="BU304" s="58"/>
      <c r="BW304" s="51">
        <f>VLOOKUP(H304,Charges!$AT$4:$AU$33,2,FALSE)*I304</f>
        <v>0</v>
      </c>
      <c r="BX304" s="51">
        <f t="shared" si="217"/>
        <v>0</v>
      </c>
      <c r="BY304" s="51">
        <f t="shared" si="225"/>
        <v>0</v>
      </c>
      <c r="BZ304" s="151"/>
      <c r="CA304" s="151"/>
      <c r="CB304" s="32"/>
      <c r="CC304" s="16">
        <f ca="1">SUM($N$7:$N304)</f>
        <v>0</v>
      </c>
      <c r="CD304" s="16">
        <f t="shared" ca="1" si="218"/>
        <v>0</v>
      </c>
      <c r="CE304" s="16">
        <f t="shared" ca="1" si="219"/>
        <v>0</v>
      </c>
      <c r="CF304" s="7">
        <f t="shared" ca="1" si="226"/>
        <v>0</v>
      </c>
    </row>
    <row r="305" spans="1:84" s="7" customFormat="1" x14ac:dyDescent="0.2">
      <c r="A305" s="149"/>
      <c r="B305" s="14">
        <f t="shared" si="188"/>
        <v>0</v>
      </c>
      <c r="C305" s="12">
        <f t="shared" si="189"/>
        <v>0</v>
      </c>
      <c r="D305" s="17">
        <f t="shared" si="227"/>
        <v>299</v>
      </c>
      <c r="E305" s="17">
        <f t="shared" ca="1" si="190"/>
        <v>84</v>
      </c>
      <c r="F305" s="12">
        <f t="shared" si="229"/>
        <v>10</v>
      </c>
      <c r="G305" s="12">
        <f t="shared" si="228"/>
        <v>50</v>
      </c>
      <c r="H305" s="17">
        <f t="shared" si="230"/>
        <v>25</v>
      </c>
      <c r="I305" s="29">
        <f t="shared" si="191"/>
        <v>0</v>
      </c>
      <c r="J305" s="211">
        <f>IFERROR(VLOOKUP(H305,Charges!$T$6:$U$35,2,0)*C305,0)</f>
        <v>0</v>
      </c>
      <c r="K305" s="29">
        <f t="shared" si="192"/>
        <v>0</v>
      </c>
      <c r="L305" s="29">
        <f t="shared" si="193"/>
        <v>0</v>
      </c>
      <c r="M305" s="147">
        <f t="shared" ca="1" si="194"/>
        <v>0</v>
      </c>
      <c r="N305" s="148">
        <f ca="1">IF(AND(Option_SPW="Y",H305&gt;=Lock_In_Period,Z304&gt;SPW_Amount_pa+IF(option="Single",1/5*pr,2*pr),H305&gt;=SPW_Start_Year,H305&lt;=SPW_Start_Year+SPW_Duration-1,age+H305&gt;=Legal_Age),IF(AND(F305=0,SPW_Payout_Freq=1),SPW_Amount_pa,IF(AND(SPW_Payout_Freq=2,MOD(F305,6)=0),SPW_Amount_pa/SPW_Payout_Freq,IF(AND(SPW_Payout_Freq=4,MOD(F305,3)=0),SPW_Amount_pa/SPW_Payout_Freq,IF(SPW_Payout_Freq=12,SPW_Amount_pa/SPW_Payout_Freq,0)))),0)+IFERROR(VLOOKUP(H305,Input!$B$68:$C$74,2,0),0)*(F305=0)*(Option_PW="Y")*(Option_SPW="N")*(age+H305&gt;=Legal_Age)</f>
        <v>0</v>
      </c>
      <c r="O305" s="148">
        <f t="shared" ca="1" si="220"/>
        <v>0</v>
      </c>
      <c r="P305" s="14">
        <f ca="1">(MAX(MAX(sa-CF304*Flag_UL_Type,105%*SUM($I$7:I305))-(AD304+L305-N305)*Flag_UL_Type,0)*B305)</f>
        <v>0</v>
      </c>
      <c r="Q305" s="213">
        <f t="shared" si="195"/>
        <v>0</v>
      </c>
      <c r="R305" s="14">
        <f t="shared" ca="1" si="196"/>
        <v>0</v>
      </c>
      <c r="S305" s="14">
        <f t="shared" ca="1" si="197"/>
        <v>0</v>
      </c>
      <c r="T305" s="14">
        <f>IFERROR(IF(WoP_Flag="Y",IF(fq=1,VLOOKUP(ppt*fq-H305,Charges!$AN$41:$AO$59,2,FALSE),IF(fq=2,VLOOKUP(ppt*fq-G305,Charges!$AP$41:$AQ$79,2,FALSE),VLOOKUP(ppt*fq-D305,Charges!$AR$41:$AS$279,2,FALSE)))*pr/fq,0),0)</f>
        <v>0</v>
      </c>
      <c r="U305" s="14">
        <f ca="1">IFERROR(((T305*(VLOOKUP(Input!$D$18+H305-1,Tab_Mort_Charge,IF(Gender_2="M",2,3),FALSE)*(1+_emr2)+_rpm2)/IF(Model_Type="LA_PQIS",1000/0.0833,(12*1000))))*Flag_Mort_Rider_Charge*(T305&gt;0),0)</f>
        <v>0</v>
      </c>
      <c r="V305" s="34">
        <f>ROUND(MIN(IF(H305&gt;=7,Charges!$C$12*(1+Charges!$C$14)^((H305-7+1)),VLOOKUP(H305,Charges!$B$7:$C$12,2,0))*pr,Charges!$C$13)*B305,Round)</f>
        <v>0</v>
      </c>
      <c r="W305" s="14">
        <f t="shared" ca="1" si="198"/>
        <v>0</v>
      </c>
      <c r="X305" s="14">
        <f t="shared" ca="1" si="199"/>
        <v>0</v>
      </c>
      <c r="Y305" s="213">
        <f t="shared" ca="1" si="221"/>
        <v>0</v>
      </c>
      <c r="Z305" s="14">
        <f t="shared" ca="1" si="200"/>
        <v>0</v>
      </c>
      <c r="AA305" s="14">
        <f>IF(AND($H305=pt,$F305=11),SUM($K$7:K305)*VLOOKUP(pt,ROC,2,FALSE),0)</f>
        <v>0</v>
      </c>
      <c r="AB305" s="14">
        <f>IF(AND($H305=pt,$F305=11),SUM($V$7:V305)*VLOOKUP(pt,ROC,2,FALSE),0)</f>
        <v>0</v>
      </c>
      <c r="AC305" s="14">
        <f>IF(AND($H305=pt,$F305=11),SUM($Q$7:Q305)*VLOOKUP(pt,ROC,2,FALSE),0)</f>
        <v>0</v>
      </c>
      <c r="AD305" s="14">
        <f t="shared" ca="1" si="222"/>
        <v>0</v>
      </c>
      <c r="AE305" s="14">
        <f ca="1">(MAX(sa-CF304*Flag_UL_Type,105%*SUM($I$7:I305),Z305)+AU305)*B305</f>
        <v>0</v>
      </c>
      <c r="AF305" s="136"/>
      <c r="AG305" s="18">
        <v>299</v>
      </c>
      <c r="AH305" s="30">
        <f t="shared" ca="1" si="201"/>
        <v>0</v>
      </c>
      <c r="AI305" s="58"/>
      <c r="AJ305" s="50">
        <f>IF(AND(Option_Sys_TopUp&gt;="Y",H305&gt;=sytp,H305&lt;=(dtp+sytp-1),F305=0,H305&lt;=ppt+1),atp,0)+IFERROR(VLOOKUP(H305,Input!$B$55:$C$61,2,0),0)*(F305=0)*(Option_TopUP="Y")*(Option_Sys_TopUp="N")*B305*(pt&gt;=H305+5)</f>
        <v>0</v>
      </c>
      <c r="AK305" s="50">
        <f t="shared" si="202"/>
        <v>0</v>
      </c>
      <c r="AL305" s="50">
        <f t="shared" si="223"/>
        <v>0</v>
      </c>
      <c r="AM305" s="50">
        <f t="shared" ca="1" si="203"/>
        <v>0</v>
      </c>
      <c r="AN305" s="50">
        <f>IF(B305=0,0,AT305*(_rpm1+(1+_emr1)*VLOOKUP(E305,Tab_Mort_Charge,IF(Input!$C$12="M",2,3),0))*(0.001*0.0833)*Flag_Mort_Rider_Charge*(AT305&gt;0))</f>
        <v>0</v>
      </c>
      <c r="AO305" s="50">
        <f t="shared" ca="1" si="224"/>
        <v>0</v>
      </c>
      <c r="AP305" s="50">
        <f t="shared" ca="1" si="231"/>
        <v>0</v>
      </c>
      <c r="AQ305" s="50">
        <f t="shared" ca="1" si="204"/>
        <v>0</v>
      </c>
      <c r="AR305" s="50">
        <f t="shared" ca="1" si="205"/>
        <v>0</v>
      </c>
      <c r="AS305" s="50">
        <f t="shared" si="206"/>
        <v>0</v>
      </c>
      <c r="AT305" s="50">
        <f ca="1">(MAX((MAX(AS305,105%*SUM($AJ$7:AJ305))-AM305*Flag_UL_Type),0)*B305)</f>
        <v>0</v>
      </c>
      <c r="AU305" s="50">
        <f ca="1">(MAX(AS305,AR305,105%*SUM($AJ$7:AJ305))*B305)</f>
        <v>0</v>
      </c>
      <c r="AV305" s="125"/>
      <c r="AW305" s="13"/>
      <c r="AX305" s="13"/>
      <c r="AY305" s="13"/>
      <c r="AZ305" s="13"/>
      <c r="BA305" s="13"/>
      <c r="BG305" s="51">
        <f t="shared" si="207"/>
        <v>0</v>
      </c>
      <c r="BH305" s="51">
        <f t="shared" si="208"/>
        <v>0</v>
      </c>
      <c r="BI305" s="51">
        <f t="shared" ca="1" si="209"/>
        <v>0</v>
      </c>
      <c r="BJ305" s="51">
        <f t="shared" ca="1" si="210"/>
        <v>0</v>
      </c>
      <c r="BK305" s="51">
        <f t="shared" si="211"/>
        <v>0</v>
      </c>
      <c r="BL305" s="51">
        <f t="shared" ca="1" si="212"/>
        <v>0</v>
      </c>
      <c r="BM305" s="51">
        <f t="shared" si="213"/>
        <v>0</v>
      </c>
      <c r="BN305" s="51">
        <f t="shared" si="214"/>
        <v>0</v>
      </c>
      <c r="BO305" s="51">
        <f t="shared" ca="1" si="215"/>
        <v>0</v>
      </c>
      <c r="BP305" s="51">
        <f t="shared" ca="1" si="216"/>
        <v>0</v>
      </c>
      <c r="BQ305" s="120"/>
      <c r="BR305" s="32"/>
      <c r="BS305" s="126"/>
      <c r="BT305" s="16"/>
      <c r="BU305" s="58"/>
      <c r="BW305" s="51">
        <f>VLOOKUP(H305,Charges!$AT$4:$AU$33,2,FALSE)*I305</f>
        <v>0</v>
      </c>
      <c r="BX305" s="51">
        <f t="shared" si="217"/>
        <v>0</v>
      </c>
      <c r="BY305" s="51">
        <f t="shared" si="225"/>
        <v>0</v>
      </c>
      <c r="BZ305" s="151"/>
      <c r="CA305" s="151"/>
      <c r="CB305" s="32"/>
      <c r="CC305" s="16">
        <f ca="1">SUM($N$7:$N305)</f>
        <v>0</v>
      </c>
      <c r="CD305" s="16">
        <f t="shared" ca="1" si="218"/>
        <v>0</v>
      </c>
      <c r="CE305" s="16">
        <f t="shared" ca="1" si="219"/>
        <v>0</v>
      </c>
      <c r="CF305" s="7">
        <f t="shared" ca="1" si="226"/>
        <v>0</v>
      </c>
    </row>
    <row r="306" spans="1:84" s="7" customFormat="1" x14ac:dyDescent="0.2">
      <c r="A306" s="149"/>
      <c r="B306" s="14">
        <f t="shared" si="188"/>
        <v>0</v>
      </c>
      <c r="C306" s="12">
        <f t="shared" si="189"/>
        <v>0</v>
      </c>
      <c r="D306" s="17">
        <f t="shared" si="227"/>
        <v>300</v>
      </c>
      <c r="E306" s="17">
        <f t="shared" ca="1" si="190"/>
        <v>84</v>
      </c>
      <c r="F306" s="12">
        <f t="shared" si="229"/>
        <v>11</v>
      </c>
      <c r="G306" s="12">
        <f t="shared" si="228"/>
        <v>50</v>
      </c>
      <c r="H306" s="17">
        <f t="shared" si="230"/>
        <v>25</v>
      </c>
      <c r="I306" s="29">
        <f t="shared" si="191"/>
        <v>0</v>
      </c>
      <c r="J306" s="211">
        <f>IFERROR(VLOOKUP(H306,Charges!$T$6:$U$35,2,0)*C306,0)</f>
        <v>0</v>
      </c>
      <c r="K306" s="29">
        <f t="shared" si="192"/>
        <v>0</v>
      </c>
      <c r="L306" s="29">
        <f t="shared" si="193"/>
        <v>0</v>
      </c>
      <c r="M306" s="147">
        <f t="shared" ca="1" si="194"/>
        <v>0</v>
      </c>
      <c r="N306" s="148">
        <f ca="1">IF(AND(Option_SPW="Y",H306&gt;=Lock_In_Period,Z305&gt;SPW_Amount_pa+IF(option="Single",1/5*pr,2*pr),H306&gt;=SPW_Start_Year,H306&lt;=SPW_Start_Year+SPW_Duration-1,age+H306&gt;=Legal_Age),IF(AND(F306=0,SPW_Payout_Freq=1),SPW_Amount_pa,IF(AND(SPW_Payout_Freq=2,MOD(F306,6)=0),SPW_Amount_pa/SPW_Payout_Freq,IF(AND(SPW_Payout_Freq=4,MOD(F306,3)=0),SPW_Amount_pa/SPW_Payout_Freq,IF(SPW_Payout_Freq=12,SPW_Amount_pa/SPW_Payout_Freq,0)))),0)+IFERROR(VLOOKUP(H306,Input!$B$68:$C$74,2,0),0)*(F306=0)*(Option_PW="Y")*(Option_SPW="N")*(age+H306&gt;=Legal_Age)</f>
        <v>0</v>
      </c>
      <c r="O306" s="148">
        <f t="shared" ca="1" si="220"/>
        <v>0</v>
      </c>
      <c r="P306" s="14">
        <f ca="1">(MAX(MAX(sa-CF305*Flag_UL_Type,105%*SUM($I$7:I306))-(AD305+L306-N306)*Flag_UL_Type,0)*B306)</f>
        <v>0</v>
      </c>
      <c r="Q306" s="213">
        <f t="shared" si="195"/>
        <v>0</v>
      </c>
      <c r="R306" s="14">
        <f t="shared" ca="1" si="196"/>
        <v>0</v>
      </c>
      <c r="S306" s="14">
        <f t="shared" ca="1" si="197"/>
        <v>0</v>
      </c>
      <c r="T306" s="14">
        <f>IFERROR(IF(WoP_Flag="Y",IF(fq=1,VLOOKUP(ppt*fq-H306,Charges!$AN$41:$AO$59,2,FALSE),IF(fq=2,VLOOKUP(ppt*fq-G306,Charges!$AP$41:$AQ$79,2,FALSE),VLOOKUP(ppt*fq-D306,Charges!$AR$41:$AS$279,2,FALSE)))*pr/fq,0),0)</f>
        <v>0</v>
      </c>
      <c r="U306" s="14">
        <f ca="1">IFERROR(((T306*(VLOOKUP(Input!$D$18+H306-1,Tab_Mort_Charge,IF(Gender_2="M",2,3),FALSE)*(1+_emr2)+_rpm2)/IF(Model_Type="LA_PQIS",1000/0.0833,(12*1000))))*Flag_Mort_Rider_Charge*(T306&gt;0),0)</f>
        <v>0</v>
      </c>
      <c r="V306" s="34">
        <f>ROUND(MIN(IF(H306&gt;=7,Charges!$C$12*(1+Charges!$C$14)^((H306-7+1)),VLOOKUP(H306,Charges!$B$7:$C$12,2,0))*pr,Charges!$C$13)*B306,Round)</f>
        <v>0</v>
      </c>
      <c r="W306" s="14">
        <f t="shared" ca="1" si="198"/>
        <v>0</v>
      </c>
      <c r="X306" s="14">
        <f t="shared" ca="1" si="199"/>
        <v>0</v>
      </c>
      <c r="Y306" s="213">
        <f t="shared" ca="1" si="221"/>
        <v>0</v>
      </c>
      <c r="Z306" s="14">
        <f t="shared" ca="1" si="200"/>
        <v>0</v>
      </c>
      <c r="AA306" s="14">
        <f>IF(AND($H306=pt,$F306=11),SUM($K$7:K306)*VLOOKUP(pt,ROC,2,FALSE),0)</f>
        <v>0</v>
      </c>
      <c r="AB306" s="14">
        <f>IF(AND($H306=pt,$F306=11),SUM($V$7:V306)*VLOOKUP(pt,ROC,2,FALSE),0)</f>
        <v>0</v>
      </c>
      <c r="AC306" s="14">
        <f>IF(AND($H306=pt,$F306=11),SUM($Q$7:Q306)*VLOOKUP(pt,ROC,2,FALSE),0)</f>
        <v>0</v>
      </c>
      <c r="AD306" s="14">
        <f t="shared" ca="1" si="222"/>
        <v>0</v>
      </c>
      <c r="AE306" s="14">
        <f ca="1">(MAX(sa-CF305*Flag_UL_Type,105%*SUM($I$7:I306),Z306)+AU306)*B306</f>
        <v>0</v>
      </c>
      <c r="AF306" s="136"/>
      <c r="AG306" s="18">
        <v>300</v>
      </c>
      <c r="AH306" s="30">
        <f t="shared" ca="1" si="201"/>
        <v>0</v>
      </c>
      <c r="AI306" s="58"/>
      <c r="AJ306" s="50">
        <f>IF(AND(Option_Sys_TopUp&gt;="Y",H306&gt;=sytp,H306&lt;=(dtp+sytp-1),F306=0,H306&lt;=ppt+1),atp,0)+IFERROR(VLOOKUP(H306,Input!$B$55:$C$61,2,0),0)*(F306=0)*(Option_TopUP="Y")*(Option_Sys_TopUp="N")*B306*(pt&gt;=H306+5)</f>
        <v>0</v>
      </c>
      <c r="AK306" s="50">
        <f t="shared" si="202"/>
        <v>0</v>
      </c>
      <c r="AL306" s="50">
        <f t="shared" si="223"/>
        <v>0</v>
      </c>
      <c r="AM306" s="50">
        <f t="shared" ca="1" si="203"/>
        <v>0</v>
      </c>
      <c r="AN306" s="50">
        <f>IF(B306=0,0,AT306*(_rpm1+(1+_emr1)*VLOOKUP(E306,Tab_Mort_Charge,IF(Input!$C$12="M",2,3),0))*(0.001*0.0833)*Flag_Mort_Rider_Charge*(AT306&gt;0))</f>
        <v>0</v>
      </c>
      <c r="AO306" s="50">
        <f t="shared" ca="1" si="224"/>
        <v>0</v>
      </c>
      <c r="AP306" s="50">
        <f t="shared" ca="1" si="231"/>
        <v>0</v>
      </c>
      <c r="AQ306" s="50">
        <f t="shared" ca="1" si="204"/>
        <v>0</v>
      </c>
      <c r="AR306" s="50">
        <f t="shared" ca="1" si="205"/>
        <v>0</v>
      </c>
      <c r="AS306" s="50">
        <f t="shared" si="206"/>
        <v>0</v>
      </c>
      <c r="AT306" s="50">
        <f ca="1">(MAX((MAX(AS306,105%*SUM($AJ$7:AJ306))-AM306*Flag_UL_Type),0)*B306)</f>
        <v>0</v>
      </c>
      <c r="AU306" s="50">
        <f ca="1">(MAX(AS306,AR306,105%*SUM($AJ$7:AJ306))*B306)</f>
        <v>0</v>
      </c>
      <c r="AV306" s="125"/>
      <c r="AW306" s="13"/>
      <c r="AX306" s="13"/>
      <c r="AY306" s="13"/>
      <c r="AZ306" s="13"/>
      <c r="BA306" s="13"/>
      <c r="BG306" s="51">
        <f t="shared" si="207"/>
        <v>0</v>
      </c>
      <c r="BH306" s="51">
        <f t="shared" si="208"/>
        <v>0</v>
      </c>
      <c r="BI306" s="51">
        <f t="shared" ca="1" si="209"/>
        <v>0</v>
      </c>
      <c r="BJ306" s="51">
        <f t="shared" ca="1" si="210"/>
        <v>0</v>
      </c>
      <c r="BK306" s="51">
        <f t="shared" si="211"/>
        <v>0</v>
      </c>
      <c r="BL306" s="51">
        <f t="shared" ca="1" si="212"/>
        <v>0</v>
      </c>
      <c r="BM306" s="51">
        <f t="shared" si="213"/>
        <v>0</v>
      </c>
      <c r="BN306" s="51">
        <f t="shared" si="214"/>
        <v>0</v>
      </c>
      <c r="BO306" s="51">
        <f t="shared" ca="1" si="215"/>
        <v>0</v>
      </c>
      <c r="BP306" s="51">
        <f t="shared" ca="1" si="216"/>
        <v>0</v>
      </c>
      <c r="BQ306" s="120"/>
      <c r="BR306" s="32"/>
      <c r="BS306" s="126"/>
      <c r="BT306" s="16"/>
      <c r="BU306" s="58"/>
      <c r="BW306" s="51">
        <f>VLOOKUP(H306,Charges!$AT$4:$AU$33,2,FALSE)*I306</f>
        <v>0</v>
      </c>
      <c r="BX306" s="51">
        <f t="shared" si="217"/>
        <v>0</v>
      </c>
      <c r="BY306" s="51">
        <f t="shared" si="225"/>
        <v>0</v>
      </c>
      <c r="BZ306" s="151"/>
      <c r="CA306" s="151"/>
      <c r="CB306" s="32"/>
      <c r="CC306" s="16">
        <f ca="1">SUM($N$7:$N306)</f>
        <v>0</v>
      </c>
      <c r="CD306" s="16">
        <f t="shared" ca="1" si="218"/>
        <v>0</v>
      </c>
      <c r="CE306" s="16">
        <f t="shared" ca="1" si="219"/>
        <v>0</v>
      </c>
      <c r="CF306" s="7">
        <f t="shared" ca="1" si="226"/>
        <v>0</v>
      </c>
    </row>
    <row r="307" spans="1:84" s="7" customFormat="1" x14ac:dyDescent="0.2">
      <c r="A307" s="149"/>
      <c r="B307" s="14">
        <f t="shared" si="188"/>
        <v>0</v>
      </c>
      <c r="C307" s="12">
        <f t="shared" si="189"/>
        <v>0</v>
      </c>
      <c r="D307" s="17">
        <f t="shared" si="227"/>
        <v>301</v>
      </c>
      <c r="E307" s="17">
        <f t="shared" ca="1" si="190"/>
        <v>85</v>
      </c>
      <c r="F307" s="12">
        <f t="shared" si="229"/>
        <v>0</v>
      </c>
      <c r="G307" s="12">
        <f t="shared" si="228"/>
        <v>51</v>
      </c>
      <c r="H307" s="17">
        <f t="shared" si="230"/>
        <v>26</v>
      </c>
      <c r="I307" s="29">
        <f t="shared" si="191"/>
        <v>0</v>
      </c>
      <c r="J307" s="211">
        <f>IFERROR(VLOOKUP(H307,Charges!$T$6:$U$35,2,0)*C307,0)</f>
        <v>0</v>
      </c>
      <c r="K307" s="29">
        <f t="shared" si="192"/>
        <v>0</v>
      </c>
      <c r="L307" s="29">
        <f t="shared" si="193"/>
        <v>0</v>
      </c>
      <c r="M307" s="147">
        <f t="shared" ca="1" si="194"/>
        <v>0</v>
      </c>
      <c r="N307" s="148">
        <f ca="1">IF(AND(Option_SPW="Y",H307&gt;=Lock_In_Period,Z306&gt;SPW_Amount_pa+IF(option="Single",1/5*pr,2*pr),H307&gt;=SPW_Start_Year,H307&lt;=SPW_Start_Year+SPW_Duration-1,age+H307&gt;=Legal_Age),IF(AND(F307=0,SPW_Payout_Freq=1),SPW_Amount_pa,IF(AND(SPW_Payout_Freq=2,MOD(F307,6)=0),SPW_Amount_pa/SPW_Payout_Freq,IF(AND(SPW_Payout_Freq=4,MOD(F307,3)=0),SPW_Amount_pa/SPW_Payout_Freq,IF(SPW_Payout_Freq=12,SPW_Amount_pa/SPW_Payout_Freq,0)))),0)+IFERROR(VLOOKUP(H307,Input!$B$68:$C$74,2,0),0)*(F307=0)*(Option_PW="Y")*(Option_SPW="N")*(age+H307&gt;=Legal_Age)</f>
        <v>0</v>
      </c>
      <c r="O307" s="148">
        <f t="shared" ca="1" si="220"/>
        <v>0</v>
      </c>
      <c r="P307" s="14">
        <f ca="1">(MAX(MAX(sa-CF306*Flag_UL_Type,105%*SUM($I$7:I307))-(AD306+L307-N307)*Flag_UL_Type,0)*B307)</f>
        <v>0</v>
      </c>
      <c r="Q307" s="213">
        <f t="shared" si="195"/>
        <v>0</v>
      </c>
      <c r="R307" s="14">
        <f t="shared" ca="1" si="196"/>
        <v>0</v>
      </c>
      <c r="S307" s="14">
        <f t="shared" ca="1" si="197"/>
        <v>0</v>
      </c>
      <c r="T307" s="14">
        <f>IFERROR(IF(WoP_Flag="Y",IF(fq=1,VLOOKUP(ppt*fq-H307,Charges!$AN$41:$AO$59,2,FALSE),IF(fq=2,VLOOKUP(ppt*fq-G307,Charges!$AP$41:$AQ$79,2,FALSE),VLOOKUP(ppt*fq-D307,Charges!$AR$41:$AS$279,2,FALSE)))*pr/fq,0),0)</f>
        <v>0</v>
      </c>
      <c r="U307" s="14">
        <f ca="1">IFERROR(((T307*(VLOOKUP(Input!$D$18+H307-1,Tab_Mort_Charge,IF(Gender_2="M",2,3),FALSE)*(1+_emr2)+_rpm2)/IF(Model_Type="LA_PQIS",1000/0.0833,(12*1000))))*Flag_Mort_Rider_Charge*(T307&gt;0),0)</f>
        <v>0</v>
      </c>
      <c r="V307" s="34">
        <f>ROUND(MIN(IF(H307&gt;=7,Charges!$C$12*(1+Charges!$C$14)^((H307-7+1)),VLOOKUP(H307,Charges!$B$7:$C$12,2,0))*pr,Charges!$C$13)*B307,Round)</f>
        <v>0</v>
      </c>
      <c r="W307" s="14">
        <f t="shared" ca="1" si="198"/>
        <v>0</v>
      </c>
      <c r="X307" s="14">
        <f t="shared" ca="1" si="199"/>
        <v>0</v>
      </c>
      <c r="Y307" s="213">
        <f t="shared" ca="1" si="221"/>
        <v>0</v>
      </c>
      <c r="Z307" s="14">
        <f t="shared" ca="1" si="200"/>
        <v>0</v>
      </c>
      <c r="AA307" s="14">
        <f>IF(AND($H307=pt,$F307=11),SUM($K$7:K307)*VLOOKUP(pt,ROC,2,FALSE),0)</f>
        <v>0</v>
      </c>
      <c r="AB307" s="14">
        <f>IF(AND($H307=pt,$F307=11),SUM($V$7:V307)*VLOOKUP(pt,ROC,2,FALSE),0)</f>
        <v>0</v>
      </c>
      <c r="AC307" s="14">
        <f>IF(AND($H307=pt,$F307=11),SUM($Q$7:Q307)*VLOOKUP(pt,ROC,2,FALSE),0)</f>
        <v>0</v>
      </c>
      <c r="AD307" s="14">
        <f t="shared" ca="1" si="222"/>
        <v>0</v>
      </c>
      <c r="AE307" s="14">
        <f ca="1">(MAX(sa-CF306*Flag_UL_Type,105%*SUM($I$7:I307),Z307)+AU307)*B307</f>
        <v>0</v>
      </c>
      <c r="AF307" s="136"/>
      <c r="AG307" s="18">
        <v>301</v>
      </c>
      <c r="AH307" s="30">
        <f t="shared" ca="1" si="201"/>
        <v>0</v>
      </c>
      <c r="AI307" s="58"/>
      <c r="AJ307" s="50">
        <f>IF(AND(Option_Sys_TopUp&gt;="Y",H307&gt;=sytp,H307&lt;=(dtp+sytp-1),F307=0,H307&lt;=ppt+1),atp,0)+IFERROR(VLOOKUP(H307,Input!$B$55:$C$61,2,0),0)*(F307=0)*(Option_TopUP="Y")*(Option_Sys_TopUp="N")*B307*(pt&gt;=H307+5)</f>
        <v>0</v>
      </c>
      <c r="AK307" s="50">
        <f t="shared" si="202"/>
        <v>0</v>
      </c>
      <c r="AL307" s="50">
        <f t="shared" si="223"/>
        <v>0</v>
      </c>
      <c r="AM307" s="50">
        <f t="shared" ca="1" si="203"/>
        <v>0</v>
      </c>
      <c r="AN307" s="50">
        <f>IF(B307=0,0,AT307*(_rpm1+(1+_emr1)*VLOOKUP(E307,Tab_Mort_Charge,IF(Input!$C$12="M",2,3),0))*(0.001*0.0833)*Flag_Mort_Rider_Charge*(AT307&gt;0))</f>
        <v>0</v>
      </c>
      <c r="AO307" s="50">
        <f t="shared" ca="1" si="224"/>
        <v>0</v>
      </c>
      <c r="AP307" s="50">
        <f t="shared" ca="1" si="231"/>
        <v>0</v>
      </c>
      <c r="AQ307" s="50">
        <f t="shared" ca="1" si="204"/>
        <v>0</v>
      </c>
      <c r="AR307" s="50">
        <f t="shared" ca="1" si="205"/>
        <v>0</v>
      </c>
      <c r="AS307" s="50">
        <f t="shared" si="206"/>
        <v>0</v>
      </c>
      <c r="AT307" s="50">
        <f ca="1">(MAX((MAX(AS307,105%*SUM($AJ$7:AJ307))-AM307*Flag_UL_Type),0)*B307)</f>
        <v>0</v>
      </c>
      <c r="AU307" s="50">
        <f ca="1">(MAX(AS307,AR307,105%*SUM($AJ$7:AJ307))*B307)</f>
        <v>0</v>
      </c>
      <c r="AV307" s="125"/>
      <c r="AW307" s="13"/>
      <c r="AX307" s="13"/>
      <c r="AY307" s="13"/>
      <c r="AZ307" s="13"/>
      <c r="BA307" s="13"/>
      <c r="BG307" s="51">
        <f t="shared" si="207"/>
        <v>0</v>
      </c>
      <c r="BH307" s="51">
        <f t="shared" si="208"/>
        <v>0</v>
      </c>
      <c r="BI307" s="51">
        <f t="shared" ca="1" si="209"/>
        <v>0</v>
      </c>
      <c r="BJ307" s="51">
        <f t="shared" ca="1" si="210"/>
        <v>0</v>
      </c>
      <c r="BK307" s="51">
        <f t="shared" si="211"/>
        <v>0</v>
      </c>
      <c r="BL307" s="51">
        <f t="shared" ca="1" si="212"/>
        <v>0</v>
      </c>
      <c r="BM307" s="51">
        <f t="shared" si="213"/>
        <v>0</v>
      </c>
      <c r="BN307" s="51">
        <f t="shared" si="214"/>
        <v>0</v>
      </c>
      <c r="BO307" s="51">
        <f t="shared" ca="1" si="215"/>
        <v>0</v>
      </c>
      <c r="BP307" s="51">
        <f t="shared" ca="1" si="216"/>
        <v>0</v>
      </c>
      <c r="BQ307" s="120"/>
      <c r="BR307" s="32"/>
      <c r="BS307" s="126"/>
      <c r="BT307" s="16"/>
      <c r="BU307" s="58"/>
      <c r="BW307" s="51">
        <f>VLOOKUP(H307,Charges!$AT$4:$AU$33,2,FALSE)*I307</f>
        <v>0</v>
      </c>
      <c r="BX307" s="51">
        <f t="shared" si="217"/>
        <v>0</v>
      </c>
      <c r="BY307" s="51">
        <f t="shared" si="225"/>
        <v>0</v>
      </c>
      <c r="BZ307" s="151"/>
      <c r="CA307" s="151"/>
      <c r="CB307" s="32"/>
      <c r="CC307" s="16">
        <f ca="1">SUM($N$7:$N307)</f>
        <v>0</v>
      </c>
      <c r="CD307" s="16">
        <f t="shared" ca="1" si="218"/>
        <v>0</v>
      </c>
      <c r="CE307" s="16">
        <f t="shared" ca="1" si="219"/>
        <v>0</v>
      </c>
      <c r="CF307" s="7">
        <f t="shared" ca="1" si="226"/>
        <v>0</v>
      </c>
    </row>
    <row r="308" spans="1:84" s="7" customFormat="1" x14ac:dyDescent="0.2">
      <c r="A308" s="149"/>
      <c r="B308" s="14">
        <f t="shared" si="188"/>
        <v>0</v>
      </c>
      <c r="C308" s="12">
        <f t="shared" si="189"/>
        <v>0</v>
      </c>
      <c r="D308" s="17">
        <f t="shared" si="227"/>
        <v>302</v>
      </c>
      <c r="E308" s="17">
        <f t="shared" ca="1" si="190"/>
        <v>85</v>
      </c>
      <c r="F308" s="12">
        <f t="shared" si="229"/>
        <v>1</v>
      </c>
      <c r="G308" s="12">
        <f t="shared" si="228"/>
        <v>51</v>
      </c>
      <c r="H308" s="17">
        <f t="shared" si="230"/>
        <v>26</v>
      </c>
      <c r="I308" s="29">
        <f t="shared" si="191"/>
        <v>0</v>
      </c>
      <c r="J308" s="211">
        <f>IFERROR(VLOOKUP(H308,Charges!$T$6:$U$35,2,0)*C308,0)</f>
        <v>0</v>
      </c>
      <c r="K308" s="29">
        <f t="shared" si="192"/>
        <v>0</v>
      </c>
      <c r="L308" s="29">
        <f t="shared" si="193"/>
        <v>0</v>
      </c>
      <c r="M308" s="147">
        <f t="shared" ca="1" si="194"/>
        <v>0</v>
      </c>
      <c r="N308" s="148">
        <f ca="1">IF(AND(Option_SPW="Y",H308&gt;=Lock_In_Period,Z307&gt;SPW_Amount_pa+IF(option="Single",1/5*pr,2*pr),H308&gt;=SPW_Start_Year,H308&lt;=SPW_Start_Year+SPW_Duration-1,age+H308&gt;=Legal_Age),IF(AND(F308=0,SPW_Payout_Freq=1),SPW_Amount_pa,IF(AND(SPW_Payout_Freq=2,MOD(F308,6)=0),SPW_Amount_pa/SPW_Payout_Freq,IF(AND(SPW_Payout_Freq=4,MOD(F308,3)=0),SPW_Amount_pa/SPW_Payout_Freq,IF(SPW_Payout_Freq=12,SPW_Amount_pa/SPW_Payout_Freq,0)))),0)+IFERROR(VLOOKUP(H308,Input!$B$68:$C$74,2,0),0)*(F308=0)*(Option_PW="Y")*(Option_SPW="N")*(age+H308&gt;=Legal_Age)</f>
        <v>0</v>
      </c>
      <c r="O308" s="148">
        <f t="shared" ca="1" si="220"/>
        <v>0</v>
      </c>
      <c r="P308" s="14">
        <f ca="1">(MAX(MAX(sa-CF307*Flag_UL_Type,105%*SUM($I$7:I308))-(AD307+L308-N308)*Flag_UL_Type,0)*B308)</f>
        <v>0</v>
      </c>
      <c r="Q308" s="213">
        <f t="shared" si="195"/>
        <v>0</v>
      </c>
      <c r="R308" s="14">
        <f t="shared" ca="1" si="196"/>
        <v>0</v>
      </c>
      <c r="S308" s="14">
        <f t="shared" ca="1" si="197"/>
        <v>0</v>
      </c>
      <c r="T308" s="14">
        <f>IFERROR(IF(WoP_Flag="Y",IF(fq=1,VLOOKUP(ppt*fq-H308,Charges!$AN$41:$AO$59,2,FALSE),IF(fq=2,VLOOKUP(ppt*fq-G308,Charges!$AP$41:$AQ$79,2,FALSE),VLOOKUP(ppt*fq-D308,Charges!$AR$41:$AS$279,2,FALSE)))*pr/fq,0),0)</f>
        <v>0</v>
      </c>
      <c r="U308" s="14">
        <f ca="1">IFERROR(((T308*(VLOOKUP(Input!$D$18+H308-1,Tab_Mort_Charge,IF(Gender_2="M",2,3),FALSE)*(1+_emr2)+_rpm2)/IF(Model_Type="LA_PQIS",1000/0.0833,(12*1000))))*Flag_Mort_Rider_Charge*(T308&gt;0),0)</f>
        <v>0</v>
      </c>
      <c r="V308" s="34">
        <f>ROUND(MIN(IF(H308&gt;=7,Charges!$C$12*(1+Charges!$C$14)^((H308-7+1)),VLOOKUP(H308,Charges!$B$7:$C$12,2,0))*pr,Charges!$C$13)*B308,Round)</f>
        <v>0</v>
      </c>
      <c r="W308" s="14">
        <f t="shared" ca="1" si="198"/>
        <v>0</v>
      </c>
      <c r="X308" s="14">
        <f t="shared" ca="1" si="199"/>
        <v>0</v>
      </c>
      <c r="Y308" s="213">
        <f t="shared" ca="1" si="221"/>
        <v>0</v>
      </c>
      <c r="Z308" s="14">
        <f t="shared" ca="1" si="200"/>
        <v>0</v>
      </c>
      <c r="AA308" s="14">
        <f>IF(AND($H308=pt,$F308=11),SUM($K$7:K308)*VLOOKUP(pt,ROC,2,FALSE),0)</f>
        <v>0</v>
      </c>
      <c r="AB308" s="14">
        <f>IF(AND($H308=pt,$F308=11),SUM($V$7:V308)*VLOOKUP(pt,ROC,2,FALSE),0)</f>
        <v>0</v>
      </c>
      <c r="AC308" s="14">
        <f>IF(AND($H308=pt,$F308=11),SUM($Q$7:Q308)*VLOOKUP(pt,ROC,2,FALSE),0)</f>
        <v>0</v>
      </c>
      <c r="AD308" s="14">
        <f t="shared" ca="1" si="222"/>
        <v>0</v>
      </c>
      <c r="AE308" s="14">
        <f ca="1">(MAX(sa-CF307*Flag_UL_Type,105%*SUM($I$7:I308),Z308)+AU308)*B308</f>
        <v>0</v>
      </c>
      <c r="AF308" s="136"/>
      <c r="AG308" s="18">
        <v>302</v>
      </c>
      <c r="AH308" s="30">
        <f t="shared" ca="1" si="201"/>
        <v>0</v>
      </c>
      <c r="AI308" s="58"/>
      <c r="AJ308" s="50">
        <f>IF(AND(Option_Sys_TopUp&gt;="Y",H308&gt;=sytp,H308&lt;=(dtp+sytp-1),F308=0,H308&lt;=ppt+1),atp,0)+IFERROR(VLOOKUP(H308,Input!$B$55:$C$61,2,0),0)*(F308=0)*(Option_TopUP="Y")*(Option_Sys_TopUp="N")*B308*(pt&gt;=H308+5)</f>
        <v>0</v>
      </c>
      <c r="AK308" s="50">
        <f t="shared" si="202"/>
        <v>0</v>
      </c>
      <c r="AL308" s="50">
        <f t="shared" si="223"/>
        <v>0</v>
      </c>
      <c r="AM308" s="50">
        <f t="shared" ca="1" si="203"/>
        <v>0</v>
      </c>
      <c r="AN308" s="50">
        <f>IF(B308=0,0,AT308*(_rpm1+(1+_emr1)*VLOOKUP(E308,Tab_Mort_Charge,IF(Input!$C$12="M",2,3),0))*(0.001*0.0833)*Flag_Mort_Rider_Charge*(AT308&gt;0))</f>
        <v>0</v>
      </c>
      <c r="AO308" s="50">
        <f t="shared" ca="1" si="224"/>
        <v>0</v>
      </c>
      <c r="AP308" s="50">
        <f t="shared" ca="1" si="231"/>
        <v>0</v>
      </c>
      <c r="AQ308" s="50">
        <f t="shared" ca="1" si="204"/>
        <v>0</v>
      </c>
      <c r="AR308" s="50">
        <f t="shared" ca="1" si="205"/>
        <v>0</v>
      </c>
      <c r="AS308" s="50">
        <f t="shared" si="206"/>
        <v>0</v>
      </c>
      <c r="AT308" s="50">
        <f ca="1">(MAX((MAX(AS308,105%*SUM($AJ$7:AJ308))-AM308*Flag_UL_Type),0)*B308)</f>
        <v>0</v>
      </c>
      <c r="AU308" s="50">
        <f ca="1">(MAX(AS308,AR308,105%*SUM($AJ$7:AJ308))*B308)</f>
        <v>0</v>
      </c>
      <c r="AV308" s="125"/>
      <c r="AW308" s="13"/>
      <c r="AX308" s="13"/>
      <c r="AY308" s="13"/>
      <c r="AZ308" s="13"/>
      <c r="BA308" s="13"/>
      <c r="BG308" s="51">
        <f t="shared" si="207"/>
        <v>0</v>
      </c>
      <c r="BH308" s="51">
        <f t="shared" si="208"/>
        <v>0</v>
      </c>
      <c r="BI308" s="51">
        <f t="shared" ca="1" si="209"/>
        <v>0</v>
      </c>
      <c r="BJ308" s="51">
        <f t="shared" ca="1" si="210"/>
        <v>0</v>
      </c>
      <c r="BK308" s="51">
        <f t="shared" si="211"/>
        <v>0</v>
      </c>
      <c r="BL308" s="51">
        <f t="shared" ca="1" si="212"/>
        <v>0</v>
      </c>
      <c r="BM308" s="51">
        <f t="shared" si="213"/>
        <v>0</v>
      </c>
      <c r="BN308" s="51">
        <f t="shared" si="214"/>
        <v>0</v>
      </c>
      <c r="BO308" s="51">
        <f t="shared" ca="1" si="215"/>
        <v>0</v>
      </c>
      <c r="BP308" s="51">
        <f t="shared" ca="1" si="216"/>
        <v>0</v>
      </c>
      <c r="BQ308" s="120"/>
      <c r="BR308" s="32"/>
      <c r="BS308" s="126"/>
      <c r="BT308" s="16"/>
      <c r="BU308" s="58"/>
      <c r="BW308" s="51">
        <f>VLOOKUP(H308,Charges!$AT$4:$AU$33,2,FALSE)*I308</f>
        <v>0</v>
      </c>
      <c r="BX308" s="51">
        <f t="shared" si="217"/>
        <v>0</v>
      </c>
      <c r="BY308" s="51">
        <f t="shared" si="225"/>
        <v>0</v>
      </c>
      <c r="BZ308" s="151"/>
      <c r="CA308" s="151"/>
      <c r="CB308" s="32"/>
      <c r="CC308" s="16">
        <f ca="1">SUM($N$7:$N308)</f>
        <v>0</v>
      </c>
      <c r="CD308" s="16">
        <f t="shared" ca="1" si="218"/>
        <v>0</v>
      </c>
      <c r="CE308" s="16">
        <f t="shared" ca="1" si="219"/>
        <v>0</v>
      </c>
      <c r="CF308" s="7">
        <f t="shared" ca="1" si="226"/>
        <v>0</v>
      </c>
    </row>
    <row r="309" spans="1:84" s="7" customFormat="1" x14ac:dyDescent="0.2">
      <c r="A309" s="149"/>
      <c r="B309" s="14">
        <f t="shared" si="188"/>
        <v>0</v>
      </c>
      <c r="C309" s="12">
        <f t="shared" si="189"/>
        <v>0</v>
      </c>
      <c r="D309" s="17">
        <f t="shared" si="227"/>
        <v>303</v>
      </c>
      <c r="E309" s="17">
        <f t="shared" ca="1" si="190"/>
        <v>85</v>
      </c>
      <c r="F309" s="12">
        <f t="shared" si="229"/>
        <v>2</v>
      </c>
      <c r="G309" s="12">
        <f t="shared" si="228"/>
        <v>51</v>
      </c>
      <c r="H309" s="17">
        <f t="shared" si="230"/>
        <v>26</v>
      </c>
      <c r="I309" s="29">
        <f t="shared" si="191"/>
        <v>0</v>
      </c>
      <c r="J309" s="211">
        <f>IFERROR(VLOOKUP(H309,Charges!$T$6:$U$35,2,0)*C309,0)</f>
        <v>0</v>
      </c>
      <c r="K309" s="29">
        <f t="shared" si="192"/>
        <v>0</v>
      </c>
      <c r="L309" s="29">
        <f t="shared" si="193"/>
        <v>0</v>
      </c>
      <c r="M309" s="147">
        <f t="shared" ca="1" si="194"/>
        <v>0</v>
      </c>
      <c r="N309" s="148">
        <f ca="1">IF(AND(Option_SPW="Y",H309&gt;=Lock_In_Period,Z308&gt;SPW_Amount_pa+IF(option="Single",1/5*pr,2*pr),H309&gt;=SPW_Start_Year,H309&lt;=SPW_Start_Year+SPW_Duration-1,age+H309&gt;=Legal_Age),IF(AND(F309=0,SPW_Payout_Freq=1),SPW_Amount_pa,IF(AND(SPW_Payout_Freq=2,MOD(F309,6)=0),SPW_Amount_pa/SPW_Payout_Freq,IF(AND(SPW_Payout_Freq=4,MOD(F309,3)=0),SPW_Amount_pa/SPW_Payout_Freq,IF(SPW_Payout_Freq=12,SPW_Amount_pa/SPW_Payout_Freq,0)))),0)+IFERROR(VLOOKUP(H309,Input!$B$68:$C$74,2,0),0)*(F309=0)*(Option_PW="Y")*(Option_SPW="N")*(age+H309&gt;=Legal_Age)</f>
        <v>0</v>
      </c>
      <c r="O309" s="148">
        <f t="shared" ca="1" si="220"/>
        <v>0</v>
      </c>
      <c r="P309" s="14">
        <f ca="1">(MAX(MAX(sa-CF308*Flag_UL_Type,105%*SUM($I$7:I309))-(AD308+L309-N309)*Flag_UL_Type,0)*B309)</f>
        <v>0</v>
      </c>
      <c r="Q309" s="213">
        <f t="shared" si="195"/>
        <v>0</v>
      </c>
      <c r="R309" s="14">
        <f t="shared" ca="1" si="196"/>
        <v>0</v>
      </c>
      <c r="S309" s="14">
        <f t="shared" ca="1" si="197"/>
        <v>0</v>
      </c>
      <c r="T309" s="14">
        <f>IFERROR(IF(WoP_Flag="Y",IF(fq=1,VLOOKUP(ppt*fq-H309,Charges!$AN$41:$AO$59,2,FALSE),IF(fq=2,VLOOKUP(ppt*fq-G309,Charges!$AP$41:$AQ$79,2,FALSE),VLOOKUP(ppt*fq-D309,Charges!$AR$41:$AS$279,2,FALSE)))*pr/fq,0),0)</f>
        <v>0</v>
      </c>
      <c r="U309" s="14">
        <f ca="1">IFERROR(((T309*(VLOOKUP(Input!$D$18+H309-1,Tab_Mort_Charge,IF(Gender_2="M",2,3),FALSE)*(1+_emr2)+_rpm2)/IF(Model_Type="LA_PQIS",1000/0.0833,(12*1000))))*Flag_Mort_Rider_Charge*(T309&gt;0),0)</f>
        <v>0</v>
      </c>
      <c r="V309" s="34">
        <f>ROUND(MIN(IF(H309&gt;=7,Charges!$C$12*(1+Charges!$C$14)^((H309-7+1)),VLOOKUP(H309,Charges!$B$7:$C$12,2,0))*pr,Charges!$C$13)*B309,Round)</f>
        <v>0</v>
      </c>
      <c r="W309" s="14">
        <f t="shared" ca="1" si="198"/>
        <v>0</v>
      </c>
      <c r="X309" s="14">
        <f t="shared" ca="1" si="199"/>
        <v>0</v>
      </c>
      <c r="Y309" s="213">
        <f t="shared" ca="1" si="221"/>
        <v>0</v>
      </c>
      <c r="Z309" s="14">
        <f t="shared" ca="1" si="200"/>
        <v>0</v>
      </c>
      <c r="AA309" s="14">
        <f>IF(AND($H309=pt,$F309=11),SUM($K$7:K309)*VLOOKUP(pt,ROC,2,FALSE),0)</f>
        <v>0</v>
      </c>
      <c r="AB309" s="14">
        <f>IF(AND($H309=pt,$F309=11),SUM($V$7:V309)*VLOOKUP(pt,ROC,2,FALSE),0)</f>
        <v>0</v>
      </c>
      <c r="AC309" s="14">
        <f>IF(AND($H309=pt,$F309=11),SUM($Q$7:Q309)*VLOOKUP(pt,ROC,2,FALSE),0)</f>
        <v>0</v>
      </c>
      <c r="AD309" s="14">
        <f t="shared" ca="1" si="222"/>
        <v>0</v>
      </c>
      <c r="AE309" s="14">
        <f ca="1">(MAX(sa-CF308*Flag_UL_Type,105%*SUM($I$7:I309),Z309)+AU309)*B309</f>
        <v>0</v>
      </c>
      <c r="AF309" s="136"/>
      <c r="AG309" s="18">
        <v>303</v>
      </c>
      <c r="AH309" s="30">
        <f t="shared" ca="1" si="201"/>
        <v>0</v>
      </c>
      <c r="AI309" s="58"/>
      <c r="AJ309" s="50">
        <f>IF(AND(Option_Sys_TopUp&gt;="Y",H309&gt;=sytp,H309&lt;=(dtp+sytp-1),F309=0,H309&lt;=ppt+1),atp,0)+IFERROR(VLOOKUP(H309,Input!$B$55:$C$61,2,0),0)*(F309=0)*(Option_TopUP="Y")*(Option_Sys_TopUp="N")*B309*(pt&gt;=H309+5)</f>
        <v>0</v>
      </c>
      <c r="AK309" s="50">
        <f t="shared" si="202"/>
        <v>0</v>
      </c>
      <c r="AL309" s="50">
        <f t="shared" si="223"/>
        <v>0</v>
      </c>
      <c r="AM309" s="50">
        <f t="shared" ca="1" si="203"/>
        <v>0</v>
      </c>
      <c r="AN309" s="50">
        <f>IF(B309=0,0,AT309*(_rpm1+(1+_emr1)*VLOOKUP(E309,Tab_Mort_Charge,IF(Input!$C$12="M",2,3),0))*(0.001*0.0833)*Flag_Mort_Rider_Charge*(AT309&gt;0))</f>
        <v>0</v>
      </c>
      <c r="AO309" s="50">
        <f t="shared" ca="1" si="224"/>
        <v>0</v>
      </c>
      <c r="AP309" s="50">
        <f t="shared" ca="1" si="231"/>
        <v>0</v>
      </c>
      <c r="AQ309" s="50">
        <f t="shared" ca="1" si="204"/>
        <v>0</v>
      </c>
      <c r="AR309" s="50">
        <f t="shared" ca="1" si="205"/>
        <v>0</v>
      </c>
      <c r="AS309" s="50">
        <f t="shared" si="206"/>
        <v>0</v>
      </c>
      <c r="AT309" s="50">
        <f ca="1">(MAX((MAX(AS309,105%*SUM($AJ$7:AJ309))-AM309*Flag_UL_Type),0)*B309)</f>
        <v>0</v>
      </c>
      <c r="AU309" s="50">
        <f ca="1">(MAX(AS309,AR309,105%*SUM($AJ$7:AJ309))*B309)</f>
        <v>0</v>
      </c>
      <c r="AV309" s="125"/>
      <c r="AW309" s="13"/>
      <c r="AX309" s="13"/>
      <c r="AY309" s="13"/>
      <c r="AZ309" s="13"/>
      <c r="BA309" s="13"/>
      <c r="BG309" s="51">
        <f t="shared" si="207"/>
        <v>0</v>
      </c>
      <c r="BH309" s="51">
        <f t="shared" si="208"/>
        <v>0</v>
      </c>
      <c r="BI309" s="51">
        <f t="shared" ca="1" si="209"/>
        <v>0</v>
      </c>
      <c r="BJ309" s="51">
        <f t="shared" ca="1" si="210"/>
        <v>0</v>
      </c>
      <c r="BK309" s="51">
        <f t="shared" si="211"/>
        <v>0</v>
      </c>
      <c r="BL309" s="51">
        <f t="shared" ca="1" si="212"/>
        <v>0</v>
      </c>
      <c r="BM309" s="51">
        <f t="shared" si="213"/>
        <v>0</v>
      </c>
      <c r="BN309" s="51">
        <f t="shared" si="214"/>
        <v>0</v>
      </c>
      <c r="BO309" s="51">
        <f t="shared" ca="1" si="215"/>
        <v>0</v>
      </c>
      <c r="BP309" s="51">
        <f t="shared" ca="1" si="216"/>
        <v>0</v>
      </c>
      <c r="BQ309" s="120"/>
      <c r="BR309" s="32"/>
      <c r="BS309" s="126"/>
      <c r="BT309" s="16"/>
      <c r="BU309" s="58"/>
      <c r="BW309" s="51">
        <f>VLOOKUP(H309,Charges!$AT$4:$AU$33,2,FALSE)*I309</f>
        <v>0</v>
      </c>
      <c r="BX309" s="51">
        <f t="shared" si="217"/>
        <v>0</v>
      </c>
      <c r="BY309" s="51">
        <f t="shared" si="225"/>
        <v>0</v>
      </c>
      <c r="BZ309" s="151"/>
      <c r="CA309" s="151"/>
      <c r="CB309" s="32"/>
      <c r="CC309" s="16">
        <f ca="1">SUM($N$7:$N309)</f>
        <v>0</v>
      </c>
      <c r="CD309" s="16">
        <f t="shared" ca="1" si="218"/>
        <v>0</v>
      </c>
      <c r="CE309" s="16">
        <f t="shared" ca="1" si="219"/>
        <v>0</v>
      </c>
      <c r="CF309" s="7">
        <f t="shared" ca="1" si="226"/>
        <v>0</v>
      </c>
    </row>
    <row r="310" spans="1:84" s="7" customFormat="1" x14ac:dyDescent="0.2">
      <c r="A310" s="149"/>
      <c r="B310" s="14">
        <f t="shared" si="188"/>
        <v>0</v>
      </c>
      <c r="C310" s="12">
        <f t="shared" si="189"/>
        <v>0</v>
      </c>
      <c r="D310" s="17">
        <f t="shared" si="227"/>
        <v>304</v>
      </c>
      <c r="E310" s="17">
        <f t="shared" ca="1" si="190"/>
        <v>85</v>
      </c>
      <c r="F310" s="12">
        <f t="shared" si="229"/>
        <v>3</v>
      </c>
      <c r="G310" s="12">
        <f t="shared" si="228"/>
        <v>51</v>
      </c>
      <c r="H310" s="17">
        <f t="shared" si="230"/>
        <v>26</v>
      </c>
      <c r="I310" s="29">
        <f t="shared" si="191"/>
        <v>0</v>
      </c>
      <c r="J310" s="211">
        <f>IFERROR(VLOOKUP(H310,Charges!$T$6:$U$35,2,0)*C310,0)</f>
        <v>0</v>
      </c>
      <c r="K310" s="29">
        <f t="shared" si="192"/>
        <v>0</v>
      </c>
      <c r="L310" s="29">
        <f t="shared" si="193"/>
        <v>0</v>
      </c>
      <c r="M310" s="147">
        <f t="shared" ca="1" si="194"/>
        <v>0</v>
      </c>
      <c r="N310" s="148">
        <f ca="1">IF(AND(Option_SPW="Y",H310&gt;=Lock_In_Period,Z309&gt;SPW_Amount_pa+IF(option="Single",1/5*pr,2*pr),H310&gt;=SPW_Start_Year,H310&lt;=SPW_Start_Year+SPW_Duration-1,age+H310&gt;=Legal_Age),IF(AND(F310=0,SPW_Payout_Freq=1),SPW_Amount_pa,IF(AND(SPW_Payout_Freq=2,MOD(F310,6)=0),SPW_Amount_pa/SPW_Payout_Freq,IF(AND(SPW_Payout_Freq=4,MOD(F310,3)=0),SPW_Amount_pa/SPW_Payout_Freq,IF(SPW_Payout_Freq=12,SPW_Amount_pa/SPW_Payout_Freq,0)))),0)+IFERROR(VLOOKUP(H310,Input!$B$68:$C$74,2,0),0)*(F310=0)*(Option_PW="Y")*(Option_SPW="N")*(age+H310&gt;=Legal_Age)</f>
        <v>0</v>
      </c>
      <c r="O310" s="148">
        <f t="shared" ca="1" si="220"/>
        <v>0</v>
      </c>
      <c r="P310" s="14">
        <f ca="1">(MAX(MAX(sa-CF309*Flag_UL_Type,105%*SUM($I$7:I310))-(AD309+L310-N310)*Flag_UL_Type,0)*B310)</f>
        <v>0</v>
      </c>
      <c r="Q310" s="213">
        <f t="shared" si="195"/>
        <v>0</v>
      </c>
      <c r="R310" s="14">
        <f t="shared" ca="1" si="196"/>
        <v>0</v>
      </c>
      <c r="S310" s="14">
        <f t="shared" ca="1" si="197"/>
        <v>0</v>
      </c>
      <c r="T310" s="14">
        <f>IFERROR(IF(WoP_Flag="Y",IF(fq=1,VLOOKUP(ppt*fq-H310,Charges!$AN$41:$AO$59,2,FALSE),IF(fq=2,VLOOKUP(ppt*fq-G310,Charges!$AP$41:$AQ$79,2,FALSE),VLOOKUP(ppt*fq-D310,Charges!$AR$41:$AS$279,2,FALSE)))*pr/fq,0),0)</f>
        <v>0</v>
      </c>
      <c r="U310" s="14">
        <f ca="1">IFERROR(((T310*(VLOOKUP(Input!$D$18+H310-1,Tab_Mort_Charge,IF(Gender_2="M",2,3),FALSE)*(1+_emr2)+_rpm2)/IF(Model_Type="LA_PQIS",1000/0.0833,(12*1000))))*Flag_Mort_Rider_Charge*(T310&gt;0),0)</f>
        <v>0</v>
      </c>
      <c r="V310" s="34">
        <f>ROUND(MIN(IF(H310&gt;=7,Charges!$C$12*(1+Charges!$C$14)^((H310-7+1)),VLOOKUP(H310,Charges!$B$7:$C$12,2,0))*pr,Charges!$C$13)*B310,Round)</f>
        <v>0</v>
      </c>
      <c r="W310" s="14">
        <f t="shared" ca="1" si="198"/>
        <v>0</v>
      </c>
      <c r="X310" s="14">
        <f t="shared" ca="1" si="199"/>
        <v>0</v>
      </c>
      <c r="Y310" s="213">
        <f t="shared" ca="1" si="221"/>
        <v>0</v>
      </c>
      <c r="Z310" s="14">
        <f t="shared" ca="1" si="200"/>
        <v>0</v>
      </c>
      <c r="AA310" s="14">
        <f>IF(AND($H310=pt,$F310=11),SUM($K$7:K310)*VLOOKUP(pt,ROC,2,FALSE),0)</f>
        <v>0</v>
      </c>
      <c r="AB310" s="14">
        <f>IF(AND($H310=pt,$F310=11),SUM($V$7:V310)*VLOOKUP(pt,ROC,2,FALSE),0)</f>
        <v>0</v>
      </c>
      <c r="AC310" s="14">
        <f>IF(AND($H310=pt,$F310=11),SUM($Q$7:Q310)*VLOOKUP(pt,ROC,2,FALSE),0)</f>
        <v>0</v>
      </c>
      <c r="AD310" s="14">
        <f t="shared" ca="1" si="222"/>
        <v>0</v>
      </c>
      <c r="AE310" s="14">
        <f ca="1">(MAX(sa-CF309*Flag_UL_Type,105%*SUM($I$7:I310),Z310)+AU310)*B310</f>
        <v>0</v>
      </c>
      <c r="AF310" s="136"/>
      <c r="AG310" s="18">
        <v>304</v>
      </c>
      <c r="AH310" s="30">
        <f t="shared" ca="1" si="201"/>
        <v>0</v>
      </c>
      <c r="AI310" s="58"/>
      <c r="AJ310" s="50">
        <f>IF(AND(Option_Sys_TopUp&gt;="Y",H310&gt;=sytp,H310&lt;=(dtp+sytp-1),F310=0,H310&lt;=ppt+1),atp,0)+IFERROR(VLOOKUP(H310,Input!$B$55:$C$61,2,0),0)*(F310=0)*(Option_TopUP="Y")*(Option_Sys_TopUp="N")*B310*(pt&gt;=H310+5)</f>
        <v>0</v>
      </c>
      <c r="AK310" s="50">
        <f t="shared" si="202"/>
        <v>0</v>
      </c>
      <c r="AL310" s="50">
        <f t="shared" si="223"/>
        <v>0</v>
      </c>
      <c r="AM310" s="50">
        <f t="shared" ca="1" si="203"/>
        <v>0</v>
      </c>
      <c r="AN310" s="50">
        <f>IF(B310=0,0,AT310*(_rpm1+(1+_emr1)*VLOOKUP(E310,Tab_Mort_Charge,IF(Input!$C$12="M",2,3),0))*(0.001*0.0833)*Flag_Mort_Rider_Charge*(AT310&gt;0))</f>
        <v>0</v>
      </c>
      <c r="AO310" s="50">
        <f t="shared" ca="1" si="224"/>
        <v>0</v>
      </c>
      <c r="AP310" s="50">
        <f t="shared" ca="1" si="231"/>
        <v>0</v>
      </c>
      <c r="AQ310" s="50">
        <f t="shared" ca="1" si="204"/>
        <v>0</v>
      </c>
      <c r="AR310" s="50">
        <f t="shared" ca="1" si="205"/>
        <v>0</v>
      </c>
      <c r="AS310" s="50">
        <f t="shared" si="206"/>
        <v>0</v>
      </c>
      <c r="AT310" s="50">
        <f ca="1">(MAX((MAX(AS310,105%*SUM($AJ$7:AJ310))-AM310*Flag_UL_Type),0)*B310)</f>
        <v>0</v>
      </c>
      <c r="AU310" s="50">
        <f ca="1">(MAX(AS310,AR310,105%*SUM($AJ$7:AJ310))*B310)</f>
        <v>0</v>
      </c>
      <c r="AV310" s="125"/>
      <c r="AW310" s="13"/>
      <c r="AX310" s="13"/>
      <c r="AY310" s="13"/>
      <c r="AZ310" s="13"/>
      <c r="BA310" s="13"/>
      <c r="BG310" s="51">
        <f t="shared" si="207"/>
        <v>0</v>
      </c>
      <c r="BH310" s="51">
        <f t="shared" si="208"/>
        <v>0</v>
      </c>
      <c r="BI310" s="51">
        <f t="shared" ca="1" si="209"/>
        <v>0</v>
      </c>
      <c r="BJ310" s="51">
        <f t="shared" ca="1" si="210"/>
        <v>0</v>
      </c>
      <c r="BK310" s="51">
        <f t="shared" si="211"/>
        <v>0</v>
      </c>
      <c r="BL310" s="51">
        <f t="shared" ca="1" si="212"/>
        <v>0</v>
      </c>
      <c r="BM310" s="51">
        <f t="shared" si="213"/>
        <v>0</v>
      </c>
      <c r="BN310" s="51">
        <f t="shared" si="214"/>
        <v>0</v>
      </c>
      <c r="BO310" s="51">
        <f t="shared" ca="1" si="215"/>
        <v>0</v>
      </c>
      <c r="BP310" s="51">
        <f t="shared" ca="1" si="216"/>
        <v>0</v>
      </c>
      <c r="BQ310" s="120"/>
      <c r="BR310" s="32"/>
      <c r="BS310" s="126"/>
      <c r="BT310" s="16"/>
      <c r="BU310" s="58"/>
      <c r="BW310" s="51">
        <f>VLOOKUP(H310,Charges!$AT$4:$AU$33,2,FALSE)*I310</f>
        <v>0</v>
      </c>
      <c r="BX310" s="51">
        <f t="shared" si="217"/>
        <v>0</v>
      </c>
      <c r="BY310" s="51">
        <f t="shared" si="225"/>
        <v>0</v>
      </c>
      <c r="BZ310" s="151"/>
      <c r="CA310" s="151"/>
      <c r="CB310" s="32"/>
      <c r="CC310" s="16">
        <f ca="1">SUM($N$7:$N310)</f>
        <v>0</v>
      </c>
      <c r="CD310" s="16">
        <f t="shared" ca="1" si="218"/>
        <v>0</v>
      </c>
      <c r="CE310" s="16">
        <f t="shared" ca="1" si="219"/>
        <v>0</v>
      </c>
      <c r="CF310" s="7">
        <f t="shared" ca="1" si="226"/>
        <v>0</v>
      </c>
    </row>
    <row r="311" spans="1:84" s="7" customFormat="1" x14ac:dyDescent="0.2">
      <c r="A311" s="149"/>
      <c r="B311" s="14">
        <f t="shared" si="188"/>
        <v>0</v>
      </c>
      <c r="C311" s="12">
        <f t="shared" si="189"/>
        <v>0</v>
      </c>
      <c r="D311" s="17">
        <f t="shared" si="227"/>
        <v>305</v>
      </c>
      <c r="E311" s="17">
        <f t="shared" ca="1" si="190"/>
        <v>85</v>
      </c>
      <c r="F311" s="12">
        <f t="shared" si="229"/>
        <v>4</v>
      </c>
      <c r="G311" s="12">
        <f t="shared" si="228"/>
        <v>51</v>
      </c>
      <c r="H311" s="17">
        <f t="shared" si="230"/>
        <v>26</v>
      </c>
      <c r="I311" s="29">
        <f t="shared" si="191"/>
        <v>0</v>
      </c>
      <c r="J311" s="211">
        <f>IFERROR(VLOOKUP(H311,Charges!$T$6:$U$35,2,0)*C311,0)</f>
        <v>0</v>
      </c>
      <c r="K311" s="29">
        <f t="shared" si="192"/>
        <v>0</v>
      </c>
      <c r="L311" s="29">
        <f t="shared" si="193"/>
        <v>0</v>
      </c>
      <c r="M311" s="147">
        <f t="shared" ca="1" si="194"/>
        <v>0</v>
      </c>
      <c r="N311" s="148">
        <f ca="1">IF(AND(Option_SPW="Y",H311&gt;=Lock_In_Period,Z310&gt;SPW_Amount_pa+IF(option="Single",1/5*pr,2*pr),H311&gt;=SPW_Start_Year,H311&lt;=SPW_Start_Year+SPW_Duration-1,age+H311&gt;=Legal_Age),IF(AND(F311=0,SPW_Payout_Freq=1),SPW_Amount_pa,IF(AND(SPW_Payout_Freq=2,MOD(F311,6)=0),SPW_Amount_pa/SPW_Payout_Freq,IF(AND(SPW_Payout_Freq=4,MOD(F311,3)=0),SPW_Amount_pa/SPW_Payout_Freq,IF(SPW_Payout_Freq=12,SPW_Amount_pa/SPW_Payout_Freq,0)))),0)+IFERROR(VLOOKUP(H311,Input!$B$68:$C$74,2,0),0)*(F311=0)*(Option_PW="Y")*(Option_SPW="N")*(age+H311&gt;=Legal_Age)</f>
        <v>0</v>
      </c>
      <c r="O311" s="148">
        <f t="shared" ca="1" si="220"/>
        <v>0</v>
      </c>
      <c r="P311" s="14">
        <f ca="1">(MAX(MAX(sa-CF310*Flag_UL_Type,105%*SUM($I$7:I311))-(AD310+L311-N311)*Flag_UL_Type,0)*B311)</f>
        <v>0</v>
      </c>
      <c r="Q311" s="213">
        <f t="shared" si="195"/>
        <v>0</v>
      </c>
      <c r="R311" s="14">
        <f t="shared" ca="1" si="196"/>
        <v>0</v>
      </c>
      <c r="S311" s="14">
        <f t="shared" ca="1" si="197"/>
        <v>0</v>
      </c>
      <c r="T311" s="14">
        <f>IFERROR(IF(WoP_Flag="Y",IF(fq=1,VLOOKUP(ppt*fq-H311,Charges!$AN$41:$AO$59,2,FALSE),IF(fq=2,VLOOKUP(ppt*fq-G311,Charges!$AP$41:$AQ$79,2,FALSE),VLOOKUP(ppt*fq-D311,Charges!$AR$41:$AS$279,2,FALSE)))*pr/fq,0),0)</f>
        <v>0</v>
      </c>
      <c r="U311" s="14">
        <f ca="1">IFERROR(((T311*(VLOOKUP(Input!$D$18+H311-1,Tab_Mort_Charge,IF(Gender_2="M",2,3),FALSE)*(1+_emr2)+_rpm2)/IF(Model_Type="LA_PQIS",1000/0.0833,(12*1000))))*Flag_Mort_Rider_Charge*(T311&gt;0),0)</f>
        <v>0</v>
      </c>
      <c r="V311" s="34">
        <f>ROUND(MIN(IF(H311&gt;=7,Charges!$C$12*(1+Charges!$C$14)^((H311-7+1)),VLOOKUP(H311,Charges!$B$7:$C$12,2,0))*pr,Charges!$C$13)*B311,Round)</f>
        <v>0</v>
      </c>
      <c r="W311" s="14">
        <f t="shared" ca="1" si="198"/>
        <v>0</v>
      </c>
      <c r="X311" s="14">
        <f t="shared" ca="1" si="199"/>
        <v>0</v>
      </c>
      <c r="Y311" s="213">
        <f t="shared" ca="1" si="221"/>
        <v>0</v>
      </c>
      <c r="Z311" s="14">
        <f t="shared" ca="1" si="200"/>
        <v>0</v>
      </c>
      <c r="AA311" s="14">
        <f>IF(AND($H311=pt,$F311=11),SUM($K$7:K311)*VLOOKUP(pt,ROC,2,FALSE),0)</f>
        <v>0</v>
      </c>
      <c r="AB311" s="14">
        <f>IF(AND($H311=pt,$F311=11),SUM($V$7:V311)*VLOOKUP(pt,ROC,2,FALSE),0)</f>
        <v>0</v>
      </c>
      <c r="AC311" s="14">
        <f>IF(AND($H311=pt,$F311=11),SUM($Q$7:Q311)*VLOOKUP(pt,ROC,2,FALSE),0)</f>
        <v>0</v>
      </c>
      <c r="AD311" s="14">
        <f t="shared" ca="1" si="222"/>
        <v>0</v>
      </c>
      <c r="AE311" s="14">
        <f ca="1">(MAX(sa-CF310*Flag_UL_Type,105%*SUM($I$7:I311),Z311)+AU311)*B311</f>
        <v>0</v>
      </c>
      <c r="AF311" s="136"/>
      <c r="AG311" s="18">
        <v>305</v>
      </c>
      <c r="AH311" s="30">
        <f t="shared" ca="1" si="201"/>
        <v>0</v>
      </c>
      <c r="AI311" s="58"/>
      <c r="AJ311" s="50">
        <f>IF(AND(Option_Sys_TopUp&gt;="Y",H311&gt;=sytp,H311&lt;=(dtp+sytp-1),F311=0,H311&lt;=ppt+1),atp,0)+IFERROR(VLOOKUP(H311,Input!$B$55:$C$61,2,0),0)*(F311=0)*(Option_TopUP="Y")*(Option_Sys_TopUp="N")*B311*(pt&gt;=H311+5)</f>
        <v>0</v>
      </c>
      <c r="AK311" s="50">
        <f t="shared" si="202"/>
        <v>0</v>
      </c>
      <c r="AL311" s="50">
        <f t="shared" si="223"/>
        <v>0</v>
      </c>
      <c r="AM311" s="50">
        <f t="shared" ca="1" si="203"/>
        <v>0</v>
      </c>
      <c r="AN311" s="50">
        <f>IF(B311=0,0,AT311*(_rpm1+(1+_emr1)*VLOOKUP(E311,Tab_Mort_Charge,IF(Input!$C$12="M",2,3),0))*(0.001*0.0833)*Flag_Mort_Rider_Charge*(AT311&gt;0))</f>
        <v>0</v>
      </c>
      <c r="AO311" s="50">
        <f t="shared" ca="1" si="224"/>
        <v>0</v>
      </c>
      <c r="AP311" s="50">
        <f t="shared" ca="1" si="231"/>
        <v>0</v>
      </c>
      <c r="AQ311" s="50">
        <f t="shared" ca="1" si="204"/>
        <v>0</v>
      </c>
      <c r="AR311" s="50">
        <f t="shared" ca="1" si="205"/>
        <v>0</v>
      </c>
      <c r="AS311" s="50">
        <f t="shared" si="206"/>
        <v>0</v>
      </c>
      <c r="AT311" s="50">
        <f ca="1">(MAX((MAX(AS311,105%*SUM($AJ$7:AJ311))-AM311*Flag_UL_Type),0)*B311)</f>
        <v>0</v>
      </c>
      <c r="AU311" s="50">
        <f ca="1">(MAX(AS311,AR311,105%*SUM($AJ$7:AJ311))*B311)</f>
        <v>0</v>
      </c>
      <c r="AV311" s="125"/>
      <c r="AW311" s="13"/>
      <c r="AX311" s="13"/>
      <c r="AY311" s="13"/>
      <c r="AZ311" s="13"/>
      <c r="BA311" s="13"/>
      <c r="BG311" s="51">
        <f t="shared" si="207"/>
        <v>0</v>
      </c>
      <c r="BH311" s="51">
        <f t="shared" si="208"/>
        <v>0</v>
      </c>
      <c r="BI311" s="51">
        <f t="shared" ca="1" si="209"/>
        <v>0</v>
      </c>
      <c r="BJ311" s="51">
        <f t="shared" ca="1" si="210"/>
        <v>0</v>
      </c>
      <c r="BK311" s="51">
        <f t="shared" si="211"/>
        <v>0</v>
      </c>
      <c r="BL311" s="51">
        <f t="shared" ca="1" si="212"/>
        <v>0</v>
      </c>
      <c r="BM311" s="51">
        <f t="shared" si="213"/>
        <v>0</v>
      </c>
      <c r="BN311" s="51">
        <f t="shared" si="214"/>
        <v>0</v>
      </c>
      <c r="BO311" s="51">
        <f t="shared" ca="1" si="215"/>
        <v>0</v>
      </c>
      <c r="BP311" s="51">
        <f t="shared" ca="1" si="216"/>
        <v>0</v>
      </c>
      <c r="BQ311" s="120"/>
      <c r="BR311" s="32"/>
      <c r="BS311" s="126"/>
      <c r="BT311" s="16"/>
      <c r="BU311" s="58"/>
      <c r="BW311" s="51">
        <f>VLOOKUP(H311,Charges!$AT$4:$AU$33,2,FALSE)*I311</f>
        <v>0</v>
      </c>
      <c r="BX311" s="51">
        <f t="shared" si="217"/>
        <v>0</v>
      </c>
      <c r="BY311" s="51">
        <f t="shared" si="225"/>
        <v>0</v>
      </c>
      <c r="BZ311" s="151"/>
      <c r="CA311" s="151"/>
      <c r="CB311" s="32"/>
      <c r="CC311" s="16">
        <f ca="1">SUM($N$7:$N311)</f>
        <v>0</v>
      </c>
      <c r="CD311" s="16">
        <f t="shared" ca="1" si="218"/>
        <v>0</v>
      </c>
      <c r="CE311" s="16">
        <f t="shared" ca="1" si="219"/>
        <v>0</v>
      </c>
      <c r="CF311" s="7">
        <f t="shared" ca="1" si="226"/>
        <v>0</v>
      </c>
    </row>
    <row r="312" spans="1:84" s="7" customFormat="1" x14ac:dyDescent="0.2">
      <c r="A312" s="149"/>
      <c r="B312" s="14">
        <f t="shared" si="188"/>
        <v>0</v>
      </c>
      <c r="C312" s="12">
        <f t="shared" si="189"/>
        <v>0</v>
      </c>
      <c r="D312" s="17">
        <f t="shared" si="227"/>
        <v>306</v>
      </c>
      <c r="E312" s="17">
        <f t="shared" ca="1" si="190"/>
        <v>85</v>
      </c>
      <c r="F312" s="12">
        <f t="shared" si="229"/>
        <v>5</v>
      </c>
      <c r="G312" s="12">
        <f t="shared" si="228"/>
        <v>51</v>
      </c>
      <c r="H312" s="17">
        <f t="shared" si="230"/>
        <v>26</v>
      </c>
      <c r="I312" s="29">
        <f t="shared" si="191"/>
        <v>0</v>
      </c>
      <c r="J312" s="211">
        <f>IFERROR(VLOOKUP(H312,Charges!$T$6:$U$35,2,0)*C312,0)</f>
        <v>0</v>
      </c>
      <c r="K312" s="29">
        <f t="shared" si="192"/>
        <v>0</v>
      </c>
      <c r="L312" s="29">
        <f t="shared" si="193"/>
        <v>0</v>
      </c>
      <c r="M312" s="147">
        <f t="shared" ca="1" si="194"/>
        <v>0</v>
      </c>
      <c r="N312" s="148">
        <f ca="1">IF(AND(Option_SPW="Y",H312&gt;=Lock_In_Period,Z311&gt;SPW_Amount_pa+IF(option="Single",1/5*pr,2*pr),H312&gt;=SPW_Start_Year,H312&lt;=SPW_Start_Year+SPW_Duration-1,age+H312&gt;=Legal_Age),IF(AND(F312=0,SPW_Payout_Freq=1),SPW_Amount_pa,IF(AND(SPW_Payout_Freq=2,MOD(F312,6)=0),SPW_Amount_pa/SPW_Payout_Freq,IF(AND(SPW_Payout_Freq=4,MOD(F312,3)=0),SPW_Amount_pa/SPW_Payout_Freq,IF(SPW_Payout_Freq=12,SPW_Amount_pa/SPW_Payout_Freq,0)))),0)+IFERROR(VLOOKUP(H312,Input!$B$68:$C$74,2,0),0)*(F312=0)*(Option_PW="Y")*(Option_SPW="N")*(age+H312&gt;=Legal_Age)</f>
        <v>0</v>
      </c>
      <c r="O312" s="148">
        <f t="shared" ca="1" si="220"/>
        <v>0</v>
      </c>
      <c r="P312" s="14">
        <f ca="1">(MAX(MAX(sa-CF311*Flag_UL_Type,105%*SUM($I$7:I312))-(AD311+L312-N312)*Flag_UL_Type,0)*B312)</f>
        <v>0</v>
      </c>
      <c r="Q312" s="213">
        <f t="shared" si="195"/>
        <v>0</v>
      </c>
      <c r="R312" s="14">
        <f t="shared" ca="1" si="196"/>
        <v>0</v>
      </c>
      <c r="S312" s="14">
        <f t="shared" ca="1" si="197"/>
        <v>0</v>
      </c>
      <c r="T312" s="14">
        <f>IFERROR(IF(WoP_Flag="Y",IF(fq=1,VLOOKUP(ppt*fq-H312,Charges!$AN$41:$AO$59,2,FALSE),IF(fq=2,VLOOKUP(ppt*fq-G312,Charges!$AP$41:$AQ$79,2,FALSE),VLOOKUP(ppt*fq-D312,Charges!$AR$41:$AS$279,2,FALSE)))*pr/fq,0),0)</f>
        <v>0</v>
      </c>
      <c r="U312" s="14">
        <f ca="1">IFERROR(((T312*(VLOOKUP(Input!$D$18+H312-1,Tab_Mort_Charge,IF(Gender_2="M",2,3),FALSE)*(1+_emr2)+_rpm2)/IF(Model_Type="LA_PQIS",1000/0.0833,(12*1000))))*Flag_Mort_Rider_Charge*(T312&gt;0),0)</f>
        <v>0</v>
      </c>
      <c r="V312" s="34">
        <f>ROUND(MIN(IF(H312&gt;=7,Charges!$C$12*(1+Charges!$C$14)^((H312-7+1)),VLOOKUP(H312,Charges!$B$7:$C$12,2,0))*pr,Charges!$C$13)*B312,Round)</f>
        <v>0</v>
      </c>
      <c r="W312" s="14">
        <f t="shared" ca="1" si="198"/>
        <v>0</v>
      </c>
      <c r="X312" s="14">
        <f t="shared" ca="1" si="199"/>
        <v>0</v>
      </c>
      <c r="Y312" s="213">
        <f t="shared" ca="1" si="221"/>
        <v>0</v>
      </c>
      <c r="Z312" s="14">
        <f t="shared" ca="1" si="200"/>
        <v>0</v>
      </c>
      <c r="AA312" s="14">
        <f>IF(AND($H312=pt,$F312=11),SUM($K$7:K312)*VLOOKUP(pt,ROC,2,FALSE),0)</f>
        <v>0</v>
      </c>
      <c r="AB312" s="14">
        <f>IF(AND($H312=pt,$F312=11),SUM($V$7:V312)*VLOOKUP(pt,ROC,2,FALSE),0)</f>
        <v>0</v>
      </c>
      <c r="AC312" s="14">
        <f>IF(AND($H312=pt,$F312=11),SUM($Q$7:Q312)*VLOOKUP(pt,ROC,2,FALSE),0)</f>
        <v>0</v>
      </c>
      <c r="AD312" s="14">
        <f t="shared" ca="1" si="222"/>
        <v>0</v>
      </c>
      <c r="AE312" s="14">
        <f ca="1">(MAX(sa-CF311*Flag_UL_Type,105%*SUM($I$7:I312),Z312)+AU312)*B312</f>
        <v>0</v>
      </c>
      <c r="AF312" s="136"/>
      <c r="AG312" s="18">
        <v>306</v>
      </c>
      <c r="AH312" s="30">
        <f t="shared" ca="1" si="201"/>
        <v>0</v>
      </c>
      <c r="AI312" s="58"/>
      <c r="AJ312" s="50">
        <f>IF(AND(Option_Sys_TopUp&gt;="Y",H312&gt;=sytp,H312&lt;=(dtp+sytp-1),F312=0,H312&lt;=ppt+1),atp,0)+IFERROR(VLOOKUP(H312,Input!$B$55:$C$61,2,0),0)*(F312=0)*(Option_TopUP="Y")*(Option_Sys_TopUp="N")*B312*(pt&gt;=H312+5)</f>
        <v>0</v>
      </c>
      <c r="AK312" s="50">
        <f t="shared" si="202"/>
        <v>0</v>
      </c>
      <c r="AL312" s="50">
        <f t="shared" si="223"/>
        <v>0</v>
      </c>
      <c r="AM312" s="50">
        <f t="shared" ca="1" si="203"/>
        <v>0</v>
      </c>
      <c r="AN312" s="50">
        <f>IF(B312=0,0,AT312*(_rpm1+(1+_emr1)*VLOOKUP(E312,Tab_Mort_Charge,IF(Input!$C$12="M",2,3),0))*(0.001*0.0833)*Flag_Mort_Rider_Charge*(AT312&gt;0))</f>
        <v>0</v>
      </c>
      <c r="AO312" s="50">
        <f t="shared" ca="1" si="224"/>
        <v>0</v>
      </c>
      <c r="AP312" s="50">
        <f t="shared" ca="1" si="231"/>
        <v>0</v>
      </c>
      <c r="AQ312" s="50">
        <f t="shared" ca="1" si="204"/>
        <v>0</v>
      </c>
      <c r="AR312" s="50">
        <f t="shared" ca="1" si="205"/>
        <v>0</v>
      </c>
      <c r="AS312" s="50">
        <f t="shared" si="206"/>
        <v>0</v>
      </c>
      <c r="AT312" s="50">
        <f ca="1">(MAX((MAX(AS312,105%*SUM($AJ$7:AJ312))-AM312*Flag_UL_Type),0)*B312)</f>
        <v>0</v>
      </c>
      <c r="AU312" s="50">
        <f ca="1">(MAX(AS312,AR312,105%*SUM($AJ$7:AJ312))*B312)</f>
        <v>0</v>
      </c>
      <c r="AV312" s="125"/>
      <c r="AW312" s="13"/>
      <c r="AX312" s="13"/>
      <c r="AY312" s="13"/>
      <c r="AZ312" s="13"/>
      <c r="BA312" s="13"/>
      <c r="BG312" s="51">
        <f t="shared" si="207"/>
        <v>0</v>
      </c>
      <c r="BH312" s="51">
        <f t="shared" si="208"/>
        <v>0</v>
      </c>
      <c r="BI312" s="51">
        <f t="shared" ca="1" si="209"/>
        <v>0</v>
      </c>
      <c r="BJ312" s="51">
        <f t="shared" ca="1" si="210"/>
        <v>0</v>
      </c>
      <c r="BK312" s="51">
        <f t="shared" si="211"/>
        <v>0</v>
      </c>
      <c r="BL312" s="51">
        <f t="shared" ca="1" si="212"/>
        <v>0</v>
      </c>
      <c r="BM312" s="51">
        <f t="shared" si="213"/>
        <v>0</v>
      </c>
      <c r="BN312" s="51">
        <f t="shared" si="214"/>
        <v>0</v>
      </c>
      <c r="BO312" s="51">
        <f t="shared" ca="1" si="215"/>
        <v>0</v>
      </c>
      <c r="BP312" s="51">
        <f t="shared" ca="1" si="216"/>
        <v>0</v>
      </c>
      <c r="BQ312" s="120"/>
      <c r="BR312" s="32"/>
      <c r="BS312" s="126"/>
      <c r="BT312" s="16"/>
      <c r="BU312" s="58"/>
      <c r="BW312" s="51">
        <f>VLOOKUP(H312,Charges!$AT$4:$AU$33,2,FALSE)*I312</f>
        <v>0</v>
      </c>
      <c r="BX312" s="51">
        <f t="shared" si="217"/>
        <v>0</v>
      </c>
      <c r="BY312" s="51">
        <f t="shared" si="225"/>
        <v>0</v>
      </c>
      <c r="BZ312" s="151"/>
      <c r="CA312" s="151"/>
      <c r="CB312" s="32"/>
      <c r="CC312" s="16">
        <f ca="1">SUM($N$7:$N312)</f>
        <v>0</v>
      </c>
      <c r="CD312" s="16">
        <f t="shared" ca="1" si="218"/>
        <v>0</v>
      </c>
      <c r="CE312" s="16">
        <f t="shared" ca="1" si="219"/>
        <v>0</v>
      </c>
      <c r="CF312" s="7">
        <f t="shared" ca="1" si="226"/>
        <v>0</v>
      </c>
    </row>
    <row r="313" spans="1:84" s="7" customFormat="1" x14ac:dyDescent="0.2">
      <c r="A313" s="149"/>
      <c r="B313" s="14">
        <f t="shared" si="188"/>
        <v>0</v>
      </c>
      <c r="C313" s="12">
        <f t="shared" si="189"/>
        <v>0</v>
      </c>
      <c r="D313" s="17">
        <f t="shared" si="227"/>
        <v>307</v>
      </c>
      <c r="E313" s="17">
        <f t="shared" ca="1" si="190"/>
        <v>85</v>
      </c>
      <c r="F313" s="12">
        <f t="shared" si="229"/>
        <v>6</v>
      </c>
      <c r="G313" s="12">
        <f t="shared" si="228"/>
        <v>52</v>
      </c>
      <c r="H313" s="17">
        <f t="shared" si="230"/>
        <v>26</v>
      </c>
      <c r="I313" s="29">
        <f t="shared" si="191"/>
        <v>0</v>
      </c>
      <c r="J313" s="211">
        <f>IFERROR(VLOOKUP(H313,Charges!$T$6:$U$35,2,0)*C313,0)</f>
        <v>0</v>
      </c>
      <c r="K313" s="29">
        <f t="shared" si="192"/>
        <v>0</v>
      </c>
      <c r="L313" s="29">
        <f t="shared" si="193"/>
        <v>0</v>
      </c>
      <c r="M313" s="147">
        <f t="shared" ca="1" si="194"/>
        <v>0</v>
      </c>
      <c r="N313" s="148">
        <f ca="1">IF(AND(Option_SPW="Y",H313&gt;=Lock_In_Period,Z312&gt;SPW_Amount_pa+IF(option="Single",1/5*pr,2*pr),H313&gt;=SPW_Start_Year,H313&lt;=SPW_Start_Year+SPW_Duration-1,age+H313&gt;=Legal_Age),IF(AND(F313=0,SPW_Payout_Freq=1),SPW_Amount_pa,IF(AND(SPW_Payout_Freq=2,MOD(F313,6)=0),SPW_Amount_pa/SPW_Payout_Freq,IF(AND(SPW_Payout_Freq=4,MOD(F313,3)=0),SPW_Amount_pa/SPW_Payout_Freq,IF(SPW_Payout_Freq=12,SPW_Amount_pa/SPW_Payout_Freq,0)))),0)+IFERROR(VLOOKUP(H313,Input!$B$68:$C$74,2,0),0)*(F313=0)*(Option_PW="Y")*(Option_SPW="N")*(age+H313&gt;=Legal_Age)</f>
        <v>0</v>
      </c>
      <c r="O313" s="148">
        <f t="shared" ca="1" si="220"/>
        <v>0</v>
      </c>
      <c r="P313" s="14">
        <f ca="1">(MAX(MAX(sa-CF312*Flag_UL_Type,105%*SUM($I$7:I313))-(AD312+L313-N313)*Flag_UL_Type,0)*B313)</f>
        <v>0</v>
      </c>
      <c r="Q313" s="213">
        <f t="shared" si="195"/>
        <v>0</v>
      </c>
      <c r="R313" s="14">
        <f t="shared" ca="1" si="196"/>
        <v>0</v>
      </c>
      <c r="S313" s="14">
        <f t="shared" ca="1" si="197"/>
        <v>0</v>
      </c>
      <c r="T313" s="14">
        <f>IFERROR(IF(WoP_Flag="Y",IF(fq=1,VLOOKUP(ppt*fq-H313,Charges!$AN$41:$AO$59,2,FALSE),IF(fq=2,VLOOKUP(ppt*fq-G313,Charges!$AP$41:$AQ$79,2,FALSE),VLOOKUP(ppt*fq-D313,Charges!$AR$41:$AS$279,2,FALSE)))*pr/fq,0),0)</f>
        <v>0</v>
      </c>
      <c r="U313" s="14">
        <f ca="1">IFERROR(((T313*(VLOOKUP(Input!$D$18+H313-1,Tab_Mort_Charge,IF(Gender_2="M",2,3),FALSE)*(1+_emr2)+_rpm2)/IF(Model_Type="LA_PQIS",1000/0.0833,(12*1000))))*Flag_Mort_Rider_Charge*(T313&gt;0),0)</f>
        <v>0</v>
      </c>
      <c r="V313" s="34">
        <f>ROUND(MIN(IF(H313&gt;=7,Charges!$C$12*(1+Charges!$C$14)^((H313-7+1)),VLOOKUP(H313,Charges!$B$7:$C$12,2,0))*pr,Charges!$C$13)*B313,Round)</f>
        <v>0</v>
      </c>
      <c r="W313" s="14">
        <f t="shared" ca="1" si="198"/>
        <v>0</v>
      </c>
      <c r="X313" s="14">
        <f t="shared" ca="1" si="199"/>
        <v>0</v>
      </c>
      <c r="Y313" s="213">
        <f t="shared" ca="1" si="221"/>
        <v>0</v>
      </c>
      <c r="Z313" s="14">
        <f t="shared" ca="1" si="200"/>
        <v>0</v>
      </c>
      <c r="AA313" s="14">
        <f>IF(AND($H313=pt,$F313=11),SUM($K$7:K313)*VLOOKUP(pt,ROC,2,FALSE),0)</f>
        <v>0</v>
      </c>
      <c r="AB313" s="14">
        <f>IF(AND($H313=pt,$F313=11),SUM($V$7:V313)*VLOOKUP(pt,ROC,2,FALSE),0)</f>
        <v>0</v>
      </c>
      <c r="AC313" s="14">
        <f>IF(AND($H313=pt,$F313=11),SUM($Q$7:Q313)*VLOOKUP(pt,ROC,2,FALSE),0)</f>
        <v>0</v>
      </c>
      <c r="AD313" s="14">
        <f t="shared" ca="1" si="222"/>
        <v>0</v>
      </c>
      <c r="AE313" s="14">
        <f ca="1">(MAX(sa-CF312*Flag_UL_Type,105%*SUM($I$7:I313),Z313)+AU313)*B313</f>
        <v>0</v>
      </c>
      <c r="AF313" s="136"/>
      <c r="AG313" s="18">
        <v>307</v>
      </c>
      <c r="AH313" s="30">
        <f t="shared" ca="1" si="201"/>
        <v>0</v>
      </c>
      <c r="AI313" s="58"/>
      <c r="AJ313" s="50">
        <f>IF(AND(Option_Sys_TopUp&gt;="Y",H313&gt;=sytp,H313&lt;=(dtp+sytp-1),F313=0,H313&lt;=ppt+1),atp,0)+IFERROR(VLOOKUP(H313,Input!$B$55:$C$61,2,0),0)*(F313=0)*(Option_TopUP="Y")*(Option_Sys_TopUp="N")*B313*(pt&gt;=H313+5)</f>
        <v>0</v>
      </c>
      <c r="AK313" s="50">
        <f t="shared" si="202"/>
        <v>0</v>
      </c>
      <c r="AL313" s="50">
        <f t="shared" si="223"/>
        <v>0</v>
      </c>
      <c r="AM313" s="50">
        <f t="shared" ca="1" si="203"/>
        <v>0</v>
      </c>
      <c r="AN313" s="50">
        <f>IF(B313=0,0,AT313*(_rpm1+(1+_emr1)*VLOOKUP(E313,Tab_Mort_Charge,IF(Input!$C$12="M",2,3),0))*(0.001*0.0833)*Flag_Mort_Rider_Charge*(AT313&gt;0))</f>
        <v>0</v>
      </c>
      <c r="AO313" s="50">
        <f t="shared" ca="1" si="224"/>
        <v>0</v>
      </c>
      <c r="AP313" s="50">
        <f t="shared" ca="1" si="231"/>
        <v>0</v>
      </c>
      <c r="AQ313" s="50">
        <f t="shared" ca="1" si="204"/>
        <v>0</v>
      </c>
      <c r="AR313" s="50">
        <f t="shared" ca="1" si="205"/>
        <v>0</v>
      </c>
      <c r="AS313" s="50">
        <f t="shared" si="206"/>
        <v>0</v>
      </c>
      <c r="AT313" s="50">
        <f ca="1">(MAX((MAX(AS313,105%*SUM($AJ$7:AJ313))-AM313*Flag_UL_Type),0)*B313)</f>
        <v>0</v>
      </c>
      <c r="AU313" s="50">
        <f ca="1">(MAX(AS313,AR313,105%*SUM($AJ$7:AJ313))*B313)</f>
        <v>0</v>
      </c>
      <c r="AV313" s="125"/>
      <c r="AW313" s="13"/>
      <c r="AX313" s="13"/>
      <c r="AY313" s="13"/>
      <c r="AZ313" s="13"/>
      <c r="BA313" s="13"/>
      <c r="BG313" s="51">
        <f t="shared" si="207"/>
        <v>0</v>
      </c>
      <c r="BH313" s="51">
        <f t="shared" si="208"/>
        <v>0</v>
      </c>
      <c r="BI313" s="51">
        <f t="shared" ca="1" si="209"/>
        <v>0</v>
      </c>
      <c r="BJ313" s="51">
        <f t="shared" ca="1" si="210"/>
        <v>0</v>
      </c>
      <c r="BK313" s="51">
        <f t="shared" si="211"/>
        <v>0</v>
      </c>
      <c r="BL313" s="51">
        <f t="shared" ca="1" si="212"/>
        <v>0</v>
      </c>
      <c r="BM313" s="51">
        <f t="shared" si="213"/>
        <v>0</v>
      </c>
      <c r="BN313" s="51">
        <f t="shared" si="214"/>
        <v>0</v>
      </c>
      <c r="BO313" s="51">
        <f t="shared" ca="1" si="215"/>
        <v>0</v>
      </c>
      <c r="BP313" s="51">
        <f t="shared" ca="1" si="216"/>
        <v>0</v>
      </c>
      <c r="BQ313" s="120"/>
      <c r="BR313" s="32"/>
      <c r="BS313" s="126"/>
      <c r="BT313" s="16"/>
      <c r="BU313" s="58"/>
      <c r="BW313" s="51">
        <f>VLOOKUP(H313,Charges!$AT$4:$AU$33,2,FALSE)*I313</f>
        <v>0</v>
      </c>
      <c r="BX313" s="51">
        <f t="shared" si="217"/>
        <v>0</v>
      </c>
      <c r="BY313" s="51">
        <f t="shared" si="225"/>
        <v>0</v>
      </c>
      <c r="BZ313" s="151"/>
      <c r="CA313" s="151"/>
      <c r="CB313" s="32"/>
      <c r="CC313" s="16">
        <f ca="1">SUM($N$7:$N313)</f>
        <v>0</v>
      </c>
      <c r="CD313" s="16">
        <f t="shared" ca="1" si="218"/>
        <v>0</v>
      </c>
      <c r="CE313" s="16">
        <f t="shared" ca="1" si="219"/>
        <v>0</v>
      </c>
      <c r="CF313" s="7">
        <f t="shared" ca="1" si="226"/>
        <v>0</v>
      </c>
    </row>
    <row r="314" spans="1:84" s="7" customFormat="1" x14ac:dyDescent="0.2">
      <c r="A314" s="149"/>
      <c r="B314" s="14">
        <f t="shared" si="188"/>
        <v>0</v>
      </c>
      <c r="C314" s="12">
        <f t="shared" si="189"/>
        <v>0</v>
      </c>
      <c r="D314" s="17">
        <f t="shared" si="227"/>
        <v>308</v>
      </c>
      <c r="E314" s="17">
        <f t="shared" ca="1" si="190"/>
        <v>85</v>
      </c>
      <c r="F314" s="12">
        <f t="shared" si="229"/>
        <v>7</v>
      </c>
      <c r="G314" s="12">
        <f t="shared" si="228"/>
        <v>52</v>
      </c>
      <c r="H314" s="17">
        <f t="shared" si="230"/>
        <v>26</v>
      </c>
      <c r="I314" s="29">
        <f t="shared" si="191"/>
        <v>0</v>
      </c>
      <c r="J314" s="211">
        <f>IFERROR(VLOOKUP(H314,Charges!$T$6:$U$35,2,0)*C314,0)</f>
        <v>0</v>
      </c>
      <c r="K314" s="29">
        <f t="shared" si="192"/>
        <v>0</v>
      </c>
      <c r="L314" s="29">
        <f t="shared" si="193"/>
        <v>0</v>
      </c>
      <c r="M314" s="147">
        <f t="shared" ca="1" si="194"/>
        <v>0</v>
      </c>
      <c r="N314" s="148">
        <f ca="1">IF(AND(Option_SPW="Y",H314&gt;=Lock_In_Period,Z313&gt;SPW_Amount_pa+IF(option="Single",1/5*pr,2*pr),H314&gt;=SPW_Start_Year,H314&lt;=SPW_Start_Year+SPW_Duration-1,age+H314&gt;=Legal_Age),IF(AND(F314=0,SPW_Payout_Freq=1),SPW_Amount_pa,IF(AND(SPW_Payout_Freq=2,MOD(F314,6)=0),SPW_Amount_pa/SPW_Payout_Freq,IF(AND(SPW_Payout_Freq=4,MOD(F314,3)=0),SPW_Amount_pa/SPW_Payout_Freq,IF(SPW_Payout_Freq=12,SPW_Amount_pa/SPW_Payout_Freq,0)))),0)+IFERROR(VLOOKUP(H314,Input!$B$68:$C$74,2,0),0)*(F314=0)*(Option_PW="Y")*(Option_SPW="N")*(age+H314&gt;=Legal_Age)</f>
        <v>0</v>
      </c>
      <c r="O314" s="148">
        <f t="shared" ca="1" si="220"/>
        <v>0</v>
      </c>
      <c r="P314" s="14">
        <f ca="1">(MAX(MAX(sa-CF313*Flag_UL_Type,105%*SUM($I$7:I314))-(AD313+L314-N314)*Flag_UL_Type,0)*B314)</f>
        <v>0</v>
      </c>
      <c r="Q314" s="213">
        <f t="shared" si="195"/>
        <v>0</v>
      </c>
      <c r="R314" s="14">
        <f t="shared" ca="1" si="196"/>
        <v>0</v>
      </c>
      <c r="S314" s="14">
        <f t="shared" ca="1" si="197"/>
        <v>0</v>
      </c>
      <c r="T314" s="14">
        <f>IFERROR(IF(WoP_Flag="Y",IF(fq=1,VLOOKUP(ppt*fq-H314,Charges!$AN$41:$AO$59,2,FALSE),IF(fq=2,VLOOKUP(ppt*fq-G314,Charges!$AP$41:$AQ$79,2,FALSE),VLOOKUP(ppt*fq-D314,Charges!$AR$41:$AS$279,2,FALSE)))*pr/fq,0),0)</f>
        <v>0</v>
      </c>
      <c r="U314" s="14">
        <f ca="1">IFERROR(((T314*(VLOOKUP(Input!$D$18+H314-1,Tab_Mort_Charge,IF(Gender_2="M",2,3),FALSE)*(1+_emr2)+_rpm2)/IF(Model_Type="LA_PQIS",1000/0.0833,(12*1000))))*Flag_Mort_Rider_Charge*(T314&gt;0),0)</f>
        <v>0</v>
      </c>
      <c r="V314" s="34">
        <f>ROUND(MIN(IF(H314&gt;=7,Charges!$C$12*(1+Charges!$C$14)^((H314-7+1)),VLOOKUP(H314,Charges!$B$7:$C$12,2,0))*pr,Charges!$C$13)*B314,Round)</f>
        <v>0</v>
      </c>
      <c r="W314" s="14">
        <f t="shared" ca="1" si="198"/>
        <v>0</v>
      </c>
      <c r="X314" s="14">
        <f t="shared" ca="1" si="199"/>
        <v>0</v>
      </c>
      <c r="Y314" s="213">
        <f t="shared" ca="1" si="221"/>
        <v>0</v>
      </c>
      <c r="Z314" s="14">
        <f t="shared" ca="1" si="200"/>
        <v>0</v>
      </c>
      <c r="AA314" s="14">
        <f>IF(AND($H314=pt,$F314=11),SUM($K$7:K314)*VLOOKUP(pt,ROC,2,FALSE),0)</f>
        <v>0</v>
      </c>
      <c r="AB314" s="14">
        <f>IF(AND($H314=pt,$F314=11),SUM($V$7:V314)*VLOOKUP(pt,ROC,2,FALSE),0)</f>
        <v>0</v>
      </c>
      <c r="AC314" s="14">
        <f>IF(AND($H314=pt,$F314=11),SUM($Q$7:Q314)*VLOOKUP(pt,ROC,2,FALSE),0)</f>
        <v>0</v>
      </c>
      <c r="AD314" s="14">
        <f t="shared" ca="1" si="222"/>
        <v>0</v>
      </c>
      <c r="AE314" s="14">
        <f ca="1">(MAX(sa-CF313*Flag_UL_Type,105%*SUM($I$7:I314),Z314)+AU314)*B314</f>
        <v>0</v>
      </c>
      <c r="AF314" s="136"/>
      <c r="AG314" s="18">
        <v>308</v>
      </c>
      <c r="AH314" s="30">
        <f t="shared" ca="1" si="201"/>
        <v>0</v>
      </c>
      <c r="AI314" s="58"/>
      <c r="AJ314" s="50">
        <f>IF(AND(Option_Sys_TopUp&gt;="Y",H314&gt;=sytp,H314&lt;=(dtp+sytp-1),F314=0,H314&lt;=ppt+1),atp,0)+IFERROR(VLOOKUP(H314,Input!$B$55:$C$61,2,0),0)*(F314=0)*(Option_TopUP="Y")*(Option_Sys_TopUp="N")*B314*(pt&gt;=H314+5)</f>
        <v>0</v>
      </c>
      <c r="AK314" s="50">
        <f t="shared" si="202"/>
        <v>0</v>
      </c>
      <c r="AL314" s="50">
        <f t="shared" si="223"/>
        <v>0</v>
      </c>
      <c r="AM314" s="50">
        <f t="shared" ca="1" si="203"/>
        <v>0</v>
      </c>
      <c r="AN314" s="50">
        <f>IF(B314=0,0,AT314*(_rpm1+(1+_emr1)*VLOOKUP(E314,Tab_Mort_Charge,IF(Input!$C$12="M",2,3),0))*(0.001*0.0833)*Flag_Mort_Rider_Charge*(AT314&gt;0))</f>
        <v>0</v>
      </c>
      <c r="AO314" s="50">
        <f t="shared" ca="1" si="224"/>
        <v>0</v>
      </c>
      <c r="AP314" s="50">
        <f t="shared" ca="1" si="231"/>
        <v>0</v>
      </c>
      <c r="AQ314" s="50">
        <f t="shared" ca="1" si="204"/>
        <v>0</v>
      </c>
      <c r="AR314" s="50">
        <f t="shared" ca="1" si="205"/>
        <v>0</v>
      </c>
      <c r="AS314" s="50">
        <f t="shared" si="206"/>
        <v>0</v>
      </c>
      <c r="AT314" s="50">
        <f ca="1">(MAX((MAX(AS314,105%*SUM($AJ$7:AJ314))-AM314*Flag_UL_Type),0)*B314)</f>
        <v>0</v>
      </c>
      <c r="AU314" s="50">
        <f ca="1">(MAX(AS314,AR314,105%*SUM($AJ$7:AJ314))*B314)</f>
        <v>0</v>
      </c>
      <c r="AV314" s="125"/>
      <c r="AW314" s="13"/>
      <c r="AX314" s="13"/>
      <c r="AY314" s="13"/>
      <c r="AZ314" s="13"/>
      <c r="BA314" s="13"/>
      <c r="BG314" s="51">
        <f t="shared" si="207"/>
        <v>0</v>
      </c>
      <c r="BH314" s="51">
        <f t="shared" si="208"/>
        <v>0</v>
      </c>
      <c r="BI314" s="51">
        <f t="shared" ca="1" si="209"/>
        <v>0</v>
      </c>
      <c r="BJ314" s="51">
        <f t="shared" ca="1" si="210"/>
        <v>0</v>
      </c>
      <c r="BK314" s="51">
        <f t="shared" si="211"/>
        <v>0</v>
      </c>
      <c r="BL314" s="51">
        <f t="shared" ca="1" si="212"/>
        <v>0</v>
      </c>
      <c r="BM314" s="51">
        <f t="shared" si="213"/>
        <v>0</v>
      </c>
      <c r="BN314" s="51">
        <f t="shared" si="214"/>
        <v>0</v>
      </c>
      <c r="BO314" s="51">
        <f t="shared" ca="1" si="215"/>
        <v>0</v>
      </c>
      <c r="BP314" s="51">
        <f t="shared" ca="1" si="216"/>
        <v>0</v>
      </c>
      <c r="BQ314" s="120"/>
      <c r="BR314" s="32"/>
      <c r="BS314" s="126"/>
      <c r="BT314" s="16"/>
      <c r="BU314" s="58"/>
      <c r="BW314" s="51">
        <f>VLOOKUP(H314,Charges!$AT$4:$AU$33,2,FALSE)*I314</f>
        <v>0</v>
      </c>
      <c r="BX314" s="51">
        <f t="shared" si="217"/>
        <v>0</v>
      </c>
      <c r="BY314" s="51">
        <f t="shared" si="225"/>
        <v>0</v>
      </c>
      <c r="BZ314" s="151"/>
      <c r="CA314" s="151"/>
      <c r="CB314" s="32"/>
      <c r="CC314" s="16">
        <f ca="1">SUM($N$7:$N314)</f>
        <v>0</v>
      </c>
      <c r="CD314" s="16">
        <f t="shared" ca="1" si="218"/>
        <v>0</v>
      </c>
      <c r="CE314" s="16">
        <f t="shared" ca="1" si="219"/>
        <v>0</v>
      </c>
      <c r="CF314" s="7">
        <f t="shared" ca="1" si="226"/>
        <v>0</v>
      </c>
    </row>
    <row r="315" spans="1:84" s="7" customFormat="1" x14ac:dyDescent="0.2">
      <c r="A315" s="149"/>
      <c r="B315" s="14">
        <f t="shared" si="188"/>
        <v>0</v>
      </c>
      <c r="C315" s="12">
        <f t="shared" si="189"/>
        <v>0</v>
      </c>
      <c r="D315" s="17">
        <f t="shared" si="227"/>
        <v>309</v>
      </c>
      <c r="E315" s="17">
        <f t="shared" ca="1" si="190"/>
        <v>85</v>
      </c>
      <c r="F315" s="12">
        <f t="shared" si="229"/>
        <v>8</v>
      </c>
      <c r="G315" s="12">
        <f t="shared" si="228"/>
        <v>52</v>
      </c>
      <c r="H315" s="17">
        <f t="shared" si="230"/>
        <v>26</v>
      </c>
      <c r="I315" s="29">
        <f t="shared" si="191"/>
        <v>0</v>
      </c>
      <c r="J315" s="211">
        <f>IFERROR(VLOOKUP(H315,Charges!$T$6:$U$35,2,0)*C315,0)</f>
        <v>0</v>
      </c>
      <c r="K315" s="29">
        <f t="shared" si="192"/>
        <v>0</v>
      </c>
      <c r="L315" s="29">
        <f t="shared" si="193"/>
        <v>0</v>
      </c>
      <c r="M315" s="147">
        <f t="shared" ca="1" si="194"/>
        <v>0</v>
      </c>
      <c r="N315" s="148">
        <f ca="1">IF(AND(Option_SPW="Y",H315&gt;=Lock_In_Period,Z314&gt;SPW_Amount_pa+IF(option="Single",1/5*pr,2*pr),H315&gt;=SPW_Start_Year,H315&lt;=SPW_Start_Year+SPW_Duration-1,age+H315&gt;=Legal_Age),IF(AND(F315=0,SPW_Payout_Freq=1),SPW_Amount_pa,IF(AND(SPW_Payout_Freq=2,MOD(F315,6)=0),SPW_Amount_pa/SPW_Payout_Freq,IF(AND(SPW_Payout_Freq=4,MOD(F315,3)=0),SPW_Amount_pa/SPW_Payout_Freq,IF(SPW_Payout_Freq=12,SPW_Amount_pa/SPW_Payout_Freq,0)))),0)+IFERROR(VLOOKUP(H315,Input!$B$68:$C$74,2,0),0)*(F315=0)*(Option_PW="Y")*(Option_SPW="N")*(age+H315&gt;=Legal_Age)</f>
        <v>0</v>
      </c>
      <c r="O315" s="148">
        <f t="shared" ca="1" si="220"/>
        <v>0</v>
      </c>
      <c r="P315" s="14">
        <f ca="1">(MAX(MAX(sa-CF314*Flag_UL_Type,105%*SUM($I$7:I315))-(AD314+L315-N315)*Flag_UL_Type,0)*B315)</f>
        <v>0</v>
      </c>
      <c r="Q315" s="213">
        <f t="shared" si="195"/>
        <v>0</v>
      </c>
      <c r="R315" s="14">
        <f t="shared" ca="1" si="196"/>
        <v>0</v>
      </c>
      <c r="S315" s="14">
        <f t="shared" ca="1" si="197"/>
        <v>0</v>
      </c>
      <c r="T315" s="14">
        <f>IFERROR(IF(WoP_Flag="Y",IF(fq=1,VLOOKUP(ppt*fq-H315,Charges!$AN$41:$AO$59,2,FALSE),IF(fq=2,VLOOKUP(ppt*fq-G315,Charges!$AP$41:$AQ$79,2,FALSE),VLOOKUP(ppt*fq-D315,Charges!$AR$41:$AS$279,2,FALSE)))*pr/fq,0),0)</f>
        <v>0</v>
      </c>
      <c r="U315" s="14">
        <f ca="1">IFERROR(((T315*(VLOOKUP(Input!$D$18+H315-1,Tab_Mort_Charge,IF(Gender_2="M",2,3),FALSE)*(1+_emr2)+_rpm2)/IF(Model_Type="LA_PQIS",1000/0.0833,(12*1000))))*Flag_Mort_Rider_Charge*(T315&gt;0),0)</f>
        <v>0</v>
      </c>
      <c r="V315" s="34">
        <f>ROUND(MIN(IF(H315&gt;=7,Charges!$C$12*(1+Charges!$C$14)^((H315-7+1)),VLOOKUP(H315,Charges!$B$7:$C$12,2,0))*pr,Charges!$C$13)*B315,Round)</f>
        <v>0</v>
      </c>
      <c r="W315" s="14">
        <f t="shared" ca="1" si="198"/>
        <v>0</v>
      </c>
      <c r="X315" s="14">
        <f t="shared" ca="1" si="199"/>
        <v>0</v>
      </c>
      <c r="Y315" s="213">
        <f t="shared" ca="1" si="221"/>
        <v>0</v>
      </c>
      <c r="Z315" s="14">
        <f t="shared" ca="1" si="200"/>
        <v>0</v>
      </c>
      <c r="AA315" s="14">
        <f>IF(AND($H315=pt,$F315=11),SUM($K$7:K315)*VLOOKUP(pt,ROC,2,FALSE),0)</f>
        <v>0</v>
      </c>
      <c r="AB315" s="14">
        <f>IF(AND($H315=pt,$F315=11),SUM($V$7:V315)*VLOOKUP(pt,ROC,2,FALSE),0)</f>
        <v>0</v>
      </c>
      <c r="AC315" s="14">
        <f>IF(AND($H315=pt,$F315=11),SUM($Q$7:Q315)*VLOOKUP(pt,ROC,2,FALSE),0)</f>
        <v>0</v>
      </c>
      <c r="AD315" s="14">
        <f t="shared" ca="1" si="222"/>
        <v>0</v>
      </c>
      <c r="AE315" s="14">
        <f ca="1">(MAX(sa-CF314*Flag_UL_Type,105%*SUM($I$7:I315),Z315)+AU315)*B315</f>
        <v>0</v>
      </c>
      <c r="AF315" s="136"/>
      <c r="AG315" s="18">
        <v>309</v>
      </c>
      <c r="AH315" s="30">
        <f t="shared" ca="1" si="201"/>
        <v>0</v>
      </c>
      <c r="AI315" s="58"/>
      <c r="AJ315" s="50">
        <f>IF(AND(Option_Sys_TopUp&gt;="Y",H315&gt;=sytp,H315&lt;=(dtp+sytp-1),F315=0,H315&lt;=ppt+1),atp,0)+IFERROR(VLOOKUP(H315,Input!$B$55:$C$61,2,0),0)*(F315=0)*(Option_TopUP="Y")*(Option_Sys_TopUp="N")*B315*(pt&gt;=H315+5)</f>
        <v>0</v>
      </c>
      <c r="AK315" s="50">
        <f t="shared" si="202"/>
        <v>0</v>
      </c>
      <c r="AL315" s="50">
        <f t="shared" si="223"/>
        <v>0</v>
      </c>
      <c r="AM315" s="50">
        <f t="shared" ca="1" si="203"/>
        <v>0</v>
      </c>
      <c r="AN315" s="50">
        <f>IF(B315=0,0,AT315*(_rpm1+(1+_emr1)*VLOOKUP(E315,Tab_Mort_Charge,IF(Input!$C$12="M",2,3),0))*(0.001*0.0833)*Flag_Mort_Rider_Charge*(AT315&gt;0))</f>
        <v>0</v>
      </c>
      <c r="AO315" s="50">
        <f t="shared" ca="1" si="224"/>
        <v>0</v>
      </c>
      <c r="AP315" s="50">
        <f t="shared" ca="1" si="231"/>
        <v>0</v>
      </c>
      <c r="AQ315" s="50">
        <f t="shared" ca="1" si="204"/>
        <v>0</v>
      </c>
      <c r="AR315" s="50">
        <f t="shared" ca="1" si="205"/>
        <v>0</v>
      </c>
      <c r="AS315" s="50">
        <f t="shared" si="206"/>
        <v>0</v>
      </c>
      <c r="AT315" s="50">
        <f ca="1">(MAX((MAX(AS315,105%*SUM($AJ$7:AJ315))-AM315*Flag_UL_Type),0)*B315)</f>
        <v>0</v>
      </c>
      <c r="AU315" s="50">
        <f ca="1">(MAX(AS315,AR315,105%*SUM($AJ$7:AJ315))*B315)</f>
        <v>0</v>
      </c>
      <c r="AV315" s="125"/>
      <c r="AW315" s="13"/>
      <c r="AX315" s="13"/>
      <c r="AY315" s="13"/>
      <c r="AZ315" s="13"/>
      <c r="BA315" s="13"/>
      <c r="BG315" s="51">
        <f t="shared" si="207"/>
        <v>0</v>
      </c>
      <c r="BH315" s="51">
        <f t="shared" si="208"/>
        <v>0</v>
      </c>
      <c r="BI315" s="51">
        <f t="shared" ca="1" si="209"/>
        <v>0</v>
      </c>
      <c r="BJ315" s="51">
        <f t="shared" ca="1" si="210"/>
        <v>0</v>
      </c>
      <c r="BK315" s="51">
        <f t="shared" si="211"/>
        <v>0</v>
      </c>
      <c r="BL315" s="51">
        <f t="shared" ca="1" si="212"/>
        <v>0</v>
      </c>
      <c r="BM315" s="51">
        <f t="shared" si="213"/>
        <v>0</v>
      </c>
      <c r="BN315" s="51">
        <f t="shared" si="214"/>
        <v>0</v>
      </c>
      <c r="BO315" s="51">
        <f t="shared" ca="1" si="215"/>
        <v>0</v>
      </c>
      <c r="BP315" s="51">
        <f t="shared" ca="1" si="216"/>
        <v>0</v>
      </c>
      <c r="BQ315" s="120"/>
      <c r="BR315" s="32"/>
      <c r="BS315" s="126"/>
      <c r="BT315" s="16"/>
      <c r="BU315" s="58"/>
      <c r="BW315" s="51">
        <f>VLOOKUP(H315,Charges!$AT$4:$AU$33,2,FALSE)*I315</f>
        <v>0</v>
      </c>
      <c r="BX315" s="51">
        <f t="shared" si="217"/>
        <v>0</v>
      </c>
      <c r="BY315" s="51">
        <f t="shared" si="225"/>
        <v>0</v>
      </c>
      <c r="BZ315" s="151"/>
      <c r="CA315" s="151"/>
      <c r="CB315" s="32"/>
      <c r="CC315" s="16">
        <f ca="1">SUM($N$7:$N315)</f>
        <v>0</v>
      </c>
      <c r="CD315" s="16">
        <f t="shared" ca="1" si="218"/>
        <v>0</v>
      </c>
      <c r="CE315" s="16">
        <f t="shared" ca="1" si="219"/>
        <v>0</v>
      </c>
      <c r="CF315" s="7">
        <f t="shared" ca="1" si="226"/>
        <v>0</v>
      </c>
    </row>
    <row r="316" spans="1:84" s="7" customFormat="1" x14ac:dyDescent="0.2">
      <c r="A316" s="149"/>
      <c r="B316" s="14">
        <f t="shared" si="188"/>
        <v>0</v>
      </c>
      <c r="C316" s="12">
        <f t="shared" si="189"/>
        <v>0</v>
      </c>
      <c r="D316" s="17">
        <f t="shared" si="227"/>
        <v>310</v>
      </c>
      <c r="E316" s="17">
        <f t="shared" ca="1" si="190"/>
        <v>85</v>
      </c>
      <c r="F316" s="12">
        <f t="shared" si="229"/>
        <v>9</v>
      </c>
      <c r="G316" s="12">
        <f t="shared" si="228"/>
        <v>52</v>
      </c>
      <c r="H316" s="17">
        <f t="shared" si="230"/>
        <v>26</v>
      </c>
      <c r="I316" s="29">
        <f t="shared" si="191"/>
        <v>0</v>
      </c>
      <c r="J316" s="211">
        <f>IFERROR(VLOOKUP(H316,Charges!$T$6:$U$35,2,0)*C316,0)</f>
        <v>0</v>
      </c>
      <c r="K316" s="29">
        <f t="shared" si="192"/>
        <v>0</v>
      </c>
      <c r="L316" s="29">
        <f t="shared" si="193"/>
        <v>0</v>
      </c>
      <c r="M316" s="147">
        <f t="shared" ca="1" si="194"/>
        <v>0</v>
      </c>
      <c r="N316" s="148">
        <f ca="1">IF(AND(Option_SPW="Y",H316&gt;=Lock_In_Period,Z315&gt;SPW_Amount_pa+IF(option="Single",1/5*pr,2*pr),H316&gt;=SPW_Start_Year,H316&lt;=SPW_Start_Year+SPW_Duration-1,age+H316&gt;=Legal_Age),IF(AND(F316=0,SPW_Payout_Freq=1),SPW_Amount_pa,IF(AND(SPW_Payout_Freq=2,MOD(F316,6)=0),SPW_Amount_pa/SPW_Payout_Freq,IF(AND(SPW_Payout_Freq=4,MOD(F316,3)=0),SPW_Amount_pa/SPW_Payout_Freq,IF(SPW_Payout_Freq=12,SPW_Amount_pa/SPW_Payout_Freq,0)))),0)+IFERROR(VLOOKUP(H316,Input!$B$68:$C$74,2,0),0)*(F316=0)*(Option_PW="Y")*(Option_SPW="N")*(age+H316&gt;=Legal_Age)</f>
        <v>0</v>
      </c>
      <c r="O316" s="148">
        <f t="shared" ca="1" si="220"/>
        <v>0</v>
      </c>
      <c r="P316" s="14">
        <f ca="1">(MAX(MAX(sa-CF315*Flag_UL_Type,105%*SUM($I$7:I316))-(AD315+L316-N316)*Flag_UL_Type,0)*B316)</f>
        <v>0</v>
      </c>
      <c r="Q316" s="213">
        <f t="shared" si="195"/>
        <v>0</v>
      </c>
      <c r="R316" s="14">
        <f t="shared" ca="1" si="196"/>
        <v>0</v>
      </c>
      <c r="S316" s="14">
        <f t="shared" ca="1" si="197"/>
        <v>0</v>
      </c>
      <c r="T316" s="14">
        <f>IFERROR(IF(WoP_Flag="Y",IF(fq=1,VLOOKUP(ppt*fq-H316,Charges!$AN$41:$AO$59,2,FALSE),IF(fq=2,VLOOKUP(ppt*fq-G316,Charges!$AP$41:$AQ$79,2,FALSE),VLOOKUP(ppt*fq-D316,Charges!$AR$41:$AS$279,2,FALSE)))*pr/fq,0),0)</f>
        <v>0</v>
      </c>
      <c r="U316" s="14">
        <f ca="1">IFERROR(((T316*(VLOOKUP(Input!$D$18+H316-1,Tab_Mort_Charge,IF(Gender_2="M",2,3),FALSE)*(1+_emr2)+_rpm2)/IF(Model_Type="LA_PQIS",1000/0.0833,(12*1000))))*Flag_Mort_Rider_Charge*(T316&gt;0),0)</f>
        <v>0</v>
      </c>
      <c r="V316" s="34">
        <f>ROUND(MIN(IF(H316&gt;=7,Charges!$C$12*(1+Charges!$C$14)^((H316-7+1)),VLOOKUP(H316,Charges!$B$7:$C$12,2,0))*pr,Charges!$C$13)*B316,Round)</f>
        <v>0</v>
      </c>
      <c r="W316" s="14">
        <f t="shared" ca="1" si="198"/>
        <v>0</v>
      </c>
      <c r="X316" s="14">
        <f t="shared" ca="1" si="199"/>
        <v>0</v>
      </c>
      <c r="Y316" s="213">
        <f t="shared" ca="1" si="221"/>
        <v>0</v>
      </c>
      <c r="Z316" s="14">
        <f t="shared" ca="1" si="200"/>
        <v>0</v>
      </c>
      <c r="AA316" s="14">
        <f>IF(AND($H316=pt,$F316=11),SUM($K$7:K316)*VLOOKUP(pt,ROC,2,FALSE),0)</f>
        <v>0</v>
      </c>
      <c r="AB316" s="14">
        <f>IF(AND($H316=pt,$F316=11),SUM($V$7:V316)*VLOOKUP(pt,ROC,2,FALSE),0)</f>
        <v>0</v>
      </c>
      <c r="AC316" s="14">
        <f>IF(AND($H316=pt,$F316=11),SUM($Q$7:Q316)*VLOOKUP(pt,ROC,2,FALSE),0)</f>
        <v>0</v>
      </c>
      <c r="AD316" s="14">
        <f t="shared" ca="1" si="222"/>
        <v>0</v>
      </c>
      <c r="AE316" s="14">
        <f ca="1">(MAX(sa-CF315*Flag_UL_Type,105%*SUM($I$7:I316),Z316)+AU316)*B316</f>
        <v>0</v>
      </c>
      <c r="AF316" s="136"/>
      <c r="AG316" s="18">
        <v>310</v>
      </c>
      <c r="AH316" s="30">
        <f t="shared" ca="1" si="201"/>
        <v>0</v>
      </c>
      <c r="AI316" s="58"/>
      <c r="AJ316" s="50">
        <f>IF(AND(Option_Sys_TopUp&gt;="Y",H316&gt;=sytp,H316&lt;=(dtp+sytp-1),F316=0,H316&lt;=ppt+1),atp,0)+IFERROR(VLOOKUP(H316,Input!$B$55:$C$61,2,0),0)*(F316=0)*(Option_TopUP="Y")*(Option_Sys_TopUp="N")*B316*(pt&gt;=H316+5)</f>
        <v>0</v>
      </c>
      <c r="AK316" s="50">
        <f t="shared" si="202"/>
        <v>0</v>
      </c>
      <c r="AL316" s="50">
        <f t="shared" si="223"/>
        <v>0</v>
      </c>
      <c r="AM316" s="50">
        <f t="shared" ca="1" si="203"/>
        <v>0</v>
      </c>
      <c r="AN316" s="50">
        <f>IF(B316=0,0,AT316*(_rpm1+(1+_emr1)*VLOOKUP(E316,Tab_Mort_Charge,IF(Input!$C$12="M",2,3),0))*(0.001*0.0833)*Flag_Mort_Rider_Charge*(AT316&gt;0))</f>
        <v>0</v>
      </c>
      <c r="AO316" s="50">
        <f t="shared" ca="1" si="224"/>
        <v>0</v>
      </c>
      <c r="AP316" s="50">
        <f t="shared" ca="1" si="231"/>
        <v>0</v>
      </c>
      <c r="AQ316" s="50">
        <f t="shared" ca="1" si="204"/>
        <v>0</v>
      </c>
      <c r="AR316" s="50">
        <f t="shared" ca="1" si="205"/>
        <v>0</v>
      </c>
      <c r="AS316" s="50">
        <f t="shared" si="206"/>
        <v>0</v>
      </c>
      <c r="AT316" s="50">
        <f ca="1">(MAX((MAX(AS316,105%*SUM($AJ$7:AJ316))-AM316*Flag_UL_Type),0)*B316)</f>
        <v>0</v>
      </c>
      <c r="AU316" s="50">
        <f ca="1">(MAX(AS316,AR316,105%*SUM($AJ$7:AJ316))*B316)</f>
        <v>0</v>
      </c>
      <c r="AV316" s="125"/>
      <c r="AW316" s="13"/>
      <c r="AX316" s="13"/>
      <c r="AY316" s="13"/>
      <c r="AZ316" s="13"/>
      <c r="BA316" s="13"/>
      <c r="BG316" s="51">
        <f t="shared" si="207"/>
        <v>0</v>
      </c>
      <c r="BH316" s="51">
        <f t="shared" si="208"/>
        <v>0</v>
      </c>
      <c r="BI316" s="51">
        <f t="shared" ca="1" si="209"/>
        <v>0</v>
      </c>
      <c r="BJ316" s="51">
        <f t="shared" ca="1" si="210"/>
        <v>0</v>
      </c>
      <c r="BK316" s="51">
        <f t="shared" si="211"/>
        <v>0</v>
      </c>
      <c r="BL316" s="51">
        <f t="shared" ca="1" si="212"/>
        <v>0</v>
      </c>
      <c r="BM316" s="51">
        <f t="shared" si="213"/>
        <v>0</v>
      </c>
      <c r="BN316" s="51">
        <f t="shared" si="214"/>
        <v>0</v>
      </c>
      <c r="BO316" s="51">
        <f t="shared" ca="1" si="215"/>
        <v>0</v>
      </c>
      <c r="BP316" s="51">
        <f t="shared" ca="1" si="216"/>
        <v>0</v>
      </c>
      <c r="BQ316" s="120"/>
      <c r="BR316" s="32"/>
      <c r="BS316" s="126"/>
      <c r="BT316" s="16"/>
      <c r="BU316" s="58"/>
      <c r="BW316" s="51">
        <f>VLOOKUP(H316,Charges!$AT$4:$AU$33,2,FALSE)*I316</f>
        <v>0</v>
      </c>
      <c r="BX316" s="51">
        <f t="shared" si="217"/>
        <v>0</v>
      </c>
      <c r="BY316" s="51">
        <f t="shared" si="225"/>
        <v>0</v>
      </c>
      <c r="BZ316" s="151"/>
      <c r="CA316" s="151"/>
      <c r="CB316" s="32"/>
      <c r="CC316" s="16">
        <f ca="1">SUM($N$7:$N316)</f>
        <v>0</v>
      </c>
      <c r="CD316" s="16">
        <f t="shared" ca="1" si="218"/>
        <v>0</v>
      </c>
      <c r="CE316" s="16">
        <f t="shared" ca="1" si="219"/>
        <v>0</v>
      </c>
      <c r="CF316" s="7">
        <f t="shared" ca="1" si="226"/>
        <v>0</v>
      </c>
    </row>
    <row r="317" spans="1:84" s="7" customFormat="1" x14ac:dyDescent="0.2">
      <c r="A317" s="149"/>
      <c r="B317" s="14">
        <f t="shared" si="188"/>
        <v>0</v>
      </c>
      <c r="C317" s="12">
        <f t="shared" si="189"/>
        <v>0</v>
      </c>
      <c r="D317" s="17">
        <f t="shared" si="227"/>
        <v>311</v>
      </c>
      <c r="E317" s="17">
        <f t="shared" ca="1" si="190"/>
        <v>85</v>
      </c>
      <c r="F317" s="12">
        <f t="shared" si="229"/>
        <v>10</v>
      </c>
      <c r="G317" s="12">
        <f t="shared" si="228"/>
        <v>52</v>
      </c>
      <c r="H317" s="17">
        <f t="shared" si="230"/>
        <v>26</v>
      </c>
      <c r="I317" s="29">
        <f t="shared" si="191"/>
        <v>0</v>
      </c>
      <c r="J317" s="211">
        <f>IFERROR(VLOOKUP(H317,Charges!$T$6:$U$35,2,0)*C317,0)</f>
        <v>0</v>
      </c>
      <c r="K317" s="29">
        <f t="shared" si="192"/>
        <v>0</v>
      </c>
      <c r="L317" s="29">
        <f t="shared" si="193"/>
        <v>0</v>
      </c>
      <c r="M317" s="147">
        <f t="shared" ca="1" si="194"/>
        <v>0</v>
      </c>
      <c r="N317" s="148">
        <f ca="1">IF(AND(Option_SPW="Y",H317&gt;=Lock_In_Period,Z316&gt;SPW_Amount_pa+IF(option="Single",1/5*pr,2*pr),H317&gt;=SPW_Start_Year,H317&lt;=SPW_Start_Year+SPW_Duration-1,age+H317&gt;=Legal_Age),IF(AND(F317=0,SPW_Payout_Freq=1),SPW_Amount_pa,IF(AND(SPW_Payout_Freq=2,MOD(F317,6)=0),SPW_Amount_pa/SPW_Payout_Freq,IF(AND(SPW_Payout_Freq=4,MOD(F317,3)=0),SPW_Amount_pa/SPW_Payout_Freq,IF(SPW_Payout_Freq=12,SPW_Amount_pa/SPW_Payout_Freq,0)))),0)+IFERROR(VLOOKUP(H317,Input!$B$68:$C$74,2,0),0)*(F317=0)*(Option_PW="Y")*(Option_SPW="N")*(age+H317&gt;=Legal_Age)</f>
        <v>0</v>
      </c>
      <c r="O317" s="148">
        <f t="shared" ca="1" si="220"/>
        <v>0</v>
      </c>
      <c r="P317" s="14">
        <f ca="1">(MAX(MAX(sa-CF316*Flag_UL_Type,105%*SUM($I$7:I317))-(AD316+L317-N317)*Flag_UL_Type,0)*B317)</f>
        <v>0</v>
      </c>
      <c r="Q317" s="213">
        <f t="shared" si="195"/>
        <v>0</v>
      </c>
      <c r="R317" s="14">
        <f t="shared" ca="1" si="196"/>
        <v>0</v>
      </c>
      <c r="S317" s="14">
        <f t="shared" ca="1" si="197"/>
        <v>0</v>
      </c>
      <c r="T317" s="14">
        <f>IFERROR(IF(WoP_Flag="Y",IF(fq=1,VLOOKUP(ppt*fq-H317,Charges!$AN$41:$AO$59,2,FALSE),IF(fq=2,VLOOKUP(ppt*fq-G317,Charges!$AP$41:$AQ$79,2,FALSE),VLOOKUP(ppt*fq-D317,Charges!$AR$41:$AS$279,2,FALSE)))*pr/fq,0),0)</f>
        <v>0</v>
      </c>
      <c r="U317" s="14">
        <f ca="1">IFERROR(((T317*(VLOOKUP(Input!$D$18+H317-1,Tab_Mort_Charge,IF(Gender_2="M",2,3),FALSE)*(1+_emr2)+_rpm2)/IF(Model_Type="LA_PQIS",1000/0.0833,(12*1000))))*Flag_Mort_Rider_Charge*(T317&gt;0),0)</f>
        <v>0</v>
      </c>
      <c r="V317" s="34">
        <f>ROUND(MIN(IF(H317&gt;=7,Charges!$C$12*(1+Charges!$C$14)^((H317-7+1)),VLOOKUP(H317,Charges!$B$7:$C$12,2,0))*pr,Charges!$C$13)*B317,Round)</f>
        <v>0</v>
      </c>
      <c r="W317" s="14">
        <f t="shared" ca="1" si="198"/>
        <v>0</v>
      </c>
      <c r="X317" s="14">
        <f t="shared" ca="1" si="199"/>
        <v>0</v>
      </c>
      <c r="Y317" s="213">
        <f t="shared" ca="1" si="221"/>
        <v>0</v>
      </c>
      <c r="Z317" s="14">
        <f t="shared" ca="1" si="200"/>
        <v>0</v>
      </c>
      <c r="AA317" s="14">
        <f>IF(AND($H317=pt,$F317=11),SUM($K$7:K317)*VLOOKUP(pt,ROC,2,FALSE),0)</f>
        <v>0</v>
      </c>
      <c r="AB317" s="14">
        <f>IF(AND($H317=pt,$F317=11),SUM($V$7:V317)*VLOOKUP(pt,ROC,2,FALSE),0)</f>
        <v>0</v>
      </c>
      <c r="AC317" s="14">
        <f>IF(AND($H317=pt,$F317=11),SUM($Q$7:Q317)*VLOOKUP(pt,ROC,2,FALSE),0)</f>
        <v>0</v>
      </c>
      <c r="AD317" s="14">
        <f t="shared" ca="1" si="222"/>
        <v>0</v>
      </c>
      <c r="AE317" s="14">
        <f ca="1">(MAX(sa-CF316*Flag_UL_Type,105%*SUM($I$7:I317),Z317)+AU317)*B317</f>
        <v>0</v>
      </c>
      <c r="AF317" s="136"/>
      <c r="AG317" s="18">
        <v>311</v>
      </c>
      <c r="AH317" s="30">
        <f t="shared" ca="1" si="201"/>
        <v>0</v>
      </c>
      <c r="AI317" s="58"/>
      <c r="AJ317" s="50">
        <f>IF(AND(Option_Sys_TopUp&gt;="Y",H317&gt;=sytp,H317&lt;=(dtp+sytp-1),F317=0,H317&lt;=ppt+1),atp,0)+IFERROR(VLOOKUP(H317,Input!$B$55:$C$61,2,0),0)*(F317=0)*(Option_TopUP="Y")*(Option_Sys_TopUp="N")*B317*(pt&gt;=H317+5)</f>
        <v>0</v>
      </c>
      <c r="AK317" s="50">
        <f t="shared" si="202"/>
        <v>0</v>
      </c>
      <c r="AL317" s="50">
        <f t="shared" si="223"/>
        <v>0</v>
      </c>
      <c r="AM317" s="50">
        <f t="shared" ca="1" si="203"/>
        <v>0</v>
      </c>
      <c r="AN317" s="50">
        <f>IF(B317=0,0,AT317*(_rpm1+(1+_emr1)*VLOOKUP(E317,Tab_Mort_Charge,IF(Input!$C$12="M",2,3),0))*(0.001*0.0833)*Flag_Mort_Rider_Charge*(AT317&gt;0))</f>
        <v>0</v>
      </c>
      <c r="AO317" s="50">
        <f t="shared" ca="1" si="224"/>
        <v>0</v>
      </c>
      <c r="AP317" s="50">
        <f t="shared" ca="1" si="231"/>
        <v>0</v>
      </c>
      <c r="AQ317" s="50">
        <f t="shared" ca="1" si="204"/>
        <v>0</v>
      </c>
      <c r="AR317" s="50">
        <f t="shared" ca="1" si="205"/>
        <v>0</v>
      </c>
      <c r="AS317" s="50">
        <f t="shared" si="206"/>
        <v>0</v>
      </c>
      <c r="AT317" s="50">
        <f ca="1">(MAX((MAX(AS317,105%*SUM($AJ$7:AJ317))-AM317*Flag_UL_Type),0)*B317)</f>
        <v>0</v>
      </c>
      <c r="AU317" s="50">
        <f ca="1">(MAX(AS317,AR317,105%*SUM($AJ$7:AJ317))*B317)</f>
        <v>0</v>
      </c>
      <c r="AV317" s="125"/>
      <c r="AW317" s="13"/>
      <c r="AX317" s="13"/>
      <c r="AY317" s="13"/>
      <c r="AZ317" s="13"/>
      <c r="BA317" s="13"/>
      <c r="BG317" s="51">
        <f t="shared" si="207"/>
        <v>0</v>
      </c>
      <c r="BH317" s="51">
        <f t="shared" si="208"/>
        <v>0</v>
      </c>
      <c r="BI317" s="51">
        <f t="shared" ca="1" si="209"/>
        <v>0</v>
      </c>
      <c r="BJ317" s="51">
        <f t="shared" ca="1" si="210"/>
        <v>0</v>
      </c>
      <c r="BK317" s="51">
        <f t="shared" si="211"/>
        <v>0</v>
      </c>
      <c r="BL317" s="51">
        <f t="shared" ca="1" si="212"/>
        <v>0</v>
      </c>
      <c r="BM317" s="51">
        <f t="shared" si="213"/>
        <v>0</v>
      </c>
      <c r="BN317" s="51">
        <f t="shared" si="214"/>
        <v>0</v>
      </c>
      <c r="BO317" s="51">
        <f t="shared" ca="1" si="215"/>
        <v>0</v>
      </c>
      <c r="BP317" s="51">
        <f t="shared" ca="1" si="216"/>
        <v>0</v>
      </c>
      <c r="BQ317" s="120"/>
      <c r="BR317" s="32"/>
      <c r="BS317" s="126"/>
      <c r="BT317" s="16"/>
      <c r="BU317" s="58"/>
      <c r="BW317" s="51">
        <f>VLOOKUP(H317,Charges!$AT$4:$AU$33,2,FALSE)*I317</f>
        <v>0</v>
      </c>
      <c r="BX317" s="51">
        <f t="shared" si="217"/>
        <v>0</v>
      </c>
      <c r="BY317" s="51">
        <f t="shared" si="225"/>
        <v>0</v>
      </c>
      <c r="BZ317" s="151"/>
      <c r="CA317" s="151"/>
      <c r="CB317" s="32"/>
      <c r="CC317" s="16">
        <f ca="1">SUM($N$7:$N317)</f>
        <v>0</v>
      </c>
      <c r="CD317" s="16">
        <f t="shared" ca="1" si="218"/>
        <v>0</v>
      </c>
      <c r="CE317" s="16">
        <f t="shared" ca="1" si="219"/>
        <v>0</v>
      </c>
      <c r="CF317" s="7">
        <f t="shared" ca="1" si="226"/>
        <v>0</v>
      </c>
    </row>
    <row r="318" spans="1:84" s="7" customFormat="1" x14ac:dyDescent="0.2">
      <c r="A318" s="149"/>
      <c r="B318" s="14">
        <f t="shared" si="188"/>
        <v>0</v>
      </c>
      <c r="C318" s="12">
        <f t="shared" si="189"/>
        <v>0</v>
      </c>
      <c r="D318" s="17">
        <f t="shared" si="227"/>
        <v>312</v>
      </c>
      <c r="E318" s="17">
        <f t="shared" ca="1" si="190"/>
        <v>85</v>
      </c>
      <c r="F318" s="12">
        <f t="shared" si="229"/>
        <v>11</v>
      </c>
      <c r="G318" s="12">
        <f t="shared" si="228"/>
        <v>52</v>
      </c>
      <c r="H318" s="17">
        <f t="shared" si="230"/>
        <v>26</v>
      </c>
      <c r="I318" s="29">
        <f t="shared" si="191"/>
        <v>0</v>
      </c>
      <c r="J318" s="211">
        <f>IFERROR(VLOOKUP(H318,Charges!$T$6:$U$35,2,0)*C318,0)</f>
        <v>0</v>
      </c>
      <c r="K318" s="29">
        <f t="shared" si="192"/>
        <v>0</v>
      </c>
      <c r="L318" s="29">
        <f t="shared" si="193"/>
        <v>0</v>
      </c>
      <c r="M318" s="147">
        <f t="shared" ca="1" si="194"/>
        <v>0</v>
      </c>
      <c r="N318" s="148">
        <f ca="1">IF(AND(Option_SPW="Y",H318&gt;=Lock_In_Period,Z317&gt;SPW_Amount_pa+IF(option="Single",1/5*pr,2*pr),H318&gt;=SPW_Start_Year,H318&lt;=SPW_Start_Year+SPW_Duration-1,age+H318&gt;=Legal_Age),IF(AND(F318=0,SPW_Payout_Freq=1),SPW_Amount_pa,IF(AND(SPW_Payout_Freq=2,MOD(F318,6)=0),SPW_Amount_pa/SPW_Payout_Freq,IF(AND(SPW_Payout_Freq=4,MOD(F318,3)=0),SPW_Amount_pa/SPW_Payout_Freq,IF(SPW_Payout_Freq=12,SPW_Amount_pa/SPW_Payout_Freq,0)))),0)+IFERROR(VLOOKUP(H318,Input!$B$68:$C$74,2,0),0)*(F318=0)*(Option_PW="Y")*(Option_SPW="N")*(age+H318&gt;=Legal_Age)</f>
        <v>0</v>
      </c>
      <c r="O318" s="148">
        <f t="shared" ca="1" si="220"/>
        <v>0</v>
      </c>
      <c r="P318" s="14">
        <f ca="1">(MAX(MAX(sa-CF317*Flag_UL_Type,105%*SUM($I$7:I318))-(AD317+L318-N318)*Flag_UL_Type,0)*B318)</f>
        <v>0</v>
      </c>
      <c r="Q318" s="213">
        <f t="shared" si="195"/>
        <v>0</v>
      </c>
      <c r="R318" s="14">
        <f t="shared" ca="1" si="196"/>
        <v>0</v>
      </c>
      <c r="S318" s="14">
        <f t="shared" ca="1" si="197"/>
        <v>0</v>
      </c>
      <c r="T318" s="14">
        <f>IFERROR(IF(WoP_Flag="Y",IF(fq=1,VLOOKUP(ppt*fq-H318,Charges!$AN$41:$AO$59,2,FALSE),IF(fq=2,VLOOKUP(ppt*fq-G318,Charges!$AP$41:$AQ$79,2,FALSE),VLOOKUP(ppt*fq-D318,Charges!$AR$41:$AS$279,2,FALSE)))*pr/fq,0),0)</f>
        <v>0</v>
      </c>
      <c r="U318" s="14">
        <f ca="1">IFERROR(((T318*(VLOOKUP(Input!$D$18+H318-1,Tab_Mort_Charge,IF(Gender_2="M",2,3),FALSE)*(1+_emr2)+_rpm2)/IF(Model_Type="LA_PQIS",1000/0.0833,(12*1000))))*Flag_Mort_Rider_Charge*(T318&gt;0),0)</f>
        <v>0</v>
      </c>
      <c r="V318" s="34">
        <f>ROUND(MIN(IF(H318&gt;=7,Charges!$C$12*(1+Charges!$C$14)^((H318-7+1)),VLOOKUP(H318,Charges!$B$7:$C$12,2,0))*pr,Charges!$C$13)*B318,Round)</f>
        <v>0</v>
      </c>
      <c r="W318" s="14">
        <f t="shared" ca="1" si="198"/>
        <v>0</v>
      </c>
      <c r="X318" s="14">
        <f t="shared" ca="1" si="199"/>
        <v>0</v>
      </c>
      <c r="Y318" s="213">
        <f t="shared" ca="1" si="221"/>
        <v>0</v>
      </c>
      <c r="Z318" s="14">
        <f t="shared" ca="1" si="200"/>
        <v>0</v>
      </c>
      <c r="AA318" s="14">
        <f>IF(AND($H318=pt,$F318=11),SUM($K$7:K318)*VLOOKUP(pt,ROC,2,FALSE),0)</f>
        <v>0</v>
      </c>
      <c r="AB318" s="14">
        <f>IF(AND($H318=pt,$F318=11),SUM($V$7:V318)*VLOOKUP(pt,ROC,2,FALSE),0)</f>
        <v>0</v>
      </c>
      <c r="AC318" s="14">
        <f>IF(AND($H318=pt,$F318=11),SUM($Q$7:Q318)*VLOOKUP(pt,ROC,2,FALSE),0)</f>
        <v>0</v>
      </c>
      <c r="AD318" s="14">
        <f t="shared" ca="1" si="222"/>
        <v>0</v>
      </c>
      <c r="AE318" s="14">
        <f ca="1">(MAX(sa-CF317*Flag_UL_Type,105%*SUM($I$7:I318),Z318)+AU318)*B318</f>
        <v>0</v>
      </c>
      <c r="AF318" s="136"/>
      <c r="AG318" s="18">
        <v>312</v>
      </c>
      <c r="AH318" s="30">
        <f t="shared" ca="1" si="201"/>
        <v>0</v>
      </c>
      <c r="AI318" s="58"/>
      <c r="AJ318" s="50">
        <f>IF(AND(Option_Sys_TopUp&gt;="Y",H318&gt;=sytp,H318&lt;=(dtp+sytp-1),F318=0,H318&lt;=ppt+1),atp,0)+IFERROR(VLOOKUP(H318,Input!$B$55:$C$61,2,0),0)*(F318=0)*(Option_TopUP="Y")*(Option_Sys_TopUp="N")*B318*(pt&gt;=H318+5)</f>
        <v>0</v>
      </c>
      <c r="AK318" s="50">
        <f t="shared" si="202"/>
        <v>0</v>
      </c>
      <c r="AL318" s="50">
        <f t="shared" si="223"/>
        <v>0</v>
      </c>
      <c r="AM318" s="50">
        <f t="shared" ca="1" si="203"/>
        <v>0</v>
      </c>
      <c r="AN318" s="50">
        <f>IF(B318=0,0,AT318*(_rpm1+(1+_emr1)*VLOOKUP(E318,Tab_Mort_Charge,IF(Input!$C$12="M",2,3),0))*(0.001*0.0833)*Flag_Mort_Rider_Charge*(AT318&gt;0))</f>
        <v>0</v>
      </c>
      <c r="AO318" s="50">
        <f t="shared" ca="1" si="224"/>
        <v>0</v>
      </c>
      <c r="AP318" s="50">
        <f t="shared" ca="1" si="231"/>
        <v>0</v>
      </c>
      <c r="AQ318" s="50">
        <f t="shared" ca="1" si="204"/>
        <v>0</v>
      </c>
      <c r="AR318" s="50">
        <f t="shared" ca="1" si="205"/>
        <v>0</v>
      </c>
      <c r="AS318" s="50">
        <f t="shared" si="206"/>
        <v>0</v>
      </c>
      <c r="AT318" s="50">
        <f ca="1">(MAX((MAX(AS318,105%*SUM($AJ$7:AJ318))-AM318*Flag_UL_Type),0)*B318)</f>
        <v>0</v>
      </c>
      <c r="AU318" s="50">
        <f ca="1">(MAX(AS318,AR318,105%*SUM($AJ$7:AJ318))*B318)</f>
        <v>0</v>
      </c>
      <c r="AV318" s="125"/>
      <c r="AW318" s="13"/>
      <c r="AX318" s="13"/>
      <c r="AY318" s="13"/>
      <c r="AZ318" s="13"/>
      <c r="BA318" s="13"/>
      <c r="BG318" s="51">
        <f t="shared" si="207"/>
        <v>0</v>
      </c>
      <c r="BH318" s="51">
        <f t="shared" si="208"/>
        <v>0</v>
      </c>
      <c r="BI318" s="51">
        <f t="shared" ca="1" si="209"/>
        <v>0</v>
      </c>
      <c r="BJ318" s="51">
        <f t="shared" ca="1" si="210"/>
        <v>0</v>
      </c>
      <c r="BK318" s="51">
        <f t="shared" si="211"/>
        <v>0</v>
      </c>
      <c r="BL318" s="51">
        <f t="shared" ca="1" si="212"/>
        <v>0</v>
      </c>
      <c r="BM318" s="51">
        <f t="shared" si="213"/>
        <v>0</v>
      </c>
      <c r="BN318" s="51">
        <f t="shared" si="214"/>
        <v>0</v>
      </c>
      <c r="BO318" s="51">
        <f t="shared" ca="1" si="215"/>
        <v>0</v>
      </c>
      <c r="BP318" s="51">
        <f t="shared" ca="1" si="216"/>
        <v>0</v>
      </c>
      <c r="BQ318" s="120"/>
      <c r="BR318" s="32"/>
      <c r="BS318" s="126"/>
      <c r="BT318" s="16"/>
      <c r="BU318" s="58"/>
      <c r="BW318" s="51">
        <f>VLOOKUP(H318,Charges!$AT$4:$AU$33,2,FALSE)*I318</f>
        <v>0</v>
      </c>
      <c r="BX318" s="51">
        <f t="shared" si="217"/>
        <v>0</v>
      </c>
      <c r="BY318" s="51">
        <f t="shared" si="225"/>
        <v>0</v>
      </c>
      <c r="BZ318" s="151"/>
      <c r="CA318" s="151"/>
      <c r="CB318" s="32"/>
      <c r="CC318" s="16">
        <f ca="1">SUM($N$7:$N318)</f>
        <v>0</v>
      </c>
      <c r="CD318" s="16">
        <f t="shared" ca="1" si="218"/>
        <v>0</v>
      </c>
      <c r="CE318" s="16">
        <f t="shared" ca="1" si="219"/>
        <v>0</v>
      </c>
      <c r="CF318" s="7">
        <f t="shared" ca="1" si="226"/>
        <v>0</v>
      </c>
    </row>
    <row r="319" spans="1:84" s="7" customFormat="1" x14ac:dyDescent="0.2">
      <c r="A319" s="149"/>
      <c r="B319" s="14">
        <f t="shared" si="188"/>
        <v>0</v>
      </c>
      <c r="C319" s="12">
        <f t="shared" si="189"/>
        <v>0</v>
      </c>
      <c r="D319" s="17">
        <f t="shared" si="227"/>
        <v>313</v>
      </c>
      <c r="E319" s="17">
        <f t="shared" ca="1" si="190"/>
        <v>86</v>
      </c>
      <c r="F319" s="12">
        <f t="shared" si="229"/>
        <v>0</v>
      </c>
      <c r="G319" s="12">
        <f t="shared" si="228"/>
        <v>53</v>
      </c>
      <c r="H319" s="17">
        <f t="shared" si="230"/>
        <v>27</v>
      </c>
      <c r="I319" s="29">
        <f t="shared" si="191"/>
        <v>0</v>
      </c>
      <c r="J319" s="211">
        <f>IFERROR(VLOOKUP(H319,Charges!$T$6:$U$35,2,0)*C319,0)</f>
        <v>0</v>
      </c>
      <c r="K319" s="29">
        <f t="shared" si="192"/>
        <v>0</v>
      </c>
      <c r="L319" s="29">
        <f t="shared" si="193"/>
        <v>0</v>
      </c>
      <c r="M319" s="147">
        <f t="shared" ca="1" si="194"/>
        <v>0</v>
      </c>
      <c r="N319" s="148">
        <f ca="1">IF(AND(Option_SPW="Y",H319&gt;=Lock_In_Period,Z318&gt;SPW_Amount_pa+IF(option="Single",1/5*pr,2*pr),H319&gt;=SPW_Start_Year,H319&lt;=SPW_Start_Year+SPW_Duration-1,age+H319&gt;=Legal_Age),IF(AND(F319=0,SPW_Payout_Freq=1),SPW_Amount_pa,IF(AND(SPW_Payout_Freq=2,MOD(F319,6)=0),SPW_Amount_pa/SPW_Payout_Freq,IF(AND(SPW_Payout_Freq=4,MOD(F319,3)=0),SPW_Amount_pa/SPW_Payout_Freq,IF(SPW_Payout_Freq=12,SPW_Amount_pa/SPW_Payout_Freq,0)))),0)+IFERROR(VLOOKUP(H319,Input!$B$68:$C$74,2,0),0)*(F319=0)*(Option_PW="Y")*(Option_SPW="N")*(age+H319&gt;=Legal_Age)</f>
        <v>0</v>
      </c>
      <c r="O319" s="148">
        <f t="shared" ca="1" si="220"/>
        <v>0</v>
      </c>
      <c r="P319" s="14">
        <f ca="1">(MAX(MAX(sa-CF318*Flag_UL_Type,105%*SUM($I$7:I319))-(AD318+L319-N319)*Flag_UL_Type,0)*B319)</f>
        <v>0</v>
      </c>
      <c r="Q319" s="213">
        <f t="shared" si="195"/>
        <v>0</v>
      </c>
      <c r="R319" s="14">
        <f t="shared" ca="1" si="196"/>
        <v>0</v>
      </c>
      <c r="S319" s="14">
        <f t="shared" ca="1" si="197"/>
        <v>0</v>
      </c>
      <c r="T319" s="14">
        <f>IFERROR(IF(WoP_Flag="Y",IF(fq=1,VLOOKUP(ppt*fq-H319,Charges!$AN$41:$AO$59,2,FALSE),IF(fq=2,VLOOKUP(ppt*fq-G319,Charges!$AP$41:$AQ$79,2,FALSE),VLOOKUP(ppt*fq-D319,Charges!$AR$41:$AS$279,2,FALSE)))*pr/fq,0),0)</f>
        <v>0</v>
      </c>
      <c r="U319" s="14">
        <f ca="1">IFERROR(((T319*(VLOOKUP(Input!$D$18+H319-1,Tab_Mort_Charge,IF(Gender_2="M",2,3),FALSE)*(1+_emr2)+_rpm2)/IF(Model_Type="LA_PQIS",1000/0.0833,(12*1000))))*Flag_Mort_Rider_Charge*(T319&gt;0),0)</f>
        <v>0</v>
      </c>
      <c r="V319" s="34">
        <f>ROUND(MIN(IF(H319&gt;=7,Charges!$C$12*(1+Charges!$C$14)^((H319-7+1)),VLOOKUP(H319,Charges!$B$7:$C$12,2,0))*pr,Charges!$C$13)*B319,Round)</f>
        <v>0</v>
      </c>
      <c r="W319" s="14">
        <f t="shared" ca="1" si="198"/>
        <v>0</v>
      </c>
      <c r="X319" s="14">
        <f t="shared" ca="1" si="199"/>
        <v>0</v>
      </c>
      <c r="Y319" s="213">
        <f t="shared" ca="1" si="221"/>
        <v>0</v>
      </c>
      <c r="Z319" s="14">
        <f t="shared" ca="1" si="200"/>
        <v>0</v>
      </c>
      <c r="AA319" s="14">
        <f>IF(AND($H319=pt,$F319=11),SUM($K$7:K319)*VLOOKUP(pt,ROC,2,FALSE),0)</f>
        <v>0</v>
      </c>
      <c r="AB319" s="14">
        <f>IF(AND($H319=pt,$F319=11),SUM($V$7:V319)*VLOOKUP(pt,ROC,2,FALSE),0)</f>
        <v>0</v>
      </c>
      <c r="AC319" s="14">
        <f>IF(AND($H319=pt,$F319=11),SUM($Q$7:Q319)*VLOOKUP(pt,ROC,2,FALSE),0)</f>
        <v>0</v>
      </c>
      <c r="AD319" s="14">
        <f t="shared" ca="1" si="222"/>
        <v>0</v>
      </c>
      <c r="AE319" s="14">
        <f ca="1">(MAX(sa-CF318*Flag_UL_Type,105%*SUM($I$7:I319),Z319)+AU319)*B319</f>
        <v>0</v>
      </c>
      <c r="AF319" s="136"/>
      <c r="AG319" s="18">
        <v>313</v>
      </c>
      <c r="AH319" s="30">
        <f t="shared" ca="1" si="201"/>
        <v>0</v>
      </c>
      <c r="AI319" s="58"/>
      <c r="AJ319" s="50">
        <f>IF(AND(Option_Sys_TopUp&gt;="Y",H319&gt;=sytp,H319&lt;=(dtp+sytp-1),F319=0,H319&lt;=ppt+1),atp,0)+IFERROR(VLOOKUP(H319,Input!$B$55:$C$61,2,0),0)*(F319=0)*(Option_TopUP="Y")*(Option_Sys_TopUp="N")*B319*(pt&gt;=H319+5)</f>
        <v>0</v>
      </c>
      <c r="AK319" s="50">
        <f t="shared" si="202"/>
        <v>0</v>
      </c>
      <c r="AL319" s="50">
        <f t="shared" si="223"/>
        <v>0</v>
      </c>
      <c r="AM319" s="50">
        <f t="shared" ca="1" si="203"/>
        <v>0</v>
      </c>
      <c r="AN319" s="50">
        <f>IF(B319=0,0,AT319*(_rpm1+(1+_emr1)*VLOOKUP(E319,Tab_Mort_Charge,IF(Input!$C$12="M",2,3),0))*(0.001*0.0833)*Flag_Mort_Rider_Charge*(AT319&gt;0))</f>
        <v>0</v>
      </c>
      <c r="AO319" s="50">
        <f t="shared" ca="1" si="224"/>
        <v>0</v>
      </c>
      <c r="AP319" s="50">
        <f t="shared" ca="1" si="231"/>
        <v>0</v>
      </c>
      <c r="AQ319" s="50">
        <f t="shared" ca="1" si="204"/>
        <v>0</v>
      </c>
      <c r="AR319" s="50">
        <f t="shared" ca="1" si="205"/>
        <v>0</v>
      </c>
      <c r="AS319" s="50">
        <f t="shared" si="206"/>
        <v>0</v>
      </c>
      <c r="AT319" s="50">
        <f ca="1">(MAX((MAX(AS319,105%*SUM($AJ$7:AJ319))-AM319*Flag_UL_Type),0)*B319)</f>
        <v>0</v>
      </c>
      <c r="AU319" s="50">
        <f ca="1">(MAX(AS319,AR319,105%*SUM($AJ$7:AJ319))*B319)</f>
        <v>0</v>
      </c>
      <c r="AV319" s="125"/>
      <c r="AW319" s="13"/>
      <c r="AX319" s="13"/>
      <c r="AY319" s="13"/>
      <c r="AZ319" s="13"/>
      <c r="BA319" s="13"/>
      <c r="BG319" s="51">
        <f t="shared" si="207"/>
        <v>0</v>
      </c>
      <c r="BH319" s="51">
        <f t="shared" si="208"/>
        <v>0</v>
      </c>
      <c r="BI319" s="51">
        <f t="shared" ca="1" si="209"/>
        <v>0</v>
      </c>
      <c r="BJ319" s="51">
        <f t="shared" ca="1" si="210"/>
        <v>0</v>
      </c>
      <c r="BK319" s="51">
        <f t="shared" si="211"/>
        <v>0</v>
      </c>
      <c r="BL319" s="51">
        <f t="shared" ca="1" si="212"/>
        <v>0</v>
      </c>
      <c r="BM319" s="51">
        <f t="shared" si="213"/>
        <v>0</v>
      </c>
      <c r="BN319" s="51">
        <f t="shared" si="214"/>
        <v>0</v>
      </c>
      <c r="BO319" s="51">
        <f t="shared" ca="1" si="215"/>
        <v>0</v>
      </c>
      <c r="BP319" s="51">
        <f t="shared" ca="1" si="216"/>
        <v>0</v>
      </c>
      <c r="BQ319" s="120"/>
      <c r="BR319" s="32"/>
      <c r="BS319" s="126"/>
      <c r="BT319" s="16"/>
      <c r="BU319" s="58"/>
      <c r="BW319" s="51">
        <f>VLOOKUP(H319,Charges!$AT$4:$AU$33,2,FALSE)*I319</f>
        <v>0</v>
      </c>
      <c r="BX319" s="51">
        <f t="shared" si="217"/>
        <v>0</v>
      </c>
      <c r="BY319" s="51">
        <f t="shared" si="225"/>
        <v>0</v>
      </c>
      <c r="BZ319" s="151"/>
      <c r="CA319" s="151"/>
      <c r="CB319" s="32"/>
      <c r="CC319" s="16">
        <f ca="1">SUM($N$7:$N319)</f>
        <v>0</v>
      </c>
      <c r="CD319" s="16">
        <f t="shared" ca="1" si="218"/>
        <v>0</v>
      </c>
      <c r="CE319" s="16">
        <f t="shared" ca="1" si="219"/>
        <v>0</v>
      </c>
      <c r="CF319" s="7">
        <f t="shared" ca="1" si="226"/>
        <v>0</v>
      </c>
    </row>
    <row r="320" spans="1:84" s="7" customFormat="1" x14ac:dyDescent="0.2">
      <c r="A320" s="149"/>
      <c r="B320" s="14">
        <f t="shared" si="188"/>
        <v>0</v>
      </c>
      <c r="C320" s="12">
        <f t="shared" si="189"/>
        <v>0</v>
      </c>
      <c r="D320" s="17">
        <f t="shared" si="227"/>
        <v>314</v>
      </c>
      <c r="E320" s="17">
        <f t="shared" ca="1" si="190"/>
        <v>86</v>
      </c>
      <c r="F320" s="12">
        <f t="shared" si="229"/>
        <v>1</v>
      </c>
      <c r="G320" s="12">
        <f t="shared" si="228"/>
        <v>53</v>
      </c>
      <c r="H320" s="17">
        <f t="shared" si="230"/>
        <v>27</v>
      </c>
      <c r="I320" s="29">
        <f t="shared" si="191"/>
        <v>0</v>
      </c>
      <c r="J320" s="211">
        <f>IFERROR(VLOOKUP(H320,Charges!$T$6:$U$35,2,0)*C320,0)</f>
        <v>0</v>
      </c>
      <c r="K320" s="29">
        <f t="shared" si="192"/>
        <v>0</v>
      </c>
      <c r="L320" s="29">
        <f t="shared" si="193"/>
        <v>0</v>
      </c>
      <c r="M320" s="147">
        <f t="shared" ca="1" si="194"/>
        <v>0</v>
      </c>
      <c r="N320" s="148">
        <f ca="1">IF(AND(Option_SPW="Y",H320&gt;=Lock_In_Period,Z319&gt;SPW_Amount_pa+IF(option="Single",1/5*pr,2*pr),H320&gt;=SPW_Start_Year,H320&lt;=SPW_Start_Year+SPW_Duration-1,age+H320&gt;=Legal_Age),IF(AND(F320=0,SPW_Payout_Freq=1),SPW_Amount_pa,IF(AND(SPW_Payout_Freq=2,MOD(F320,6)=0),SPW_Amount_pa/SPW_Payout_Freq,IF(AND(SPW_Payout_Freq=4,MOD(F320,3)=0),SPW_Amount_pa/SPW_Payout_Freq,IF(SPW_Payout_Freq=12,SPW_Amount_pa/SPW_Payout_Freq,0)))),0)+IFERROR(VLOOKUP(H320,Input!$B$68:$C$74,2,0),0)*(F320=0)*(Option_PW="Y")*(Option_SPW="N")*(age+H320&gt;=Legal_Age)</f>
        <v>0</v>
      </c>
      <c r="O320" s="148">
        <f t="shared" ca="1" si="220"/>
        <v>0</v>
      </c>
      <c r="P320" s="14">
        <f ca="1">(MAX(MAX(sa-CF319*Flag_UL_Type,105%*SUM($I$7:I320))-(AD319+L320-N320)*Flag_UL_Type,0)*B320)</f>
        <v>0</v>
      </c>
      <c r="Q320" s="213">
        <f t="shared" si="195"/>
        <v>0</v>
      </c>
      <c r="R320" s="14">
        <f t="shared" ca="1" si="196"/>
        <v>0</v>
      </c>
      <c r="S320" s="14">
        <f t="shared" ca="1" si="197"/>
        <v>0</v>
      </c>
      <c r="T320" s="14">
        <f>IFERROR(IF(WoP_Flag="Y",IF(fq=1,VLOOKUP(ppt*fq-H320,Charges!$AN$41:$AO$59,2,FALSE),IF(fq=2,VLOOKUP(ppt*fq-G320,Charges!$AP$41:$AQ$79,2,FALSE),VLOOKUP(ppt*fq-D320,Charges!$AR$41:$AS$279,2,FALSE)))*pr/fq,0),0)</f>
        <v>0</v>
      </c>
      <c r="U320" s="14">
        <f ca="1">IFERROR(((T320*(VLOOKUP(Input!$D$18+H320-1,Tab_Mort_Charge,IF(Gender_2="M",2,3),FALSE)*(1+_emr2)+_rpm2)/IF(Model_Type="LA_PQIS",1000/0.0833,(12*1000))))*Flag_Mort_Rider_Charge*(T320&gt;0),0)</f>
        <v>0</v>
      </c>
      <c r="V320" s="34">
        <f>ROUND(MIN(IF(H320&gt;=7,Charges!$C$12*(1+Charges!$C$14)^((H320-7+1)),VLOOKUP(H320,Charges!$B$7:$C$12,2,0))*pr,Charges!$C$13)*B320,Round)</f>
        <v>0</v>
      </c>
      <c r="W320" s="14">
        <f t="shared" ca="1" si="198"/>
        <v>0</v>
      </c>
      <c r="X320" s="14">
        <f t="shared" ca="1" si="199"/>
        <v>0</v>
      </c>
      <c r="Y320" s="213">
        <f t="shared" ca="1" si="221"/>
        <v>0</v>
      </c>
      <c r="Z320" s="14">
        <f t="shared" ca="1" si="200"/>
        <v>0</v>
      </c>
      <c r="AA320" s="14">
        <f>IF(AND($H320=pt,$F320=11),SUM($K$7:K320)*VLOOKUP(pt,ROC,2,FALSE),0)</f>
        <v>0</v>
      </c>
      <c r="AB320" s="14">
        <f>IF(AND($H320=pt,$F320=11),SUM($V$7:V320)*VLOOKUP(pt,ROC,2,FALSE),0)</f>
        <v>0</v>
      </c>
      <c r="AC320" s="14">
        <f>IF(AND($H320=pt,$F320=11),SUM($Q$7:Q320)*VLOOKUP(pt,ROC,2,FALSE),0)</f>
        <v>0</v>
      </c>
      <c r="AD320" s="14">
        <f t="shared" ca="1" si="222"/>
        <v>0</v>
      </c>
      <c r="AE320" s="14">
        <f ca="1">(MAX(sa-CF319*Flag_UL_Type,105%*SUM($I$7:I320),Z320)+AU320)*B320</f>
        <v>0</v>
      </c>
      <c r="AF320" s="136"/>
      <c r="AG320" s="18">
        <v>314</v>
      </c>
      <c r="AH320" s="30">
        <f t="shared" ca="1" si="201"/>
        <v>0</v>
      </c>
      <c r="AI320" s="58"/>
      <c r="AJ320" s="50">
        <f>IF(AND(Option_Sys_TopUp&gt;="Y",H320&gt;=sytp,H320&lt;=(dtp+sytp-1),F320=0,H320&lt;=ppt+1),atp,0)+IFERROR(VLOOKUP(H320,Input!$B$55:$C$61,2,0),0)*(F320=0)*(Option_TopUP="Y")*(Option_Sys_TopUp="N")*B320*(pt&gt;=H320+5)</f>
        <v>0</v>
      </c>
      <c r="AK320" s="50">
        <f t="shared" si="202"/>
        <v>0</v>
      </c>
      <c r="AL320" s="50">
        <f t="shared" si="223"/>
        <v>0</v>
      </c>
      <c r="AM320" s="50">
        <f t="shared" ca="1" si="203"/>
        <v>0</v>
      </c>
      <c r="AN320" s="50">
        <f>IF(B320=0,0,AT320*(_rpm1+(1+_emr1)*VLOOKUP(E320,Tab_Mort_Charge,IF(Input!$C$12="M",2,3),0))*(0.001*0.0833)*Flag_Mort_Rider_Charge*(AT320&gt;0))</f>
        <v>0</v>
      </c>
      <c r="AO320" s="50">
        <f t="shared" ca="1" si="224"/>
        <v>0</v>
      </c>
      <c r="AP320" s="50">
        <f t="shared" ca="1" si="231"/>
        <v>0</v>
      </c>
      <c r="AQ320" s="50">
        <f t="shared" ca="1" si="204"/>
        <v>0</v>
      </c>
      <c r="AR320" s="50">
        <f t="shared" ca="1" si="205"/>
        <v>0</v>
      </c>
      <c r="AS320" s="50">
        <f t="shared" si="206"/>
        <v>0</v>
      </c>
      <c r="AT320" s="50">
        <f ca="1">(MAX((MAX(AS320,105%*SUM($AJ$7:AJ320))-AM320*Flag_UL_Type),0)*B320)</f>
        <v>0</v>
      </c>
      <c r="AU320" s="50">
        <f ca="1">(MAX(AS320,AR320,105%*SUM($AJ$7:AJ320))*B320)</f>
        <v>0</v>
      </c>
      <c r="AV320" s="125"/>
      <c r="AW320" s="13"/>
      <c r="AX320" s="13"/>
      <c r="AY320" s="13"/>
      <c r="AZ320" s="13"/>
      <c r="BA320" s="13"/>
      <c r="BG320" s="51">
        <f t="shared" si="207"/>
        <v>0</v>
      </c>
      <c r="BH320" s="51">
        <f t="shared" si="208"/>
        <v>0</v>
      </c>
      <c r="BI320" s="51">
        <f t="shared" ca="1" si="209"/>
        <v>0</v>
      </c>
      <c r="BJ320" s="51">
        <f t="shared" ca="1" si="210"/>
        <v>0</v>
      </c>
      <c r="BK320" s="51">
        <f t="shared" si="211"/>
        <v>0</v>
      </c>
      <c r="BL320" s="51">
        <f t="shared" ca="1" si="212"/>
        <v>0</v>
      </c>
      <c r="BM320" s="51">
        <f t="shared" si="213"/>
        <v>0</v>
      </c>
      <c r="BN320" s="51">
        <f t="shared" si="214"/>
        <v>0</v>
      </c>
      <c r="BO320" s="51">
        <f t="shared" ca="1" si="215"/>
        <v>0</v>
      </c>
      <c r="BP320" s="51">
        <f t="shared" ca="1" si="216"/>
        <v>0</v>
      </c>
      <c r="BQ320" s="120"/>
      <c r="BR320" s="32"/>
      <c r="BS320" s="126"/>
      <c r="BT320" s="16"/>
      <c r="BU320" s="58"/>
      <c r="BW320" s="51">
        <f>VLOOKUP(H320,Charges!$AT$4:$AU$33,2,FALSE)*I320</f>
        <v>0</v>
      </c>
      <c r="BX320" s="51">
        <f t="shared" si="217"/>
        <v>0</v>
      </c>
      <c r="BY320" s="51">
        <f t="shared" si="225"/>
        <v>0</v>
      </c>
      <c r="BZ320" s="151"/>
      <c r="CA320" s="151"/>
      <c r="CB320" s="32"/>
      <c r="CC320" s="16">
        <f ca="1">SUM($N$7:$N320)</f>
        <v>0</v>
      </c>
      <c r="CD320" s="16">
        <f t="shared" ca="1" si="218"/>
        <v>0</v>
      </c>
      <c r="CE320" s="16">
        <f t="shared" ca="1" si="219"/>
        <v>0</v>
      </c>
      <c r="CF320" s="7">
        <f t="shared" ca="1" si="226"/>
        <v>0</v>
      </c>
    </row>
    <row r="321" spans="1:84" s="7" customFormat="1" x14ac:dyDescent="0.2">
      <c r="A321" s="149"/>
      <c r="B321" s="14">
        <f t="shared" si="188"/>
        <v>0</v>
      </c>
      <c r="C321" s="12">
        <f t="shared" si="189"/>
        <v>0</v>
      </c>
      <c r="D321" s="17">
        <f t="shared" si="227"/>
        <v>315</v>
      </c>
      <c r="E321" s="17">
        <f t="shared" ca="1" si="190"/>
        <v>86</v>
      </c>
      <c r="F321" s="12">
        <f t="shared" si="229"/>
        <v>2</v>
      </c>
      <c r="G321" s="12">
        <f t="shared" si="228"/>
        <v>53</v>
      </c>
      <c r="H321" s="17">
        <f t="shared" si="230"/>
        <v>27</v>
      </c>
      <c r="I321" s="29">
        <f t="shared" si="191"/>
        <v>0</v>
      </c>
      <c r="J321" s="211">
        <f>IFERROR(VLOOKUP(H321,Charges!$T$6:$U$35,2,0)*C321,0)</f>
        <v>0</v>
      </c>
      <c r="K321" s="29">
        <f t="shared" si="192"/>
        <v>0</v>
      </c>
      <c r="L321" s="29">
        <f t="shared" si="193"/>
        <v>0</v>
      </c>
      <c r="M321" s="147">
        <f t="shared" ca="1" si="194"/>
        <v>0</v>
      </c>
      <c r="N321" s="148">
        <f ca="1">IF(AND(Option_SPW="Y",H321&gt;=Lock_In_Period,Z320&gt;SPW_Amount_pa+IF(option="Single",1/5*pr,2*pr),H321&gt;=SPW_Start_Year,H321&lt;=SPW_Start_Year+SPW_Duration-1,age+H321&gt;=Legal_Age),IF(AND(F321=0,SPW_Payout_Freq=1),SPW_Amount_pa,IF(AND(SPW_Payout_Freq=2,MOD(F321,6)=0),SPW_Amount_pa/SPW_Payout_Freq,IF(AND(SPW_Payout_Freq=4,MOD(F321,3)=0),SPW_Amount_pa/SPW_Payout_Freq,IF(SPW_Payout_Freq=12,SPW_Amount_pa/SPW_Payout_Freq,0)))),0)+IFERROR(VLOOKUP(H321,Input!$B$68:$C$74,2,0),0)*(F321=0)*(Option_PW="Y")*(Option_SPW="N")*(age+H321&gt;=Legal_Age)</f>
        <v>0</v>
      </c>
      <c r="O321" s="148">
        <f t="shared" ca="1" si="220"/>
        <v>0</v>
      </c>
      <c r="P321" s="14">
        <f ca="1">(MAX(MAX(sa-CF320*Flag_UL_Type,105%*SUM($I$7:I321))-(AD320+L321-N321)*Flag_UL_Type,0)*B321)</f>
        <v>0</v>
      </c>
      <c r="Q321" s="213">
        <f t="shared" si="195"/>
        <v>0</v>
      </c>
      <c r="R321" s="14">
        <f t="shared" ca="1" si="196"/>
        <v>0</v>
      </c>
      <c r="S321" s="14">
        <f t="shared" ca="1" si="197"/>
        <v>0</v>
      </c>
      <c r="T321" s="14">
        <f>IFERROR(IF(WoP_Flag="Y",IF(fq=1,VLOOKUP(ppt*fq-H321,Charges!$AN$41:$AO$59,2,FALSE),IF(fq=2,VLOOKUP(ppt*fq-G321,Charges!$AP$41:$AQ$79,2,FALSE),VLOOKUP(ppt*fq-D321,Charges!$AR$41:$AS$279,2,FALSE)))*pr/fq,0),0)</f>
        <v>0</v>
      </c>
      <c r="U321" s="14">
        <f ca="1">IFERROR(((T321*(VLOOKUP(Input!$D$18+H321-1,Tab_Mort_Charge,IF(Gender_2="M",2,3),FALSE)*(1+_emr2)+_rpm2)/IF(Model_Type="LA_PQIS",1000/0.0833,(12*1000))))*Flag_Mort_Rider_Charge*(T321&gt;0),0)</f>
        <v>0</v>
      </c>
      <c r="V321" s="34">
        <f>ROUND(MIN(IF(H321&gt;=7,Charges!$C$12*(1+Charges!$C$14)^((H321-7+1)),VLOOKUP(H321,Charges!$B$7:$C$12,2,0))*pr,Charges!$C$13)*B321,Round)</f>
        <v>0</v>
      </c>
      <c r="W321" s="14">
        <f t="shared" ca="1" si="198"/>
        <v>0</v>
      </c>
      <c r="X321" s="14">
        <f t="shared" ca="1" si="199"/>
        <v>0</v>
      </c>
      <c r="Y321" s="213">
        <f t="shared" ca="1" si="221"/>
        <v>0</v>
      </c>
      <c r="Z321" s="14">
        <f t="shared" ca="1" si="200"/>
        <v>0</v>
      </c>
      <c r="AA321" s="14">
        <f>IF(AND($H321=pt,$F321=11),SUM($K$7:K321)*VLOOKUP(pt,ROC,2,FALSE),0)</f>
        <v>0</v>
      </c>
      <c r="AB321" s="14">
        <f>IF(AND($H321=pt,$F321=11),SUM($V$7:V321)*VLOOKUP(pt,ROC,2,FALSE),0)</f>
        <v>0</v>
      </c>
      <c r="AC321" s="14">
        <f>IF(AND($H321=pt,$F321=11),SUM($Q$7:Q321)*VLOOKUP(pt,ROC,2,FALSE),0)</f>
        <v>0</v>
      </c>
      <c r="AD321" s="14">
        <f t="shared" ca="1" si="222"/>
        <v>0</v>
      </c>
      <c r="AE321" s="14">
        <f ca="1">(MAX(sa-CF320*Flag_UL_Type,105%*SUM($I$7:I321),Z321)+AU321)*B321</f>
        <v>0</v>
      </c>
      <c r="AF321" s="136"/>
      <c r="AG321" s="18">
        <v>315</v>
      </c>
      <c r="AH321" s="30">
        <f t="shared" ca="1" si="201"/>
        <v>0</v>
      </c>
      <c r="AI321" s="58"/>
      <c r="AJ321" s="50">
        <f>IF(AND(Option_Sys_TopUp&gt;="Y",H321&gt;=sytp,H321&lt;=(dtp+sytp-1),F321=0,H321&lt;=ppt+1),atp,0)+IFERROR(VLOOKUP(H321,Input!$B$55:$C$61,2,0),0)*(F321=0)*(Option_TopUP="Y")*(Option_Sys_TopUp="N")*B321*(pt&gt;=H321+5)</f>
        <v>0</v>
      </c>
      <c r="AK321" s="50">
        <f t="shared" si="202"/>
        <v>0</v>
      </c>
      <c r="AL321" s="50">
        <f t="shared" si="223"/>
        <v>0</v>
      </c>
      <c r="AM321" s="50">
        <f t="shared" ca="1" si="203"/>
        <v>0</v>
      </c>
      <c r="AN321" s="50">
        <f>IF(B321=0,0,AT321*(_rpm1+(1+_emr1)*VLOOKUP(E321,Tab_Mort_Charge,IF(Input!$C$12="M",2,3),0))*(0.001*0.0833)*Flag_Mort_Rider_Charge*(AT321&gt;0))</f>
        <v>0</v>
      </c>
      <c r="AO321" s="50">
        <f t="shared" ca="1" si="224"/>
        <v>0</v>
      </c>
      <c r="AP321" s="50">
        <f t="shared" ca="1" si="231"/>
        <v>0</v>
      </c>
      <c r="AQ321" s="50">
        <f t="shared" ca="1" si="204"/>
        <v>0</v>
      </c>
      <c r="AR321" s="50">
        <f t="shared" ca="1" si="205"/>
        <v>0</v>
      </c>
      <c r="AS321" s="50">
        <f t="shared" si="206"/>
        <v>0</v>
      </c>
      <c r="AT321" s="50">
        <f ca="1">(MAX((MAX(AS321,105%*SUM($AJ$7:AJ321))-AM321*Flag_UL_Type),0)*B321)</f>
        <v>0</v>
      </c>
      <c r="AU321" s="50">
        <f ca="1">(MAX(AS321,AR321,105%*SUM($AJ$7:AJ321))*B321)</f>
        <v>0</v>
      </c>
      <c r="AV321" s="125"/>
      <c r="AW321" s="13"/>
      <c r="AX321" s="13"/>
      <c r="AY321" s="13"/>
      <c r="AZ321" s="13"/>
      <c r="BA321" s="13"/>
      <c r="BG321" s="51">
        <f t="shared" si="207"/>
        <v>0</v>
      </c>
      <c r="BH321" s="51">
        <f t="shared" si="208"/>
        <v>0</v>
      </c>
      <c r="BI321" s="51">
        <f t="shared" ca="1" si="209"/>
        <v>0</v>
      </c>
      <c r="BJ321" s="51">
        <f t="shared" ca="1" si="210"/>
        <v>0</v>
      </c>
      <c r="BK321" s="51">
        <f t="shared" si="211"/>
        <v>0</v>
      </c>
      <c r="BL321" s="51">
        <f t="shared" ca="1" si="212"/>
        <v>0</v>
      </c>
      <c r="BM321" s="51">
        <f t="shared" si="213"/>
        <v>0</v>
      </c>
      <c r="BN321" s="51">
        <f t="shared" si="214"/>
        <v>0</v>
      </c>
      <c r="BO321" s="51">
        <f t="shared" ca="1" si="215"/>
        <v>0</v>
      </c>
      <c r="BP321" s="51">
        <f t="shared" ca="1" si="216"/>
        <v>0</v>
      </c>
      <c r="BQ321" s="120"/>
      <c r="BR321" s="32"/>
      <c r="BS321" s="126"/>
      <c r="BT321" s="16"/>
      <c r="BU321" s="58"/>
      <c r="BW321" s="51">
        <f>VLOOKUP(H321,Charges!$AT$4:$AU$33,2,FALSE)*I321</f>
        <v>0</v>
      </c>
      <c r="BX321" s="51">
        <f t="shared" si="217"/>
        <v>0</v>
      </c>
      <c r="BY321" s="51">
        <f t="shared" si="225"/>
        <v>0</v>
      </c>
      <c r="BZ321" s="151"/>
      <c r="CA321" s="151"/>
      <c r="CB321" s="32"/>
      <c r="CC321" s="16">
        <f ca="1">SUM($N$7:$N321)</f>
        <v>0</v>
      </c>
      <c r="CD321" s="16">
        <f t="shared" ca="1" si="218"/>
        <v>0</v>
      </c>
      <c r="CE321" s="16">
        <f t="shared" ca="1" si="219"/>
        <v>0</v>
      </c>
      <c r="CF321" s="7">
        <f t="shared" ca="1" si="226"/>
        <v>0</v>
      </c>
    </row>
    <row r="322" spans="1:84" s="7" customFormat="1" x14ac:dyDescent="0.2">
      <c r="A322" s="149"/>
      <c r="B322" s="14">
        <f t="shared" si="188"/>
        <v>0</v>
      </c>
      <c r="C322" s="12">
        <f t="shared" si="189"/>
        <v>0</v>
      </c>
      <c r="D322" s="17">
        <f t="shared" si="227"/>
        <v>316</v>
      </c>
      <c r="E322" s="17">
        <f t="shared" ca="1" si="190"/>
        <v>86</v>
      </c>
      <c r="F322" s="12">
        <f t="shared" si="229"/>
        <v>3</v>
      </c>
      <c r="G322" s="12">
        <f t="shared" si="228"/>
        <v>53</v>
      </c>
      <c r="H322" s="17">
        <f t="shared" si="230"/>
        <v>27</v>
      </c>
      <c r="I322" s="29">
        <f t="shared" si="191"/>
        <v>0</v>
      </c>
      <c r="J322" s="211">
        <f>IFERROR(VLOOKUP(H322,Charges!$T$6:$U$35,2,0)*C322,0)</f>
        <v>0</v>
      </c>
      <c r="K322" s="29">
        <f t="shared" si="192"/>
        <v>0</v>
      </c>
      <c r="L322" s="29">
        <f t="shared" si="193"/>
        <v>0</v>
      </c>
      <c r="M322" s="147">
        <f t="shared" ca="1" si="194"/>
        <v>0</v>
      </c>
      <c r="N322" s="148">
        <f ca="1">IF(AND(Option_SPW="Y",H322&gt;=Lock_In_Period,Z321&gt;SPW_Amount_pa+IF(option="Single",1/5*pr,2*pr),H322&gt;=SPW_Start_Year,H322&lt;=SPW_Start_Year+SPW_Duration-1,age+H322&gt;=Legal_Age),IF(AND(F322=0,SPW_Payout_Freq=1),SPW_Amount_pa,IF(AND(SPW_Payout_Freq=2,MOD(F322,6)=0),SPW_Amount_pa/SPW_Payout_Freq,IF(AND(SPW_Payout_Freq=4,MOD(F322,3)=0),SPW_Amount_pa/SPW_Payout_Freq,IF(SPW_Payout_Freq=12,SPW_Amount_pa/SPW_Payout_Freq,0)))),0)+IFERROR(VLOOKUP(H322,Input!$B$68:$C$74,2,0),0)*(F322=0)*(Option_PW="Y")*(Option_SPW="N")*(age+H322&gt;=Legal_Age)</f>
        <v>0</v>
      </c>
      <c r="O322" s="148">
        <f t="shared" ca="1" si="220"/>
        <v>0</v>
      </c>
      <c r="P322" s="14">
        <f ca="1">(MAX(MAX(sa-CF321*Flag_UL_Type,105%*SUM($I$7:I322))-(AD321+L322-N322)*Flag_UL_Type,0)*B322)</f>
        <v>0</v>
      </c>
      <c r="Q322" s="213">
        <f t="shared" si="195"/>
        <v>0</v>
      </c>
      <c r="R322" s="14">
        <f t="shared" ca="1" si="196"/>
        <v>0</v>
      </c>
      <c r="S322" s="14">
        <f t="shared" ca="1" si="197"/>
        <v>0</v>
      </c>
      <c r="T322" s="14">
        <f>IFERROR(IF(WoP_Flag="Y",IF(fq=1,VLOOKUP(ppt*fq-H322,Charges!$AN$41:$AO$59,2,FALSE),IF(fq=2,VLOOKUP(ppt*fq-G322,Charges!$AP$41:$AQ$79,2,FALSE),VLOOKUP(ppt*fq-D322,Charges!$AR$41:$AS$279,2,FALSE)))*pr/fq,0),0)</f>
        <v>0</v>
      </c>
      <c r="U322" s="14">
        <f ca="1">IFERROR(((T322*(VLOOKUP(Input!$D$18+H322-1,Tab_Mort_Charge,IF(Gender_2="M",2,3),FALSE)*(1+_emr2)+_rpm2)/IF(Model_Type="LA_PQIS",1000/0.0833,(12*1000))))*Flag_Mort_Rider_Charge*(T322&gt;0),0)</f>
        <v>0</v>
      </c>
      <c r="V322" s="34">
        <f>ROUND(MIN(IF(H322&gt;=7,Charges!$C$12*(1+Charges!$C$14)^((H322-7+1)),VLOOKUP(H322,Charges!$B$7:$C$12,2,0))*pr,Charges!$C$13)*B322,Round)</f>
        <v>0</v>
      </c>
      <c r="W322" s="14">
        <f t="shared" ca="1" si="198"/>
        <v>0</v>
      </c>
      <c r="X322" s="14">
        <f t="shared" ca="1" si="199"/>
        <v>0</v>
      </c>
      <c r="Y322" s="213">
        <f t="shared" ca="1" si="221"/>
        <v>0</v>
      </c>
      <c r="Z322" s="14">
        <f t="shared" ca="1" si="200"/>
        <v>0</v>
      </c>
      <c r="AA322" s="14">
        <f>IF(AND($H322=pt,$F322=11),SUM($K$7:K322)*VLOOKUP(pt,ROC,2,FALSE),0)</f>
        <v>0</v>
      </c>
      <c r="AB322" s="14">
        <f>IF(AND($H322=pt,$F322=11),SUM($V$7:V322)*VLOOKUP(pt,ROC,2,FALSE),0)</f>
        <v>0</v>
      </c>
      <c r="AC322" s="14">
        <f>IF(AND($H322=pt,$F322=11),SUM($Q$7:Q322)*VLOOKUP(pt,ROC,2,FALSE),0)</f>
        <v>0</v>
      </c>
      <c r="AD322" s="14">
        <f t="shared" ca="1" si="222"/>
        <v>0</v>
      </c>
      <c r="AE322" s="14">
        <f ca="1">(MAX(sa-CF321*Flag_UL_Type,105%*SUM($I$7:I322),Z322)+AU322)*B322</f>
        <v>0</v>
      </c>
      <c r="AF322" s="136"/>
      <c r="AG322" s="18">
        <v>316</v>
      </c>
      <c r="AH322" s="30">
        <f t="shared" ca="1" si="201"/>
        <v>0</v>
      </c>
      <c r="AI322" s="58"/>
      <c r="AJ322" s="50">
        <f>IF(AND(Option_Sys_TopUp&gt;="Y",H322&gt;=sytp,H322&lt;=(dtp+sytp-1),F322=0,H322&lt;=ppt+1),atp,0)+IFERROR(VLOOKUP(H322,Input!$B$55:$C$61,2,0),0)*(F322=0)*(Option_TopUP="Y")*(Option_Sys_TopUp="N")*B322*(pt&gt;=H322+5)</f>
        <v>0</v>
      </c>
      <c r="AK322" s="50">
        <f t="shared" si="202"/>
        <v>0</v>
      </c>
      <c r="AL322" s="50">
        <f t="shared" si="223"/>
        <v>0</v>
      </c>
      <c r="AM322" s="50">
        <f t="shared" ca="1" si="203"/>
        <v>0</v>
      </c>
      <c r="AN322" s="50">
        <f>IF(B322=0,0,AT322*(_rpm1+(1+_emr1)*VLOOKUP(E322,Tab_Mort_Charge,IF(Input!$C$12="M",2,3),0))*(0.001*0.0833)*Flag_Mort_Rider_Charge*(AT322&gt;0))</f>
        <v>0</v>
      </c>
      <c r="AO322" s="50">
        <f t="shared" ca="1" si="224"/>
        <v>0</v>
      </c>
      <c r="AP322" s="50">
        <f t="shared" ca="1" si="231"/>
        <v>0</v>
      </c>
      <c r="AQ322" s="50">
        <f t="shared" ca="1" si="204"/>
        <v>0</v>
      </c>
      <c r="AR322" s="50">
        <f t="shared" ca="1" si="205"/>
        <v>0</v>
      </c>
      <c r="AS322" s="50">
        <f t="shared" si="206"/>
        <v>0</v>
      </c>
      <c r="AT322" s="50">
        <f ca="1">(MAX((MAX(AS322,105%*SUM($AJ$7:AJ322))-AM322*Flag_UL_Type),0)*B322)</f>
        <v>0</v>
      </c>
      <c r="AU322" s="50">
        <f ca="1">(MAX(AS322,AR322,105%*SUM($AJ$7:AJ322))*B322)</f>
        <v>0</v>
      </c>
      <c r="AV322" s="125"/>
      <c r="AW322" s="13"/>
      <c r="AX322" s="13"/>
      <c r="AY322" s="13"/>
      <c r="AZ322" s="13"/>
      <c r="BA322" s="13"/>
      <c r="BG322" s="51">
        <f t="shared" si="207"/>
        <v>0</v>
      </c>
      <c r="BH322" s="51">
        <f t="shared" si="208"/>
        <v>0</v>
      </c>
      <c r="BI322" s="51">
        <f t="shared" ca="1" si="209"/>
        <v>0</v>
      </c>
      <c r="BJ322" s="51">
        <f t="shared" ca="1" si="210"/>
        <v>0</v>
      </c>
      <c r="BK322" s="51">
        <f t="shared" si="211"/>
        <v>0</v>
      </c>
      <c r="BL322" s="51">
        <f t="shared" ca="1" si="212"/>
        <v>0</v>
      </c>
      <c r="BM322" s="51">
        <f t="shared" si="213"/>
        <v>0</v>
      </c>
      <c r="BN322" s="51">
        <f t="shared" si="214"/>
        <v>0</v>
      </c>
      <c r="BO322" s="51">
        <f t="shared" ca="1" si="215"/>
        <v>0</v>
      </c>
      <c r="BP322" s="51">
        <f t="shared" ca="1" si="216"/>
        <v>0</v>
      </c>
      <c r="BQ322" s="120"/>
      <c r="BR322" s="32"/>
      <c r="BS322" s="126"/>
      <c r="BT322" s="16"/>
      <c r="BU322" s="58"/>
      <c r="BW322" s="51">
        <f>VLOOKUP(H322,Charges!$AT$4:$AU$33,2,FALSE)*I322</f>
        <v>0</v>
      </c>
      <c r="BX322" s="51">
        <f t="shared" si="217"/>
        <v>0</v>
      </c>
      <c r="BY322" s="51">
        <f t="shared" si="225"/>
        <v>0</v>
      </c>
      <c r="BZ322" s="151"/>
      <c r="CA322" s="151"/>
      <c r="CB322" s="32"/>
      <c r="CC322" s="16">
        <f ca="1">SUM($N$7:$N322)</f>
        <v>0</v>
      </c>
      <c r="CD322" s="16">
        <f t="shared" ca="1" si="218"/>
        <v>0</v>
      </c>
      <c r="CE322" s="16">
        <f t="shared" ca="1" si="219"/>
        <v>0</v>
      </c>
      <c r="CF322" s="7">
        <f t="shared" ca="1" si="226"/>
        <v>0</v>
      </c>
    </row>
    <row r="323" spans="1:84" s="7" customFormat="1" x14ac:dyDescent="0.2">
      <c r="A323" s="149"/>
      <c r="B323" s="14">
        <f t="shared" si="188"/>
        <v>0</v>
      </c>
      <c r="C323" s="12">
        <f t="shared" si="189"/>
        <v>0</v>
      </c>
      <c r="D323" s="17">
        <f t="shared" si="227"/>
        <v>317</v>
      </c>
      <c r="E323" s="17">
        <f t="shared" ca="1" si="190"/>
        <v>86</v>
      </c>
      <c r="F323" s="12">
        <f t="shared" si="229"/>
        <v>4</v>
      </c>
      <c r="G323" s="12">
        <f t="shared" si="228"/>
        <v>53</v>
      </c>
      <c r="H323" s="17">
        <f t="shared" si="230"/>
        <v>27</v>
      </c>
      <c r="I323" s="29">
        <f t="shared" si="191"/>
        <v>0</v>
      </c>
      <c r="J323" s="211">
        <f>IFERROR(VLOOKUP(H323,Charges!$T$6:$U$35,2,0)*C323,0)</f>
        <v>0</v>
      </c>
      <c r="K323" s="29">
        <f t="shared" si="192"/>
        <v>0</v>
      </c>
      <c r="L323" s="29">
        <f t="shared" si="193"/>
        <v>0</v>
      </c>
      <c r="M323" s="147">
        <f t="shared" ca="1" si="194"/>
        <v>0</v>
      </c>
      <c r="N323" s="148">
        <f ca="1">IF(AND(Option_SPW="Y",H323&gt;=Lock_In_Period,Z322&gt;SPW_Amount_pa+IF(option="Single",1/5*pr,2*pr),H323&gt;=SPW_Start_Year,H323&lt;=SPW_Start_Year+SPW_Duration-1,age+H323&gt;=Legal_Age),IF(AND(F323=0,SPW_Payout_Freq=1),SPW_Amount_pa,IF(AND(SPW_Payout_Freq=2,MOD(F323,6)=0),SPW_Amount_pa/SPW_Payout_Freq,IF(AND(SPW_Payout_Freq=4,MOD(F323,3)=0),SPW_Amount_pa/SPW_Payout_Freq,IF(SPW_Payout_Freq=12,SPW_Amount_pa/SPW_Payout_Freq,0)))),0)+IFERROR(VLOOKUP(H323,Input!$B$68:$C$74,2,0),0)*(F323=0)*(Option_PW="Y")*(Option_SPW="N")*(age+H323&gt;=Legal_Age)</f>
        <v>0</v>
      </c>
      <c r="O323" s="148">
        <f t="shared" ca="1" si="220"/>
        <v>0</v>
      </c>
      <c r="P323" s="14">
        <f ca="1">(MAX(MAX(sa-CF322*Flag_UL_Type,105%*SUM($I$7:I323))-(AD322+L323-N323)*Flag_UL_Type,0)*B323)</f>
        <v>0</v>
      </c>
      <c r="Q323" s="213">
        <f t="shared" si="195"/>
        <v>0</v>
      </c>
      <c r="R323" s="14">
        <f t="shared" ca="1" si="196"/>
        <v>0</v>
      </c>
      <c r="S323" s="14">
        <f t="shared" ca="1" si="197"/>
        <v>0</v>
      </c>
      <c r="T323" s="14">
        <f>IFERROR(IF(WoP_Flag="Y",IF(fq=1,VLOOKUP(ppt*fq-H323,Charges!$AN$41:$AO$59,2,FALSE),IF(fq=2,VLOOKUP(ppt*fq-G323,Charges!$AP$41:$AQ$79,2,FALSE),VLOOKUP(ppt*fq-D323,Charges!$AR$41:$AS$279,2,FALSE)))*pr/fq,0),0)</f>
        <v>0</v>
      </c>
      <c r="U323" s="14">
        <f ca="1">IFERROR(((T323*(VLOOKUP(Input!$D$18+H323-1,Tab_Mort_Charge,IF(Gender_2="M",2,3),FALSE)*(1+_emr2)+_rpm2)/IF(Model_Type="LA_PQIS",1000/0.0833,(12*1000))))*Flag_Mort_Rider_Charge*(T323&gt;0),0)</f>
        <v>0</v>
      </c>
      <c r="V323" s="34">
        <f>ROUND(MIN(IF(H323&gt;=7,Charges!$C$12*(1+Charges!$C$14)^((H323-7+1)),VLOOKUP(H323,Charges!$B$7:$C$12,2,0))*pr,Charges!$C$13)*B323,Round)</f>
        <v>0</v>
      </c>
      <c r="W323" s="14">
        <f t="shared" ca="1" si="198"/>
        <v>0</v>
      </c>
      <c r="X323" s="14">
        <f t="shared" ca="1" si="199"/>
        <v>0</v>
      </c>
      <c r="Y323" s="213">
        <f t="shared" ca="1" si="221"/>
        <v>0</v>
      </c>
      <c r="Z323" s="14">
        <f t="shared" ca="1" si="200"/>
        <v>0</v>
      </c>
      <c r="AA323" s="14">
        <f>IF(AND($H323=pt,$F323=11),SUM($K$7:K323)*VLOOKUP(pt,ROC,2,FALSE),0)</f>
        <v>0</v>
      </c>
      <c r="AB323" s="14">
        <f>IF(AND($H323=pt,$F323=11),SUM($V$7:V323)*VLOOKUP(pt,ROC,2,FALSE),0)</f>
        <v>0</v>
      </c>
      <c r="AC323" s="14">
        <f>IF(AND($H323=pt,$F323=11),SUM($Q$7:Q323)*VLOOKUP(pt,ROC,2,FALSE),0)</f>
        <v>0</v>
      </c>
      <c r="AD323" s="14">
        <f t="shared" ca="1" si="222"/>
        <v>0</v>
      </c>
      <c r="AE323" s="14">
        <f ca="1">(MAX(sa-CF322*Flag_UL_Type,105%*SUM($I$7:I323),Z323)+AU323)*B323</f>
        <v>0</v>
      </c>
      <c r="AF323" s="136"/>
      <c r="AG323" s="18">
        <v>317</v>
      </c>
      <c r="AH323" s="30">
        <f t="shared" ca="1" si="201"/>
        <v>0</v>
      </c>
      <c r="AI323" s="58"/>
      <c r="AJ323" s="50">
        <f>IF(AND(Option_Sys_TopUp&gt;="Y",H323&gt;=sytp,H323&lt;=(dtp+sytp-1),F323=0,H323&lt;=ppt+1),atp,0)+IFERROR(VLOOKUP(H323,Input!$B$55:$C$61,2,0),0)*(F323=0)*(Option_TopUP="Y")*(Option_Sys_TopUp="N")*B323*(pt&gt;=H323+5)</f>
        <v>0</v>
      </c>
      <c r="AK323" s="50">
        <f t="shared" si="202"/>
        <v>0</v>
      </c>
      <c r="AL323" s="50">
        <f t="shared" si="223"/>
        <v>0</v>
      </c>
      <c r="AM323" s="50">
        <f t="shared" ca="1" si="203"/>
        <v>0</v>
      </c>
      <c r="AN323" s="50">
        <f>IF(B323=0,0,AT323*(_rpm1+(1+_emr1)*VLOOKUP(E323,Tab_Mort_Charge,IF(Input!$C$12="M",2,3),0))*(0.001*0.0833)*Flag_Mort_Rider_Charge*(AT323&gt;0))</f>
        <v>0</v>
      </c>
      <c r="AO323" s="50">
        <f t="shared" ca="1" si="224"/>
        <v>0</v>
      </c>
      <c r="AP323" s="50">
        <f t="shared" ca="1" si="231"/>
        <v>0</v>
      </c>
      <c r="AQ323" s="50">
        <f t="shared" ca="1" si="204"/>
        <v>0</v>
      </c>
      <c r="AR323" s="50">
        <f t="shared" ca="1" si="205"/>
        <v>0</v>
      </c>
      <c r="AS323" s="50">
        <f t="shared" si="206"/>
        <v>0</v>
      </c>
      <c r="AT323" s="50">
        <f ca="1">(MAX((MAX(AS323,105%*SUM($AJ$7:AJ323))-AM323*Flag_UL_Type),0)*B323)</f>
        <v>0</v>
      </c>
      <c r="AU323" s="50">
        <f ca="1">(MAX(AS323,AR323,105%*SUM($AJ$7:AJ323))*B323)</f>
        <v>0</v>
      </c>
      <c r="AV323" s="125"/>
      <c r="AW323" s="13"/>
      <c r="AX323" s="13"/>
      <c r="AY323" s="13"/>
      <c r="AZ323" s="13"/>
      <c r="BA323" s="13"/>
      <c r="BG323" s="51">
        <f t="shared" si="207"/>
        <v>0</v>
      </c>
      <c r="BH323" s="51">
        <f t="shared" si="208"/>
        <v>0</v>
      </c>
      <c r="BI323" s="51">
        <f t="shared" ca="1" si="209"/>
        <v>0</v>
      </c>
      <c r="BJ323" s="51">
        <f t="shared" ca="1" si="210"/>
        <v>0</v>
      </c>
      <c r="BK323" s="51">
        <f t="shared" si="211"/>
        <v>0</v>
      </c>
      <c r="BL323" s="51">
        <f t="shared" ca="1" si="212"/>
        <v>0</v>
      </c>
      <c r="BM323" s="51">
        <f t="shared" si="213"/>
        <v>0</v>
      </c>
      <c r="BN323" s="51">
        <f t="shared" si="214"/>
        <v>0</v>
      </c>
      <c r="BO323" s="51">
        <f t="shared" ca="1" si="215"/>
        <v>0</v>
      </c>
      <c r="BP323" s="51">
        <f t="shared" ca="1" si="216"/>
        <v>0</v>
      </c>
      <c r="BQ323" s="120"/>
      <c r="BR323" s="32"/>
      <c r="BS323" s="126"/>
      <c r="BT323" s="16"/>
      <c r="BU323" s="58"/>
      <c r="BW323" s="51">
        <f>VLOOKUP(H323,Charges!$AT$4:$AU$33,2,FALSE)*I323</f>
        <v>0</v>
      </c>
      <c r="BX323" s="51">
        <f t="shared" si="217"/>
        <v>0</v>
      </c>
      <c r="BY323" s="51">
        <f t="shared" si="225"/>
        <v>0</v>
      </c>
      <c r="BZ323" s="151"/>
      <c r="CA323" s="151"/>
      <c r="CB323" s="32"/>
      <c r="CC323" s="16">
        <f ca="1">SUM($N$7:$N323)</f>
        <v>0</v>
      </c>
      <c r="CD323" s="16">
        <f t="shared" ca="1" si="218"/>
        <v>0</v>
      </c>
      <c r="CE323" s="16">
        <f t="shared" ca="1" si="219"/>
        <v>0</v>
      </c>
      <c r="CF323" s="7">
        <f t="shared" ca="1" si="226"/>
        <v>0</v>
      </c>
    </row>
    <row r="324" spans="1:84" s="7" customFormat="1" x14ac:dyDescent="0.2">
      <c r="A324" s="149"/>
      <c r="B324" s="14">
        <f t="shared" si="188"/>
        <v>0</v>
      </c>
      <c r="C324" s="12">
        <f t="shared" si="189"/>
        <v>0</v>
      </c>
      <c r="D324" s="17">
        <f t="shared" si="227"/>
        <v>318</v>
      </c>
      <c r="E324" s="17">
        <f t="shared" ca="1" si="190"/>
        <v>86</v>
      </c>
      <c r="F324" s="12">
        <f t="shared" si="229"/>
        <v>5</v>
      </c>
      <c r="G324" s="12">
        <f t="shared" si="228"/>
        <v>53</v>
      </c>
      <c r="H324" s="17">
        <f t="shared" si="230"/>
        <v>27</v>
      </c>
      <c r="I324" s="29">
        <f t="shared" si="191"/>
        <v>0</v>
      </c>
      <c r="J324" s="211">
        <f>IFERROR(VLOOKUP(H324,Charges!$T$6:$U$35,2,0)*C324,0)</f>
        <v>0</v>
      </c>
      <c r="K324" s="29">
        <f t="shared" si="192"/>
        <v>0</v>
      </c>
      <c r="L324" s="29">
        <f t="shared" si="193"/>
        <v>0</v>
      </c>
      <c r="M324" s="147">
        <f t="shared" ca="1" si="194"/>
        <v>0</v>
      </c>
      <c r="N324" s="148">
        <f ca="1">IF(AND(Option_SPW="Y",H324&gt;=Lock_In_Period,Z323&gt;SPW_Amount_pa+IF(option="Single",1/5*pr,2*pr),H324&gt;=SPW_Start_Year,H324&lt;=SPW_Start_Year+SPW_Duration-1,age+H324&gt;=Legal_Age),IF(AND(F324=0,SPW_Payout_Freq=1),SPW_Amount_pa,IF(AND(SPW_Payout_Freq=2,MOD(F324,6)=0),SPW_Amount_pa/SPW_Payout_Freq,IF(AND(SPW_Payout_Freq=4,MOD(F324,3)=0),SPW_Amount_pa/SPW_Payout_Freq,IF(SPW_Payout_Freq=12,SPW_Amount_pa/SPW_Payout_Freq,0)))),0)+IFERROR(VLOOKUP(H324,Input!$B$68:$C$74,2,0),0)*(F324=0)*(Option_PW="Y")*(Option_SPW="N")*(age+H324&gt;=Legal_Age)</f>
        <v>0</v>
      </c>
      <c r="O324" s="148">
        <f t="shared" ca="1" si="220"/>
        <v>0</v>
      </c>
      <c r="P324" s="14">
        <f ca="1">(MAX(MAX(sa-CF323*Flag_UL_Type,105%*SUM($I$7:I324))-(AD323+L324-N324)*Flag_UL_Type,0)*B324)</f>
        <v>0</v>
      </c>
      <c r="Q324" s="213">
        <f t="shared" si="195"/>
        <v>0</v>
      </c>
      <c r="R324" s="14">
        <f t="shared" ca="1" si="196"/>
        <v>0</v>
      </c>
      <c r="S324" s="14">
        <f t="shared" ca="1" si="197"/>
        <v>0</v>
      </c>
      <c r="T324" s="14">
        <f>IFERROR(IF(WoP_Flag="Y",IF(fq=1,VLOOKUP(ppt*fq-H324,Charges!$AN$41:$AO$59,2,FALSE),IF(fq=2,VLOOKUP(ppt*fq-G324,Charges!$AP$41:$AQ$79,2,FALSE),VLOOKUP(ppt*fq-D324,Charges!$AR$41:$AS$279,2,FALSE)))*pr/fq,0),0)</f>
        <v>0</v>
      </c>
      <c r="U324" s="14">
        <f ca="1">IFERROR(((T324*(VLOOKUP(Input!$D$18+H324-1,Tab_Mort_Charge,IF(Gender_2="M",2,3),FALSE)*(1+_emr2)+_rpm2)/IF(Model_Type="LA_PQIS",1000/0.0833,(12*1000))))*Flag_Mort_Rider_Charge*(T324&gt;0),0)</f>
        <v>0</v>
      </c>
      <c r="V324" s="34">
        <f>ROUND(MIN(IF(H324&gt;=7,Charges!$C$12*(1+Charges!$C$14)^((H324-7+1)),VLOOKUP(H324,Charges!$B$7:$C$12,2,0))*pr,Charges!$C$13)*B324,Round)</f>
        <v>0</v>
      </c>
      <c r="W324" s="14">
        <f t="shared" ca="1" si="198"/>
        <v>0</v>
      </c>
      <c r="X324" s="14">
        <f t="shared" ca="1" si="199"/>
        <v>0</v>
      </c>
      <c r="Y324" s="213">
        <f t="shared" ca="1" si="221"/>
        <v>0</v>
      </c>
      <c r="Z324" s="14">
        <f t="shared" ca="1" si="200"/>
        <v>0</v>
      </c>
      <c r="AA324" s="14">
        <f>IF(AND($H324=pt,$F324=11),SUM($K$7:K324)*VLOOKUP(pt,ROC,2,FALSE),0)</f>
        <v>0</v>
      </c>
      <c r="AB324" s="14">
        <f>IF(AND($H324=pt,$F324=11),SUM($V$7:V324)*VLOOKUP(pt,ROC,2,FALSE),0)</f>
        <v>0</v>
      </c>
      <c r="AC324" s="14">
        <f>IF(AND($H324=pt,$F324=11),SUM($Q$7:Q324)*VLOOKUP(pt,ROC,2,FALSE),0)</f>
        <v>0</v>
      </c>
      <c r="AD324" s="14">
        <f t="shared" ca="1" si="222"/>
        <v>0</v>
      </c>
      <c r="AE324" s="14">
        <f ca="1">(MAX(sa-CF323*Flag_UL_Type,105%*SUM($I$7:I324),Z324)+AU324)*B324</f>
        <v>0</v>
      </c>
      <c r="AF324" s="136"/>
      <c r="AG324" s="18">
        <v>318</v>
      </c>
      <c r="AH324" s="30">
        <f t="shared" ca="1" si="201"/>
        <v>0</v>
      </c>
      <c r="AI324" s="58"/>
      <c r="AJ324" s="50">
        <f>IF(AND(Option_Sys_TopUp&gt;="Y",H324&gt;=sytp,H324&lt;=(dtp+sytp-1),F324=0,H324&lt;=ppt+1),atp,0)+IFERROR(VLOOKUP(H324,Input!$B$55:$C$61,2,0),0)*(F324=0)*(Option_TopUP="Y")*(Option_Sys_TopUp="N")*B324*(pt&gt;=H324+5)</f>
        <v>0</v>
      </c>
      <c r="AK324" s="50">
        <f t="shared" si="202"/>
        <v>0</v>
      </c>
      <c r="AL324" s="50">
        <f t="shared" si="223"/>
        <v>0</v>
      </c>
      <c r="AM324" s="50">
        <f t="shared" ca="1" si="203"/>
        <v>0</v>
      </c>
      <c r="AN324" s="50">
        <f>IF(B324=0,0,AT324*(_rpm1+(1+_emr1)*VLOOKUP(E324,Tab_Mort_Charge,IF(Input!$C$12="M",2,3),0))*(0.001*0.0833)*Flag_Mort_Rider_Charge*(AT324&gt;0))</f>
        <v>0</v>
      </c>
      <c r="AO324" s="50">
        <f t="shared" ca="1" si="224"/>
        <v>0</v>
      </c>
      <c r="AP324" s="50">
        <f t="shared" ca="1" si="231"/>
        <v>0</v>
      </c>
      <c r="AQ324" s="50">
        <f t="shared" ca="1" si="204"/>
        <v>0</v>
      </c>
      <c r="AR324" s="50">
        <f t="shared" ca="1" si="205"/>
        <v>0</v>
      </c>
      <c r="AS324" s="50">
        <f t="shared" si="206"/>
        <v>0</v>
      </c>
      <c r="AT324" s="50">
        <f ca="1">(MAX((MAX(AS324,105%*SUM($AJ$7:AJ324))-AM324*Flag_UL_Type),0)*B324)</f>
        <v>0</v>
      </c>
      <c r="AU324" s="50">
        <f ca="1">(MAX(AS324,AR324,105%*SUM($AJ$7:AJ324))*B324)</f>
        <v>0</v>
      </c>
      <c r="AV324" s="125"/>
      <c r="AW324" s="13"/>
      <c r="AX324" s="13"/>
      <c r="AY324" s="13"/>
      <c r="AZ324" s="13"/>
      <c r="BA324" s="13"/>
      <c r="BG324" s="51">
        <f t="shared" si="207"/>
        <v>0</v>
      </c>
      <c r="BH324" s="51">
        <f t="shared" si="208"/>
        <v>0</v>
      </c>
      <c r="BI324" s="51">
        <f t="shared" ca="1" si="209"/>
        <v>0</v>
      </c>
      <c r="BJ324" s="51">
        <f t="shared" ca="1" si="210"/>
        <v>0</v>
      </c>
      <c r="BK324" s="51">
        <f t="shared" si="211"/>
        <v>0</v>
      </c>
      <c r="BL324" s="51">
        <f t="shared" ca="1" si="212"/>
        <v>0</v>
      </c>
      <c r="BM324" s="51">
        <f t="shared" si="213"/>
        <v>0</v>
      </c>
      <c r="BN324" s="51">
        <f t="shared" si="214"/>
        <v>0</v>
      </c>
      <c r="BO324" s="51">
        <f t="shared" ca="1" si="215"/>
        <v>0</v>
      </c>
      <c r="BP324" s="51">
        <f t="shared" ca="1" si="216"/>
        <v>0</v>
      </c>
      <c r="BQ324" s="120"/>
      <c r="BR324" s="32"/>
      <c r="BS324" s="126"/>
      <c r="BT324" s="16"/>
      <c r="BU324" s="58"/>
      <c r="BW324" s="51">
        <f>VLOOKUP(H324,Charges!$AT$4:$AU$33,2,FALSE)*I324</f>
        <v>0</v>
      </c>
      <c r="BX324" s="51">
        <f t="shared" si="217"/>
        <v>0</v>
      </c>
      <c r="BY324" s="51">
        <f t="shared" si="225"/>
        <v>0</v>
      </c>
      <c r="BZ324" s="151"/>
      <c r="CA324" s="151"/>
      <c r="CB324" s="32"/>
      <c r="CC324" s="16">
        <f ca="1">SUM($N$7:$N324)</f>
        <v>0</v>
      </c>
      <c r="CD324" s="16">
        <f t="shared" ca="1" si="218"/>
        <v>0</v>
      </c>
      <c r="CE324" s="16">
        <f t="shared" ca="1" si="219"/>
        <v>0</v>
      </c>
      <c r="CF324" s="7">
        <f t="shared" ca="1" si="226"/>
        <v>0</v>
      </c>
    </row>
    <row r="325" spans="1:84" s="7" customFormat="1" x14ac:dyDescent="0.2">
      <c r="A325" s="149"/>
      <c r="B325" s="14">
        <f t="shared" si="188"/>
        <v>0</v>
      </c>
      <c r="C325" s="12">
        <f t="shared" si="189"/>
        <v>0</v>
      </c>
      <c r="D325" s="17">
        <f t="shared" si="227"/>
        <v>319</v>
      </c>
      <c r="E325" s="17">
        <f t="shared" ca="1" si="190"/>
        <v>86</v>
      </c>
      <c r="F325" s="12">
        <f t="shared" si="229"/>
        <v>6</v>
      </c>
      <c r="G325" s="12">
        <f t="shared" si="228"/>
        <v>54</v>
      </c>
      <c r="H325" s="17">
        <f t="shared" si="230"/>
        <v>27</v>
      </c>
      <c r="I325" s="29">
        <f t="shared" si="191"/>
        <v>0</v>
      </c>
      <c r="J325" s="211">
        <f>IFERROR(VLOOKUP(H325,Charges!$T$6:$U$35,2,0)*C325,0)</f>
        <v>0</v>
      </c>
      <c r="K325" s="29">
        <f t="shared" si="192"/>
        <v>0</v>
      </c>
      <c r="L325" s="29">
        <f t="shared" si="193"/>
        <v>0</v>
      </c>
      <c r="M325" s="147">
        <f t="shared" ca="1" si="194"/>
        <v>0</v>
      </c>
      <c r="N325" s="148">
        <f ca="1">IF(AND(Option_SPW="Y",H325&gt;=Lock_In_Period,Z324&gt;SPW_Amount_pa+IF(option="Single",1/5*pr,2*pr),H325&gt;=SPW_Start_Year,H325&lt;=SPW_Start_Year+SPW_Duration-1,age+H325&gt;=Legal_Age),IF(AND(F325=0,SPW_Payout_Freq=1),SPW_Amount_pa,IF(AND(SPW_Payout_Freq=2,MOD(F325,6)=0),SPW_Amount_pa/SPW_Payout_Freq,IF(AND(SPW_Payout_Freq=4,MOD(F325,3)=0),SPW_Amount_pa/SPW_Payout_Freq,IF(SPW_Payout_Freq=12,SPW_Amount_pa/SPW_Payout_Freq,0)))),0)+IFERROR(VLOOKUP(H325,Input!$B$68:$C$74,2,0),0)*(F325=0)*(Option_PW="Y")*(Option_SPW="N")*(age+H325&gt;=Legal_Age)</f>
        <v>0</v>
      </c>
      <c r="O325" s="148">
        <f t="shared" ca="1" si="220"/>
        <v>0</v>
      </c>
      <c r="P325" s="14">
        <f ca="1">(MAX(MAX(sa-CF324*Flag_UL_Type,105%*SUM($I$7:I325))-(AD324+L325-N325)*Flag_UL_Type,0)*B325)</f>
        <v>0</v>
      </c>
      <c r="Q325" s="213">
        <f t="shared" si="195"/>
        <v>0</v>
      </c>
      <c r="R325" s="14">
        <f t="shared" ca="1" si="196"/>
        <v>0</v>
      </c>
      <c r="S325" s="14">
        <f t="shared" ca="1" si="197"/>
        <v>0</v>
      </c>
      <c r="T325" s="14">
        <f>IFERROR(IF(WoP_Flag="Y",IF(fq=1,VLOOKUP(ppt*fq-H325,Charges!$AN$41:$AO$59,2,FALSE),IF(fq=2,VLOOKUP(ppt*fq-G325,Charges!$AP$41:$AQ$79,2,FALSE),VLOOKUP(ppt*fq-D325,Charges!$AR$41:$AS$279,2,FALSE)))*pr/fq,0),0)</f>
        <v>0</v>
      </c>
      <c r="U325" s="14">
        <f ca="1">IFERROR(((T325*(VLOOKUP(Input!$D$18+H325-1,Tab_Mort_Charge,IF(Gender_2="M",2,3),FALSE)*(1+_emr2)+_rpm2)/IF(Model_Type="LA_PQIS",1000/0.0833,(12*1000))))*Flag_Mort_Rider_Charge*(T325&gt;0),0)</f>
        <v>0</v>
      </c>
      <c r="V325" s="34">
        <f>ROUND(MIN(IF(H325&gt;=7,Charges!$C$12*(1+Charges!$C$14)^((H325-7+1)),VLOOKUP(H325,Charges!$B$7:$C$12,2,0))*pr,Charges!$C$13)*B325,Round)</f>
        <v>0</v>
      </c>
      <c r="W325" s="14">
        <f t="shared" ca="1" si="198"/>
        <v>0</v>
      </c>
      <c r="X325" s="14">
        <f t="shared" ca="1" si="199"/>
        <v>0</v>
      </c>
      <c r="Y325" s="213">
        <f t="shared" ca="1" si="221"/>
        <v>0</v>
      </c>
      <c r="Z325" s="14">
        <f t="shared" ca="1" si="200"/>
        <v>0</v>
      </c>
      <c r="AA325" s="14">
        <f>IF(AND($H325=pt,$F325=11),SUM($K$7:K325)*VLOOKUP(pt,ROC,2,FALSE),0)</f>
        <v>0</v>
      </c>
      <c r="AB325" s="14">
        <f>IF(AND($H325=pt,$F325=11),SUM($V$7:V325)*VLOOKUP(pt,ROC,2,FALSE),0)</f>
        <v>0</v>
      </c>
      <c r="AC325" s="14">
        <f>IF(AND($H325=pt,$F325=11),SUM($Q$7:Q325)*VLOOKUP(pt,ROC,2,FALSE),0)</f>
        <v>0</v>
      </c>
      <c r="AD325" s="14">
        <f t="shared" ca="1" si="222"/>
        <v>0</v>
      </c>
      <c r="AE325" s="14">
        <f ca="1">(MAX(sa-CF324*Flag_UL_Type,105%*SUM($I$7:I325),Z325)+AU325)*B325</f>
        <v>0</v>
      </c>
      <c r="AF325" s="136"/>
      <c r="AG325" s="18">
        <v>319</v>
      </c>
      <c r="AH325" s="30">
        <f t="shared" ca="1" si="201"/>
        <v>0</v>
      </c>
      <c r="AI325" s="58"/>
      <c r="AJ325" s="50">
        <f>IF(AND(Option_Sys_TopUp&gt;="Y",H325&gt;=sytp,H325&lt;=(dtp+sytp-1),F325=0,H325&lt;=ppt+1),atp,0)+IFERROR(VLOOKUP(H325,Input!$B$55:$C$61,2,0),0)*(F325=0)*(Option_TopUP="Y")*(Option_Sys_TopUp="N")*B325*(pt&gt;=H325+5)</f>
        <v>0</v>
      </c>
      <c r="AK325" s="50">
        <f t="shared" si="202"/>
        <v>0</v>
      </c>
      <c r="AL325" s="50">
        <f t="shared" si="223"/>
        <v>0</v>
      </c>
      <c r="AM325" s="50">
        <f t="shared" ca="1" si="203"/>
        <v>0</v>
      </c>
      <c r="AN325" s="50">
        <f>IF(B325=0,0,AT325*(_rpm1+(1+_emr1)*VLOOKUP(E325,Tab_Mort_Charge,IF(Input!$C$12="M",2,3),0))*(0.001*0.0833)*Flag_Mort_Rider_Charge*(AT325&gt;0))</f>
        <v>0</v>
      </c>
      <c r="AO325" s="50">
        <f t="shared" ca="1" si="224"/>
        <v>0</v>
      </c>
      <c r="AP325" s="50">
        <f t="shared" ca="1" si="231"/>
        <v>0</v>
      </c>
      <c r="AQ325" s="50">
        <f t="shared" ca="1" si="204"/>
        <v>0</v>
      </c>
      <c r="AR325" s="50">
        <f t="shared" ca="1" si="205"/>
        <v>0</v>
      </c>
      <c r="AS325" s="50">
        <f t="shared" si="206"/>
        <v>0</v>
      </c>
      <c r="AT325" s="50">
        <f ca="1">(MAX((MAX(AS325,105%*SUM($AJ$7:AJ325))-AM325*Flag_UL_Type),0)*B325)</f>
        <v>0</v>
      </c>
      <c r="AU325" s="50">
        <f ca="1">(MAX(AS325,AR325,105%*SUM($AJ$7:AJ325))*B325)</f>
        <v>0</v>
      </c>
      <c r="AV325" s="125"/>
      <c r="AW325" s="13"/>
      <c r="AX325" s="13"/>
      <c r="AY325" s="13"/>
      <c r="AZ325" s="13"/>
      <c r="BA325" s="13"/>
      <c r="BG325" s="51">
        <f t="shared" si="207"/>
        <v>0</v>
      </c>
      <c r="BH325" s="51">
        <f t="shared" si="208"/>
        <v>0</v>
      </c>
      <c r="BI325" s="51">
        <f t="shared" ca="1" si="209"/>
        <v>0</v>
      </c>
      <c r="BJ325" s="51">
        <f t="shared" ca="1" si="210"/>
        <v>0</v>
      </c>
      <c r="BK325" s="51">
        <f t="shared" si="211"/>
        <v>0</v>
      </c>
      <c r="BL325" s="51">
        <f t="shared" ca="1" si="212"/>
        <v>0</v>
      </c>
      <c r="BM325" s="51">
        <f t="shared" si="213"/>
        <v>0</v>
      </c>
      <c r="BN325" s="51">
        <f t="shared" si="214"/>
        <v>0</v>
      </c>
      <c r="BO325" s="51">
        <f t="shared" ca="1" si="215"/>
        <v>0</v>
      </c>
      <c r="BP325" s="51">
        <f t="shared" ca="1" si="216"/>
        <v>0</v>
      </c>
      <c r="BQ325" s="120"/>
      <c r="BR325" s="32"/>
      <c r="BS325" s="126"/>
      <c r="BT325" s="16"/>
      <c r="BU325" s="58"/>
      <c r="BW325" s="51">
        <f>VLOOKUP(H325,Charges!$AT$4:$AU$33,2,FALSE)*I325</f>
        <v>0</v>
      </c>
      <c r="BX325" s="51">
        <f t="shared" si="217"/>
        <v>0</v>
      </c>
      <c r="BY325" s="51">
        <f t="shared" si="225"/>
        <v>0</v>
      </c>
      <c r="BZ325" s="151"/>
      <c r="CA325" s="151"/>
      <c r="CB325" s="32"/>
      <c r="CC325" s="16">
        <f ca="1">SUM($N$7:$N325)</f>
        <v>0</v>
      </c>
      <c r="CD325" s="16">
        <f t="shared" ca="1" si="218"/>
        <v>0</v>
      </c>
      <c r="CE325" s="16">
        <f t="shared" ca="1" si="219"/>
        <v>0</v>
      </c>
      <c r="CF325" s="7">
        <f t="shared" ca="1" si="226"/>
        <v>0</v>
      </c>
    </row>
    <row r="326" spans="1:84" s="7" customFormat="1" x14ac:dyDescent="0.2">
      <c r="A326" s="149"/>
      <c r="B326" s="14">
        <f t="shared" si="188"/>
        <v>0</v>
      </c>
      <c r="C326" s="12">
        <f t="shared" si="189"/>
        <v>0</v>
      </c>
      <c r="D326" s="17">
        <f t="shared" si="227"/>
        <v>320</v>
      </c>
      <c r="E326" s="17">
        <f t="shared" ca="1" si="190"/>
        <v>86</v>
      </c>
      <c r="F326" s="12">
        <f t="shared" si="229"/>
        <v>7</v>
      </c>
      <c r="G326" s="12">
        <f t="shared" si="228"/>
        <v>54</v>
      </c>
      <c r="H326" s="17">
        <f t="shared" si="230"/>
        <v>27</v>
      </c>
      <c r="I326" s="29">
        <f t="shared" si="191"/>
        <v>0</v>
      </c>
      <c r="J326" s="211">
        <f>IFERROR(VLOOKUP(H326,Charges!$T$6:$U$35,2,0)*C326,0)</f>
        <v>0</v>
      </c>
      <c r="K326" s="29">
        <f t="shared" si="192"/>
        <v>0</v>
      </c>
      <c r="L326" s="29">
        <f t="shared" si="193"/>
        <v>0</v>
      </c>
      <c r="M326" s="147">
        <f t="shared" ca="1" si="194"/>
        <v>0</v>
      </c>
      <c r="N326" s="148">
        <f ca="1">IF(AND(Option_SPW="Y",H326&gt;=Lock_In_Period,Z325&gt;SPW_Amount_pa+IF(option="Single",1/5*pr,2*pr),H326&gt;=SPW_Start_Year,H326&lt;=SPW_Start_Year+SPW_Duration-1,age+H326&gt;=Legal_Age),IF(AND(F326=0,SPW_Payout_Freq=1),SPW_Amount_pa,IF(AND(SPW_Payout_Freq=2,MOD(F326,6)=0),SPW_Amount_pa/SPW_Payout_Freq,IF(AND(SPW_Payout_Freq=4,MOD(F326,3)=0),SPW_Amount_pa/SPW_Payout_Freq,IF(SPW_Payout_Freq=12,SPW_Amount_pa/SPW_Payout_Freq,0)))),0)+IFERROR(VLOOKUP(H326,Input!$B$68:$C$74,2,0),0)*(F326=0)*(Option_PW="Y")*(Option_SPW="N")*(age+H326&gt;=Legal_Age)</f>
        <v>0</v>
      </c>
      <c r="O326" s="148">
        <f t="shared" ca="1" si="220"/>
        <v>0</v>
      </c>
      <c r="P326" s="14">
        <f ca="1">(MAX(MAX(sa-CF325*Flag_UL_Type,105%*SUM($I$7:I326))-(AD325+L326-N326)*Flag_UL_Type,0)*B326)</f>
        <v>0</v>
      </c>
      <c r="Q326" s="213">
        <f t="shared" si="195"/>
        <v>0</v>
      </c>
      <c r="R326" s="14">
        <f t="shared" ca="1" si="196"/>
        <v>0</v>
      </c>
      <c r="S326" s="14">
        <f t="shared" ca="1" si="197"/>
        <v>0</v>
      </c>
      <c r="T326" s="14">
        <f>IFERROR(IF(WoP_Flag="Y",IF(fq=1,VLOOKUP(ppt*fq-H326,Charges!$AN$41:$AO$59,2,FALSE),IF(fq=2,VLOOKUP(ppt*fq-G326,Charges!$AP$41:$AQ$79,2,FALSE),VLOOKUP(ppt*fq-D326,Charges!$AR$41:$AS$279,2,FALSE)))*pr/fq,0),0)</f>
        <v>0</v>
      </c>
      <c r="U326" s="14">
        <f ca="1">IFERROR(((T326*(VLOOKUP(Input!$D$18+H326-1,Tab_Mort_Charge,IF(Gender_2="M",2,3),FALSE)*(1+_emr2)+_rpm2)/IF(Model_Type="LA_PQIS",1000/0.0833,(12*1000))))*Flag_Mort_Rider_Charge*(T326&gt;0),0)</f>
        <v>0</v>
      </c>
      <c r="V326" s="34">
        <f>ROUND(MIN(IF(H326&gt;=7,Charges!$C$12*(1+Charges!$C$14)^((H326-7+1)),VLOOKUP(H326,Charges!$B$7:$C$12,2,0))*pr,Charges!$C$13)*B326,Round)</f>
        <v>0</v>
      </c>
      <c r="W326" s="14">
        <f t="shared" ca="1" si="198"/>
        <v>0</v>
      </c>
      <c r="X326" s="14">
        <f t="shared" ca="1" si="199"/>
        <v>0</v>
      </c>
      <c r="Y326" s="213">
        <f t="shared" ca="1" si="221"/>
        <v>0</v>
      </c>
      <c r="Z326" s="14">
        <f t="shared" ca="1" si="200"/>
        <v>0</v>
      </c>
      <c r="AA326" s="14">
        <f>IF(AND($H326=pt,$F326=11),SUM($K$7:K326)*VLOOKUP(pt,ROC,2,FALSE),0)</f>
        <v>0</v>
      </c>
      <c r="AB326" s="14">
        <f>IF(AND($H326=pt,$F326=11),SUM($V$7:V326)*VLOOKUP(pt,ROC,2,FALSE),0)</f>
        <v>0</v>
      </c>
      <c r="AC326" s="14">
        <f>IF(AND($H326=pt,$F326=11),SUM($Q$7:Q326)*VLOOKUP(pt,ROC,2,FALSE),0)</f>
        <v>0</v>
      </c>
      <c r="AD326" s="14">
        <f t="shared" ca="1" si="222"/>
        <v>0</v>
      </c>
      <c r="AE326" s="14">
        <f ca="1">(MAX(sa-CF325*Flag_UL_Type,105%*SUM($I$7:I326),Z326)+AU326)*B326</f>
        <v>0</v>
      </c>
      <c r="AF326" s="136"/>
      <c r="AG326" s="18">
        <v>320</v>
      </c>
      <c r="AH326" s="30">
        <f t="shared" ca="1" si="201"/>
        <v>0</v>
      </c>
      <c r="AI326" s="58"/>
      <c r="AJ326" s="50">
        <f>IF(AND(Option_Sys_TopUp&gt;="Y",H326&gt;=sytp,H326&lt;=(dtp+sytp-1),F326=0,H326&lt;=ppt+1),atp,0)+IFERROR(VLOOKUP(H326,Input!$B$55:$C$61,2,0),0)*(F326=0)*(Option_TopUP="Y")*(Option_Sys_TopUp="N")*B326*(pt&gt;=H326+5)</f>
        <v>0</v>
      </c>
      <c r="AK326" s="50">
        <f t="shared" si="202"/>
        <v>0</v>
      </c>
      <c r="AL326" s="50">
        <f t="shared" si="223"/>
        <v>0</v>
      </c>
      <c r="AM326" s="50">
        <f t="shared" ca="1" si="203"/>
        <v>0</v>
      </c>
      <c r="AN326" s="50">
        <f>IF(B326=0,0,AT326*(_rpm1+(1+_emr1)*VLOOKUP(E326,Tab_Mort_Charge,IF(Input!$C$12="M",2,3),0))*(0.001*0.0833)*Flag_Mort_Rider_Charge*(AT326&gt;0))</f>
        <v>0</v>
      </c>
      <c r="AO326" s="50">
        <f t="shared" ca="1" si="224"/>
        <v>0</v>
      </c>
      <c r="AP326" s="50">
        <f t="shared" ca="1" si="231"/>
        <v>0</v>
      </c>
      <c r="AQ326" s="50">
        <f t="shared" ca="1" si="204"/>
        <v>0</v>
      </c>
      <c r="AR326" s="50">
        <f t="shared" ca="1" si="205"/>
        <v>0</v>
      </c>
      <c r="AS326" s="50">
        <f t="shared" si="206"/>
        <v>0</v>
      </c>
      <c r="AT326" s="50">
        <f ca="1">(MAX((MAX(AS326,105%*SUM($AJ$7:AJ326))-AM326*Flag_UL_Type),0)*B326)</f>
        <v>0</v>
      </c>
      <c r="AU326" s="50">
        <f ca="1">(MAX(AS326,AR326,105%*SUM($AJ$7:AJ326))*B326)</f>
        <v>0</v>
      </c>
      <c r="AV326" s="125"/>
      <c r="AW326" s="13"/>
      <c r="AX326" s="13"/>
      <c r="AY326" s="13"/>
      <c r="AZ326" s="13"/>
      <c r="BA326" s="13"/>
      <c r="BG326" s="51">
        <f t="shared" si="207"/>
        <v>0</v>
      </c>
      <c r="BH326" s="51">
        <f t="shared" si="208"/>
        <v>0</v>
      </c>
      <c r="BI326" s="51">
        <f t="shared" ca="1" si="209"/>
        <v>0</v>
      </c>
      <c r="BJ326" s="51">
        <f t="shared" ca="1" si="210"/>
        <v>0</v>
      </c>
      <c r="BK326" s="51">
        <f t="shared" si="211"/>
        <v>0</v>
      </c>
      <c r="BL326" s="51">
        <f t="shared" ca="1" si="212"/>
        <v>0</v>
      </c>
      <c r="BM326" s="51">
        <f t="shared" si="213"/>
        <v>0</v>
      </c>
      <c r="BN326" s="51">
        <f t="shared" si="214"/>
        <v>0</v>
      </c>
      <c r="BO326" s="51">
        <f t="shared" ca="1" si="215"/>
        <v>0</v>
      </c>
      <c r="BP326" s="51">
        <f t="shared" ca="1" si="216"/>
        <v>0</v>
      </c>
      <c r="BQ326" s="120"/>
      <c r="BR326" s="32"/>
      <c r="BS326" s="126"/>
      <c r="BT326" s="16"/>
      <c r="BU326" s="58"/>
      <c r="BW326" s="51">
        <f>VLOOKUP(H326,Charges!$AT$4:$AU$33,2,FALSE)*I326</f>
        <v>0</v>
      </c>
      <c r="BX326" s="51">
        <f t="shared" si="217"/>
        <v>0</v>
      </c>
      <c r="BY326" s="51">
        <f t="shared" si="225"/>
        <v>0</v>
      </c>
      <c r="BZ326" s="151"/>
      <c r="CA326" s="151"/>
      <c r="CB326" s="32"/>
      <c r="CC326" s="16">
        <f ca="1">SUM($N$7:$N326)</f>
        <v>0</v>
      </c>
      <c r="CD326" s="16">
        <f t="shared" ca="1" si="218"/>
        <v>0</v>
      </c>
      <c r="CE326" s="16">
        <f t="shared" ca="1" si="219"/>
        <v>0</v>
      </c>
      <c r="CF326" s="7">
        <f t="shared" ca="1" si="226"/>
        <v>0</v>
      </c>
    </row>
    <row r="327" spans="1:84" s="7" customFormat="1" x14ac:dyDescent="0.2">
      <c r="A327" s="149"/>
      <c r="B327" s="14">
        <f t="shared" ref="B327:B367" si="232">IF(H327&lt;=pt,1,0)</f>
        <v>0</v>
      </c>
      <c r="C327" s="12">
        <f t="shared" ref="C327:C367" si="233">IF(H327&lt;=ppt,1,0)</f>
        <v>0</v>
      </c>
      <c r="D327" s="17">
        <f t="shared" si="227"/>
        <v>321</v>
      </c>
      <c r="E327" s="17">
        <f t="shared" ref="E327:E367" ca="1" si="234">(age+(H327-1))</f>
        <v>86</v>
      </c>
      <c r="F327" s="12">
        <f t="shared" si="229"/>
        <v>8</v>
      </c>
      <c r="G327" s="12">
        <f t="shared" si="228"/>
        <v>54</v>
      </c>
      <c r="H327" s="17">
        <f t="shared" si="230"/>
        <v>27</v>
      </c>
      <c r="I327" s="29">
        <f t="shared" ref="I327:I367" si="235">IF(AND(H327&lt;=pt,H327&lt;=ppt,F327=0,fq=1),pr,IF(AND(H327&lt;=pt,H327&lt;=ppt,fq=2,MOD(F327,6)=0),pr/fq,IF(AND(H327&lt;=pt,H327&lt;=ppt,fq=12),pr/fq,0)))</f>
        <v>0</v>
      </c>
      <c r="J327" s="211">
        <f>IFERROR(VLOOKUP(H327,Charges!$T$6:$U$35,2,0)*C327,0)</f>
        <v>0</v>
      </c>
      <c r="K327" s="29">
        <f t="shared" ref="K327:K367" si="236">ROUND((100%-J327)*I327,Round)</f>
        <v>0</v>
      </c>
      <c r="L327" s="29">
        <f t="shared" ref="L327:L367" si="237">(I327-(K327+BG327*IF(Model_Type="Pricing_Unit",1,0)))*C327</f>
        <v>0</v>
      </c>
      <c r="M327" s="147">
        <f t="shared" ref="M327:M367" ca="1" si="238">IF(AND(OR(Option_PW="Y",Option_SPW="Y"),H327&gt;Lock_In_Period,H327&lt;=pt,(W327-IF(option="Single",1/5*pr,2*pr))&gt;0,(age+H327)&gt;=Legal_Age),(W326+L327-IF(option="Single",1/5*pr,2*pr)),0)</f>
        <v>0</v>
      </c>
      <c r="N327" s="148">
        <f ca="1">IF(AND(Option_SPW="Y",H327&gt;=Lock_In_Period,Z326&gt;SPW_Amount_pa+IF(option="Single",1/5*pr,2*pr),H327&gt;=SPW_Start_Year,H327&lt;=SPW_Start_Year+SPW_Duration-1,age+H327&gt;=Legal_Age),IF(AND(F327=0,SPW_Payout_Freq=1),SPW_Amount_pa,IF(AND(SPW_Payout_Freq=2,MOD(F327,6)=0),SPW_Amount_pa/SPW_Payout_Freq,IF(AND(SPW_Payout_Freq=4,MOD(F327,3)=0),SPW_Amount_pa/SPW_Payout_Freq,IF(SPW_Payout_Freq=12,SPW_Amount_pa/SPW_Payout_Freq,0)))),0)+IFERROR(VLOOKUP(H327,Input!$B$68:$C$74,2,0),0)*(F327=0)*(Option_PW="Y")*(Option_SPW="N")*(age+H327&gt;=Legal_Age)</f>
        <v>0</v>
      </c>
      <c r="O327" s="148">
        <f t="shared" ca="1" si="220"/>
        <v>0</v>
      </c>
      <c r="P327" s="14">
        <f ca="1">(MAX(MAX(sa-CF326*Flag_UL_Type,105%*SUM($I$7:I327))-(AD326+L327-N327)*Flag_UL_Type,0)*B327)</f>
        <v>0</v>
      </c>
      <c r="Q327" s="213">
        <f t="shared" ref="Q327:Q367" si="239">IF(B327=0,0,ROUND(P327*(_rpm1+(1+_emr1)*VLOOKUP(E327,Tab_Mort_Charge,IF(Gender="M",2,3),0))*Flag_Mort_Rider_Charge*(P327&gt;0),Round))*(0.001*IF(Model_Type="LA_PQIS",0.0833,(1/12)))</f>
        <v>0</v>
      </c>
      <c r="R327" s="14">
        <f t="shared" ref="R327:R367" ca="1" si="240">IF(AND(B327,ADB_Flag="Y",age&lt;=ADB_MAX_AGE,age&gt;=ADB_MIN_AGE,E327&lt;=age+pt),sa_adb,0)</f>
        <v>0</v>
      </c>
      <c r="S327" s="14">
        <f t="shared" ref="S327:S367" ca="1" si="241">ROUND((adb_rate*(1+adb_emr)+adb_rpm)*R327*(0.001*IF(Model_Type="LA_PQIS",0.0833,(1/12)))*Flag_Mort_Rider_Charge*IF(age+H327-1&lt;Max_Maturity_Age,1,0),Round)</f>
        <v>0</v>
      </c>
      <c r="T327" s="14">
        <f>IFERROR(IF(WoP_Flag="Y",IF(fq=1,VLOOKUP(ppt*fq-H327,Charges!$AN$41:$AO$59,2,FALSE),IF(fq=2,VLOOKUP(ppt*fq-G327,Charges!$AP$41:$AQ$79,2,FALSE),VLOOKUP(ppt*fq-D327,Charges!$AR$41:$AS$279,2,FALSE)))*pr/fq,0),0)</f>
        <v>0</v>
      </c>
      <c r="U327" s="14">
        <f ca="1">IFERROR(((T327*(VLOOKUP(Input!$D$18+H327-1,Tab_Mort_Charge,IF(Gender_2="M",2,3),FALSE)*(1+_emr2)+_rpm2)/IF(Model_Type="LA_PQIS",1000/0.0833,(12*1000))))*Flag_Mort_Rider_Charge*(T327&gt;0),0)</f>
        <v>0</v>
      </c>
      <c r="V327" s="34">
        <f>ROUND(MIN(IF(H327&gt;=7,Charges!$C$12*(1+Charges!$C$14)^((H327-7+1)),VLOOKUP(H327,Charges!$B$7:$C$12,2,0))*pr,Charges!$C$13)*B327,Round)</f>
        <v>0</v>
      </c>
      <c r="W327" s="14">
        <f t="shared" ref="W327:W367" ca="1" si="242">+(AD326+L327-(N327+Q327+S327+U327+V327+BG327*IF(Model_Type="La_PQIS",1,0)+BH327+BK327+BI327+BJ327+BM327*IF(Model_Type="La_PQIS",1,0)))*B327</f>
        <v>0</v>
      </c>
      <c r="X327" s="14">
        <f t="shared" ref="X327:X367" ca="1" si="243">W327*(1+$F$3)</f>
        <v>0</v>
      </c>
      <c r="Y327" s="213">
        <f t="shared" ca="1" si="221"/>
        <v>0</v>
      </c>
      <c r="Z327" s="14">
        <f t="shared" ref="Z327:Z367" ca="1" si="244">X327-(Y327+BL327)</f>
        <v>0</v>
      </c>
      <c r="AA327" s="14">
        <f>IF(AND($H327=pt,$F327=11),SUM($K$7:K327)*VLOOKUP(pt,ROC,2,FALSE),0)</f>
        <v>0</v>
      </c>
      <c r="AB327" s="14">
        <f>IF(AND($H327=pt,$F327=11),SUM($V$7:V327)*VLOOKUP(pt,ROC,2,FALSE),0)</f>
        <v>0</v>
      </c>
      <c r="AC327" s="14">
        <f>IF(AND($H327=pt,$F327=11),SUM($Q$7:Q327)*VLOOKUP(pt,ROC,2,FALSE),0)</f>
        <v>0</v>
      </c>
      <c r="AD327" s="14">
        <f t="shared" ca="1" si="222"/>
        <v>0</v>
      </c>
      <c r="AE327" s="14">
        <f ca="1">(MAX(sa-CF326*Flag_UL_Type,105%*SUM($I$7:I327),Z327)+AU327)*B327</f>
        <v>0</v>
      </c>
      <c r="AF327" s="136"/>
      <c r="AG327" s="18">
        <v>321</v>
      </c>
      <c r="AH327" s="30">
        <f t="shared" ref="AH327:AH367" ca="1" si="245">(I327+AJ327)-IF(AG327=pt*12+1,AD326,0)-IF(AG327=pt*12+1,AR326,0)-N327</f>
        <v>0</v>
      </c>
      <c r="AI327" s="58"/>
      <c r="AJ327" s="50">
        <f>IF(AND(Option_Sys_TopUp&gt;="Y",H327&gt;=sytp,H327&lt;=(dtp+sytp-1),F327=0,H327&lt;=ppt+1),atp,0)+IFERROR(VLOOKUP(H327,Input!$B$55:$C$61,2,0),0)*(F327=0)*(Option_TopUP="Y")*(Option_Sys_TopUp="N")*B327*(pt&gt;=H327+5)</f>
        <v>0</v>
      </c>
      <c r="AK327" s="50">
        <f t="shared" ref="AK327:AK367" si="246">ROUND(allctp*AJ327,0)</f>
        <v>0</v>
      </c>
      <c r="AL327" s="50">
        <f t="shared" si="223"/>
        <v>0</v>
      </c>
      <c r="AM327" s="50">
        <f t="shared" ref="AM327:AM367" ca="1" si="247">AR326+AL327</f>
        <v>0</v>
      </c>
      <c r="AN327" s="50">
        <f>IF(B327=0,0,AT327*(_rpm1+(1+_emr1)*VLOOKUP(E327,Tab_Mort_Charge,IF(Input!$C$12="M",2,3),0))*(0.001*0.0833)*Flag_Mort_Rider_Charge*(AT327&gt;0))</f>
        <v>0</v>
      </c>
      <c r="AO327" s="50">
        <f t="shared" ca="1" si="224"/>
        <v>0</v>
      </c>
      <c r="AP327" s="50">
        <f t="shared" ca="1" si="231"/>
        <v>0</v>
      </c>
      <c r="AQ327" s="50">
        <f t="shared" ref="AQ327:AQ367" ca="1" si="248">AP327*$Y$2</f>
        <v>0</v>
      </c>
      <c r="AR327" s="50">
        <f t="shared" ref="AR327:AR367" ca="1" si="249">AP327-(AQ327+BO327)</f>
        <v>0</v>
      </c>
      <c r="AS327" s="50">
        <f t="shared" ref="AS327:AS367" si="250">(AJ327*TOPUP_Cover_Level+AS326)*B327</f>
        <v>0</v>
      </c>
      <c r="AT327" s="50">
        <f ca="1">(MAX((MAX(AS327,105%*SUM($AJ$7:AJ327))-AM327*Flag_UL_Type),0)*B327)</f>
        <v>0</v>
      </c>
      <c r="AU327" s="50">
        <f ca="1">(MAX(AS327,AR327,105%*SUM($AJ$7:AJ327))*B327)</f>
        <v>0</v>
      </c>
      <c r="AV327" s="125"/>
      <c r="AW327" s="13"/>
      <c r="AX327" s="13"/>
      <c r="AY327" s="13"/>
      <c r="AZ327" s="13"/>
      <c r="BA327" s="13"/>
      <c r="BG327" s="51">
        <f t="shared" ref="BG327:BG367" si="251">ROUND(K327*Service_Tax_Rate*Flag_Service_Tax,Round)+ROUND(K327*Cess1_Rate*Flag_Service_Tax,Round)+ROUND(K327*Cess2_Rate*Flag_Service_Tax,Round)</f>
        <v>0</v>
      </c>
      <c r="BH327" s="51">
        <f t="shared" ref="BH327:BH367" si="252">ROUND(Q327*Service_Tax_Rate*Flag_Service_Tax,Round)+ROUND(Q327*Cess1_Rate*Flag_Service_Tax,Round)+ROUND(Q327*Cess2_Rate*Flag_Service_Tax,Round)</f>
        <v>0</v>
      </c>
      <c r="BI327" s="51">
        <f t="shared" ref="BI327:BI367" ca="1" si="253">ROUND(S327*Service_Tax_Rate*Flag_Service_Tax,Round)+ROUND(S327*Cess1_Rate*Flag_Service_Tax,Round)+ROUND(S327*Cess2_Rate*Flag_Service_Tax,Round)</f>
        <v>0</v>
      </c>
      <c r="BJ327" s="51">
        <f t="shared" ref="BJ327:BJ367" ca="1" si="254">ROUND(U327*Service_Tax_Rate*Flag_Service_Tax,Round)+ROUND(U327*Cess1_Rate*Flag_Service_Tax,Round)+ROUND(U327*Cess2_Rate*Flag_Service_Tax,Round)</f>
        <v>0</v>
      </c>
      <c r="BK327" s="51">
        <f t="shared" ref="BK327:BK367" si="255">ROUND(V327*Service_Tax_Rate*Flag_Service_Tax,Round)+ROUND(V327*Cess1_Rate*Flag_Service_Tax,Round)+ROUND(V327*Cess2_Rate*Flag_Service_Tax,Round)</f>
        <v>0</v>
      </c>
      <c r="BL327" s="51">
        <f t="shared" ref="BL327:BL367" ca="1" si="256">Y327*Service_Tax_Rate*Flag_Service_Tax+Y327*Cess1_Rate*Flag_Service_Tax+Y327*Cess2_Rate*Flag_Service_Tax</f>
        <v>0</v>
      </c>
      <c r="BM327" s="51">
        <f t="shared" ref="BM327:BM367" si="257">ROUND(AK327*Service_Tax_Rate*Flag_Service_Tax,Round)+ROUND(AK327*Cess1_Rate*Flag_Service_Tax,Round)+ROUND(AK327*Cess2_Rate*Flag_Service_Tax,Round)</f>
        <v>0</v>
      </c>
      <c r="BN327" s="51">
        <f t="shared" ref="BN327:BN367" si="258">ROUND(AN327*Service_Tax_Rate*Flag_Service_Tax,Round)+ROUND(AN327*Cess1_Rate*Flag_Service_Tax,Round)+ROUND(AN327*Cess2_Rate*Flag_Service_Tax,Round)</f>
        <v>0</v>
      </c>
      <c r="BO327" s="51">
        <f t="shared" ref="BO327:BO367" ca="1" si="259">AQ327*Service_Tax_Rate*Flag_Service_Tax+AQ327*Cess1_Rate*Flag_Service_Tax+AQ327*Cess2_Rate*Flag_Service_Tax</f>
        <v>0</v>
      </c>
      <c r="BP327" s="51">
        <f t="shared" ref="BP327:BP367" ca="1" si="260">SUM(BG327:BO327)</f>
        <v>0</v>
      </c>
      <c r="BQ327" s="120"/>
      <c r="BR327" s="32"/>
      <c r="BS327" s="126"/>
      <c r="BT327" s="16"/>
      <c r="BU327" s="58"/>
      <c r="BW327" s="51">
        <f>VLOOKUP(H327,Charges!$AT$4:$AU$33,2,FALSE)*I327</f>
        <v>0</v>
      </c>
      <c r="BX327" s="51">
        <f t="shared" ref="BX327:BX367" si="261">AJ327*Commission_TOPUP</f>
        <v>0</v>
      </c>
      <c r="BY327" s="51">
        <f t="shared" si="225"/>
        <v>0</v>
      </c>
      <c r="BZ327" s="151"/>
      <c r="CA327" s="151"/>
      <c r="CB327" s="32"/>
      <c r="CC327" s="16">
        <f ca="1">SUM($N$7:$N327)</f>
        <v>0</v>
      </c>
      <c r="CD327" s="16">
        <f t="shared" ref="CD327:CD367" ca="1" si="262">IF(AND((B327=1)*(H327&gt;Lock_In_Period)),CC327-INDEX($CC$7:$CC$367,D327-24,1),0)*(E327&lt;60)</f>
        <v>0</v>
      </c>
      <c r="CE327" s="16">
        <f t="shared" ref="CE327:CE367" ca="1" si="263">(B327=1)*(H327&gt;Lock_In_Period)*(E327&gt;=60)*IFERROR((CC327-INDEX($CC$7:$CC$367,D327-24,1)),0)</f>
        <v>0</v>
      </c>
      <c r="CF327" s="7">
        <f t="shared" ca="1" si="226"/>
        <v>0</v>
      </c>
    </row>
    <row r="328" spans="1:84" s="7" customFormat="1" x14ac:dyDescent="0.2">
      <c r="A328" s="149"/>
      <c r="B328" s="14">
        <f t="shared" si="232"/>
        <v>0</v>
      </c>
      <c r="C328" s="12">
        <f t="shared" si="233"/>
        <v>0</v>
      </c>
      <c r="D328" s="17">
        <f t="shared" si="227"/>
        <v>322</v>
      </c>
      <c r="E328" s="17">
        <f t="shared" ca="1" si="234"/>
        <v>86</v>
      </c>
      <c r="F328" s="12">
        <f t="shared" si="229"/>
        <v>9</v>
      </c>
      <c r="G328" s="12">
        <f t="shared" si="228"/>
        <v>54</v>
      </c>
      <c r="H328" s="17">
        <f t="shared" si="230"/>
        <v>27</v>
      </c>
      <c r="I328" s="29">
        <f t="shared" si="235"/>
        <v>0</v>
      </c>
      <c r="J328" s="211">
        <f>IFERROR(VLOOKUP(H328,Charges!$T$6:$U$35,2,0)*C328,0)</f>
        <v>0</v>
      </c>
      <c r="K328" s="29">
        <f t="shared" si="236"/>
        <v>0</v>
      </c>
      <c r="L328" s="29">
        <f t="shared" si="237"/>
        <v>0</v>
      </c>
      <c r="M328" s="147">
        <f t="shared" ca="1" si="238"/>
        <v>0</v>
      </c>
      <c r="N328" s="148">
        <f ca="1">IF(AND(Option_SPW="Y",H328&gt;=Lock_In_Period,Z327&gt;SPW_Amount_pa+IF(option="Single",1/5*pr,2*pr),H328&gt;=SPW_Start_Year,H328&lt;=SPW_Start_Year+SPW_Duration-1,age+H328&gt;=Legal_Age),IF(AND(F328=0,SPW_Payout_Freq=1),SPW_Amount_pa,IF(AND(SPW_Payout_Freq=2,MOD(F328,6)=0),SPW_Amount_pa/SPW_Payout_Freq,IF(AND(SPW_Payout_Freq=4,MOD(F328,3)=0),SPW_Amount_pa/SPW_Payout_Freq,IF(SPW_Payout_Freq=12,SPW_Amount_pa/SPW_Payout_Freq,0)))),0)+IFERROR(VLOOKUP(H328,Input!$B$68:$C$74,2,0),0)*(F328=0)*(Option_PW="Y")*(Option_SPW="N")*(age+H328&gt;=Legal_Age)</f>
        <v>0</v>
      </c>
      <c r="O328" s="148">
        <f t="shared" ref="O328:O367" ca="1" si="264">IF(N328&lt;=M328,0,1)</f>
        <v>0</v>
      </c>
      <c r="P328" s="14">
        <f ca="1">(MAX(MAX(sa-CF327*Flag_UL_Type,105%*SUM($I$7:I328))-(AD327+L328-N328)*Flag_UL_Type,0)*B328)</f>
        <v>0</v>
      </c>
      <c r="Q328" s="213">
        <f t="shared" si="239"/>
        <v>0</v>
      </c>
      <c r="R328" s="14">
        <f t="shared" ca="1" si="240"/>
        <v>0</v>
      </c>
      <c r="S328" s="14">
        <f t="shared" ca="1" si="241"/>
        <v>0</v>
      </c>
      <c r="T328" s="14">
        <f>IFERROR(IF(WoP_Flag="Y",IF(fq=1,VLOOKUP(ppt*fq-H328,Charges!$AN$41:$AO$59,2,FALSE),IF(fq=2,VLOOKUP(ppt*fq-G328,Charges!$AP$41:$AQ$79,2,FALSE),VLOOKUP(ppt*fq-D328,Charges!$AR$41:$AS$279,2,FALSE)))*pr/fq,0),0)</f>
        <v>0</v>
      </c>
      <c r="U328" s="14">
        <f ca="1">IFERROR(((T328*(VLOOKUP(Input!$D$18+H328-1,Tab_Mort_Charge,IF(Gender_2="M",2,3),FALSE)*(1+_emr2)+_rpm2)/IF(Model_Type="LA_PQIS",1000/0.0833,(12*1000))))*Flag_Mort_Rider_Charge*(T328&gt;0),0)</f>
        <v>0</v>
      </c>
      <c r="V328" s="34">
        <f>ROUND(MIN(IF(H328&gt;=7,Charges!$C$12*(1+Charges!$C$14)^((H328-7+1)),VLOOKUP(H328,Charges!$B$7:$C$12,2,0))*pr,Charges!$C$13)*B328,Round)</f>
        <v>0</v>
      </c>
      <c r="W328" s="14">
        <f t="shared" ca="1" si="242"/>
        <v>0</v>
      </c>
      <c r="X328" s="14">
        <f t="shared" ca="1" si="243"/>
        <v>0</v>
      </c>
      <c r="Y328" s="213">
        <f t="shared" ref="Y328:Y367" ca="1" si="265">X328*$Y$2</f>
        <v>0</v>
      </c>
      <c r="Z328" s="14">
        <f t="shared" ca="1" si="244"/>
        <v>0</v>
      </c>
      <c r="AA328" s="14">
        <f>IF(AND($H328=pt,$F328=11),SUM($K$7:K328)*VLOOKUP(pt,ROC,2,FALSE),0)</f>
        <v>0</v>
      </c>
      <c r="AB328" s="14">
        <f>IF(AND($H328=pt,$F328=11),SUM($V$7:V328)*VLOOKUP(pt,ROC,2,FALSE),0)</f>
        <v>0</v>
      </c>
      <c r="AC328" s="14">
        <f>IF(AND($H328=pt,$F328=11),SUM($Q$7:Q328)*VLOOKUP(pt,ROC,2,FALSE),0)</f>
        <v>0</v>
      </c>
      <c r="AD328" s="14">
        <f t="shared" ref="AD328:AD367" ca="1" si="266">Z328+AA328+AB328+AC328</f>
        <v>0</v>
      </c>
      <c r="AE328" s="14">
        <f ca="1">(MAX(sa-CF327*Flag_UL_Type,105%*SUM($I$7:I328),Z328)+AU328)*B328</f>
        <v>0</v>
      </c>
      <c r="AF328" s="136"/>
      <c r="AG328" s="18">
        <v>322</v>
      </c>
      <c r="AH328" s="30">
        <f t="shared" ca="1" si="245"/>
        <v>0</v>
      </c>
      <c r="AI328" s="58"/>
      <c r="AJ328" s="50">
        <f>IF(AND(Option_Sys_TopUp&gt;="Y",H328&gt;=sytp,H328&lt;=(dtp+sytp-1),F328=0,H328&lt;=ppt+1),atp,0)+IFERROR(VLOOKUP(H328,Input!$B$55:$C$61,2,0),0)*(F328=0)*(Option_TopUP="Y")*(Option_Sys_TopUp="N")*B328*(pt&gt;=H328+5)</f>
        <v>0</v>
      </c>
      <c r="AK328" s="50">
        <f t="shared" si="246"/>
        <v>0</v>
      </c>
      <c r="AL328" s="50">
        <f t="shared" ref="AL328:AL367" si="267">AJ328-(AK328+BM328*0)</f>
        <v>0</v>
      </c>
      <c r="AM328" s="50">
        <f t="shared" ca="1" si="247"/>
        <v>0</v>
      </c>
      <c r="AN328" s="50">
        <f>IF(B328=0,0,AT328*(_rpm1+(1+_emr1)*VLOOKUP(E328,Tab_Mort_Charge,IF(Input!$C$12="M",2,3),0))*(0.001*0.0833)*Flag_Mort_Rider_Charge*(AT328&gt;0))</f>
        <v>0</v>
      </c>
      <c r="AO328" s="50">
        <f t="shared" ref="AO328:AO367" ca="1" si="268">AM328-AN328-BM328*1-BN328*1</f>
        <v>0</v>
      </c>
      <c r="AP328" s="50">
        <f t="shared" ca="1" si="231"/>
        <v>0</v>
      </c>
      <c r="AQ328" s="50">
        <f t="shared" ca="1" si="248"/>
        <v>0</v>
      </c>
      <c r="AR328" s="50">
        <f t="shared" ca="1" si="249"/>
        <v>0</v>
      </c>
      <c r="AS328" s="50">
        <f t="shared" si="250"/>
        <v>0</v>
      </c>
      <c r="AT328" s="50">
        <f ca="1">(MAX((MAX(AS328,105%*SUM($AJ$7:AJ328))-AM328*Flag_UL_Type),0)*B328)</f>
        <v>0</v>
      </c>
      <c r="AU328" s="50">
        <f ca="1">(MAX(AS328,AR328,105%*SUM($AJ$7:AJ328))*B328)</f>
        <v>0</v>
      </c>
      <c r="AV328" s="125"/>
      <c r="AW328" s="13"/>
      <c r="AX328" s="13"/>
      <c r="AY328" s="13"/>
      <c r="AZ328" s="13"/>
      <c r="BA328" s="13"/>
      <c r="BG328" s="51">
        <f t="shared" si="251"/>
        <v>0</v>
      </c>
      <c r="BH328" s="51">
        <f t="shared" si="252"/>
        <v>0</v>
      </c>
      <c r="BI328" s="51">
        <f t="shared" ca="1" si="253"/>
        <v>0</v>
      </c>
      <c r="BJ328" s="51">
        <f t="shared" ca="1" si="254"/>
        <v>0</v>
      </c>
      <c r="BK328" s="51">
        <f t="shared" si="255"/>
        <v>0</v>
      </c>
      <c r="BL328" s="51">
        <f t="shared" ca="1" si="256"/>
        <v>0</v>
      </c>
      <c r="BM328" s="51">
        <f t="shared" si="257"/>
        <v>0</v>
      </c>
      <c r="BN328" s="51">
        <f t="shared" si="258"/>
        <v>0</v>
      </c>
      <c r="BO328" s="51">
        <f t="shared" ca="1" si="259"/>
        <v>0</v>
      </c>
      <c r="BP328" s="51">
        <f t="shared" ca="1" si="260"/>
        <v>0</v>
      </c>
      <c r="BQ328" s="120"/>
      <c r="BR328" s="32"/>
      <c r="BS328" s="126"/>
      <c r="BT328" s="16"/>
      <c r="BU328" s="58"/>
      <c r="BW328" s="51">
        <f>VLOOKUP(H328,Charges!$AT$4:$AU$33,2,FALSE)*I328</f>
        <v>0</v>
      </c>
      <c r="BX328" s="51">
        <f t="shared" si="261"/>
        <v>0</v>
      </c>
      <c r="BY328" s="51">
        <f t="shared" ref="BY328:BY367" si="269">SUM(BW328:BX328)</f>
        <v>0</v>
      </c>
      <c r="BZ328" s="151"/>
      <c r="CA328" s="151"/>
      <c r="CB328" s="32"/>
      <c r="CC328" s="16">
        <f ca="1">SUM($N$7:$N328)</f>
        <v>0</v>
      </c>
      <c r="CD328" s="16">
        <f t="shared" ca="1" si="262"/>
        <v>0</v>
      </c>
      <c r="CE328" s="16">
        <f t="shared" ca="1" si="263"/>
        <v>0</v>
      </c>
      <c r="CF328" s="7">
        <f t="shared" ref="CF328:CF367" ca="1" si="270">IF(E328&lt;60,CD328,CE328)</f>
        <v>0</v>
      </c>
    </row>
    <row r="329" spans="1:84" s="7" customFormat="1" x14ac:dyDescent="0.2">
      <c r="A329" s="149"/>
      <c r="B329" s="14">
        <f t="shared" si="232"/>
        <v>0</v>
      </c>
      <c r="C329" s="12">
        <f t="shared" si="233"/>
        <v>0</v>
      </c>
      <c r="D329" s="17">
        <f t="shared" ref="D329:D367" si="271">D328+1</f>
        <v>323</v>
      </c>
      <c r="E329" s="17">
        <f t="shared" ca="1" si="234"/>
        <v>86</v>
      </c>
      <c r="F329" s="12">
        <f t="shared" si="229"/>
        <v>10</v>
      </c>
      <c r="G329" s="12">
        <f t="shared" si="228"/>
        <v>54</v>
      </c>
      <c r="H329" s="17">
        <f t="shared" si="230"/>
        <v>27</v>
      </c>
      <c r="I329" s="29">
        <f t="shared" si="235"/>
        <v>0</v>
      </c>
      <c r="J329" s="211">
        <f>IFERROR(VLOOKUP(H329,Charges!$T$6:$U$35,2,0)*C329,0)</f>
        <v>0</v>
      </c>
      <c r="K329" s="29">
        <f t="shared" si="236"/>
        <v>0</v>
      </c>
      <c r="L329" s="29">
        <f t="shared" si="237"/>
        <v>0</v>
      </c>
      <c r="M329" s="147">
        <f t="shared" ca="1" si="238"/>
        <v>0</v>
      </c>
      <c r="N329" s="148">
        <f ca="1">IF(AND(Option_SPW="Y",H329&gt;=Lock_In_Period,Z328&gt;SPW_Amount_pa+IF(option="Single",1/5*pr,2*pr),H329&gt;=SPW_Start_Year,H329&lt;=SPW_Start_Year+SPW_Duration-1,age+H329&gt;=Legal_Age),IF(AND(F329=0,SPW_Payout_Freq=1),SPW_Amount_pa,IF(AND(SPW_Payout_Freq=2,MOD(F329,6)=0),SPW_Amount_pa/SPW_Payout_Freq,IF(AND(SPW_Payout_Freq=4,MOD(F329,3)=0),SPW_Amount_pa/SPW_Payout_Freq,IF(SPW_Payout_Freq=12,SPW_Amount_pa/SPW_Payout_Freq,0)))),0)+IFERROR(VLOOKUP(H329,Input!$B$68:$C$74,2,0),0)*(F329=0)*(Option_PW="Y")*(Option_SPW="N")*(age+H329&gt;=Legal_Age)</f>
        <v>0</v>
      </c>
      <c r="O329" s="148">
        <f t="shared" ca="1" si="264"/>
        <v>0</v>
      </c>
      <c r="P329" s="14">
        <f ca="1">(MAX(MAX(sa-CF328*Flag_UL_Type,105%*SUM($I$7:I329))-(AD328+L329-N329)*Flag_UL_Type,0)*B329)</f>
        <v>0</v>
      </c>
      <c r="Q329" s="213">
        <f t="shared" si="239"/>
        <v>0</v>
      </c>
      <c r="R329" s="14">
        <f t="shared" ca="1" si="240"/>
        <v>0</v>
      </c>
      <c r="S329" s="14">
        <f t="shared" ca="1" si="241"/>
        <v>0</v>
      </c>
      <c r="T329" s="14">
        <f>IFERROR(IF(WoP_Flag="Y",IF(fq=1,VLOOKUP(ppt*fq-H329,Charges!$AN$41:$AO$59,2,FALSE),IF(fq=2,VLOOKUP(ppt*fq-G329,Charges!$AP$41:$AQ$79,2,FALSE),VLOOKUP(ppt*fq-D329,Charges!$AR$41:$AS$279,2,FALSE)))*pr/fq,0),0)</f>
        <v>0</v>
      </c>
      <c r="U329" s="14">
        <f ca="1">IFERROR(((T329*(VLOOKUP(Input!$D$18+H329-1,Tab_Mort_Charge,IF(Gender_2="M",2,3),FALSE)*(1+_emr2)+_rpm2)/IF(Model_Type="LA_PQIS",1000/0.0833,(12*1000))))*Flag_Mort_Rider_Charge*(T329&gt;0),0)</f>
        <v>0</v>
      </c>
      <c r="V329" s="34">
        <f>ROUND(MIN(IF(H329&gt;=7,Charges!$C$12*(1+Charges!$C$14)^((H329-7+1)),VLOOKUP(H329,Charges!$B$7:$C$12,2,0))*pr,Charges!$C$13)*B329,Round)</f>
        <v>0</v>
      </c>
      <c r="W329" s="14">
        <f t="shared" ca="1" si="242"/>
        <v>0</v>
      </c>
      <c r="X329" s="14">
        <f t="shared" ca="1" si="243"/>
        <v>0</v>
      </c>
      <c r="Y329" s="213">
        <f t="shared" ca="1" si="265"/>
        <v>0</v>
      </c>
      <c r="Z329" s="14">
        <f t="shared" ca="1" si="244"/>
        <v>0</v>
      </c>
      <c r="AA329" s="14">
        <f>IF(AND($H329=pt,$F329=11),SUM($K$7:K329)*VLOOKUP(pt,ROC,2,FALSE),0)</f>
        <v>0</v>
      </c>
      <c r="AB329" s="14">
        <f>IF(AND($H329=pt,$F329=11),SUM($V$7:V329)*VLOOKUP(pt,ROC,2,FALSE),0)</f>
        <v>0</v>
      </c>
      <c r="AC329" s="14">
        <f>IF(AND($H329=pt,$F329=11),SUM($Q$7:Q329)*VLOOKUP(pt,ROC,2,FALSE),0)</f>
        <v>0</v>
      </c>
      <c r="AD329" s="14">
        <f t="shared" ca="1" si="266"/>
        <v>0</v>
      </c>
      <c r="AE329" s="14">
        <f ca="1">(MAX(sa-CF328*Flag_UL_Type,105%*SUM($I$7:I329),Z329)+AU329)*B329</f>
        <v>0</v>
      </c>
      <c r="AF329" s="136"/>
      <c r="AG329" s="18">
        <v>323</v>
      </c>
      <c r="AH329" s="30">
        <f t="shared" ca="1" si="245"/>
        <v>0</v>
      </c>
      <c r="AI329" s="58"/>
      <c r="AJ329" s="50">
        <f>IF(AND(Option_Sys_TopUp&gt;="Y",H329&gt;=sytp,H329&lt;=(dtp+sytp-1),F329=0,H329&lt;=ppt+1),atp,0)+IFERROR(VLOOKUP(H329,Input!$B$55:$C$61,2,0),0)*(F329=0)*(Option_TopUP="Y")*(Option_Sys_TopUp="N")*B329*(pt&gt;=H329+5)</f>
        <v>0</v>
      </c>
      <c r="AK329" s="50">
        <f t="shared" si="246"/>
        <v>0</v>
      </c>
      <c r="AL329" s="50">
        <f t="shared" si="267"/>
        <v>0</v>
      </c>
      <c r="AM329" s="50">
        <f t="shared" ca="1" si="247"/>
        <v>0</v>
      </c>
      <c r="AN329" s="50">
        <f>IF(B329=0,0,AT329*(_rpm1+(1+_emr1)*VLOOKUP(E329,Tab_Mort_Charge,IF(Input!$C$12="M",2,3),0))*(0.001*0.0833)*Flag_Mort_Rider_Charge*(AT329&gt;0))</f>
        <v>0</v>
      </c>
      <c r="AO329" s="50">
        <f t="shared" ca="1" si="268"/>
        <v>0</v>
      </c>
      <c r="AP329" s="50">
        <f t="shared" ca="1" si="231"/>
        <v>0</v>
      </c>
      <c r="AQ329" s="50">
        <f t="shared" ca="1" si="248"/>
        <v>0</v>
      </c>
      <c r="AR329" s="50">
        <f t="shared" ca="1" si="249"/>
        <v>0</v>
      </c>
      <c r="AS329" s="50">
        <f t="shared" si="250"/>
        <v>0</v>
      </c>
      <c r="AT329" s="50">
        <f ca="1">(MAX((MAX(AS329,105%*SUM($AJ$7:AJ329))-AM329*Flag_UL_Type),0)*B329)</f>
        <v>0</v>
      </c>
      <c r="AU329" s="50">
        <f ca="1">(MAX(AS329,AR329,105%*SUM($AJ$7:AJ329))*B329)</f>
        <v>0</v>
      </c>
      <c r="AV329" s="125"/>
      <c r="AW329" s="13"/>
      <c r="AX329" s="13"/>
      <c r="AY329" s="13"/>
      <c r="AZ329" s="13"/>
      <c r="BA329" s="13"/>
      <c r="BG329" s="51">
        <f t="shared" si="251"/>
        <v>0</v>
      </c>
      <c r="BH329" s="51">
        <f t="shared" si="252"/>
        <v>0</v>
      </c>
      <c r="BI329" s="51">
        <f t="shared" ca="1" si="253"/>
        <v>0</v>
      </c>
      <c r="BJ329" s="51">
        <f t="shared" ca="1" si="254"/>
        <v>0</v>
      </c>
      <c r="BK329" s="51">
        <f t="shared" si="255"/>
        <v>0</v>
      </c>
      <c r="BL329" s="51">
        <f t="shared" ca="1" si="256"/>
        <v>0</v>
      </c>
      <c r="BM329" s="51">
        <f t="shared" si="257"/>
        <v>0</v>
      </c>
      <c r="BN329" s="51">
        <f t="shared" si="258"/>
        <v>0</v>
      </c>
      <c r="BO329" s="51">
        <f t="shared" ca="1" si="259"/>
        <v>0</v>
      </c>
      <c r="BP329" s="51">
        <f t="shared" ca="1" si="260"/>
        <v>0</v>
      </c>
      <c r="BQ329" s="120"/>
      <c r="BR329" s="32"/>
      <c r="BS329" s="126"/>
      <c r="BT329" s="16"/>
      <c r="BU329" s="58"/>
      <c r="BW329" s="51">
        <f>VLOOKUP(H329,Charges!$AT$4:$AU$33,2,FALSE)*I329</f>
        <v>0</v>
      </c>
      <c r="BX329" s="51">
        <f t="shared" si="261"/>
        <v>0</v>
      </c>
      <c r="BY329" s="51">
        <f t="shared" si="269"/>
        <v>0</v>
      </c>
      <c r="BZ329" s="151"/>
      <c r="CA329" s="151"/>
      <c r="CB329" s="32"/>
      <c r="CC329" s="16">
        <f ca="1">SUM($N$7:$N329)</f>
        <v>0</v>
      </c>
      <c r="CD329" s="16">
        <f t="shared" ca="1" si="262"/>
        <v>0</v>
      </c>
      <c r="CE329" s="16">
        <f t="shared" ca="1" si="263"/>
        <v>0</v>
      </c>
      <c r="CF329" s="7">
        <f t="shared" ca="1" si="270"/>
        <v>0</v>
      </c>
    </row>
    <row r="330" spans="1:84" s="7" customFormat="1" x14ac:dyDescent="0.2">
      <c r="A330" s="149"/>
      <c r="B330" s="14">
        <f t="shared" si="232"/>
        <v>0</v>
      </c>
      <c r="C330" s="12">
        <f t="shared" si="233"/>
        <v>0</v>
      </c>
      <c r="D330" s="17">
        <f t="shared" si="271"/>
        <v>324</v>
      </c>
      <c r="E330" s="17">
        <f t="shared" ca="1" si="234"/>
        <v>86</v>
      </c>
      <c r="F330" s="12">
        <f t="shared" si="229"/>
        <v>11</v>
      </c>
      <c r="G330" s="12">
        <f t="shared" si="228"/>
        <v>54</v>
      </c>
      <c r="H330" s="17">
        <f t="shared" si="230"/>
        <v>27</v>
      </c>
      <c r="I330" s="29">
        <f t="shared" si="235"/>
        <v>0</v>
      </c>
      <c r="J330" s="211">
        <f>IFERROR(VLOOKUP(H330,Charges!$T$6:$U$35,2,0)*C330,0)</f>
        <v>0</v>
      </c>
      <c r="K330" s="29">
        <f t="shared" si="236"/>
        <v>0</v>
      </c>
      <c r="L330" s="29">
        <f t="shared" si="237"/>
        <v>0</v>
      </c>
      <c r="M330" s="147">
        <f t="shared" ca="1" si="238"/>
        <v>0</v>
      </c>
      <c r="N330" s="148">
        <f ca="1">IF(AND(Option_SPW="Y",H330&gt;=Lock_In_Period,Z329&gt;SPW_Amount_pa+IF(option="Single",1/5*pr,2*pr),H330&gt;=SPW_Start_Year,H330&lt;=SPW_Start_Year+SPW_Duration-1,age+H330&gt;=Legal_Age),IF(AND(F330=0,SPW_Payout_Freq=1),SPW_Amount_pa,IF(AND(SPW_Payout_Freq=2,MOD(F330,6)=0),SPW_Amount_pa/SPW_Payout_Freq,IF(AND(SPW_Payout_Freq=4,MOD(F330,3)=0),SPW_Amount_pa/SPW_Payout_Freq,IF(SPW_Payout_Freq=12,SPW_Amount_pa/SPW_Payout_Freq,0)))),0)+IFERROR(VLOOKUP(H330,Input!$B$68:$C$74,2,0),0)*(F330=0)*(Option_PW="Y")*(Option_SPW="N")*(age+H330&gt;=Legal_Age)</f>
        <v>0</v>
      </c>
      <c r="O330" s="148">
        <f t="shared" ca="1" si="264"/>
        <v>0</v>
      </c>
      <c r="P330" s="14">
        <f ca="1">(MAX(MAX(sa-CF329*Flag_UL_Type,105%*SUM($I$7:I330))-(AD329+L330-N330)*Flag_UL_Type,0)*B330)</f>
        <v>0</v>
      </c>
      <c r="Q330" s="213">
        <f t="shared" si="239"/>
        <v>0</v>
      </c>
      <c r="R330" s="14">
        <f t="shared" ca="1" si="240"/>
        <v>0</v>
      </c>
      <c r="S330" s="14">
        <f t="shared" ca="1" si="241"/>
        <v>0</v>
      </c>
      <c r="T330" s="14">
        <f>IFERROR(IF(WoP_Flag="Y",IF(fq=1,VLOOKUP(ppt*fq-H330,Charges!$AN$41:$AO$59,2,FALSE),IF(fq=2,VLOOKUP(ppt*fq-G330,Charges!$AP$41:$AQ$79,2,FALSE),VLOOKUP(ppt*fq-D330,Charges!$AR$41:$AS$279,2,FALSE)))*pr/fq,0),0)</f>
        <v>0</v>
      </c>
      <c r="U330" s="14">
        <f ca="1">IFERROR(((T330*(VLOOKUP(Input!$D$18+H330-1,Tab_Mort_Charge,IF(Gender_2="M",2,3),FALSE)*(1+_emr2)+_rpm2)/IF(Model_Type="LA_PQIS",1000/0.0833,(12*1000))))*Flag_Mort_Rider_Charge*(T330&gt;0),0)</f>
        <v>0</v>
      </c>
      <c r="V330" s="34">
        <f>ROUND(MIN(IF(H330&gt;=7,Charges!$C$12*(1+Charges!$C$14)^((H330-7+1)),VLOOKUP(H330,Charges!$B$7:$C$12,2,0))*pr,Charges!$C$13)*B330,Round)</f>
        <v>0</v>
      </c>
      <c r="W330" s="14">
        <f t="shared" ca="1" si="242"/>
        <v>0</v>
      </c>
      <c r="X330" s="14">
        <f t="shared" ca="1" si="243"/>
        <v>0</v>
      </c>
      <c r="Y330" s="213">
        <f t="shared" ca="1" si="265"/>
        <v>0</v>
      </c>
      <c r="Z330" s="14">
        <f t="shared" ca="1" si="244"/>
        <v>0</v>
      </c>
      <c r="AA330" s="14">
        <f>IF(AND($H330=pt,$F330=11),SUM($K$7:K330)*VLOOKUP(pt,ROC,2,FALSE),0)</f>
        <v>0</v>
      </c>
      <c r="AB330" s="14">
        <f>IF(AND($H330=pt,$F330=11),SUM($V$7:V330)*VLOOKUP(pt,ROC,2,FALSE),0)</f>
        <v>0</v>
      </c>
      <c r="AC330" s="14">
        <f>IF(AND($H330=pt,$F330=11),SUM($Q$7:Q330)*VLOOKUP(pt,ROC,2,FALSE),0)</f>
        <v>0</v>
      </c>
      <c r="AD330" s="14">
        <f t="shared" ca="1" si="266"/>
        <v>0</v>
      </c>
      <c r="AE330" s="14">
        <f ca="1">(MAX(sa-CF329*Flag_UL_Type,105%*SUM($I$7:I330),Z330)+AU330)*B330</f>
        <v>0</v>
      </c>
      <c r="AF330" s="136"/>
      <c r="AG330" s="18">
        <v>324</v>
      </c>
      <c r="AH330" s="30">
        <f t="shared" ca="1" si="245"/>
        <v>0</v>
      </c>
      <c r="AI330" s="58"/>
      <c r="AJ330" s="50">
        <f>IF(AND(Option_Sys_TopUp&gt;="Y",H330&gt;=sytp,H330&lt;=(dtp+sytp-1),F330=0,H330&lt;=ppt+1),atp,0)+IFERROR(VLOOKUP(H330,Input!$B$55:$C$61,2,0),0)*(F330=0)*(Option_TopUP="Y")*(Option_Sys_TopUp="N")*B330*(pt&gt;=H330+5)</f>
        <v>0</v>
      </c>
      <c r="AK330" s="50">
        <f t="shared" si="246"/>
        <v>0</v>
      </c>
      <c r="AL330" s="50">
        <f t="shared" si="267"/>
        <v>0</v>
      </c>
      <c r="AM330" s="50">
        <f t="shared" ca="1" si="247"/>
        <v>0</v>
      </c>
      <c r="AN330" s="50">
        <f>IF(B330=0,0,AT330*(_rpm1+(1+_emr1)*VLOOKUP(E330,Tab_Mort_Charge,IF(Input!$C$12="M",2,3),0))*(0.001*0.0833)*Flag_Mort_Rider_Charge*(AT330&gt;0))</f>
        <v>0</v>
      </c>
      <c r="AO330" s="50">
        <f t="shared" ca="1" si="268"/>
        <v>0</v>
      </c>
      <c r="AP330" s="50">
        <f t="shared" ca="1" si="231"/>
        <v>0</v>
      </c>
      <c r="AQ330" s="50">
        <f t="shared" ca="1" si="248"/>
        <v>0</v>
      </c>
      <c r="AR330" s="50">
        <f t="shared" ca="1" si="249"/>
        <v>0</v>
      </c>
      <c r="AS330" s="50">
        <f t="shared" si="250"/>
        <v>0</v>
      </c>
      <c r="AT330" s="50">
        <f ca="1">(MAX((MAX(AS330,105%*SUM($AJ$7:AJ330))-AM330*Flag_UL_Type),0)*B330)</f>
        <v>0</v>
      </c>
      <c r="AU330" s="50">
        <f ca="1">(MAX(AS330,AR330,105%*SUM($AJ$7:AJ330))*B330)</f>
        <v>0</v>
      </c>
      <c r="AV330" s="125"/>
      <c r="AW330" s="13"/>
      <c r="AX330" s="13"/>
      <c r="AY330" s="13"/>
      <c r="AZ330" s="13"/>
      <c r="BA330" s="13"/>
      <c r="BG330" s="51">
        <f t="shared" si="251"/>
        <v>0</v>
      </c>
      <c r="BH330" s="51">
        <f t="shared" si="252"/>
        <v>0</v>
      </c>
      <c r="BI330" s="51">
        <f t="shared" ca="1" si="253"/>
        <v>0</v>
      </c>
      <c r="BJ330" s="51">
        <f t="shared" ca="1" si="254"/>
        <v>0</v>
      </c>
      <c r="BK330" s="51">
        <f t="shared" si="255"/>
        <v>0</v>
      </c>
      <c r="BL330" s="51">
        <f t="shared" ca="1" si="256"/>
        <v>0</v>
      </c>
      <c r="BM330" s="51">
        <f t="shared" si="257"/>
        <v>0</v>
      </c>
      <c r="BN330" s="51">
        <f t="shared" si="258"/>
        <v>0</v>
      </c>
      <c r="BO330" s="51">
        <f t="shared" ca="1" si="259"/>
        <v>0</v>
      </c>
      <c r="BP330" s="51">
        <f t="shared" ca="1" si="260"/>
        <v>0</v>
      </c>
      <c r="BQ330" s="120"/>
      <c r="BR330" s="32"/>
      <c r="BS330" s="126"/>
      <c r="BT330" s="16"/>
      <c r="BU330" s="58"/>
      <c r="BW330" s="51">
        <f>VLOOKUP(H330,Charges!$AT$4:$AU$33,2,FALSE)*I330</f>
        <v>0</v>
      </c>
      <c r="BX330" s="51">
        <f t="shared" si="261"/>
        <v>0</v>
      </c>
      <c r="BY330" s="51">
        <f t="shared" si="269"/>
        <v>0</v>
      </c>
      <c r="BZ330" s="151"/>
      <c r="CA330" s="151"/>
      <c r="CB330" s="32"/>
      <c r="CC330" s="16">
        <f ca="1">SUM($N$7:$N330)</f>
        <v>0</v>
      </c>
      <c r="CD330" s="16">
        <f t="shared" ca="1" si="262"/>
        <v>0</v>
      </c>
      <c r="CE330" s="16">
        <f t="shared" ca="1" si="263"/>
        <v>0</v>
      </c>
      <c r="CF330" s="7">
        <f t="shared" ca="1" si="270"/>
        <v>0</v>
      </c>
    </row>
    <row r="331" spans="1:84" s="7" customFormat="1" x14ac:dyDescent="0.2">
      <c r="A331" s="149"/>
      <c r="B331" s="14">
        <f t="shared" si="232"/>
        <v>0</v>
      </c>
      <c r="C331" s="12">
        <f t="shared" si="233"/>
        <v>0</v>
      </c>
      <c r="D331" s="17">
        <f t="shared" si="271"/>
        <v>325</v>
      </c>
      <c r="E331" s="17">
        <f t="shared" ca="1" si="234"/>
        <v>87</v>
      </c>
      <c r="F331" s="12">
        <f t="shared" si="229"/>
        <v>0</v>
      </c>
      <c r="G331" s="12">
        <f t="shared" si="228"/>
        <v>55</v>
      </c>
      <c r="H331" s="17">
        <f t="shared" si="230"/>
        <v>28</v>
      </c>
      <c r="I331" s="29">
        <f t="shared" si="235"/>
        <v>0</v>
      </c>
      <c r="J331" s="211">
        <f>IFERROR(VLOOKUP(H331,Charges!$T$6:$U$35,2,0)*C331,0)</f>
        <v>0</v>
      </c>
      <c r="K331" s="29">
        <f t="shared" si="236"/>
        <v>0</v>
      </c>
      <c r="L331" s="29">
        <f t="shared" si="237"/>
        <v>0</v>
      </c>
      <c r="M331" s="147">
        <f t="shared" ca="1" si="238"/>
        <v>0</v>
      </c>
      <c r="N331" s="148">
        <f ca="1">IF(AND(Option_SPW="Y",H331&gt;=Lock_In_Period,Z330&gt;SPW_Amount_pa+IF(option="Single",1/5*pr,2*pr),H331&gt;=SPW_Start_Year,H331&lt;=SPW_Start_Year+SPW_Duration-1,age+H331&gt;=Legal_Age),IF(AND(F331=0,SPW_Payout_Freq=1),SPW_Amount_pa,IF(AND(SPW_Payout_Freq=2,MOD(F331,6)=0),SPW_Amount_pa/SPW_Payout_Freq,IF(AND(SPW_Payout_Freq=4,MOD(F331,3)=0),SPW_Amount_pa/SPW_Payout_Freq,IF(SPW_Payout_Freq=12,SPW_Amount_pa/SPW_Payout_Freq,0)))),0)+IFERROR(VLOOKUP(H331,Input!$B$68:$C$74,2,0),0)*(F331=0)*(Option_PW="Y")*(Option_SPW="N")*(age+H331&gt;=Legal_Age)</f>
        <v>0</v>
      </c>
      <c r="O331" s="148">
        <f t="shared" ca="1" si="264"/>
        <v>0</v>
      </c>
      <c r="P331" s="14">
        <f ca="1">(MAX(MAX(sa-CF330*Flag_UL_Type,105%*SUM($I$7:I331))-(AD330+L331-N331)*Flag_UL_Type,0)*B331)</f>
        <v>0</v>
      </c>
      <c r="Q331" s="213">
        <f t="shared" si="239"/>
        <v>0</v>
      </c>
      <c r="R331" s="14">
        <f t="shared" ca="1" si="240"/>
        <v>0</v>
      </c>
      <c r="S331" s="14">
        <f t="shared" ca="1" si="241"/>
        <v>0</v>
      </c>
      <c r="T331" s="14">
        <f>IFERROR(IF(WoP_Flag="Y",IF(fq=1,VLOOKUP(ppt*fq-H331,Charges!$AN$41:$AO$59,2,FALSE),IF(fq=2,VLOOKUP(ppt*fq-G331,Charges!$AP$41:$AQ$79,2,FALSE),VLOOKUP(ppt*fq-D331,Charges!$AR$41:$AS$279,2,FALSE)))*pr/fq,0),0)</f>
        <v>0</v>
      </c>
      <c r="U331" s="14">
        <f ca="1">IFERROR(((T331*(VLOOKUP(Input!$D$18+H331-1,Tab_Mort_Charge,IF(Gender_2="M",2,3),FALSE)*(1+_emr2)+_rpm2)/IF(Model_Type="LA_PQIS",1000/0.0833,(12*1000))))*Flag_Mort_Rider_Charge*(T331&gt;0),0)</f>
        <v>0</v>
      </c>
      <c r="V331" s="34">
        <f>ROUND(MIN(IF(H331&gt;=7,Charges!$C$12*(1+Charges!$C$14)^((H331-7+1)),VLOOKUP(H331,Charges!$B$7:$C$12,2,0))*pr,Charges!$C$13)*B331,Round)</f>
        <v>0</v>
      </c>
      <c r="W331" s="14">
        <f t="shared" ca="1" si="242"/>
        <v>0</v>
      </c>
      <c r="X331" s="14">
        <f t="shared" ca="1" si="243"/>
        <v>0</v>
      </c>
      <c r="Y331" s="213">
        <f t="shared" ca="1" si="265"/>
        <v>0</v>
      </c>
      <c r="Z331" s="14">
        <f t="shared" ca="1" si="244"/>
        <v>0</v>
      </c>
      <c r="AA331" s="14">
        <f>IF(AND($H331=pt,$F331=11),SUM($K$7:K331)*VLOOKUP(pt,ROC,2,FALSE),0)</f>
        <v>0</v>
      </c>
      <c r="AB331" s="14">
        <f>IF(AND($H331=pt,$F331=11),SUM($V$7:V331)*VLOOKUP(pt,ROC,2,FALSE),0)</f>
        <v>0</v>
      </c>
      <c r="AC331" s="14">
        <f>IF(AND($H331=pt,$F331=11),SUM($Q$7:Q331)*VLOOKUP(pt,ROC,2,FALSE),0)</f>
        <v>0</v>
      </c>
      <c r="AD331" s="14">
        <f t="shared" ca="1" si="266"/>
        <v>0</v>
      </c>
      <c r="AE331" s="14">
        <f ca="1">(MAX(sa-CF330*Flag_UL_Type,105%*SUM($I$7:I331),Z331)+AU331)*B331</f>
        <v>0</v>
      </c>
      <c r="AF331" s="136"/>
      <c r="AG331" s="18">
        <v>325</v>
      </c>
      <c r="AH331" s="30">
        <f t="shared" ca="1" si="245"/>
        <v>0</v>
      </c>
      <c r="AI331" s="58"/>
      <c r="AJ331" s="50">
        <f>IF(AND(Option_Sys_TopUp&gt;="Y",H331&gt;=sytp,H331&lt;=(dtp+sytp-1),F331=0,H331&lt;=ppt+1),atp,0)+IFERROR(VLOOKUP(H331,Input!$B$55:$C$61,2,0),0)*(F331=0)*(Option_TopUP="Y")*(Option_Sys_TopUp="N")*B331*(pt&gt;=H331+5)</f>
        <v>0</v>
      </c>
      <c r="AK331" s="50">
        <f t="shared" si="246"/>
        <v>0</v>
      </c>
      <c r="AL331" s="50">
        <f t="shared" si="267"/>
        <v>0</v>
      </c>
      <c r="AM331" s="50">
        <f t="shared" ca="1" si="247"/>
        <v>0</v>
      </c>
      <c r="AN331" s="50">
        <f>IF(B331=0,0,AT331*(_rpm1+(1+_emr1)*VLOOKUP(E331,Tab_Mort_Charge,IF(Input!$C$12="M",2,3),0))*(0.001*0.0833)*Flag_Mort_Rider_Charge*(AT331&gt;0))</f>
        <v>0</v>
      </c>
      <c r="AO331" s="50">
        <f t="shared" ca="1" si="268"/>
        <v>0</v>
      </c>
      <c r="AP331" s="50">
        <f t="shared" ca="1" si="231"/>
        <v>0</v>
      </c>
      <c r="AQ331" s="50">
        <f t="shared" ca="1" si="248"/>
        <v>0</v>
      </c>
      <c r="AR331" s="50">
        <f t="shared" ca="1" si="249"/>
        <v>0</v>
      </c>
      <c r="AS331" s="50">
        <f t="shared" si="250"/>
        <v>0</v>
      </c>
      <c r="AT331" s="50">
        <f ca="1">(MAX((MAX(AS331,105%*SUM($AJ$7:AJ331))-AM331*Flag_UL_Type),0)*B331)</f>
        <v>0</v>
      </c>
      <c r="AU331" s="50">
        <f ca="1">(MAX(AS331,AR331,105%*SUM($AJ$7:AJ331))*B331)</f>
        <v>0</v>
      </c>
      <c r="AV331" s="125"/>
      <c r="AW331" s="13"/>
      <c r="AX331" s="13"/>
      <c r="AY331" s="13"/>
      <c r="AZ331" s="13"/>
      <c r="BA331" s="13"/>
      <c r="BG331" s="51">
        <f t="shared" si="251"/>
        <v>0</v>
      </c>
      <c r="BH331" s="51">
        <f t="shared" si="252"/>
        <v>0</v>
      </c>
      <c r="BI331" s="51">
        <f t="shared" ca="1" si="253"/>
        <v>0</v>
      </c>
      <c r="BJ331" s="51">
        <f t="shared" ca="1" si="254"/>
        <v>0</v>
      </c>
      <c r="BK331" s="51">
        <f t="shared" si="255"/>
        <v>0</v>
      </c>
      <c r="BL331" s="51">
        <f t="shared" ca="1" si="256"/>
        <v>0</v>
      </c>
      <c r="BM331" s="51">
        <f t="shared" si="257"/>
        <v>0</v>
      </c>
      <c r="BN331" s="51">
        <f t="shared" si="258"/>
        <v>0</v>
      </c>
      <c r="BO331" s="51">
        <f t="shared" ca="1" si="259"/>
        <v>0</v>
      </c>
      <c r="BP331" s="51">
        <f t="shared" ca="1" si="260"/>
        <v>0</v>
      </c>
      <c r="BQ331" s="120"/>
      <c r="BR331" s="32"/>
      <c r="BS331" s="126"/>
      <c r="BT331" s="16"/>
      <c r="BU331" s="58"/>
      <c r="BW331" s="51">
        <f>VLOOKUP(H331,Charges!$AT$4:$AU$33,2,FALSE)*I331</f>
        <v>0</v>
      </c>
      <c r="BX331" s="51">
        <f t="shared" si="261"/>
        <v>0</v>
      </c>
      <c r="BY331" s="51">
        <f t="shared" si="269"/>
        <v>0</v>
      </c>
      <c r="BZ331" s="151"/>
      <c r="CA331" s="151"/>
      <c r="CB331" s="32"/>
      <c r="CC331" s="16">
        <f ca="1">SUM($N$7:$N331)</f>
        <v>0</v>
      </c>
      <c r="CD331" s="16">
        <f t="shared" ca="1" si="262"/>
        <v>0</v>
      </c>
      <c r="CE331" s="16">
        <f t="shared" ca="1" si="263"/>
        <v>0</v>
      </c>
      <c r="CF331" s="7">
        <f t="shared" ca="1" si="270"/>
        <v>0</v>
      </c>
    </row>
    <row r="332" spans="1:84" s="7" customFormat="1" x14ac:dyDescent="0.2">
      <c r="A332" s="149"/>
      <c r="B332" s="14">
        <f t="shared" si="232"/>
        <v>0</v>
      </c>
      <c r="C332" s="12">
        <f t="shared" si="233"/>
        <v>0</v>
      </c>
      <c r="D332" s="17">
        <f t="shared" si="271"/>
        <v>326</v>
      </c>
      <c r="E332" s="17">
        <f t="shared" ca="1" si="234"/>
        <v>87</v>
      </c>
      <c r="F332" s="12">
        <f t="shared" si="229"/>
        <v>1</v>
      </c>
      <c r="G332" s="12">
        <f t="shared" si="228"/>
        <v>55</v>
      </c>
      <c r="H332" s="17">
        <f t="shared" si="230"/>
        <v>28</v>
      </c>
      <c r="I332" s="29">
        <f t="shared" si="235"/>
        <v>0</v>
      </c>
      <c r="J332" s="211">
        <f>IFERROR(VLOOKUP(H332,Charges!$T$6:$U$35,2,0)*C332,0)</f>
        <v>0</v>
      </c>
      <c r="K332" s="29">
        <f t="shared" si="236"/>
        <v>0</v>
      </c>
      <c r="L332" s="29">
        <f t="shared" si="237"/>
        <v>0</v>
      </c>
      <c r="M332" s="147">
        <f t="shared" ca="1" si="238"/>
        <v>0</v>
      </c>
      <c r="N332" s="148">
        <f ca="1">IF(AND(Option_SPW="Y",H332&gt;=Lock_In_Period,Z331&gt;SPW_Amount_pa+IF(option="Single",1/5*pr,2*pr),H332&gt;=SPW_Start_Year,H332&lt;=SPW_Start_Year+SPW_Duration-1,age+H332&gt;=Legal_Age),IF(AND(F332=0,SPW_Payout_Freq=1),SPW_Amount_pa,IF(AND(SPW_Payout_Freq=2,MOD(F332,6)=0),SPW_Amount_pa/SPW_Payout_Freq,IF(AND(SPW_Payout_Freq=4,MOD(F332,3)=0),SPW_Amount_pa/SPW_Payout_Freq,IF(SPW_Payout_Freq=12,SPW_Amount_pa/SPW_Payout_Freq,0)))),0)+IFERROR(VLOOKUP(H332,Input!$B$68:$C$74,2,0),0)*(F332=0)*(Option_PW="Y")*(Option_SPW="N")*(age+H332&gt;=Legal_Age)</f>
        <v>0</v>
      </c>
      <c r="O332" s="148">
        <f t="shared" ca="1" si="264"/>
        <v>0</v>
      </c>
      <c r="P332" s="14">
        <f ca="1">(MAX(MAX(sa-CF331*Flag_UL_Type,105%*SUM($I$7:I332))-(AD331+L332-N332)*Flag_UL_Type,0)*B332)</f>
        <v>0</v>
      </c>
      <c r="Q332" s="213">
        <f t="shared" si="239"/>
        <v>0</v>
      </c>
      <c r="R332" s="14">
        <f t="shared" ca="1" si="240"/>
        <v>0</v>
      </c>
      <c r="S332" s="14">
        <f t="shared" ca="1" si="241"/>
        <v>0</v>
      </c>
      <c r="T332" s="14">
        <f>IFERROR(IF(WoP_Flag="Y",IF(fq=1,VLOOKUP(ppt*fq-H332,Charges!$AN$41:$AO$59,2,FALSE),IF(fq=2,VLOOKUP(ppt*fq-G332,Charges!$AP$41:$AQ$79,2,FALSE),VLOOKUP(ppt*fq-D332,Charges!$AR$41:$AS$279,2,FALSE)))*pr/fq,0),0)</f>
        <v>0</v>
      </c>
      <c r="U332" s="14">
        <f ca="1">IFERROR(((T332*(VLOOKUP(Input!$D$18+H332-1,Tab_Mort_Charge,IF(Gender_2="M",2,3),FALSE)*(1+_emr2)+_rpm2)/IF(Model_Type="LA_PQIS",1000/0.0833,(12*1000))))*Flag_Mort_Rider_Charge*(T332&gt;0),0)</f>
        <v>0</v>
      </c>
      <c r="V332" s="34">
        <f>ROUND(MIN(IF(H332&gt;=7,Charges!$C$12*(1+Charges!$C$14)^((H332-7+1)),VLOOKUP(H332,Charges!$B$7:$C$12,2,0))*pr,Charges!$C$13)*B332,Round)</f>
        <v>0</v>
      </c>
      <c r="W332" s="14">
        <f t="shared" ca="1" si="242"/>
        <v>0</v>
      </c>
      <c r="X332" s="14">
        <f t="shared" ca="1" si="243"/>
        <v>0</v>
      </c>
      <c r="Y332" s="213">
        <f t="shared" ca="1" si="265"/>
        <v>0</v>
      </c>
      <c r="Z332" s="14">
        <f t="shared" ca="1" si="244"/>
        <v>0</v>
      </c>
      <c r="AA332" s="14">
        <f>IF(AND($H332=pt,$F332=11),SUM($K$7:K332)*VLOOKUP(pt,ROC,2,FALSE),0)</f>
        <v>0</v>
      </c>
      <c r="AB332" s="14">
        <f>IF(AND($H332=pt,$F332=11),SUM($V$7:V332)*VLOOKUP(pt,ROC,2,FALSE),0)</f>
        <v>0</v>
      </c>
      <c r="AC332" s="14">
        <f>IF(AND($H332=pt,$F332=11),SUM($Q$7:Q332)*VLOOKUP(pt,ROC,2,FALSE),0)</f>
        <v>0</v>
      </c>
      <c r="AD332" s="14">
        <f t="shared" ca="1" si="266"/>
        <v>0</v>
      </c>
      <c r="AE332" s="14">
        <f ca="1">(MAX(sa-CF331*Flag_UL_Type,105%*SUM($I$7:I332),Z332)+AU332)*B332</f>
        <v>0</v>
      </c>
      <c r="AF332" s="136"/>
      <c r="AG332" s="18">
        <v>326</v>
      </c>
      <c r="AH332" s="30">
        <f t="shared" ca="1" si="245"/>
        <v>0</v>
      </c>
      <c r="AI332" s="58"/>
      <c r="AJ332" s="50">
        <f>IF(AND(Option_Sys_TopUp&gt;="Y",H332&gt;=sytp,H332&lt;=(dtp+sytp-1),F332=0,H332&lt;=ppt+1),atp,0)+IFERROR(VLOOKUP(H332,Input!$B$55:$C$61,2,0),0)*(F332=0)*(Option_TopUP="Y")*(Option_Sys_TopUp="N")*B332*(pt&gt;=H332+5)</f>
        <v>0</v>
      </c>
      <c r="AK332" s="50">
        <f t="shared" si="246"/>
        <v>0</v>
      </c>
      <c r="AL332" s="50">
        <f t="shared" si="267"/>
        <v>0</v>
      </c>
      <c r="AM332" s="50">
        <f t="shared" ca="1" si="247"/>
        <v>0</v>
      </c>
      <c r="AN332" s="50">
        <f>IF(B332=0,0,AT332*(_rpm1+(1+_emr1)*VLOOKUP(E332,Tab_Mort_Charge,IF(Input!$C$12="M",2,3),0))*(0.001*0.0833)*Flag_Mort_Rider_Charge*(AT332&gt;0))</f>
        <v>0</v>
      </c>
      <c r="AO332" s="50">
        <f t="shared" ca="1" si="268"/>
        <v>0</v>
      </c>
      <c r="AP332" s="50">
        <f t="shared" ca="1" si="231"/>
        <v>0</v>
      </c>
      <c r="AQ332" s="50">
        <f t="shared" ca="1" si="248"/>
        <v>0</v>
      </c>
      <c r="AR332" s="50">
        <f t="shared" ca="1" si="249"/>
        <v>0</v>
      </c>
      <c r="AS332" s="50">
        <f t="shared" si="250"/>
        <v>0</v>
      </c>
      <c r="AT332" s="50">
        <f ca="1">(MAX((MAX(AS332,105%*SUM($AJ$7:AJ332))-AM332*Flag_UL_Type),0)*B332)</f>
        <v>0</v>
      </c>
      <c r="AU332" s="50">
        <f ca="1">(MAX(AS332,AR332,105%*SUM($AJ$7:AJ332))*B332)</f>
        <v>0</v>
      </c>
      <c r="AV332" s="125"/>
      <c r="AW332" s="13"/>
      <c r="AX332" s="13"/>
      <c r="AY332" s="13"/>
      <c r="AZ332" s="13"/>
      <c r="BA332" s="13"/>
      <c r="BG332" s="51">
        <f t="shared" si="251"/>
        <v>0</v>
      </c>
      <c r="BH332" s="51">
        <f t="shared" si="252"/>
        <v>0</v>
      </c>
      <c r="BI332" s="51">
        <f t="shared" ca="1" si="253"/>
        <v>0</v>
      </c>
      <c r="BJ332" s="51">
        <f t="shared" ca="1" si="254"/>
        <v>0</v>
      </c>
      <c r="BK332" s="51">
        <f t="shared" si="255"/>
        <v>0</v>
      </c>
      <c r="BL332" s="51">
        <f t="shared" ca="1" si="256"/>
        <v>0</v>
      </c>
      <c r="BM332" s="51">
        <f t="shared" si="257"/>
        <v>0</v>
      </c>
      <c r="BN332" s="51">
        <f t="shared" si="258"/>
        <v>0</v>
      </c>
      <c r="BO332" s="51">
        <f t="shared" ca="1" si="259"/>
        <v>0</v>
      </c>
      <c r="BP332" s="51">
        <f t="shared" ca="1" si="260"/>
        <v>0</v>
      </c>
      <c r="BQ332" s="120"/>
      <c r="BR332" s="32"/>
      <c r="BS332" s="126"/>
      <c r="BT332" s="16"/>
      <c r="BU332" s="58"/>
      <c r="BW332" s="51">
        <f>VLOOKUP(H332,Charges!$AT$4:$AU$33,2,FALSE)*I332</f>
        <v>0</v>
      </c>
      <c r="BX332" s="51">
        <f t="shared" si="261"/>
        <v>0</v>
      </c>
      <c r="BY332" s="51">
        <f t="shared" si="269"/>
        <v>0</v>
      </c>
      <c r="BZ332" s="151"/>
      <c r="CA332" s="151"/>
      <c r="CB332" s="32"/>
      <c r="CC332" s="16">
        <f ca="1">SUM($N$7:$N332)</f>
        <v>0</v>
      </c>
      <c r="CD332" s="16">
        <f t="shared" ca="1" si="262"/>
        <v>0</v>
      </c>
      <c r="CE332" s="16">
        <f t="shared" ca="1" si="263"/>
        <v>0</v>
      </c>
      <c r="CF332" s="7">
        <f t="shared" ca="1" si="270"/>
        <v>0</v>
      </c>
    </row>
    <row r="333" spans="1:84" s="7" customFormat="1" x14ac:dyDescent="0.2">
      <c r="A333" s="149"/>
      <c r="B333" s="14">
        <f t="shared" si="232"/>
        <v>0</v>
      </c>
      <c r="C333" s="12">
        <f t="shared" si="233"/>
        <v>0</v>
      </c>
      <c r="D333" s="17">
        <f t="shared" si="271"/>
        <v>327</v>
      </c>
      <c r="E333" s="17">
        <f t="shared" ca="1" si="234"/>
        <v>87</v>
      </c>
      <c r="F333" s="12">
        <f t="shared" si="229"/>
        <v>2</v>
      </c>
      <c r="G333" s="12">
        <f t="shared" si="228"/>
        <v>55</v>
      </c>
      <c r="H333" s="17">
        <f t="shared" si="230"/>
        <v>28</v>
      </c>
      <c r="I333" s="29">
        <f t="shared" si="235"/>
        <v>0</v>
      </c>
      <c r="J333" s="211">
        <f>IFERROR(VLOOKUP(H333,Charges!$T$6:$U$35,2,0)*C333,0)</f>
        <v>0</v>
      </c>
      <c r="K333" s="29">
        <f t="shared" si="236"/>
        <v>0</v>
      </c>
      <c r="L333" s="29">
        <f t="shared" si="237"/>
        <v>0</v>
      </c>
      <c r="M333" s="147">
        <f t="shared" ca="1" si="238"/>
        <v>0</v>
      </c>
      <c r="N333" s="148">
        <f ca="1">IF(AND(Option_SPW="Y",H333&gt;=Lock_In_Period,Z332&gt;SPW_Amount_pa+IF(option="Single",1/5*pr,2*pr),H333&gt;=SPW_Start_Year,H333&lt;=SPW_Start_Year+SPW_Duration-1,age+H333&gt;=Legal_Age),IF(AND(F333=0,SPW_Payout_Freq=1),SPW_Amount_pa,IF(AND(SPW_Payout_Freq=2,MOD(F333,6)=0),SPW_Amount_pa/SPW_Payout_Freq,IF(AND(SPW_Payout_Freq=4,MOD(F333,3)=0),SPW_Amount_pa/SPW_Payout_Freq,IF(SPW_Payout_Freq=12,SPW_Amount_pa/SPW_Payout_Freq,0)))),0)+IFERROR(VLOOKUP(H333,Input!$B$68:$C$74,2,0),0)*(F333=0)*(Option_PW="Y")*(Option_SPW="N")*(age+H333&gt;=Legal_Age)</f>
        <v>0</v>
      </c>
      <c r="O333" s="148">
        <f t="shared" ca="1" si="264"/>
        <v>0</v>
      </c>
      <c r="P333" s="14">
        <f ca="1">(MAX(MAX(sa-CF332*Flag_UL_Type,105%*SUM($I$7:I333))-(AD332+L333-N333)*Flag_UL_Type,0)*B333)</f>
        <v>0</v>
      </c>
      <c r="Q333" s="213">
        <f t="shared" si="239"/>
        <v>0</v>
      </c>
      <c r="R333" s="14">
        <f t="shared" ca="1" si="240"/>
        <v>0</v>
      </c>
      <c r="S333" s="14">
        <f t="shared" ca="1" si="241"/>
        <v>0</v>
      </c>
      <c r="T333" s="14">
        <f>IFERROR(IF(WoP_Flag="Y",IF(fq=1,VLOOKUP(ppt*fq-H333,Charges!$AN$41:$AO$59,2,FALSE),IF(fq=2,VLOOKUP(ppt*fq-G333,Charges!$AP$41:$AQ$79,2,FALSE),VLOOKUP(ppt*fq-D333,Charges!$AR$41:$AS$279,2,FALSE)))*pr/fq,0),0)</f>
        <v>0</v>
      </c>
      <c r="U333" s="14">
        <f ca="1">IFERROR(((T333*(VLOOKUP(Input!$D$18+H333-1,Tab_Mort_Charge,IF(Gender_2="M",2,3),FALSE)*(1+_emr2)+_rpm2)/IF(Model_Type="LA_PQIS",1000/0.0833,(12*1000))))*Flag_Mort_Rider_Charge*(T333&gt;0),0)</f>
        <v>0</v>
      </c>
      <c r="V333" s="34">
        <f>ROUND(MIN(IF(H333&gt;=7,Charges!$C$12*(1+Charges!$C$14)^((H333-7+1)),VLOOKUP(H333,Charges!$B$7:$C$12,2,0))*pr,Charges!$C$13)*B333,Round)</f>
        <v>0</v>
      </c>
      <c r="W333" s="14">
        <f t="shared" ca="1" si="242"/>
        <v>0</v>
      </c>
      <c r="X333" s="14">
        <f t="shared" ca="1" si="243"/>
        <v>0</v>
      </c>
      <c r="Y333" s="213">
        <f t="shared" ca="1" si="265"/>
        <v>0</v>
      </c>
      <c r="Z333" s="14">
        <f t="shared" ca="1" si="244"/>
        <v>0</v>
      </c>
      <c r="AA333" s="14">
        <f>IF(AND($H333=pt,$F333=11),SUM($K$7:K333)*VLOOKUP(pt,ROC,2,FALSE),0)</f>
        <v>0</v>
      </c>
      <c r="AB333" s="14">
        <f>IF(AND($H333=pt,$F333=11),SUM($V$7:V333)*VLOOKUP(pt,ROC,2,FALSE),0)</f>
        <v>0</v>
      </c>
      <c r="AC333" s="14">
        <f>IF(AND($H333=pt,$F333=11),SUM($Q$7:Q333)*VLOOKUP(pt,ROC,2,FALSE),0)</f>
        <v>0</v>
      </c>
      <c r="AD333" s="14">
        <f t="shared" ca="1" si="266"/>
        <v>0</v>
      </c>
      <c r="AE333" s="14">
        <f ca="1">(MAX(sa-CF332*Flag_UL_Type,105%*SUM($I$7:I333),Z333)+AU333)*B333</f>
        <v>0</v>
      </c>
      <c r="AF333" s="136"/>
      <c r="AG333" s="18">
        <v>327</v>
      </c>
      <c r="AH333" s="30">
        <f t="shared" ca="1" si="245"/>
        <v>0</v>
      </c>
      <c r="AI333" s="58"/>
      <c r="AJ333" s="50">
        <f>IF(AND(Option_Sys_TopUp&gt;="Y",H333&gt;=sytp,H333&lt;=(dtp+sytp-1),F333=0,H333&lt;=ppt+1),atp,0)+IFERROR(VLOOKUP(H333,Input!$B$55:$C$61,2,0),0)*(F333=0)*(Option_TopUP="Y")*(Option_Sys_TopUp="N")*B333*(pt&gt;=H333+5)</f>
        <v>0</v>
      </c>
      <c r="AK333" s="50">
        <f t="shared" si="246"/>
        <v>0</v>
      </c>
      <c r="AL333" s="50">
        <f t="shared" si="267"/>
        <v>0</v>
      </c>
      <c r="AM333" s="50">
        <f t="shared" ca="1" si="247"/>
        <v>0</v>
      </c>
      <c r="AN333" s="50">
        <f>IF(B333=0,0,AT333*(_rpm1+(1+_emr1)*VLOOKUP(E333,Tab_Mort_Charge,IF(Input!$C$12="M",2,3),0))*(0.001*0.0833)*Flag_Mort_Rider_Charge*(AT333&gt;0))</f>
        <v>0</v>
      </c>
      <c r="AO333" s="50">
        <f t="shared" ca="1" si="268"/>
        <v>0</v>
      </c>
      <c r="AP333" s="50">
        <f t="shared" ca="1" si="231"/>
        <v>0</v>
      </c>
      <c r="AQ333" s="50">
        <f t="shared" ca="1" si="248"/>
        <v>0</v>
      </c>
      <c r="AR333" s="50">
        <f t="shared" ca="1" si="249"/>
        <v>0</v>
      </c>
      <c r="AS333" s="50">
        <f t="shared" si="250"/>
        <v>0</v>
      </c>
      <c r="AT333" s="50">
        <f ca="1">(MAX((MAX(AS333,105%*SUM($AJ$7:AJ333))-AM333*Flag_UL_Type),0)*B333)</f>
        <v>0</v>
      </c>
      <c r="AU333" s="50">
        <f ca="1">(MAX(AS333,AR333,105%*SUM($AJ$7:AJ333))*B333)</f>
        <v>0</v>
      </c>
      <c r="AV333" s="125"/>
      <c r="AW333" s="13"/>
      <c r="AX333" s="13"/>
      <c r="AY333" s="13"/>
      <c r="AZ333" s="13"/>
      <c r="BA333" s="13"/>
      <c r="BG333" s="51">
        <f t="shared" si="251"/>
        <v>0</v>
      </c>
      <c r="BH333" s="51">
        <f t="shared" si="252"/>
        <v>0</v>
      </c>
      <c r="BI333" s="51">
        <f t="shared" ca="1" si="253"/>
        <v>0</v>
      </c>
      <c r="BJ333" s="51">
        <f t="shared" ca="1" si="254"/>
        <v>0</v>
      </c>
      <c r="BK333" s="51">
        <f t="shared" si="255"/>
        <v>0</v>
      </c>
      <c r="BL333" s="51">
        <f t="shared" ca="1" si="256"/>
        <v>0</v>
      </c>
      <c r="BM333" s="51">
        <f t="shared" si="257"/>
        <v>0</v>
      </c>
      <c r="BN333" s="51">
        <f t="shared" si="258"/>
        <v>0</v>
      </c>
      <c r="BO333" s="51">
        <f t="shared" ca="1" si="259"/>
        <v>0</v>
      </c>
      <c r="BP333" s="51">
        <f t="shared" ca="1" si="260"/>
        <v>0</v>
      </c>
      <c r="BQ333" s="120"/>
      <c r="BR333" s="32"/>
      <c r="BS333" s="126"/>
      <c r="BT333" s="16"/>
      <c r="BU333" s="58"/>
      <c r="BW333" s="51">
        <f>VLOOKUP(H333,Charges!$AT$4:$AU$33,2,FALSE)*I333</f>
        <v>0</v>
      </c>
      <c r="BX333" s="51">
        <f t="shared" si="261"/>
        <v>0</v>
      </c>
      <c r="BY333" s="51">
        <f t="shared" si="269"/>
        <v>0</v>
      </c>
      <c r="BZ333" s="151"/>
      <c r="CA333" s="151"/>
      <c r="CB333" s="32"/>
      <c r="CC333" s="16">
        <f ca="1">SUM($N$7:$N333)</f>
        <v>0</v>
      </c>
      <c r="CD333" s="16">
        <f t="shared" ca="1" si="262"/>
        <v>0</v>
      </c>
      <c r="CE333" s="16">
        <f t="shared" ca="1" si="263"/>
        <v>0</v>
      </c>
      <c r="CF333" s="7">
        <f t="shared" ca="1" si="270"/>
        <v>0</v>
      </c>
    </row>
    <row r="334" spans="1:84" s="7" customFormat="1" x14ac:dyDescent="0.2">
      <c r="A334" s="149"/>
      <c r="B334" s="14">
        <f t="shared" si="232"/>
        <v>0</v>
      </c>
      <c r="C334" s="12">
        <f t="shared" si="233"/>
        <v>0</v>
      </c>
      <c r="D334" s="17">
        <f t="shared" si="271"/>
        <v>328</v>
      </c>
      <c r="E334" s="17">
        <f t="shared" ca="1" si="234"/>
        <v>87</v>
      </c>
      <c r="F334" s="12">
        <f t="shared" si="229"/>
        <v>3</v>
      </c>
      <c r="G334" s="12">
        <f t="shared" ref="G334:G367" si="272">G328+1</f>
        <v>55</v>
      </c>
      <c r="H334" s="17">
        <f t="shared" si="230"/>
        <v>28</v>
      </c>
      <c r="I334" s="29">
        <f t="shared" si="235"/>
        <v>0</v>
      </c>
      <c r="J334" s="211">
        <f>IFERROR(VLOOKUP(H334,Charges!$T$6:$U$35,2,0)*C334,0)</f>
        <v>0</v>
      </c>
      <c r="K334" s="29">
        <f t="shared" si="236"/>
        <v>0</v>
      </c>
      <c r="L334" s="29">
        <f t="shared" si="237"/>
        <v>0</v>
      </c>
      <c r="M334" s="147">
        <f t="shared" ca="1" si="238"/>
        <v>0</v>
      </c>
      <c r="N334" s="148">
        <f ca="1">IF(AND(Option_SPW="Y",H334&gt;=Lock_In_Period,Z333&gt;SPW_Amount_pa+IF(option="Single",1/5*pr,2*pr),H334&gt;=SPW_Start_Year,H334&lt;=SPW_Start_Year+SPW_Duration-1,age+H334&gt;=Legal_Age),IF(AND(F334=0,SPW_Payout_Freq=1),SPW_Amount_pa,IF(AND(SPW_Payout_Freq=2,MOD(F334,6)=0),SPW_Amount_pa/SPW_Payout_Freq,IF(AND(SPW_Payout_Freq=4,MOD(F334,3)=0),SPW_Amount_pa/SPW_Payout_Freq,IF(SPW_Payout_Freq=12,SPW_Amount_pa/SPW_Payout_Freq,0)))),0)+IFERROR(VLOOKUP(H334,Input!$B$68:$C$74,2,0),0)*(F334=0)*(Option_PW="Y")*(Option_SPW="N")*(age+H334&gt;=Legal_Age)</f>
        <v>0</v>
      </c>
      <c r="O334" s="148">
        <f t="shared" ca="1" si="264"/>
        <v>0</v>
      </c>
      <c r="P334" s="14">
        <f ca="1">(MAX(MAX(sa-CF333*Flag_UL_Type,105%*SUM($I$7:I334))-(AD333+L334-N334)*Flag_UL_Type,0)*B334)</f>
        <v>0</v>
      </c>
      <c r="Q334" s="213">
        <f t="shared" si="239"/>
        <v>0</v>
      </c>
      <c r="R334" s="14">
        <f t="shared" ca="1" si="240"/>
        <v>0</v>
      </c>
      <c r="S334" s="14">
        <f t="shared" ca="1" si="241"/>
        <v>0</v>
      </c>
      <c r="T334" s="14">
        <f>IFERROR(IF(WoP_Flag="Y",IF(fq=1,VLOOKUP(ppt*fq-H334,Charges!$AN$41:$AO$59,2,FALSE),IF(fq=2,VLOOKUP(ppt*fq-G334,Charges!$AP$41:$AQ$79,2,FALSE),VLOOKUP(ppt*fq-D334,Charges!$AR$41:$AS$279,2,FALSE)))*pr/fq,0),0)</f>
        <v>0</v>
      </c>
      <c r="U334" s="14">
        <f ca="1">IFERROR(((T334*(VLOOKUP(Input!$D$18+H334-1,Tab_Mort_Charge,IF(Gender_2="M",2,3),FALSE)*(1+_emr2)+_rpm2)/IF(Model_Type="LA_PQIS",1000/0.0833,(12*1000))))*Flag_Mort_Rider_Charge*(T334&gt;0),0)</f>
        <v>0</v>
      </c>
      <c r="V334" s="34">
        <f>ROUND(MIN(IF(H334&gt;=7,Charges!$C$12*(1+Charges!$C$14)^((H334-7+1)),VLOOKUP(H334,Charges!$B$7:$C$12,2,0))*pr,Charges!$C$13)*B334,Round)</f>
        <v>0</v>
      </c>
      <c r="W334" s="14">
        <f t="shared" ca="1" si="242"/>
        <v>0</v>
      </c>
      <c r="X334" s="14">
        <f t="shared" ca="1" si="243"/>
        <v>0</v>
      </c>
      <c r="Y334" s="213">
        <f t="shared" ca="1" si="265"/>
        <v>0</v>
      </c>
      <c r="Z334" s="14">
        <f t="shared" ca="1" si="244"/>
        <v>0</v>
      </c>
      <c r="AA334" s="14">
        <f>IF(AND($H334=pt,$F334=11),SUM($K$7:K334)*VLOOKUP(pt,ROC,2,FALSE),0)</f>
        <v>0</v>
      </c>
      <c r="AB334" s="14">
        <f>IF(AND($H334=pt,$F334=11),SUM($V$7:V334)*VLOOKUP(pt,ROC,2,FALSE),0)</f>
        <v>0</v>
      </c>
      <c r="AC334" s="14">
        <f>IF(AND($H334=pt,$F334=11),SUM($Q$7:Q334)*VLOOKUP(pt,ROC,2,FALSE),0)</f>
        <v>0</v>
      </c>
      <c r="AD334" s="14">
        <f t="shared" ca="1" si="266"/>
        <v>0</v>
      </c>
      <c r="AE334" s="14">
        <f ca="1">(MAX(sa-CF333*Flag_UL_Type,105%*SUM($I$7:I334),Z334)+AU334)*B334</f>
        <v>0</v>
      </c>
      <c r="AF334" s="136"/>
      <c r="AG334" s="18">
        <v>328</v>
      </c>
      <c r="AH334" s="30">
        <f t="shared" ca="1" si="245"/>
        <v>0</v>
      </c>
      <c r="AI334" s="58"/>
      <c r="AJ334" s="50">
        <f>IF(AND(Option_Sys_TopUp&gt;="Y",H334&gt;=sytp,H334&lt;=(dtp+sytp-1),F334=0,H334&lt;=ppt+1),atp,0)+IFERROR(VLOOKUP(H334,Input!$B$55:$C$61,2,0),0)*(F334=0)*(Option_TopUP="Y")*(Option_Sys_TopUp="N")*B334*(pt&gt;=H334+5)</f>
        <v>0</v>
      </c>
      <c r="AK334" s="50">
        <f t="shared" si="246"/>
        <v>0</v>
      </c>
      <c r="AL334" s="50">
        <f t="shared" si="267"/>
        <v>0</v>
      </c>
      <c r="AM334" s="50">
        <f t="shared" ca="1" si="247"/>
        <v>0</v>
      </c>
      <c r="AN334" s="50">
        <f>IF(B334=0,0,AT334*(_rpm1+(1+_emr1)*VLOOKUP(E334,Tab_Mort_Charge,IF(Input!$C$12="M",2,3),0))*(0.001*0.0833)*Flag_Mort_Rider_Charge*(AT334&gt;0))</f>
        <v>0</v>
      </c>
      <c r="AO334" s="50">
        <f t="shared" ca="1" si="268"/>
        <v>0</v>
      </c>
      <c r="AP334" s="50">
        <f t="shared" ca="1" si="231"/>
        <v>0</v>
      </c>
      <c r="AQ334" s="50">
        <f t="shared" ca="1" si="248"/>
        <v>0</v>
      </c>
      <c r="AR334" s="50">
        <f t="shared" ca="1" si="249"/>
        <v>0</v>
      </c>
      <c r="AS334" s="50">
        <f t="shared" si="250"/>
        <v>0</v>
      </c>
      <c r="AT334" s="50">
        <f ca="1">(MAX((MAX(AS334,105%*SUM($AJ$7:AJ334))-AM334*Flag_UL_Type),0)*B334)</f>
        <v>0</v>
      </c>
      <c r="AU334" s="50">
        <f ca="1">(MAX(AS334,AR334,105%*SUM($AJ$7:AJ334))*B334)</f>
        <v>0</v>
      </c>
      <c r="AV334" s="125"/>
      <c r="AW334" s="13"/>
      <c r="AX334" s="13"/>
      <c r="AY334" s="13"/>
      <c r="AZ334" s="13"/>
      <c r="BA334" s="13"/>
      <c r="BG334" s="51">
        <f t="shared" si="251"/>
        <v>0</v>
      </c>
      <c r="BH334" s="51">
        <f t="shared" si="252"/>
        <v>0</v>
      </c>
      <c r="BI334" s="51">
        <f t="shared" ca="1" si="253"/>
        <v>0</v>
      </c>
      <c r="BJ334" s="51">
        <f t="shared" ca="1" si="254"/>
        <v>0</v>
      </c>
      <c r="BK334" s="51">
        <f t="shared" si="255"/>
        <v>0</v>
      </c>
      <c r="BL334" s="51">
        <f t="shared" ca="1" si="256"/>
        <v>0</v>
      </c>
      <c r="BM334" s="51">
        <f t="shared" si="257"/>
        <v>0</v>
      </c>
      <c r="BN334" s="51">
        <f t="shared" si="258"/>
        <v>0</v>
      </c>
      <c r="BO334" s="51">
        <f t="shared" ca="1" si="259"/>
        <v>0</v>
      </c>
      <c r="BP334" s="51">
        <f t="shared" ca="1" si="260"/>
        <v>0</v>
      </c>
      <c r="BQ334" s="120"/>
      <c r="BR334" s="32"/>
      <c r="BS334" s="126"/>
      <c r="BT334" s="16"/>
      <c r="BU334" s="58"/>
      <c r="BW334" s="51">
        <f>VLOOKUP(H334,Charges!$AT$4:$AU$33,2,FALSE)*I334</f>
        <v>0</v>
      </c>
      <c r="BX334" s="51">
        <f t="shared" si="261"/>
        <v>0</v>
      </c>
      <c r="BY334" s="51">
        <f t="shared" si="269"/>
        <v>0</v>
      </c>
      <c r="BZ334" s="151"/>
      <c r="CA334" s="151"/>
      <c r="CB334" s="32"/>
      <c r="CC334" s="16">
        <f ca="1">SUM($N$7:$N334)</f>
        <v>0</v>
      </c>
      <c r="CD334" s="16">
        <f t="shared" ca="1" si="262"/>
        <v>0</v>
      </c>
      <c r="CE334" s="16">
        <f t="shared" ca="1" si="263"/>
        <v>0</v>
      </c>
      <c r="CF334" s="7">
        <f t="shared" ca="1" si="270"/>
        <v>0</v>
      </c>
    </row>
    <row r="335" spans="1:84" s="7" customFormat="1" x14ac:dyDescent="0.2">
      <c r="A335" s="149"/>
      <c r="B335" s="14">
        <f t="shared" si="232"/>
        <v>0</v>
      </c>
      <c r="C335" s="12">
        <f t="shared" si="233"/>
        <v>0</v>
      </c>
      <c r="D335" s="17">
        <f t="shared" si="271"/>
        <v>329</v>
      </c>
      <c r="E335" s="17">
        <f t="shared" ca="1" si="234"/>
        <v>87</v>
      </c>
      <c r="F335" s="12">
        <f t="shared" si="229"/>
        <v>4</v>
      </c>
      <c r="G335" s="12">
        <f t="shared" si="272"/>
        <v>55</v>
      </c>
      <c r="H335" s="17">
        <f t="shared" si="230"/>
        <v>28</v>
      </c>
      <c r="I335" s="29">
        <f t="shared" si="235"/>
        <v>0</v>
      </c>
      <c r="J335" s="211">
        <f>IFERROR(VLOOKUP(H335,Charges!$T$6:$U$35,2,0)*C335,0)</f>
        <v>0</v>
      </c>
      <c r="K335" s="29">
        <f t="shared" si="236"/>
        <v>0</v>
      </c>
      <c r="L335" s="29">
        <f t="shared" si="237"/>
        <v>0</v>
      </c>
      <c r="M335" s="147">
        <f t="shared" ca="1" si="238"/>
        <v>0</v>
      </c>
      <c r="N335" s="148">
        <f ca="1">IF(AND(Option_SPW="Y",H335&gt;=Lock_In_Period,Z334&gt;SPW_Amount_pa+IF(option="Single",1/5*pr,2*pr),H335&gt;=SPW_Start_Year,H335&lt;=SPW_Start_Year+SPW_Duration-1,age+H335&gt;=Legal_Age),IF(AND(F335=0,SPW_Payout_Freq=1),SPW_Amount_pa,IF(AND(SPW_Payout_Freq=2,MOD(F335,6)=0),SPW_Amount_pa/SPW_Payout_Freq,IF(AND(SPW_Payout_Freq=4,MOD(F335,3)=0),SPW_Amount_pa/SPW_Payout_Freq,IF(SPW_Payout_Freq=12,SPW_Amount_pa/SPW_Payout_Freq,0)))),0)+IFERROR(VLOOKUP(H335,Input!$B$68:$C$74,2,0),0)*(F335=0)*(Option_PW="Y")*(Option_SPW="N")*(age+H335&gt;=Legal_Age)</f>
        <v>0</v>
      </c>
      <c r="O335" s="148">
        <f t="shared" ca="1" si="264"/>
        <v>0</v>
      </c>
      <c r="P335" s="14">
        <f ca="1">(MAX(MAX(sa-CF334*Flag_UL_Type,105%*SUM($I$7:I335))-(AD334+L335-N335)*Flag_UL_Type,0)*B335)</f>
        <v>0</v>
      </c>
      <c r="Q335" s="213">
        <f t="shared" si="239"/>
        <v>0</v>
      </c>
      <c r="R335" s="14">
        <f t="shared" ca="1" si="240"/>
        <v>0</v>
      </c>
      <c r="S335" s="14">
        <f t="shared" ca="1" si="241"/>
        <v>0</v>
      </c>
      <c r="T335" s="14">
        <f>IFERROR(IF(WoP_Flag="Y",IF(fq=1,VLOOKUP(ppt*fq-H335,Charges!$AN$41:$AO$59,2,FALSE),IF(fq=2,VLOOKUP(ppt*fq-G335,Charges!$AP$41:$AQ$79,2,FALSE),VLOOKUP(ppt*fq-D335,Charges!$AR$41:$AS$279,2,FALSE)))*pr/fq,0),0)</f>
        <v>0</v>
      </c>
      <c r="U335" s="14">
        <f ca="1">IFERROR(((T335*(VLOOKUP(Input!$D$18+H335-1,Tab_Mort_Charge,IF(Gender_2="M",2,3),FALSE)*(1+_emr2)+_rpm2)/IF(Model_Type="LA_PQIS",1000/0.0833,(12*1000))))*Flag_Mort_Rider_Charge*(T335&gt;0),0)</f>
        <v>0</v>
      </c>
      <c r="V335" s="34">
        <f>ROUND(MIN(IF(H335&gt;=7,Charges!$C$12*(1+Charges!$C$14)^((H335-7+1)),VLOOKUP(H335,Charges!$B$7:$C$12,2,0))*pr,Charges!$C$13)*B335,Round)</f>
        <v>0</v>
      </c>
      <c r="W335" s="14">
        <f t="shared" ca="1" si="242"/>
        <v>0</v>
      </c>
      <c r="X335" s="14">
        <f t="shared" ca="1" si="243"/>
        <v>0</v>
      </c>
      <c r="Y335" s="213">
        <f t="shared" ca="1" si="265"/>
        <v>0</v>
      </c>
      <c r="Z335" s="14">
        <f t="shared" ca="1" si="244"/>
        <v>0</v>
      </c>
      <c r="AA335" s="14">
        <f>IF(AND($H335=pt,$F335=11),SUM($K$7:K335)*VLOOKUP(pt,ROC,2,FALSE),0)</f>
        <v>0</v>
      </c>
      <c r="AB335" s="14">
        <f>IF(AND($H335=pt,$F335=11),SUM($V$7:V335)*VLOOKUP(pt,ROC,2,FALSE),0)</f>
        <v>0</v>
      </c>
      <c r="AC335" s="14">
        <f>IF(AND($H335=pt,$F335=11),SUM($Q$7:Q335)*VLOOKUP(pt,ROC,2,FALSE),0)</f>
        <v>0</v>
      </c>
      <c r="AD335" s="14">
        <f t="shared" ca="1" si="266"/>
        <v>0</v>
      </c>
      <c r="AE335" s="14">
        <f ca="1">(MAX(sa-CF334*Flag_UL_Type,105%*SUM($I$7:I335),Z335)+AU335)*B335</f>
        <v>0</v>
      </c>
      <c r="AF335" s="136"/>
      <c r="AG335" s="18">
        <v>329</v>
      </c>
      <c r="AH335" s="30">
        <f t="shared" ca="1" si="245"/>
        <v>0</v>
      </c>
      <c r="AI335" s="58"/>
      <c r="AJ335" s="50">
        <f>IF(AND(Option_Sys_TopUp&gt;="Y",H335&gt;=sytp,H335&lt;=(dtp+sytp-1),F335=0,H335&lt;=ppt+1),atp,0)+IFERROR(VLOOKUP(H335,Input!$B$55:$C$61,2,0),0)*(F335=0)*(Option_TopUP="Y")*(Option_Sys_TopUp="N")*B335*(pt&gt;=H335+5)</f>
        <v>0</v>
      </c>
      <c r="AK335" s="50">
        <f t="shared" si="246"/>
        <v>0</v>
      </c>
      <c r="AL335" s="50">
        <f t="shared" si="267"/>
        <v>0</v>
      </c>
      <c r="AM335" s="50">
        <f t="shared" ca="1" si="247"/>
        <v>0</v>
      </c>
      <c r="AN335" s="50">
        <f>IF(B335=0,0,AT335*(_rpm1+(1+_emr1)*VLOOKUP(E335,Tab_Mort_Charge,IF(Input!$C$12="M",2,3),0))*(0.001*0.0833)*Flag_Mort_Rider_Charge*(AT335&gt;0))</f>
        <v>0</v>
      </c>
      <c r="AO335" s="50">
        <f t="shared" ca="1" si="268"/>
        <v>0</v>
      </c>
      <c r="AP335" s="50">
        <f t="shared" ca="1" si="231"/>
        <v>0</v>
      </c>
      <c r="AQ335" s="50">
        <f t="shared" ca="1" si="248"/>
        <v>0</v>
      </c>
      <c r="AR335" s="50">
        <f t="shared" ca="1" si="249"/>
        <v>0</v>
      </c>
      <c r="AS335" s="50">
        <f t="shared" si="250"/>
        <v>0</v>
      </c>
      <c r="AT335" s="50">
        <f ca="1">(MAX((MAX(AS335,105%*SUM($AJ$7:AJ335))-AM335*Flag_UL_Type),0)*B335)</f>
        <v>0</v>
      </c>
      <c r="AU335" s="50">
        <f ca="1">(MAX(AS335,AR335,105%*SUM($AJ$7:AJ335))*B335)</f>
        <v>0</v>
      </c>
      <c r="AV335" s="125"/>
      <c r="AW335" s="13"/>
      <c r="AX335" s="13"/>
      <c r="AY335" s="13"/>
      <c r="AZ335" s="13"/>
      <c r="BA335" s="13"/>
      <c r="BG335" s="51">
        <f t="shared" si="251"/>
        <v>0</v>
      </c>
      <c r="BH335" s="51">
        <f t="shared" si="252"/>
        <v>0</v>
      </c>
      <c r="BI335" s="51">
        <f t="shared" ca="1" si="253"/>
        <v>0</v>
      </c>
      <c r="BJ335" s="51">
        <f t="shared" ca="1" si="254"/>
        <v>0</v>
      </c>
      <c r="BK335" s="51">
        <f t="shared" si="255"/>
        <v>0</v>
      </c>
      <c r="BL335" s="51">
        <f t="shared" ca="1" si="256"/>
        <v>0</v>
      </c>
      <c r="BM335" s="51">
        <f t="shared" si="257"/>
        <v>0</v>
      </c>
      <c r="BN335" s="51">
        <f t="shared" si="258"/>
        <v>0</v>
      </c>
      <c r="BO335" s="51">
        <f t="shared" ca="1" si="259"/>
        <v>0</v>
      </c>
      <c r="BP335" s="51">
        <f t="shared" ca="1" si="260"/>
        <v>0</v>
      </c>
      <c r="BQ335" s="120"/>
      <c r="BR335" s="32"/>
      <c r="BS335" s="126"/>
      <c r="BT335" s="16"/>
      <c r="BU335" s="58"/>
      <c r="BW335" s="51">
        <f>VLOOKUP(H335,Charges!$AT$4:$AU$33,2,FALSE)*I335</f>
        <v>0</v>
      </c>
      <c r="BX335" s="51">
        <f t="shared" si="261"/>
        <v>0</v>
      </c>
      <c r="BY335" s="51">
        <f t="shared" si="269"/>
        <v>0</v>
      </c>
      <c r="BZ335" s="151"/>
      <c r="CA335" s="151"/>
      <c r="CB335" s="32"/>
      <c r="CC335" s="16">
        <f ca="1">SUM($N$7:$N335)</f>
        <v>0</v>
      </c>
      <c r="CD335" s="16">
        <f t="shared" ca="1" si="262"/>
        <v>0</v>
      </c>
      <c r="CE335" s="16">
        <f t="shared" ca="1" si="263"/>
        <v>0</v>
      </c>
      <c r="CF335" s="7">
        <f t="shared" ca="1" si="270"/>
        <v>0</v>
      </c>
    </row>
    <row r="336" spans="1:84" s="7" customFormat="1" x14ac:dyDescent="0.2">
      <c r="A336" s="149"/>
      <c r="B336" s="14">
        <f t="shared" si="232"/>
        <v>0</v>
      </c>
      <c r="C336" s="12">
        <f t="shared" si="233"/>
        <v>0</v>
      </c>
      <c r="D336" s="17">
        <f t="shared" si="271"/>
        <v>330</v>
      </c>
      <c r="E336" s="17">
        <f t="shared" ca="1" si="234"/>
        <v>87</v>
      </c>
      <c r="F336" s="12">
        <f t="shared" si="229"/>
        <v>5</v>
      </c>
      <c r="G336" s="12">
        <f t="shared" si="272"/>
        <v>55</v>
      </c>
      <c r="H336" s="17">
        <f t="shared" si="230"/>
        <v>28</v>
      </c>
      <c r="I336" s="29">
        <f t="shared" si="235"/>
        <v>0</v>
      </c>
      <c r="J336" s="211">
        <f>IFERROR(VLOOKUP(H336,Charges!$T$6:$U$35,2,0)*C336,0)</f>
        <v>0</v>
      </c>
      <c r="K336" s="29">
        <f t="shared" si="236"/>
        <v>0</v>
      </c>
      <c r="L336" s="29">
        <f t="shared" si="237"/>
        <v>0</v>
      </c>
      <c r="M336" s="147">
        <f t="shared" ca="1" si="238"/>
        <v>0</v>
      </c>
      <c r="N336" s="148">
        <f ca="1">IF(AND(Option_SPW="Y",H336&gt;=Lock_In_Period,Z335&gt;SPW_Amount_pa+IF(option="Single",1/5*pr,2*pr),H336&gt;=SPW_Start_Year,H336&lt;=SPW_Start_Year+SPW_Duration-1,age+H336&gt;=Legal_Age),IF(AND(F336=0,SPW_Payout_Freq=1),SPW_Amount_pa,IF(AND(SPW_Payout_Freq=2,MOD(F336,6)=0),SPW_Amount_pa/SPW_Payout_Freq,IF(AND(SPW_Payout_Freq=4,MOD(F336,3)=0),SPW_Amount_pa/SPW_Payout_Freq,IF(SPW_Payout_Freq=12,SPW_Amount_pa/SPW_Payout_Freq,0)))),0)+IFERROR(VLOOKUP(H336,Input!$B$68:$C$74,2,0),0)*(F336=0)*(Option_PW="Y")*(Option_SPW="N")*(age+H336&gt;=Legal_Age)</f>
        <v>0</v>
      </c>
      <c r="O336" s="148">
        <f t="shared" ca="1" si="264"/>
        <v>0</v>
      </c>
      <c r="P336" s="14">
        <f ca="1">(MAX(MAX(sa-CF335*Flag_UL_Type,105%*SUM($I$7:I336))-(AD335+L336-N336)*Flag_UL_Type,0)*B336)</f>
        <v>0</v>
      </c>
      <c r="Q336" s="213">
        <f t="shared" si="239"/>
        <v>0</v>
      </c>
      <c r="R336" s="14">
        <f t="shared" ca="1" si="240"/>
        <v>0</v>
      </c>
      <c r="S336" s="14">
        <f t="shared" ca="1" si="241"/>
        <v>0</v>
      </c>
      <c r="T336" s="14">
        <f>IFERROR(IF(WoP_Flag="Y",IF(fq=1,VLOOKUP(ppt*fq-H336,Charges!$AN$41:$AO$59,2,FALSE),IF(fq=2,VLOOKUP(ppt*fq-G336,Charges!$AP$41:$AQ$79,2,FALSE),VLOOKUP(ppt*fq-D336,Charges!$AR$41:$AS$279,2,FALSE)))*pr/fq,0),0)</f>
        <v>0</v>
      </c>
      <c r="U336" s="14">
        <f ca="1">IFERROR(((T336*(VLOOKUP(Input!$D$18+H336-1,Tab_Mort_Charge,IF(Gender_2="M",2,3),FALSE)*(1+_emr2)+_rpm2)/IF(Model_Type="LA_PQIS",1000/0.0833,(12*1000))))*Flag_Mort_Rider_Charge*(T336&gt;0),0)</f>
        <v>0</v>
      </c>
      <c r="V336" s="34">
        <f>ROUND(MIN(IF(H336&gt;=7,Charges!$C$12*(1+Charges!$C$14)^((H336-7+1)),VLOOKUP(H336,Charges!$B$7:$C$12,2,0))*pr,Charges!$C$13)*B336,Round)</f>
        <v>0</v>
      </c>
      <c r="W336" s="14">
        <f t="shared" ca="1" si="242"/>
        <v>0</v>
      </c>
      <c r="X336" s="14">
        <f t="shared" ca="1" si="243"/>
        <v>0</v>
      </c>
      <c r="Y336" s="213">
        <f t="shared" ca="1" si="265"/>
        <v>0</v>
      </c>
      <c r="Z336" s="14">
        <f t="shared" ca="1" si="244"/>
        <v>0</v>
      </c>
      <c r="AA336" s="14">
        <f>IF(AND($H336=pt,$F336=11),SUM($K$7:K336)*VLOOKUP(pt,ROC,2,FALSE),0)</f>
        <v>0</v>
      </c>
      <c r="AB336" s="14">
        <f>IF(AND($H336=pt,$F336=11),SUM($V$7:V336)*VLOOKUP(pt,ROC,2,FALSE),0)</f>
        <v>0</v>
      </c>
      <c r="AC336" s="14">
        <f>IF(AND($H336=pt,$F336=11),SUM($Q$7:Q336)*VLOOKUP(pt,ROC,2,FALSE),0)</f>
        <v>0</v>
      </c>
      <c r="AD336" s="14">
        <f t="shared" ca="1" si="266"/>
        <v>0</v>
      </c>
      <c r="AE336" s="14">
        <f ca="1">(MAX(sa-CF335*Flag_UL_Type,105%*SUM($I$7:I336),Z336)+AU336)*B336</f>
        <v>0</v>
      </c>
      <c r="AF336" s="136"/>
      <c r="AG336" s="18">
        <v>330</v>
      </c>
      <c r="AH336" s="30">
        <f t="shared" ca="1" si="245"/>
        <v>0</v>
      </c>
      <c r="AI336" s="58"/>
      <c r="AJ336" s="50">
        <f>IF(AND(Option_Sys_TopUp&gt;="Y",H336&gt;=sytp,H336&lt;=(dtp+sytp-1),F336=0,H336&lt;=ppt+1),atp,0)+IFERROR(VLOOKUP(H336,Input!$B$55:$C$61,2,0),0)*(F336=0)*(Option_TopUP="Y")*(Option_Sys_TopUp="N")*B336*(pt&gt;=H336+5)</f>
        <v>0</v>
      </c>
      <c r="AK336" s="50">
        <f t="shared" si="246"/>
        <v>0</v>
      </c>
      <c r="AL336" s="50">
        <f t="shared" si="267"/>
        <v>0</v>
      </c>
      <c r="AM336" s="50">
        <f t="shared" ca="1" si="247"/>
        <v>0</v>
      </c>
      <c r="AN336" s="50">
        <f>IF(B336=0,0,AT336*(_rpm1+(1+_emr1)*VLOOKUP(E336,Tab_Mort_Charge,IF(Input!$C$12="M",2,3),0))*(0.001*0.0833)*Flag_Mort_Rider_Charge*(AT336&gt;0))</f>
        <v>0</v>
      </c>
      <c r="AO336" s="50">
        <f t="shared" ca="1" si="268"/>
        <v>0</v>
      </c>
      <c r="AP336" s="50">
        <f t="shared" ca="1" si="231"/>
        <v>0</v>
      </c>
      <c r="AQ336" s="50">
        <f t="shared" ca="1" si="248"/>
        <v>0</v>
      </c>
      <c r="AR336" s="50">
        <f t="shared" ca="1" si="249"/>
        <v>0</v>
      </c>
      <c r="AS336" s="50">
        <f t="shared" si="250"/>
        <v>0</v>
      </c>
      <c r="AT336" s="50">
        <f ca="1">(MAX((MAX(AS336,105%*SUM($AJ$7:AJ336))-AM336*Flag_UL_Type),0)*B336)</f>
        <v>0</v>
      </c>
      <c r="AU336" s="50">
        <f ca="1">(MAX(AS336,AR336,105%*SUM($AJ$7:AJ336))*B336)</f>
        <v>0</v>
      </c>
      <c r="AV336" s="125"/>
      <c r="AW336" s="13"/>
      <c r="AX336" s="13"/>
      <c r="AY336" s="13"/>
      <c r="AZ336" s="13"/>
      <c r="BA336" s="13"/>
      <c r="BG336" s="51">
        <f t="shared" si="251"/>
        <v>0</v>
      </c>
      <c r="BH336" s="51">
        <f t="shared" si="252"/>
        <v>0</v>
      </c>
      <c r="BI336" s="51">
        <f t="shared" ca="1" si="253"/>
        <v>0</v>
      </c>
      <c r="BJ336" s="51">
        <f t="shared" ca="1" si="254"/>
        <v>0</v>
      </c>
      <c r="BK336" s="51">
        <f t="shared" si="255"/>
        <v>0</v>
      </c>
      <c r="BL336" s="51">
        <f t="shared" ca="1" si="256"/>
        <v>0</v>
      </c>
      <c r="BM336" s="51">
        <f t="shared" si="257"/>
        <v>0</v>
      </c>
      <c r="BN336" s="51">
        <f t="shared" si="258"/>
        <v>0</v>
      </c>
      <c r="BO336" s="51">
        <f t="shared" ca="1" si="259"/>
        <v>0</v>
      </c>
      <c r="BP336" s="51">
        <f t="shared" ca="1" si="260"/>
        <v>0</v>
      </c>
      <c r="BQ336" s="120"/>
      <c r="BR336" s="32"/>
      <c r="BS336" s="126"/>
      <c r="BT336" s="16"/>
      <c r="BU336" s="58"/>
      <c r="BW336" s="51">
        <f>VLOOKUP(H336,Charges!$AT$4:$AU$33,2,FALSE)*I336</f>
        <v>0</v>
      </c>
      <c r="BX336" s="51">
        <f t="shared" si="261"/>
        <v>0</v>
      </c>
      <c r="BY336" s="51">
        <f t="shared" si="269"/>
        <v>0</v>
      </c>
      <c r="BZ336" s="151"/>
      <c r="CA336" s="151"/>
      <c r="CB336" s="32"/>
      <c r="CC336" s="16">
        <f ca="1">SUM($N$7:$N336)</f>
        <v>0</v>
      </c>
      <c r="CD336" s="16">
        <f t="shared" ca="1" si="262"/>
        <v>0</v>
      </c>
      <c r="CE336" s="16">
        <f t="shared" ca="1" si="263"/>
        <v>0</v>
      </c>
      <c r="CF336" s="7">
        <f t="shared" ca="1" si="270"/>
        <v>0</v>
      </c>
    </row>
    <row r="337" spans="1:84" s="7" customFormat="1" x14ac:dyDescent="0.2">
      <c r="A337" s="149"/>
      <c r="B337" s="14">
        <f t="shared" si="232"/>
        <v>0</v>
      </c>
      <c r="C337" s="12">
        <f t="shared" si="233"/>
        <v>0</v>
      </c>
      <c r="D337" s="17">
        <f t="shared" si="271"/>
        <v>331</v>
      </c>
      <c r="E337" s="17">
        <f t="shared" ca="1" si="234"/>
        <v>87</v>
      </c>
      <c r="F337" s="12">
        <f t="shared" si="229"/>
        <v>6</v>
      </c>
      <c r="G337" s="12">
        <f t="shared" si="272"/>
        <v>56</v>
      </c>
      <c r="H337" s="17">
        <f t="shared" si="230"/>
        <v>28</v>
      </c>
      <c r="I337" s="29">
        <f t="shared" si="235"/>
        <v>0</v>
      </c>
      <c r="J337" s="211">
        <f>IFERROR(VLOOKUP(H337,Charges!$T$6:$U$35,2,0)*C337,0)</f>
        <v>0</v>
      </c>
      <c r="K337" s="29">
        <f t="shared" si="236"/>
        <v>0</v>
      </c>
      <c r="L337" s="29">
        <f t="shared" si="237"/>
        <v>0</v>
      </c>
      <c r="M337" s="147">
        <f t="shared" ca="1" si="238"/>
        <v>0</v>
      </c>
      <c r="N337" s="148">
        <f ca="1">IF(AND(Option_SPW="Y",H337&gt;=Lock_In_Period,Z336&gt;SPW_Amount_pa+IF(option="Single",1/5*pr,2*pr),H337&gt;=SPW_Start_Year,H337&lt;=SPW_Start_Year+SPW_Duration-1,age+H337&gt;=Legal_Age),IF(AND(F337=0,SPW_Payout_Freq=1),SPW_Amount_pa,IF(AND(SPW_Payout_Freq=2,MOD(F337,6)=0),SPW_Amount_pa/SPW_Payout_Freq,IF(AND(SPW_Payout_Freq=4,MOD(F337,3)=0),SPW_Amount_pa/SPW_Payout_Freq,IF(SPW_Payout_Freq=12,SPW_Amount_pa/SPW_Payout_Freq,0)))),0)+IFERROR(VLOOKUP(H337,Input!$B$68:$C$74,2,0),0)*(F337=0)*(Option_PW="Y")*(Option_SPW="N")*(age+H337&gt;=Legal_Age)</f>
        <v>0</v>
      </c>
      <c r="O337" s="148">
        <f t="shared" ca="1" si="264"/>
        <v>0</v>
      </c>
      <c r="P337" s="14">
        <f ca="1">(MAX(MAX(sa-CF336*Flag_UL_Type,105%*SUM($I$7:I337))-(AD336+L337-N337)*Flag_UL_Type,0)*B337)</f>
        <v>0</v>
      </c>
      <c r="Q337" s="213">
        <f t="shared" si="239"/>
        <v>0</v>
      </c>
      <c r="R337" s="14">
        <f t="shared" ca="1" si="240"/>
        <v>0</v>
      </c>
      <c r="S337" s="14">
        <f t="shared" ca="1" si="241"/>
        <v>0</v>
      </c>
      <c r="T337" s="14">
        <f>IFERROR(IF(WoP_Flag="Y",IF(fq=1,VLOOKUP(ppt*fq-H337,Charges!$AN$41:$AO$59,2,FALSE),IF(fq=2,VLOOKUP(ppt*fq-G337,Charges!$AP$41:$AQ$79,2,FALSE),VLOOKUP(ppt*fq-D337,Charges!$AR$41:$AS$279,2,FALSE)))*pr/fq,0),0)</f>
        <v>0</v>
      </c>
      <c r="U337" s="14">
        <f ca="1">IFERROR(((T337*(VLOOKUP(Input!$D$18+H337-1,Tab_Mort_Charge,IF(Gender_2="M",2,3),FALSE)*(1+_emr2)+_rpm2)/IF(Model_Type="LA_PQIS",1000/0.0833,(12*1000))))*Flag_Mort_Rider_Charge*(T337&gt;0),0)</f>
        <v>0</v>
      </c>
      <c r="V337" s="34">
        <f>ROUND(MIN(IF(H337&gt;=7,Charges!$C$12*(1+Charges!$C$14)^((H337-7+1)),VLOOKUP(H337,Charges!$B$7:$C$12,2,0))*pr,Charges!$C$13)*B337,Round)</f>
        <v>0</v>
      </c>
      <c r="W337" s="14">
        <f t="shared" ca="1" si="242"/>
        <v>0</v>
      </c>
      <c r="X337" s="14">
        <f t="shared" ca="1" si="243"/>
        <v>0</v>
      </c>
      <c r="Y337" s="213">
        <f t="shared" ca="1" si="265"/>
        <v>0</v>
      </c>
      <c r="Z337" s="14">
        <f t="shared" ca="1" si="244"/>
        <v>0</v>
      </c>
      <c r="AA337" s="14">
        <f>IF(AND($H337=pt,$F337=11),SUM($K$7:K337)*VLOOKUP(pt,ROC,2,FALSE),0)</f>
        <v>0</v>
      </c>
      <c r="AB337" s="14">
        <f>IF(AND($H337=pt,$F337=11),SUM($V$7:V337)*VLOOKUP(pt,ROC,2,FALSE),0)</f>
        <v>0</v>
      </c>
      <c r="AC337" s="14">
        <f>IF(AND($H337=pt,$F337=11),SUM($Q$7:Q337)*VLOOKUP(pt,ROC,2,FALSE),0)</f>
        <v>0</v>
      </c>
      <c r="AD337" s="14">
        <f t="shared" ca="1" si="266"/>
        <v>0</v>
      </c>
      <c r="AE337" s="14">
        <f ca="1">(MAX(sa-CF336*Flag_UL_Type,105%*SUM($I$7:I337),Z337)+AU337)*B337</f>
        <v>0</v>
      </c>
      <c r="AF337" s="136"/>
      <c r="AG337" s="18">
        <v>331</v>
      </c>
      <c r="AH337" s="30">
        <f t="shared" ca="1" si="245"/>
        <v>0</v>
      </c>
      <c r="AI337" s="58"/>
      <c r="AJ337" s="50">
        <f>IF(AND(Option_Sys_TopUp&gt;="Y",H337&gt;=sytp,H337&lt;=(dtp+sytp-1),F337=0,H337&lt;=ppt+1),atp,0)+IFERROR(VLOOKUP(H337,Input!$B$55:$C$61,2,0),0)*(F337=0)*(Option_TopUP="Y")*(Option_Sys_TopUp="N")*B337*(pt&gt;=H337+5)</f>
        <v>0</v>
      </c>
      <c r="AK337" s="50">
        <f t="shared" si="246"/>
        <v>0</v>
      </c>
      <c r="AL337" s="50">
        <f t="shared" si="267"/>
        <v>0</v>
      </c>
      <c r="AM337" s="50">
        <f t="shared" ca="1" si="247"/>
        <v>0</v>
      </c>
      <c r="AN337" s="50">
        <f>IF(B337=0,0,AT337*(_rpm1+(1+_emr1)*VLOOKUP(E337,Tab_Mort_Charge,IF(Input!$C$12="M",2,3),0))*(0.001*0.0833)*Flag_Mort_Rider_Charge*(AT337&gt;0))</f>
        <v>0</v>
      </c>
      <c r="AO337" s="50">
        <f t="shared" ca="1" si="268"/>
        <v>0</v>
      </c>
      <c r="AP337" s="50">
        <f t="shared" ca="1" si="231"/>
        <v>0</v>
      </c>
      <c r="AQ337" s="50">
        <f t="shared" ca="1" si="248"/>
        <v>0</v>
      </c>
      <c r="AR337" s="50">
        <f t="shared" ca="1" si="249"/>
        <v>0</v>
      </c>
      <c r="AS337" s="50">
        <f t="shared" si="250"/>
        <v>0</v>
      </c>
      <c r="AT337" s="50">
        <f ca="1">(MAX((MAX(AS337,105%*SUM($AJ$7:AJ337))-AM337*Flag_UL_Type),0)*B337)</f>
        <v>0</v>
      </c>
      <c r="AU337" s="50">
        <f ca="1">(MAX(AS337,AR337,105%*SUM($AJ$7:AJ337))*B337)</f>
        <v>0</v>
      </c>
      <c r="AV337" s="125"/>
      <c r="AW337" s="13"/>
      <c r="AX337" s="13"/>
      <c r="AY337" s="13"/>
      <c r="AZ337" s="13"/>
      <c r="BA337" s="13"/>
      <c r="BG337" s="51">
        <f t="shared" si="251"/>
        <v>0</v>
      </c>
      <c r="BH337" s="51">
        <f t="shared" si="252"/>
        <v>0</v>
      </c>
      <c r="BI337" s="51">
        <f t="shared" ca="1" si="253"/>
        <v>0</v>
      </c>
      <c r="BJ337" s="51">
        <f t="shared" ca="1" si="254"/>
        <v>0</v>
      </c>
      <c r="BK337" s="51">
        <f t="shared" si="255"/>
        <v>0</v>
      </c>
      <c r="BL337" s="51">
        <f t="shared" ca="1" si="256"/>
        <v>0</v>
      </c>
      <c r="BM337" s="51">
        <f t="shared" si="257"/>
        <v>0</v>
      </c>
      <c r="BN337" s="51">
        <f t="shared" si="258"/>
        <v>0</v>
      </c>
      <c r="BO337" s="51">
        <f t="shared" ca="1" si="259"/>
        <v>0</v>
      </c>
      <c r="BP337" s="51">
        <f t="shared" ca="1" si="260"/>
        <v>0</v>
      </c>
      <c r="BQ337" s="120"/>
      <c r="BR337" s="32"/>
      <c r="BS337" s="126"/>
      <c r="BT337" s="16"/>
      <c r="BU337" s="58"/>
      <c r="BW337" s="51">
        <f>VLOOKUP(H337,Charges!$AT$4:$AU$33,2,FALSE)*I337</f>
        <v>0</v>
      </c>
      <c r="BX337" s="51">
        <f t="shared" si="261"/>
        <v>0</v>
      </c>
      <c r="BY337" s="51">
        <f t="shared" si="269"/>
        <v>0</v>
      </c>
      <c r="BZ337" s="151"/>
      <c r="CA337" s="151"/>
      <c r="CB337" s="32"/>
      <c r="CC337" s="16">
        <f ca="1">SUM($N$7:$N337)</f>
        <v>0</v>
      </c>
      <c r="CD337" s="16">
        <f t="shared" ca="1" si="262"/>
        <v>0</v>
      </c>
      <c r="CE337" s="16">
        <f t="shared" ca="1" si="263"/>
        <v>0</v>
      </c>
      <c r="CF337" s="7">
        <f t="shared" ca="1" si="270"/>
        <v>0</v>
      </c>
    </row>
    <row r="338" spans="1:84" s="7" customFormat="1" x14ac:dyDescent="0.2">
      <c r="A338" s="149"/>
      <c r="B338" s="14">
        <f t="shared" si="232"/>
        <v>0</v>
      </c>
      <c r="C338" s="12">
        <f t="shared" si="233"/>
        <v>0</v>
      </c>
      <c r="D338" s="17">
        <f t="shared" si="271"/>
        <v>332</v>
      </c>
      <c r="E338" s="17">
        <f t="shared" ca="1" si="234"/>
        <v>87</v>
      </c>
      <c r="F338" s="12">
        <f t="shared" si="229"/>
        <v>7</v>
      </c>
      <c r="G338" s="12">
        <f t="shared" si="272"/>
        <v>56</v>
      </c>
      <c r="H338" s="17">
        <f t="shared" si="230"/>
        <v>28</v>
      </c>
      <c r="I338" s="29">
        <f t="shared" si="235"/>
        <v>0</v>
      </c>
      <c r="J338" s="211">
        <f>IFERROR(VLOOKUP(H338,Charges!$T$6:$U$35,2,0)*C338,0)</f>
        <v>0</v>
      </c>
      <c r="K338" s="29">
        <f t="shared" si="236"/>
        <v>0</v>
      </c>
      <c r="L338" s="29">
        <f t="shared" si="237"/>
        <v>0</v>
      </c>
      <c r="M338" s="147">
        <f t="shared" ca="1" si="238"/>
        <v>0</v>
      </c>
      <c r="N338" s="148">
        <f ca="1">IF(AND(Option_SPW="Y",H338&gt;=Lock_In_Period,Z337&gt;SPW_Amount_pa+IF(option="Single",1/5*pr,2*pr),H338&gt;=SPW_Start_Year,H338&lt;=SPW_Start_Year+SPW_Duration-1,age+H338&gt;=Legal_Age),IF(AND(F338=0,SPW_Payout_Freq=1),SPW_Amount_pa,IF(AND(SPW_Payout_Freq=2,MOD(F338,6)=0),SPW_Amount_pa/SPW_Payout_Freq,IF(AND(SPW_Payout_Freq=4,MOD(F338,3)=0),SPW_Amount_pa/SPW_Payout_Freq,IF(SPW_Payout_Freq=12,SPW_Amount_pa/SPW_Payout_Freq,0)))),0)+IFERROR(VLOOKUP(H338,Input!$B$68:$C$74,2,0),0)*(F338=0)*(Option_PW="Y")*(Option_SPW="N")*(age+H338&gt;=Legal_Age)</f>
        <v>0</v>
      </c>
      <c r="O338" s="148">
        <f t="shared" ca="1" si="264"/>
        <v>0</v>
      </c>
      <c r="P338" s="14">
        <f ca="1">(MAX(MAX(sa-CF337*Flag_UL_Type,105%*SUM($I$7:I338))-(AD337+L338-N338)*Flag_UL_Type,0)*B338)</f>
        <v>0</v>
      </c>
      <c r="Q338" s="213">
        <f t="shared" si="239"/>
        <v>0</v>
      </c>
      <c r="R338" s="14">
        <f t="shared" ca="1" si="240"/>
        <v>0</v>
      </c>
      <c r="S338" s="14">
        <f t="shared" ca="1" si="241"/>
        <v>0</v>
      </c>
      <c r="T338" s="14">
        <f>IFERROR(IF(WoP_Flag="Y",IF(fq=1,VLOOKUP(ppt*fq-H338,Charges!$AN$41:$AO$59,2,FALSE),IF(fq=2,VLOOKUP(ppt*fq-G338,Charges!$AP$41:$AQ$79,2,FALSE),VLOOKUP(ppt*fq-D338,Charges!$AR$41:$AS$279,2,FALSE)))*pr/fq,0),0)</f>
        <v>0</v>
      </c>
      <c r="U338" s="14">
        <f ca="1">IFERROR(((T338*(VLOOKUP(Input!$D$18+H338-1,Tab_Mort_Charge,IF(Gender_2="M",2,3),FALSE)*(1+_emr2)+_rpm2)/IF(Model_Type="LA_PQIS",1000/0.0833,(12*1000))))*Flag_Mort_Rider_Charge*(T338&gt;0),0)</f>
        <v>0</v>
      </c>
      <c r="V338" s="34">
        <f>ROUND(MIN(IF(H338&gt;=7,Charges!$C$12*(1+Charges!$C$14)^((H338-7+1)),VLOOKUP(H338,Charges!$B$7:$C$12,2,0))*pr,Charges!$C$13)*B338,Round)</f>
        <v>0</v>
      </c>
      <c r="W338" s="14">
        <f t="shared" ca="1" si="242"/>
        <v>0</v>
      </c>
      <c r="X338" s="14">
        <f t="shared" ca="1" si="243"/>
        <v>0</v>
      </c>
      <c r="Y338" s="213">
        <f t="shared" ca="1" si="265"/>
        <v>0</v>
      </c>
      <c r="Z338" s="14">
        <f t="shared" ca="1" si="244"/>
        <v>0</v>
      </c>
      <c r="AA338" s="14">
        <f>IF(AND($H338=pt,$F338=11),SUM($K$7:K338)*VLOOKUP(pt,ROC,2,FALSE),0)</f>
        <v>0</v>
      </c>
      <c r="AB338" s="14">
        <f>IF(AND($H338=pt,$F338=11),SUM($V$7:V338)*VLOOKUP(pt,ROC,2,FALSE),0)</f>
        <v>0</v>
      </c>
      <c r="AC338" s="14">
        <f>IF(AND($H338=pt,$F338=11),SUM($Q$7:Q338)*VLOOKUP(pt,ROC,2,FALSE),0)</f>
        <v>0</v>
      </c>
      <c r="AD338" s="14">
        <f t="shared" ca="1" si="266"/>
        <v>0</v>
      </c>
      <c r="AE338" s="14">
        <f ca="1">(MAX(sa-CF337*Flag_UL_Type,105%*SUM($I$7:I338),Z338)+AU338)*B338</f>
        <v>0</v>
      </c>
      <c r="AF338" s="136"/>
      <c r="AG338" s="18">
        <v>332</v>
      </c>
      <c r="AH338" s="30">
        <f t="shared" ca="1" si="245"/>
        <v>0</v>
      </c>
      <c r="AI338" s="58"/>
      <c r="AJ338" s="50">
        <f>IF(AND(Option_Sys_TopUp&gt;="Y",H338&gt;=sytp,H338&lt;=(dtp+sytp-1),F338=0,H338&lt;=ppt+1),atp,0)+IFERROR(VLOOKUP(H338,Input!$B$55:$C$61,2,0),0)*(F338=0)*(Option_TopUP="Y")*(Option_Sys_TopUp="N")*B338*(pt&gt;=H338+5)</f>
        <v>0</v>
      </c>
      <c r="AK338" s="50">
        <f t="shared" si="246"/>
        <v>0</v>
      </c>
      <c r="AL338" s="50">
        <f t="shared" si="267"/>
        <v>0</v>
      </c>
      <c r="AM338" s="50">
        <f t="shared" ca="1" si="247"/>
        <v>0</v>
      </c>
      <c r="AN338" s="50">
        <f>IF(B338=0,0,AT338*(_rpm1+(1+_emr1)*VLOOKUP(E338,Tab_Mort_Charge,IF(Input!$C$12="M",2,3),0))*(0.001*0.0833)*Flag_Mort_Rider_Charge*(AT338&gt;0))</f>
        <v>0</v>
      </c>
      <c r="AO338" s="50">
        <f t="shared" ca="1" si="268"/>
        <v>0</v>
      </c>
      <c r="AP338" s="50">
        <f t="shared" ca="1" si="231"/>
        <v>0</v>
      </c>
      <c r="AQ338" s="50">
        <f t="shared" ca="1" si="248"/>
        <v>0</v>
      </c>
      <c r="AR338" s="50">
        <f t="shared" ca="1" si="249"/>
        <v>0</v>
      </c>
      <c r="AS338" s="50">
        <f t="shared" si="250"/>
        <v>0</v>
      </c>
      <c r="AT338" s="50">
        <f ca="1">(MAX((MAX(AS338,105%*SUM($AJ$7:AJ338))-AM338*Flag_UL_Type),0)*B338)</f>
        <v>0</v>
      </c>
      <c r="AU338" s="50">
        <f ca="1">(MAX(AS338,AR338,105%*SUM($AJ$7:AJ338))*B338)</f>
        <v>0</v>
      </c>
      <c r="AV338" s="125"/>
      <c r="AW338" s="13"/>
      <c r="AX338" s="13"/>
      <c r="AY338" s="13"/>
      <c r="AZ338" s="13"/>
      <c r="BA338" s="13"/>
      <c r="BG338" s="51">
        <f t="shared" si="251"/>
        <v>0</v>
      </c>
      <c r="BH338" s="51">
        <f t="shared" si="252"/>
        <v>0</v>
      </c>
      <c r="BI338" s="51">
        <f t="shared" ca="1" si="253"/>
        <v>0</v>
      </c>
      <c r="BJ338" s="51">
        <f t="shared" ca="1" si="254"/>
        <v>0</v>
      </c>
      <c r="BK338" s="51">
        <f t="shared" si="255"/>
        <v>0</v>
      </c>
      <c r="BL338" s="51">
        <f t="shared" ca="1" si="256"/>
        <v>0</v>
      </c>
      <c r="BM338" s="51">
        <f t="shared" si="257"/>
        <v>0</v>
      </c>
      <c r="BN338" s="51">
        <f t="shared" si="258"/>
        <v>0</v>
      </c>
      <c r="BO338" s="51">
        <f t="shared" ca="1" si="259"/>
        <v>0</v>
      </c>
      <c r="BP338" s="51">
        <f t="shared" ca="1" si="260"/>
        <v>0</v>
      </c>
      <c r="BQ338" s="120"/>
      <c r="BR338" s="32"/>
      <c r="BS338" s="126"/>
      <c r="BT338" s="16"/>
      <c r="BU338" s="58"/>
      <c r="BW338" s="51">
        <f>VLOOKUP(H338,Charges!$AT$4:$AU$33,2,FALSE)*I338</f>
        <v>0</v>
      </c>
      <c r="BX338" s="51">
        <f t="shared" si="261"/>
        <v>0</v>
      </c>
      <c r="BY338" s="51">
        <f t="shared" si="269"/>
        <v>0</v>
      </c>
      <c r="BZ338" s="151"/>
      <c r="CA338" s="151"/>
      <c r="CB338" s="32"/>
      <c r="CC338" s="16">
        <f ca="1">SUM($N$7:$N338)</f>
        <v>0</v>
      </c>
      <c r="CD338" s="16">
        <f t="shared" ca="1" si="262"/>
        <v>0</v>
      </c>
      <c r="CE338" s="16">
        <f t="shared" ca="1" si="263"/>
        <v>0</v>
      </c>
      <c r="CF338" s="7">
        <f t="shared" ca="1" si="270"/>
        <v>0</v>
      </c>
    </row>
    <row r="339" spans="1:84" s="7" customFormat="1" x14ac:dyDescent="0.2">
      <c r="A339" s="149"/>
      <c r="B339" s="14">
        <f t="shared" si="232"/>
        <v>0</v>
      </c>
      <c r="C339" s="12">
        <f t="shared" si="233"/>
        <v>0</v>
      </c>
      <c r="D339" s="17">
        <f t="shared" si="271"/>
        <v>333</v>
      </c>
      <c r="E339" s="17">
        <f t="shared" ca="1" si="234"/>
        <v>87</v>
      </c>
      <c r="F339" s="12">
        <f t="shared" si="229"/>
        <v>8</v>
      </c>
      <c r="G339" s="12">
        <f t="shared" si="272"/>
        <v>56</v>
      </c>
      <c r="H339" s="17">
        <f t="shared" si="230"/>
        <v>28</v>
      </c>
      <c r="I339" s="29">
        <f t="shared" si="235"/>
        <v>0</v>
      </c>
      <c r="J339" s="211">
        <f>IFERROR(VLOOKUP(H339,Charges!$T$6:$U$35,2,0)*C339,0)</f>
        <v>0</v>
      </c>
      <c r="K339" s="29">
        <f t="shared" si="236"/>
        <v>0</v>
      </c>
      <c r="L339" s="29">
        <f t="shared" si="237"/>
        <v>0</v>
      </c>
      <c r="M339" s="147">
        <f t="shared" ca="1" si="238"/>
        <v>0</v>
      </c>
      <c r="N339" s="148">
        <f ca="1">IF(AND(Option_SPW="Y",H339&gt;=Lock_In_Period,Z338&gt;SPW_Amount_pa+IF(option="Single",1/5*pr,2*pr),H339&gt;=SPW_Start_Year,H339&lt;=SPW_Start_Year+SPW_Duration-1,age+H339&gt;=Legal_Age),IF(AND(F339=0,SPW_Payout_Freq=1),SPW_Amount_pa,IF(AND(SPW_Payout_Freq=2,MOD(F339,6)=0),SPW_Amount_pa/SPW_Payout_Freq,IF(AND(SPW_Payout_Freq=4,MOD(F339,3)=0),SPW_Amount_pa/SPW_Payout_Freq,IF(SPW_Payout_Freq=12,SPW_Amount_pa/SPW_Payout_Freq,0)))),0)+IFERROR(VLOOKUP(H339,Input!$B$68:$C$74,2,0),0)*(F339=0)*(Option_PW="Y")*(Option_SPW="N")*(age+H339&gt;=Legal_Age)</f>
        <v>0</v>
      </c>
      <c r="O339" s="148">
        <f t="shared" ca="1" si="264"/>
        <v>0</v>
      </c>
      <c r="P339" s="14">
        <f ca="1">(MAX(MAX(sa-CF338*Flag_UL_Type,105%*SUM($I$7:I339))-(AD338+L339-N339)*Flag_UL_Type,0)*B339)</f>
        <v>0</v>
      </c>
      <c r="Q339" s="213">
        <f t="shared" si="239"/>
        <v>0</v>
      </c>
      <c r="R339" s="14">
        <f t="shared" ca="1" si="240"/>
        <v>0</v>
      </c>
      <c r="S339" s="14">
        <f t="shared" ca="1" si="241"/>
        <v>0</v>
      </c>
      <c r="T339" s="14">
        <f>IFERROR(IF(WoP_Flag="Y",IF(fq=1,VLOOKUP(ppt*fq-H339,Charges!$AN$41:$AO$59,2,FALSE),IF(fq=2,VLOOKUP(ppt*fq-G339,Charges!$AP$41:$AQ$79,2,FALSE),VLOOKUP(ppt*fq-D339,Charges!$AR$41:$AS$279,2,FALSE)))*pr/fq,0),0)</f>
        <v>0</v>
      </c>
      <c r="U339" s="14">
        <f ca="1">IFERROR(((T339*(VLOOKUP(Input!$D$18+H339-1,Tab_Mort_Charge,IF(Gender_2="M",2,3),FALSE)*(1+_emr2)+_rpm2)/IF(Model_Type="LA_PQIS",1000/0.0833,(12*1000))))*Flag_Mort_Rider_Charge*(T339&gt;0),0)</f>
        <v>0</v>
      </c>
      <c r="V339" s="34">
        <f>ROUND(MIN(IF(H339&gt;=7,Charges!$C$12*(1+Charges!$C$14)^((H339-7+1)),VLOOKUP(H339,Charges!$B$7:$C$12,2,0))*pr,Charges!$C$13)*B339,Round)</f>
        <v>0</v>
      </c>
      <c r="W339" s="14">
        <f t="shared" ca="1" si="242"/>
        <v>0</v>
      </c>
      <c r="X339" s="14">
        <f t="shared" ca="1" si="243"/>
        <v>0</v>
      </c>
      <c r="Y339" s="213">
        <f t="shared" ca="1" si="265"/>
        <v>0</v>
      </c>
      <c r="Z339" s="14">
        <f t="shared" ca="1" si="244"/>
        <v>0</v>
      </c>
      <c r="AA339" s="14">
        <f>IF(AND($H339=pt,$F339=11),SUM($K$7:K339)*VLOOKUP(pt,ROC,2,FALSE),0)</f>
        <v>0</v>
      </c>
      <c r="AB339" s="14">
        <f>IF(AND($H339=pt,$F339=11),SUM($V$7:V339)*VLOOKUP(pt,ROC,2,FALSE),0)</f>
        <v>0</v>
      </c>
      <c r="AC339" s="14">
        <f>IF(AND($H339=pt,$F339=11),SUM($Q$7:Q339)*VLOOKUP(pt,ROC,2,FALSE),0)</f>
        <v>0</v>
      </c>
      <c r="AD339" s="14">
        <f t="shared" ca="1" si="266"/>
        <v>0</v>
      </c>
      <c r="AE339" s="14">
        <f ca="1">(MAX(sa-CF338*Flag_UL_Type,105%*SUM($I$7:I339),Z339)+AU339)*B339</f>
        <v>0</v>
      </c>
      <c r="AF339" s="136"/>
      <c r="AG339" s="18">
        <v>333</v>
      </c>
      <c r="AH339" s="30">
        <f t="shared" ca="1" si="245"/>
        <v>0</v>
      </c>
      <c r="AI339" s="58"/>
      <c r="AJ339" s="50">
        <f>IF(AND(Option_Sys_TopUp&gt;="Y",H339&gt;=sytp,H339&lt;=(dtp+sytp-1),F339=0,H339&lt;=ppt+1),atp,0)+IFERROR(VLOOKUP(H339,Input!$B$55:$C$61,2,0),0)*(F339=0)*(Option_TopUP="Y")*(Option_Sys_TopUp="N")*B339*(pt&gt;=H339+5)</f>
        <v>0</v>
      </c>
      <c r="AK339" s="50">
        <f t="shared" si="246"/>
        <v>0</v>
      </c>
      <c r="AL339" s="50">
        <f t="shared" si="267"/>
        <v>0</v>
      </c>
      <c r="AM339" s="50">
        <f t="shared" ca="1" si="247"/>
        <v>0</v>
      </c>
      <c r="AN339" s="50">
        <f>IF(B339=0,0,AT339*(_rpm1+(1+_emr1)*VLOOKUP(E339,Tab_Mort_Charge,IF(Input!$C$12="M",2,3),0))*(0.001*0.0833)*Flag_Mort_Rider_Charge*(AT339&gt;0))</f>
        <v>0</v>
      </c>
      <c r="AO339" s="50">
        <f t="shared" ca="1" si="268"/>
        <v>0</v>
      </c>
      <c r="AP339" s="50">
        <f t="shared" ca="1" si="231"/>
        <v>0</v>
      </c>
      <c r="AQ339" s="50">
        <f t="shared" ca="1" si="248"/>
        <v>0</v>
      </c>
      <c r="AR339" s="50">
        <f t="shared" ca="1" si="249"/>
        <v>0</v>
      </c>
      <c r="AS339" s="50">
        <f t="shared" si="250"/>
        <v>0</v>
      </c>
      <c r="AT339" s="50">
        <f ca="1">(MAX((MAX(AS339,105%*SUM($AJ$7:AJ339))-AM339*Flag_UL_Type),0)*B339)</f>
        <v>0</v>
      </c>
      <c r="AU339" s="50">
        <f ca="1">(MAX(AS339,AR339,105%*SUM($AJ$7:AJ339))*B339)</f>
        <v>0</v>
      </c>
      <c r="AV339" s="125"/>
      <c r="AW339" s="13"/>
      <c r="AX339" s="13"/>
      <c r="AY339" s="13"/>
      <c r="AZ339" s="13"/>
      <c r="BA339" s="13"/>
      <c r="BG339" s="51">
        <f t="shared" si="251"/>
        <v>0</v>
      </c>
      <c r="BH339" s="51">
        <f t="shared" si="252"/>
        <v>0</v>
      </c>
      <c r="BI339" s="51">
        <f t="shared" ca="1" si="253"/>
        <v>0</v>
      </c>
      <c r="BJ339" s="51">
        <f t="shared" ca="1" si="254"/>
        <v>0</v>
      </c>
      <c r="BK339" s="51">
        <f t="shared" si="255"/>
        <v>0</v>
      </c>
      <c r="BL339" s="51">
        <f t="shared" ca="1" si="256"/>
        <v>0</v>
      </c>
      <c r="BM339" s="51">
        <f t="shared" si="257"/>
        <v>0</v>
      </c>
      <c r="BN339" s="51">
        <f t="shared" si="258"/>
        <v>0</v>
      </c>
      <c r="BO339" s="51">
        <f t="shared" ca="1" si="259"/>
        <v>0</v>
      </c>
      <c r="BP339" s="51">
        <f t="shared" ca="1" si="260"/>
        <v>0</v>
      </c>
      <c r="BQ339" s="120"/>
      <c r="BR339" s="32"/>
      <c r="BS339" s="126"/>
      <c r="BT339" s="16"/>
      <c r="BU339" s="58"/>
      <c r="BW339" s="51">
        <f>VLOOKUP(H339,Charges!$AT$4:$AU$33,2,FALSE)*I339</f>
        <v>0</v>
      </c>
      <c r="BX339" s="51">
        <f t="shared" si="261"/>
        <v>0</v>
      </c>
      <c r="BY339" s="51">
        <f t="shared" si="269"/>
        <v>0</v>
      </c>
      <c r="BZ339" s="151"/>
      <c r="CA339" s="151"/>
      <c r="CB339" s="32"/>
      <c r="CC339" s="16">
        <f ca="1">SUM($N$7:$N339)</f>
        <v>0</v>
      </c>
      <c r="CD339" s="16">
        <f t="shared" ca="1" si="262"/>
        <v>0</v>
      </c>
      <c r="CE339" s="16">
        <f t="shared" ca="1" si="263"/>
        <v>0</v>
      </c>
      <c r="CF339" s="7">
        <f t="shared" ca="1" si="270"/>
        <v>0</v>
      </c>
    </row>
    <row r="340" spans="1:84" s="7" customFormat="1" x14ac:dyDescent="0.2">
      <c r="A340" s="149"/>
      <c r="B340" s="14">
        <f t="shared" si="232"/>
        <v>0</v>
      </c>
      <c r="C340" s="12">
        <f t="shared" si="233"/>
        <v>0</v>
      </c>
      <c r="D340" s="17">
        <f t="shared" si="271"/>
        <v>334</v>
      </c>
      <c r="E340" s="17">
        <f t="shared" ca="1" si="234"/>
        <v>87</v>
      </c>
      <c r="F340" s="12">
        <f t="shared" ref="F340:F367" si="273">F328</f>
        <v>9</v>
      </c>
      <c r="G340" s="12">
        <f t="shared" si="272"/>
        <v>56</v>
      </c>
      <c r="H340" s="17">
        <f t="shared" ref="H340:H367" si="274">+H328+1</f>
        <v>28</v>
      </c>
      <c r="I340" s="29">
        <f t="shared" si="235"/>
        <v>0</v>
      </c>
      <c r="J340" s="211">
        <f>IFERROR(VLOOKUP(H340,Charges!$T$6:$U$35,2,0)*C340,0)</f>
        <v>0</v>
      </c>
      <c r="K340" s="29">
        <f t="shared" si="236"/>
        <v>0</v>
      </c>
      <c r="L340" s="29">
        <f t="shared" si="237"/>
        <v>0</v>
      </c>
      <c r="M340" s="147">
        <f t="shared" ca="1" si="238"/>
        <v>0</v>
      </c>
      <c r="N340" s="148">
        <f ca="1">IF(AND(Option_SPW="Y",H340&gt;=Lock_In_Period,Z339&gt;SPW_Amount_pa+IF(option="Single",1/5*pr,2*pr),H340&gt;=SPW_Start_Year,H340&lt;=SPW_Start_Year+SPW_Duration-1,age+H340&gt;=Legal_Age),IF(AND(F340=0,SPW_Payout_Freq=1),SPW_Amount_pa,IF(AND(SPW_Payout_Freq=2,MOD(F340,6)=0),SPW_Amount_pa/SPW_Payout_Freq,IF(AND(SPW_Payout_Freq=4,MOD(F340,3)=0),SPW_Amount_pa/SPW_Payout_Freq,IF(SPW_Payout_Freq=12,SPW_Amount_pa/SPW_Payout_Freq,0)))),0)+IFERROR(VLOOKUP(H340,Input!$B$68:$C$74,2,0),0)*(F340=0)*(Option_PW="Y")*(Option_SPW="N")*(age+H340&gt;=Legal_Age)</f>
        <v>0</v>
      </c>
      <c r="O340" s="148">
        <f t="shared" ca="1" si="264"/>
        <v>0</v>
      </c>
      <c r="P340" s="14">
        <f ca="1">(MAX(MAX(sa-CF339*Flag_UL_Type,105%*SUM($I$7:I340))-(AD339+L340-N340)*Flag_UL_Type,0)*B340)</f>
        <v>0</v>
      </c>
      <c r="Q340" s="213">
        <f t="shared" si="239"/>
        <v>0</v>
      </c>
      <c r="R340" s="14">
        <f t="shared" ca="1" si="240"/>
        <v>0</v>
      </c>
      <c r="S340" s="14">
        <f t="shared" ca="1" si="241"/>
        <v>0</v>
      </c>
      <c r="T340" s="14">
        <f>IFERROR(IF(WoP_Flag="Y",IF(fq=1,VLOOKUP(ppt*fq-H340,Charges!$AN$41:$AO$59,2,FALSE),IF(fq=2,VLOOKUP(ppt*fq-G340,Charges!$AP$41:$AQ$79,2,FALSE),VLOOKUP(ppt*fq-D340,Charges!$AR$41:$AS$279,2,FALSE)))*pr/fq,0),0)</f>
        <v>0</v>
      </c>
      <c r="U340" s="14">
        <f ca="1">IFERROR(((T340*(VLOOKUP(Input!$D$18+H340-1,Tab_Mort_Charge,IF(Gender_2="M",2,3),FALSE)*(1+_emr2)+_rpm2)/IF(Model_Type="LA_PQIS",1000/0.0833,(12*1000))))*Flag_Mort_Rider_Charge*(T340&gt;0),0)</f>
        <v>0</v>
      </c>
      <c r="V340" s="34">
        <f>ROUND(MIN(IF(H340&gt;=7,Charges!$C$12*(1+Charges!$C$14)^((H340-7+1)),VLOOKUP(H340,Charges!$B$7:$C$12,2,0))*pr,Charges!$C$13)*B340,Round)</f>
        <v>0</v>
      </c>
      <c r="W340" s="14">
        <f t="shared" ca="1" si="242"/>
        <v>0</v>
      </c>
      <c r="X340" s="14">
        <f t="shared" ca="1" si="243"/>
        <v>0</v>
      </c>
      <c r="Y340" s="213">
        <f t="shared" ca="1" si="265"/>
        <v>0</v>
      </c>
      <c r="Z340" s="14">
        <f t="shared" ca="1" si="244"/>
        <v>0</v>
      </c>
      <c r="AA340" s="14">
        <f>IF(AND($H340=pt,$F340=11),SUM($K$7:K340)*VLOOKUP(pt,ROC,2,FALSE),0)</f>
        <v>0</v>
      </c>
      <c r="AB340" s="14">
        <f>IF(AND($H340=pt,$F340=11),SUM($V$7:V340)*VLOOKUP(pt,ROC,2,FALSE),0)</f>
        <v>0</v>
      </c>
      <c r="AC340" s="14">
        <f>IF(AND($H340=pt,$F340=11),SUM($Q$7:Q340)*VLOOKUP(pt,ROC,2,FALSE),0)</f>
        <v>0</v>
      </c>
      <c r="AD340" s="14">
        <f t="shared" ca="1" si="266"/>
        <v>0</v>
      </c>
      <c r="AE340" s="14">
        <f ca="1">(MAX(sa-CF339*Flag_UL_Type,105%*SUM($I$7:I340),Z340)+AU340)*B340</f>
        <v>0</v>
      </c>
      <c r="AF340" s="136"/>
      <c r="AG340" s="18">
        <v>334</v>
      </c>
      <c r="AH340" s="30">
        <f t="shared" ca="1" si="245"/>
        <v>0</v>
      </c>
      <c r="AI340" s="58"/>
      <c r="AJ340" s="50">
        <f>IF(AND(Option_Sys_TopUp&gt;="Y",H340&gt;=sytp,H340&lt;=(dtp+sytp-1),F340=0,H340&lt;=ppt+1),atp,0)+IFERROR(VLOOKUP(H340,Input!$B$55:$C$61,2,0),0)*(F340=0)*(Option_TopUP="Y")*(Option_Sys_TopUp="N")*B340*(pt&gt;=H340+5)</f>
        <v>0</v>
      </c>
      <c r="AK340" s="50">
        <f t="shared" si="246"/>
        <v>0</v>
      </c>
      <c r="AL340" s="50">
        <f t="shared" si="267"/>
        <v>0</v>
      </c>
      <c r="AM340" s="50">
        <f t="shared" ca="1" si="247"/>
        <v>0</v>
      </c>
      <c r="AN340" s="50">
        <f>IF(B340=0,0,AT340*(_rpm1+(1+_emr1)*VLOOKUP(E340,Tab_Mort_Charge,IF(Input!$C$12="M",2,3),0))*(0.001*0.0833)*Flag_Mort_Rider_Charge*(AT340&gt;0))</f>
        <v>0</v>
      </c>
      <c r="AO340" s="50">
        <f t="shared" ca="1" si="268"/>
        <v>0</v>
      </c>
      <c r="AP340" s="50">
        <f t="shared" ca="1" si="231"/>
        <v>0</v>
      </c>
      <c r="AQ340" s="50">
        <f t="shared" ca="1" si="248"/>
        <v>0</v>
      </c>
      <c r="AR340" s="50">
        <f t="shared" ca="1" si="249"/>
        <v>0</v>
      </c>
      <c r="AS340" s="50">
        <f t="shared" si="250"/>
        <v>0</v>
      </c>
      <c r="AT340" s="50">
        <f ca="1">(MAX((MAX(AS340,105%*SUM($AJ$7:AJ340))-AM340*Flag_UL_Type),0)*B340)</f>
        <v>0</v>
      </c>
      <c r="AU340" s="50">
        <f ca="1">(MAX(AS340,AR340,105%*SUM($AJ$7:AJ340))*B340)</f>
        <v>0</v>
      </c>
      <c r="AV340" s="125"/>
      <c r="AW340" s="13"/>
      <c r="AX340" s="13"/>
      <c r="AY340" s="13"/>
      <c r="AZ340" s="13"/>
      <c r="BA340" s="13"/>
      <c r="BG340" s="51">
        <f t="shared" si="251"/>
        <v>0</v>
      </c>
      <c r="BH340" s="51">
        <f t="shared" si="252"/>
        <v>0</v>
      </c>
      <c r="BI340" s="51">
        <f t="shared" ca="1" si="253"/>
        <v>0</v>
      </c>
      <c r="BJ340" s="51">
        <f t="shared" ca="1" si="254"/>
        <v>0</v>
      </c>
      <c r="BK340" s="51">
        <f t="shared" si="255"/>
        <v>0</v>
      </c>
      <c r="BL340" s="51">
        <f t="shared" ca="1" si="256"/>
        <v>0</v>
      </c>
      <c r="BM340" s="51">
        <f t="shared" si="257"/>
        <v>0</v>
      </c>
      <c r="BN340" s="51">
        <f t="shared" si="258"/>
        <v>0</v>
      </c>
      <c r="BO340" s="51">
        <f t="shared" ca="1" si="259"/>
        <v>0</v>
      </c>
      <c r="BP340" s="51">
        <f t="shared" ca="1" si="260"/>
        <v>0</v>
      </c>
      <c r="BQ340" s="120"/>
      <c r="BR340" s="32"/>
      <c r="BS340" s="126"/>
      <c r="BT340" s="16"/>
      <c r="BU340" s="58"/>
      <c r="BW340" s="51">
        <f>VLOOKUP(H340,Charges!$AT$4:$AU$33,2,FALSE)*I340</f>
        <v>0</v>
      </c>
      <c r="BX340" s="51">
        <f t="shared" si="261"/>
        <v>0</v>
      </c>
      <c r="BY340" s="51">
        <f t="shared" si="269"/>
        <v>0</v>
      </c>
      <c r="BZ340" s="151"/>
      <c r="CA340" s="151"/>
      <c r="CB340" s="32"/>
      <c r="CC340" s="16">
        <f ca="1">SUM($N$7:$N340)</f>
        <v>0</v>
      </c>
      <c r="CD340" s="16">
        <f t="shared" ca="1" si="262"/>
        <v>0</v>
      </c>
      <c r="CE340" s="16">
        <f t="shared" ca="1" si="263"/>
        <v>0</v>
      </c>
      <c r="CF340" s="7">
        <f t="shared" ca="1" si="270"/>
        <v>0</v>
      </c>
    </row>
    <row r="341" spans="1:84" s="7" customFormat="1" x14ac:dyDescent="0.2">
      <c r="A341" s="149"/>
      <c r="B341" s="14">
        <f t="shared" si="232"/>
        <v>0</v>
      </c>
      <c r="C341" s="12">
        <f t="shared" si="233"/>
        <v>0</v>
      </c>
      <c r="D341" s="17">
        <f t="shared" si="271"/>
        <v>335</v>
      </c>
      <c r="E341" s="17">
        <f t="shared" ca="1" si="234"/>
        <v>87</v>
      </c>
      <c r="F341" s="12">
        <f t="shared" si="273"/>
        <v>10</v>
      </c>
      <c r="G341" s="12">
        <f t="shared" si="272"/>
        <v>56</v>
      </c>
      <c r="H341" s="17">
        <f t="shared" si="274"/>
        <v>28</v>
      </c>
      <c r="I341" s="29">
        <f t="shared" si="235"/>
        <v>0</v>
      </c>
      <c r="J341" s="211">
        <f>IFERROR(VLOOKUP(H341,Charges!$T$6:$U$35,2,0)*C341,0)</f>
        <v>0</v>
      </c>
      <c r="K341" s="29">
        <f t="shared" si="236"/>
        <v>0</v>
      </c>
      <c r="L341" s="29">
        <f t="shared" si="237"/>
        <v>0</v>
      </c>
      <c r="M341" s="147">
        <f t="shared" ca="1" si="238"/>
        <v>0</v>
      </c>
      <c r="N341" s="148">
        <f ca="1">IF(AND(Option_SPW="Y",H341&gt;=Lock_In_Period,Z340&gt;SPW_Amount_pa+IF(option="Single",1/5*pr,2*pr),H341&gt;=SPW_Start_Year,H341&lt;=SPW_Start_Year+SPW_Duration-1,age+H341&gt;=Legal_Age),IF(AND(F341=0,SPW_Payout_Freq=1),SPW_Amount_pa,IF(AND(SPW_Payout_Freq=2,MOD(F341,6)=0),SPW_Amount_pa/SPW_Payout_Freq,IF(AND(SPW_Payout_Freq=4,MOD(F341,3)=0),SPW_Amount_pa/SPW_Payout_Freq,IF(SPW_Payout_Freq=12,SPW_Amount_pa/SPW_Payout_Freq,0)))),0)+IFERROR(VLOOKUP(H341,Input!$B$68:$C$74,2,0),0)*(F341=0)*(Option_PW="Y")*(Option_SPW="N")*(age+H341&gt;=Legal_Age)</f>
        <v>0</v>
      </c>
      <c r="O341" s="148">
        <f t="shared" ca="1" si="264"/>
        <v>0</v>
      </c>
      <c r="P341" s="14">
        <f ca="1">(MAX(MAX(sa-CF340*Flag_UL_Type,105%*SUM($I$7:I341))-(AD340+L341-N341)*Flag_UL_Type,0)*B341)</f>
        <v>0</v>
      </c>
      <c r="Q341" s="213">
        <f t="shared" si="239"/>
        <v>0</v>
      </c>
      <c r="R341" s="14">
        <f t="shared" ca="1" si="240"/>
        <v>0</v>
      </c>
      <c r="S341" s="14">
        <f t="shared" ca="1" si="241"/>
        <v>0</v>
      </c>
      <c r="T341" s="14">
        <f>IFERROR(IF(WoP_Flag="Y",IF(fq=1,VLOOKUP(ppt*fq-H341,Charges!$AN$41:$AO$59,2,FALSE),IF(fq=2,VLOOKUP(ppt*fq-G341,Charges!$AP$41:$AQ$79,2,FALSE),VLOOKUP(ppt*fq-D341,Charges!$AR$41:$AS$279,2,FALSE)))*pr/fq,0),0)</f>
        <v>0</v>
      </c>
      <c r="U341" s="14">
        <f ca="1">IFERROR(((T341*(VLOOKUP(Input!$D$18+H341-1,Tab_Mort_Charge,IF(Gender_2="M",2,3),FALSE)*(1+_emr2)+_rpm2)/IF(Model_Type="LA_PQIS",1000/0.0833,(12*1000))))*Flag_Mort_Rider_Charge*(T341&gt;0),0)</f>
        <v>0</v>
      </c>
      <c r="V341" s="34">
        <f>ROUND(MIN(IF(H341&gt;=7,Charges!$C$12*(1+Charges!$C$14)^((H341-7+1)),VLOOKUP(H341,Charges!$B$7:$C$12,2,0))*pr,Charges!$C$13)*B341,Round)</f>
        <v>0</v>
      </c>
      <c r="W341" s="14">
        <f t="shared" ca="1" si="242"/>
        <v>0</v>
      </c>
      <c r="X341" s="14">
        <f t="shared" ca="1" si="243"/>
        <v>0</v>
      </c>
      <c r="Y341" s="213">
        <f t="shared" ca="1" si="265"/>
        <v>0</v>
      </c>
      <c r="Z341" s="14">
        <f t="shared" ca="1" si="244"/>
        <v>0</v>
      </c>
      <c r="AA341" s="14">
        <f>IF(AND($H341=pt,$F341=11),SUM($K$7:K341)*VLOOKUP(pt,ROC,2,FALSE),0)</f>
        <v>0</v>
      </c>
      <c r="AB341" s="14">
        <f>IF(AND($H341=pt,$F341=11),SUM($V$7:V341)*VLOOKUP(pt,ROC,2,FALSE),0)</f>
        <v>0</v>
      </c>
      <c r="AC341" s="14">
        <f>IF(AND($H341=pt,$F341=11),SUM($Q$7:Q341)*VLOOKUP(pt,ROC,2,FALSE),0)</f>
        <v>0</v>
      </c>
      <c r="AD341" s="14">
        <f t="shared" ca="1" si="266"/>
        <v>0</v>
      </c>
      <c r="AE341" s="14">
        <f ca="1">(MAX(sa-CF340*Flag_UL_Type,105%*SUM($I$7:I341),Z341)+AU341)*B341</f>
        <v>0</v>
      </c>
      <c r="AF341" s="136"/>
      <c r="AG341" s="18">
        <v>335</v>
      </c>
      <c r="AH341" s="30">
        <f t="shared" ca="1" si="245"/>
        <v>0</v>
      </c>
      <c r="AI341" s="58"/>
      <c r="AJ341" s="50">
        <f>IF(AND(Option_Sys_TopUp&gt;="Y",H341&gt;=sytp,H341&lt;=(dtp+sytp-1),F341=0,H341&lt;=ppt+1),atp,0)+IFERROR(VLOOKUP(H341,Input!$B$55:$C$61,2,0),0)*(F341=0)*(Option_TopUP="Y")*(Option_Sys_TopUp="N")*B341*(pt&gt;=H341+5)</f>
        <v>0</v>
      </c>
      <c r="AK341" s="50">
        <f t="shared" si="246"/>
        <v>0</v>
      </c>
      <c r="AL341" s="50">
        <f t="shared" si="267"/>
        <v>0</v>
      </c>
      <c r="AM341" s="50">
        <f t="shared" ca="1" si="247"/>
        <v>0</v>
      </c>
      <c r="AN341" s="50">
        <f>IF(B341=0,0,AT341*(_rpm1+(1+_emr1)*VLOOKUP(E341,Tab_Mort_Charge,IF(Input!$C$12="M",2,3),0))*(0.001*0.0833)*Flag_Mort_Rider_Charge*(AT341&gt;0))</f>
        <v>0</v>
      </c>
      <c r="AO341" s="50">
        <f t="shared" ca="1" si="268"/>
        <v>0</v>
      </c>
      <c r="AP341" s="50">
        <f t="shared" ca="1" si="231"/>
        <v>0</v>
      </c>
      <c r="AQ341" s="50">
        <f t="shared" ca="1" si="248"/>
        <v>0</v>
      </c>
      <c r="AR341" s="50">
        <f t="shared" ca="1" si="249"/>
        <v>0</v>
      </c>
      <c r="AS341" s="50">
        <f t="shared" si="250"/>
        <v>0</v>
      </c>
      <c r="AT341" s="50">
        <f ca="1">(MAX((MAX(AS341,105%*SUM($AJ$7:AJ341))-AM341*Flag_UL_Type),0)*B341)</f>
        <v>0</v>
      </c>
      <c r="AU341" s="50">
        <f ca="1">(MAX(AS341,AR341,105%*SUM($AJ$7:AJ341))*B341)</f>
        <v>0</v>
      </c>
      <c r="AV341" s="125"/>
      <c r="AW341" s="13"/>
      <c r="AX341" s="13"/>
      <c r="AY341" s="13"/>
      <c r="AZ341" s="13"/>
      <c r="BA341" s="13"/>
      <c r="BG341" s="51">
        <f t="shared" si="251"/>
        <v>0</v>
      </c>
      <c r="BH341" s="51">
        <f t="shared" si="252"/>
        <v>0</v>
      </c>
      <c r="BI341" s="51">
        <f t="shared" ca="1" si="253"/>
        <v>0</v>
      </c>
      <c r="BJ341" s="51">
        <f t="shared" ca="1" si="254"/>
        <v>0</v>
      </c>
      <c r="BK341" s="51">
        <f t="shared" si="255"/>
        <v>0</v>
      </c>
      <c r="BL341" s="51">
        <f t="shared" ca="1" si="256"/>
        <v>0</v>
      </c>
      <c r="BM341" s="51">
        <f t="shared" si="257"/>
        <v>0</v>
      </c>
      <c r="BN341" s="51">
        <f t="shared" si="258"/>
        <v>0</v>
      </c>
      <c r="BO341" s="51">
        <f t="shared" ca="1" si="259"/>
        <v>0</v>
      </c>
      <c r="BP341" s="51">
        <f t="shared" ca="1" si="260"/>
        <v>0</v>
      </c>
      <c r="BQ341" s="120"/>
      <c r="BR341" s="32"/>
      <c r="BS341" s="126"/>
      <c r="BT341" s="16"/>
      <c r="BU341" s="58"/>
      <c r="BW341" s="51">
        <f>VLOOKUP(H341,Charges!$AT$4:$AU$33,2,FALSE)*I341</f>
        <v>0</v>
      </c>
      <c r="BX341" s="51">
        <f t="shared" si="261"/>
        <v>0</v>
      </c>
      <c r="BY341" s="51">
        <f t="shared" si="269"/>
        <v>0</v>
      </c>
      <c r="BZ341" s="151"/>
      <c r="CA341" s="151"/>
      <c r="CB341" s="32"/>
      <c r="CC341" s="16">
        <f ca="1">SUM($N$7:$N341)</f>
        <v>0</v>
      </c>
      <c r="CD341" s="16">
        <f t="shared" ca="1" si="262"/>
        <v>0</v>
      </c>
      <c r="CE341" s="16">
        <f t="shared" ca="1" si="263"/>
        <v>0</v>
      </c>
      <c r="CF341" s="7">
        <f t="shared" ca="1" si="270"/>
        <v>0</v>
      </c>
    </row>
    <row r="342" spans="1:84" s="7" customFormat="1" x14ac:dyDescent="0.2">
      <c r="A342" s="149"/>
      <c r="B342" s="14">
        <f t="shared" si="232"/>
        <v>0</v>
      </c>
      <c r="C342" s="12">
        <f t="shared" si="233"/>
        <v>0</v>
      </c>
      <c r="D342" s="17">
        <f t="shared" si="271"/>
        <v>336</v>
      </c>
      <c r="E342" s="17">
        <f t="shared" ca="1" si="234"/>
        <v>87</v>
      </c>
      <c r="F342" s="12">
        <f t="shared" si="273"/>
        <v>11</v>
      </c>
      <c r="G342" s="12">
        <f t="shared" si="272"/>
        <v>56</v>
      </c>
      <c r="H342" s="17">
        <f t="shared" si="274"/>
        <v>28</v>
      </c>
      <c r="I342" s="29">
        <f t="shared" si="235"/>
        <v>0</v>
      </c>
      <c r="J342" s="211">
        <f>IFERROR(VLOOKUP(H342,Charges!$T$6:$U$35,2,0)*C342,0)</f>
        <v>0</v>
      </c>
      <c r="K342" s="29">
        <f t="shared" si="236"/>
        <v>0</v>
      </c>
      <c r="L342" s="29">
        <f t="shared" si="237"/>
        <v>0</v>
      </c>
      <c r="M342" s="147">
        <f t="shared" ca="1" si="238"/>
        <v>0</v>
      </c>
      <c r="N342" s="148">
        <f ca="1">IF(AND(Option_SPW="Y",H342&gt;=Lock_In_Period,Z341&gt;SPW_Amount_pa+IF(option="Single",1/5*pr,2*pr),H342&gt;=SPW_Start_Year,H342&lt;=SPW_Start_Year+SPW_Duration-1,age+H342&gt;=Legal_Age),IF(AND(F342=0,SPW_Payout_Freq=1),SPW_Amount_pa,IF(AND(SPW_Payout_Freq=2,MOD(F342,6)=0),SPW_Amount_pa/SPW_Payout_Freq,IF(AND(SPW_Payout_Freq=4,MOD(F342,3)=0),SPW_Amount_pa/SPW_Payout_Freq,IF(SPW_Payout_Freq=12,SPW_Amount_pa/SPW_Payout_Freq,0)))),0)+IFERROR(VLOOKUP(H342,Input!$B$68:$C$74,2,0),0)*(F342=0)*(Option_PW="Y")*(Option_SPW="N")*(age+H342&gt;=Legal_Age)</f>
        <v>0</v>
      </c>
      <c r="O342" s="148">
        <f t="shared" ca="1" si="264"/>
        <v>0</v>
      </c>
      <c r="P342" s="14">
        <f ca="1">(MAX(MAX(sa-CF341*Flag_UL_Type,105%*SUM($I$7:I342))-(AD341+L342-N342)*Flag_UL_Type,0)*B342)</f>
        <v>0</v>
      </c>
      <c r="Q342" s="213">
        <f t="shared" si="239"/>
        <v>0</v>
      </c>
      <c r="R342" s="14">
        <f t="shared" ca="1" si="240"/>
        <v>0</v>
      </c>
      <c r="S342" s="14">
        <f t="shared" ca="1" si="241"/>
        <v>0</v>
      </c>
      <c r="T342" s="14">
        <f>IFERROR(IF(WoP_Flag="Y",IF(fq=1,VLOOKUP(ppt*fq-H342,Charges!$AN$41:$AO$59,2,FALSE),IF(fq=2,VLOOKUP(ppt*fq-G342,Charges!$AP$41:$AQ$79,2,FALSE),VLOOKUP(ppt*fq-D342,Charges!$AR$41:$AS$279,2,FALSE)))*pr/fq,0),0)</f>
        <v>0</v>
      </c>
      <c r="U342" s="14">
        <f ca="1">IFERROR(((T342*(VLOOKUP(Input!$D$18+H342-1,Tab_Mort_Charge,IF(Gender_2="M",2,3),FALSE)*(1+_emr2)+_rpm2)/IF(Model_Type="LA_PQIS",1000/0.0833,(12*1000))))*Flag_Mort_Rider_Charge*(T342&gt;0),0)</f>
        <v>0</v>
      </c>
      <c r="V342" s="34">
        <f>ROUND(MIN(IF(H342&gt;=7,Charges!$C$12*(1+Charges!$C$14)^((H342-7+1)),VLOOKUP(H342,Charges!$B$7:$C$12,2,0))*pr,Charges!$C$13)*B342,Round)</f>
        <v>0</v>
      </c>
      <c r="W342" s="14">
        <f t="shared" ca="1" si="242"/>
        <v>0</v>
      </c>
      <c r="X342" s="14">
        <f t="shared" ca="1" si="243"/>
        <v>0</v>
      </c>
      <c r="Y342" s="213">
        <f t="shared" ca="1" si="265"/>
        <v>0</v>
      </c>
      <c r="Z342" s="14">
        <f t="shared" ca="1" si="244"/>
        <v>0</v>
      </c>
      <c r="AA342" s="14">
        <f>IF(AND($H342=pt,$F342=11),SUM($K$7:K342)*VLOOKUP(pt,ROC,2,FALSE),0)</f>
        <v>0</v>
      </c>
      <c r="AB342" s="14">
        <f>IF(AND($H342=pt,$F342=11),SUM($V$7:V342)*VLOOKUP(pt,ROC,2,FALSE),0)</f>
        <v>0</v>
      </c>
      <c r="AC342" s="14">
        <f>IF(AND($H342=pt,$F342=11),SUM($Q$7:Q342)*VLOOKUP(pt,ROC,2,FALSE),0)</f>
        <v>0</v>
      </c>
      <c r="AD342" s="14">
        <f t="shared" ca="1" si="266"/>
        <v>0</v>
      </c>
      <c r="AE342" s="14">
        <f ca="1">(MAX(sa-CF341*Flag_UL_Type,105%*SUM($I$7:I342),Z342)+AU342)*B342</f>
        <v>0</v>
      </c>
      <c r="AF342" s="136"/>
      <c r="AG342" s="18">
        <v>336</v>
      </c>
      <c r="AH342" s="30">
        <f t="shared" ca="1" si="245"/>
        <v>0</v>
      </c>
      <c r="AI342" s="58"/>
      <c r="AJ342" s="50">
        <f>IF(AND(Option_Sys_TopUp&gt;="Y",H342&gt;=sytp,H342&lt;=(dtp+sytp-1),F342=0,H342&lt;=ppt+1),atp,0)+IFERROR(VLOOKUP(H342,Input!$B$55:$C$61,2,0),0)*(F342=0)*(Option_TopUP="Y")*(Option_Sys_TopUp="N")*B342*(pt&gt;=H342+5)</f>
        <v>0</v>
      </c>
      <c r="AK342" s="50">
        <f t="shared" si="246"/>
        <v>0</v>
      </c>
      <c r="AL342" s="50">
        <f t="shared" si="267"/>
        <v>0</v>
      </c>
      <c r="AM342" s="50">
        <f t="shared" ca="1" si="247"/>
        <v>0</v>
      </c>
      <c r="AN342" s="50">
        <f>IF(B342=0,0,AT342*(_rpm1+(1+_emr1)*VLOOKUP(E342,Tab_Mort_Charge,IF(Input!$C$12="M",2,3),0))*(0.001*0.0833)*Flag_Mort_Rider_Charge*(AT342&gt;0))</f>
        <v>0</v>
      </c>
      <c r="AO342" s="50">
        <f t="shared" ca="1" si="268"/>
        <v>0</v>
      </c>
      <c r="AP342" s="50">
        <f t="shared" ca="1" si="231"/>
        <v>0</v>
      </c>
      <c r="AQ342" s="50">
        <f t="shared" ca="1" si="248"/>
        <v>0</v>
      </c>
      <c r="AR342" s="50">
        <f t="shared" ca="1" si="249"/>
        <v>0</v>
      </c>
      <c r="AS342" s="50">
        <f t="shared" si="250"/>
        <v>0</v>
      </c>
      <c r="AT342" s="50">
        <f ca="1">(MAX((MAX(AS342,105%*SUM($AJ$7:AJ342))-AM342*Flag_UL_Type),0)*B342)</f>
        <v>0</v>
      </c>
      <c r="AU342" s="50">
        <f ca="1">(MAX(AS342,AR342,105%*SUM($AJ$7:AJ342))*B342)</f>
        <v>0</v>
      </c>
      <c r="AV342" s="125"/>
      <c r="AW342" s="13"/>
      <c r="AX342" s="13"/>
      <c r="AY342" s="13"/>
      <c r="AZ342" s="13"/>
      <c r="BA342" s="13"/>
      <c r="BG342" s="51">
        <f t="shared" si="251"/>
        <v>0</v>
      </c>
      <c r="BH342" s="51">
        <f t="shared" si="252"/>
        <v>0</v>
      </c>
      <c r="BI342" s="51">
        <f t="shared" ca="1" si="253"/>
        <v>0</v>
      </c>
      <c r="BJ342" s="51">
        <f t="shared" ca="1" si="254"/>
        <v>0</v>
      </c>
      <c r="BK342" s="51">
        <f t="shared" si="255"/>
        <v>0</v>
      </c>
      <c r="BL342" s="51">
        <f t="shared" ca="1" si="256"/>
        <v>0</v>
      </c>
      <c r="BM342" s="51">
        <f t="shared" si="257"/>
        <v>0</v>
      </c>
      <c r="BN342" s="51">
        <f t="shared" si="258"/>
        <v>0</v>
      </c>
      <c r="BO342" s="51">
        <f t="shared" ca="1" si="259"/>
        <v>0</v>
      </c>
      <c r="BP342" s="51">
        <f t="shared" ca="1" si="260"/>
        <v>0</v>
      </c>
      <c r="BQ342" s="120"/>
      <c r="BR342" s="32"/>
      <c r="BS342" s="126"/>
      <c r="BT342" s="16"/>
      <c r="BU342" s="58"/>
      <c r="BW342" s="51">
        <f>VLOOKUP(H342,Charges!$AT$4:$AU$33,2,FALSE)*I342</f>
        <v>0</v>
      </c>
      <c r="BX342" s="51">
        <f t="shared" si="261"/>
        <v>0</v>
      </c>
      <c r="BY342" s="51">
        <f t="shared" si="269"/>
        <v>0</v>
      </c>
      <c r="BZ342" s="151"/>
      <c r="CA342" s="151"/>
      <c r="CB342" s="32"/>
      <c r="CC342" s="16">
        <f ca="1">SUM($N$7:$N342)</f>
        <v>0</v>
      </c>
      <c r="CD342" s="16">
        <f t="shared" ca="1" si="262"/>
        <v>0</v>
      </c>
      <c r="CE342" s="16">
        <f t="shared" ca="1" si="263"/>
        <v>0</v>
      </c>
      <c r="CF342" s="7">
        <f t="shared" ca="1" si="270"/>
        <v>0</v>
      </c>
    </row>
    <row r="343" spans="1:84" s="7" customFormat="1" x14ac:dyDescent="0.2">
      <c r="A343" s="149"/>
      <c r="B343" s="14">
        <f t="shared" si="232"/>
        <v>0</v>
      </c>
      <c r="C343" s="12">
        <f t="shared" si="233"/>
        <v>0</v>
      </c>
      <c r="D343" s="17">
        <f t="shared" si="271"/>
        <v>337</v>
      </c>
      <c r="E343" s="17">
        <f t="shared" ca="1" si="234"/>
        <v>88</v>
      </c>
      <c r="F343" s="12">
        <f t="shared" si="273"/>
        <v>0</v>
      </c>
      <c r="G343" s="12">
        <f t="shared" si="272"/>
        <v>57</v>
      </c>
      <c r="H343" s="17">
        <f t="shared" si="274"/>
        <v>29</v>
      </c>
      <c r="I343" s="29">
        <f t="shared" si="235"/>
        <v>0</v>
      </c>
      <c r="J343" s="211">
        <f>IFERROR(VLOOKUP(H343,Charges!$T$6:$U$35,2,0)*C343,0)</f>
        <v>0</v>
      </c>
      <c r="K343" s="29">
        <f t="shared" si="236"/>
        <v>0</v>
      </c>
      <c r="L343" s="29">
        <f t="shared" si="237"/>
        <v>0</v>
      </c>
      <c r="M343" s="147">
        <f t="shared" ca="1" si="238"/>
        <v>0</v>
      </c>
      <c r="N343" s="148">
        <f ca="1">IF(AND(Option_SPW="Y",H343&gt;=Lock_In_Period,Z342&gt;SPW_Amount_pa+IF(option="Single",1/5*pr,2*pr),H343&gt;=SPW_Start_Year,H343&lt;=SPW_Start_Year+SPW_Duration-1,age+H343&gt;=Legal_Age),IF(AND(F343=0,SPW_Payout_Freq=1),SPW_Amount_pa,IF(AND(SPW_Payout_Freq=2,MOD(F343,6)=0),SPW_Amount_pa/SPW_Payout_Freq,IF(AND(SPW_Payout_Freq=4,MOD(F343,3)=0),SPW_Amount_pa/SPW_Payout_Freq,IF(SPW_Payout_Freq=12,SPW_Amount_pa/SPW_Payout_Freq,0)))),0)+IFERROR(VLOOKUP(H343,Input!$B$68:$C$74,2,0),0)*(F343=0)*(Option_PW="Y")*(Option_SPW="N")*(age+H343&gt;=Legal_Age)</f>
        <v>0</v>
      </c>
      <c r="O343" s="148">
        <f t="shared" ca="1" si="264"/>
        <v>0</v>
      </c>
      <c r="P343" s="14">
        <f ca="1">(MAX(MAX(sa-CF342*Flag_UL_Type,105%*SUM($I$7:I343))-(AD342+L343-N343)*Flag_UL_Type,0)*B343)</f>
        <v>0</v>
      </c>
      <c r="Q343" s="213">
        <f t="shared" si="239"/>
        <v>0</v>
      </c>
      <c r="R343" s="14">
        <f t="shared" ca="1" si="240"/>
        <v>0</v>
      </c>
      <c r="S343" s="14">
        <f t="shared" ca="1" si="241"/>
        <v>0</v>
      </c>
      <c r="T343" s="14">
        <f>IFERROR(IF(WoP_Flag="Y",IF(fq=1,VLOOKUP(ppt*fq-H343,Charges!$AN$41:$AO$59,2,FALSE),IF(fq=2,VLOOKUP(ppt*fq-G343,Charges!$AP$41:$AQ$79,2,FALSE),VLOOKUP(ppt*fq-D343,Charges!$AR$41:$AS$279,2,FALSE)))*pr/fq,0),0)</f>
        <v>0</v>
      </c>
      <c r="U343" s="14">
        <f ca="1">IFERROR(((T343*(VLOOKUP(Input!$D$18+H343-1,Tab_Mort_Charge,IF(Gender_2="M",2,3),FALSE)*(1+_emr2)+_rpm2)/IF(Model_Type="LA_PQIS",1000/0.0833,(12*1000))))*Flag_Mort_Rider_Charge*(T343&gt;0),0)</f>
        <v>0</v>
      </c>
      <c r="V343" s="34">
        <f>ROUND(MIN(IF(H343&gt;=7,Charges!$C$12*(1+Charges!$C$14)^((H343-7+1)),VLOOKUP(H343,Charges!$B$7:$C$12,2,0))*pr,Charges!$C$13)*B343,Round)</f>
        <v>0</v>
      </c>
      <c r="W343" s="14">
        <f t="shared" ca="1" si="242"/>
        <v>0</v>
      </c>
      <c r="X343" s="14">
        <f t="shared" ca="1" si="243"/>
        <v>0</v>
      </c>
      <c r="Y343" s="213">
        <f t="shared" ca="1" si="265"/>
        <v>0</v>
      </c>
      <c r="Z343" s="14">
        <f t="shared" ca="1" si="244"/>
        <v>0</v>
      </c>
      <c r="AA343" s="14">
        <f>IF(AND($H343=pt,$F343=11),SUM($K$7:K343)*VLOOKUP(pt,ROC,2,FALSE),0)</f>
        <v>0</v>
      </c>
      <c r="AB343" s="14">
        <f>IF(AND($H343=pt,$F343=11),SUM($V$7:V343)*VLOOKUP(pt,ROC,2,FALSE),0)</f>
        <v>0</v>
      </c>
      <c r="AC343" s="14">
        <f>IF(AND($H343=pt,$F343=11),SUM($Q$7:Q343)*VLOOKUP(pt,ROC,2,FALSE),0)</f>
        <v>0</v>
      </c>
      <c r="AD343" s="14">
        <f t="shared" ca="1" si="266"/>
        <v>0</v>
      </c>
      <c r="AE343" s="14">
        <f ca="1">(MAX(sa-CF342*Flag_UL_Type,105%*SUM($I$7:I343),Z343)+AU343)*B343</f>
        <v>0</v>
      </c>
      <c r="AF343" s="136"/>
      <c r="AG343" s="18">
        <v>337</v>
      </c>
      <c r="AH343" s="30">
        <f t="shared" ca="1" si="245"/>
        <v>0</v>
      </c>
      <c r="AI343" s="58"/>
      <c r="AJ343" s="50">
        <f>IF(AND(Option_Sys_TopUp&gt;="Y",H343&gt;=sytp,H343&lt;=(dtp+sytp-1),F343=0,H343&lt;=ppt+1),atp,0)+IFERROR(VLOOKUP(H343,Input!$B$55:$C$61,2,0),0)*(F343=0)*(Option_TopUP="Y")*(Option_Sys_TopUp="N")*B343*(pt&gt;=H343+5)</f>
        <v>0</v>
      </c>
      <c r="AK343" s="50">
        <f t="shared" si="246"/>
        <v>0</v>
      </c>
      <c r="AL343" s="50">
        <f t="shared" si="267"/>
        <v>0</v>
      </c>
      <c r="AM343" s="50">
        <f t="shared" ca="1" si="247"/>
        <v>0</v>
      </c>
      <c r="AN343" s="50">
        <f>IF(B343=0,0,AT343*(_rpm1+(1+_emr1)*VLOOKUP(E343,Tab_Mort_Charge,IF(Input!$C$12="M",2,3),0))*(0.001*0.0833)*Flag_Mort_Rider_Charge*(AT343&gt;0))</f>
        <v>0</v>
      </c>
      <c r="AO343" s="50">
        <f t="shared" ca="1" si="268"/>
        <v>0</v>
      </c>
      <c r="AP343" s="50">
        <f t="shared" ca="1" si="231"/>
        <v>0</v>
      </c>
      <c r="AQ343" s="50">
        <f t="shared" ca="1" si="248"/>
        <v>0</v>
      </c>
      <c r="AR343" s="50">
        <f t="shared" ca="1" si="249"/>
        <v>0</v>
      </c>
      <c r="AS343" s="50">
        <f t="shared" si="250"/>
        <v>0</v>
      </c>
      <c r="AT343" s="50">
        <f ca="1">(MAX((MAX(AS343,105%*SUM($AJ$7:AJ343))-AM343*Flag_UL_Type),0)*B343)</f>
        <v>0</v>
      </c>
      <c r="AU343" s="50">
        <f ca="1">(MAX(AS343,AR343,105%*SUM($AJ$7:AJ343))*B343)</f>
        <v>0</v>
      </c>
      <c r="AV343" s="125"/>
      <c r="AW343" s="13"/>
      <c r="AX343" s="13"/>
      <c r="AY343" s="13"/>
      <c r="AZ343" s="13"/>
      <c r="BA343" s="13"/>
      <c r="BG343" s="51">
        <f t="shared" si="251"/>
        <v>0</v>
      </c>
      <c r="BH343" s="51">
        <f t="shared" si="252"/>
        <v>0</v>
      </c>
      <c r="BI343" s="51">
        <f t="shared" ca="1" si="253"/>
        <v>0</v>
      </c>
      <c r="BJ343" s="51">
        <f t="shared" ca="1" si="254"/>
        <v>0</v>
      </c>
      <c r="BK343" s="51">
        <f t="shared" si="255"/>
        <v>0</v>
      </c>
      <c r="BL343" s="51">
        <f t="shared" ca="1" si="256"/>
        <v>0</v>
      </c>
      <c r="BM343" s="51">
        <f t="shared" si="257"/>
        <v>0</v>
      </c>
      <c r="BN343" s="51">
        <f t="shared" si="258"/>
        <v>0</v>
      </c>
      <c r="BO343" s="51">
        <f t="shared" ca="1" si="259"/>
        <v>0</v>
      </c>
      <c r="BP343" s="51">
        <f t="shared" ca="1" si="260"/>
        <v>0</v>
      </c>
      <c r="BQ343" s="120"/>
      <c r="BR343" s="32"/>
      <c r="BS343" s="126"/>
      <c r="BT343" s="16"/>
      <c r="BU343" s="58"/>
      <c r="BW343" s="51">
        <f>VLOOKUP(H343,Charges!$AT$4:$AU$33,2,FALSE)*I343</f>
        <v>0</v>
      </c>
      <c r="BX343" s="51">
        <f t="shared" si="261"/>
        <v>0</v>
      </c>
      <c r="BY343" s="51">
        <f t="shared" si="269"/>
        <v>0</v>
      </c>
      <c r="BZ343" s="151"/>
      <c r="CA343" s="151"/>
      <c r="CB343" s="32"/>
      <c r="CC343" s="16">
        <f ca="1">SUM($N$7:$N343)</f>
        <v>0</v>
      </c>
      <c r="CD343" s="16">
        <f t="shared" ca="1" si="262"/>
        <v>0</v>
      </c>
      <c r="CE343" s="16">
        <f t="shared" ca="1" si="263"/>
        <v>0</v>
      </c>
      <c r="CF343" s="7">
        <f t="shared" ca="1" si="270"/>
        <v>0</v>
      </c>
    </row>
    <row r="344" spans="1:84" s="7" customFormat="1" x14ac:dyDescent="0.2">
      <c r="A344" s="149"/>
      <c r="B344" s="14">
        <f t="shared" si="232"/>
        <v>0</v>
      </c>
      <c r="C344" s="12">
        <f t="shared" si="233"/>
        <v>0</v>
      </c>
      <c r="D344" s="17">
        <f t="shared" si="271"/>
        <v>338</v>
      </c>
      <c r="E344" s="17">
        <f t="shared" ca="1" si="234"/>
        <v>88</v>
      </c>
      <c r="F344" s="12">
        <f t="shared" si="273"/>
        <v>1</v>
      </c>
      <c r="G344" s="12">
        <f t="shared" si="272"/>
        <v>57</v>
      </c>
      <c r="H344" s="17">
        <f t="shared" si="274"/>
        <v>29</v>
      </c>
      <c r="I344" s="29">
        <f t="shared" si="235"/>
        <v>0</v>
      </c>
      <c r="J344" s="211">
        <f>IFERROR(VLOOKUP(H344,Charges!$T$6:$U$35,2,0)*C344,0)</f>
        <v>0</v>
      </c>
      <c r="K344" s="29">
        <f t="shared" si="236"/>
        <v>0</v>
      </c>
      <c r="L344" s="29">
        <f t="shared" si="237"/>
        <v>0</v>
      </c>
      <c r="M344" s="147">
        <f t="shared" ca="1" si="238"/>
        <v>0</v>
      </c>
      <c r="N344" s="148">
        <f ca="1">IF(AND(Option_SPW="Y",H344&gt;=Lock_In_Period,Z343&gt;SPW_Amount_pa+IF(option="Single",1/5*pr,2*pr),H344&gt;=SPW_Start_Year,H344&lt;=SPW_Start_Year+SPW_Duration-1,age+H344&gt;=Legal_Age),IF(AND(F344=0,SPW_Payout_Freq=1),SPW_Amount_pa,IF(AND(SPW_Payout_Freq=2,MOD(F344,6)=0),SPW_Amount_pa/SPW_Payout_Freq,IF(AND(SPW_Payout_Freq=4,MOD(F344,3)=0),SPW_Amount_pa/SPW_Payout_Freq,IF(SPW_Payout_Freq=12,SPW_Amount_pa/SPW_Payout_Freq,0)))),0)+IFERROR(VLOOKUP(H344,Input!$B$68:$C$74,2,0),0)*(F344=0)*(Option_PW="Y")*(Option_SPW="N")*(age+H344&gt;=Legal_Age)</f>
        <v>0</v>
      </c>
      <c r="O344" s="148">
        <f t="shared" ca="1" si="264"/>
        <v>0</v>
      </c>
      <c r="P344" s="14">
        <f ca="1">(MAX(MAX(sa-CF343*Flag_UL_Type,105%*SUM($I$7:I344))-(AD343+L344-N344)*Flag_UL_Type,0)*B344)</f>
        <v>0</v>
      </c>
      <c r="Q344" s="213">
        <f t="shared" si="239"/>
        <v>0</v>
      </c>
      <c r="R344" s="14">
        <f t="shared" ca="1" si="240"/>
        <v>0</v>
      </c>
      <c r="S344" s="14">
        <f t="shared" ca="1" si="241"/>
        <v>0</v>
      </c>
      <c r="T344" s="14">
        <f>IFERROR(IF(WoP_Flag="Y",IF(fq=1,VLOOKUP(ppt*fq-H344,Charges!$AN$41:$AO$59,2,FALSE),IF(fq=2,VLOOKUP(ppt*fq-G344,Charges!$AP$41:$AQ$79,2,FALSE),VLOOKUP(ppt*fq-D344,Charges!$AR$41:$AS$279,2,FALSE)))*pr/fq,0),0)</f>
        <v>0</v>
      </c>
      <c r="U344" s="14">
        <f ca="1">IFERROR(((T344*(VLOOKUP(Input!$D$18+H344-1,Tab_Mort_Charge,IF(Gender_2="M",2,3),FALSE)*(1+_emr2)+_rpm2)/IF(Model_Type="LA_PQIS",1000/0.0833,(12*1000))))*Flag_Mort_Rider_Charge*(T344&gt;0),0)</f>
        <v>0</v>
      </c>
      <c r="V344" s="34">
        <f>ROUND(MIN(IF(H344&gt;=7,Charges!$C$12*(1+Charges!$C$14)^((H344-7+1)),VLOOKUP(H344,Charges!$B$7:$C$12,2,0))*pr,Charges!$C$13)*B344,Round)</f>
        <v>0</v>
      </c>
      <c r="W344" s="14">
        <f t="shared" ca="1" si="242"/>
        <v>0</v>
      </c>
      <c r="X344" s="14">
        <f t="shared" ca="1" si="243"/>
        <v>0</v>
      </c>
      <c r="Y344" s="213">
        <f t="shared" ca="1" si="265"/>
        <v>0</v>
      </c>
      <c r="Z344" s="14">
        <f t="shared" ca="1" si="244"/>
        <v>0</v>
      </c>
      <c r="AA344" s="14">
        <f>IF(AND($H344=pt,$F344=11),SUM($K$7:K344)*VLOOKUP(pt,ROC,2,FALSE),0)</f>
        <v>0</v>
      </c>
      <c r="AB344" s="14">
        <f>IF(AND($H344=pt,$F344=11),SUM($V$7:V344)*VLOOKUP(pt,ROC,2,FALSE),0)</f>
        <v>0</v>
      </c>
      <c r="AC344" s="14">
        <f>IF(AND($H344=pt,$F344=11),SUM($Q$7:Q344)*VLOOKUP(pt,ROC,2,FALSE),0)</f>
        <v>0</v>
      </c>
      <c r="AD344" s="14">
        <f t="shared" ca="1" si="266"/>
        <v>0</v>
      </c>
      <c r="AE344" s="14">
        <f ca="1">(MAX(sa-CF343*Flag_UL_Type,105%*SUM($I$7:I344),Z344)+AU344)*B344</f>
        <v>0</v>
      </c>
      <c r="AF344" s="136"/>
      <c r="AG344" s="18">
        <v>338</v>
      </c>
      <c r="AH344" s="30">
        <f t="shared" ca="1" si="245"/>
        <v>0</v>
      </c>
      <c r="AI344" s="58"/>
      <c r="AJ344" s="50">
        <f>IF(AND(Option_Sys_TopUp&gt;="Y",H344&gt;=sytp,H344&lt;=(dtp+sytp-1),F344=0,H344&lt;=ppt+1),atp,0)+IFERROR(VLOOKUP(H344,Input!$B$55:$C$61,2,0),0)*(F344=0)*(Option_TopUP="Y")*(Option_Sys_TopUp="N")*B344*(pt&gt;=H344+5)</f>
        <v>0</v>
      </c>
      <c r="AK344" s="50">
        <f t="shared" si="246"/>
        <v>0</v>
      </c>
      <c r="AL344" s="50">
        <f t="shared" si="267"/>
        <v>0</v>
      </c>
      <c r="AM344" s="50">
        <f t="shared" ca="1" si="247"/>
        <v>0</v>
      </c>
      <c r="AN344" s="50">
        <f>IF(B344=0,0,AT344*(_rpm1+(1+_emr1)*VLOOKUP(E344,Tab_Mort_Charge,IF(Input!$C$12="M",2,3),0))*(0.001*0.0833)*Flag_Mort_Rider_Charge*(AT344&gt;0))</f>
        <v>0</v>
      </c>
      <c r="AO344" s="50">
        <f t="shared" ca="1" si="268"/>
        <v>0</v>
      </c>
      <c r="AP344" s="50">
        <f t="shared" ca="1" si="231"/>
        <v>0</v>
      </c>
      <c r="AQ344" s="50">
        <f t="shared" ca="1" si="248"/>
        <v>0</v>
      </c>
      <c r="AR344" s="50">
        <f t="shared" ca="1" si="249"/>
        <v>0</v>
      </c>
      <c r="AS344" s="50">
        <f t="shared" si="250"/>
        <v>0</v>
      </c>
      <c r="AT344" s="50">
        <f ca="1">(MAX((MAX(AS344,105%*SUM($AJ$7:AJ344))-AM344*Flag_UL_Type),0)*B344)</f>
        <v>0</v>
      </c>
      <c r="AU344" s="50">
        <f ca="1">(MAX(AS344,AR344,105%*SUM($AJ$7:AJ344))*B344)</f>
        <v>0</v>
      </c>
      <c r="AV344" s="125"/>
      <c r="AW344" s="13"/>
      <c r="AX344" s="13"/>
      <c r="AY344" s="13"/>
      <c r="AZ344" s="13"/>
      <c r="BA344" s="13"/>
      <c r="BG344" s="51">
        <f t="shared" si="251"/>
        <v>0</v>
      </c>
      <c r="BH344" s="51">
        <f t="shared" si="252"/>
        <v>0</v>
      </c>
      <c r="BI344" s="51">
        <f t="shared" ca="1" si="253"/>
        <v>0</v>
      </c>
      <c r="BJ344" s="51">
        <f t="shared" ca="1" si="254"/>
        <v>0</v>
      </c>
      <c r="BK344" s="51">
        <f t="shared" si="255"/>
        <v>0</v>
      </c>
      <c r="BL344" s="51">
        <f t="shared" ca="1" si="256"/>
        <v>0</v>
      </c>
      <c r="BM344" s="51">
        <f t="shared" si="257"/>
        <v>0</v>
      </c>
      <c r="BN344" s="51">
        <f t="shared" si="258"/>
        <v>0</v>
      </c>
      <c r="BO344" s="51">
        <f t="shared" ca="1" si="259"/>
        <v>0</v>
      </c>
      <c r="BP344" s="51">
        <f t="shared" ca="1" si="260"/>
        <v>0</v>
      </c>
      <c r="BQ344" s="120"/>
      <c r="BR344" s="32"/>
      <c r="BS344" s="126"/>
      <c r="BT344" s="16"/>
      <c r="BU344" s="58"/>
      <c r="BW344" s="51">
        <f>VLOOKUP(H344,Charges!$AT$4:$AU$33,2,FALSE)*I344</f>
        <v>0</v>
      </c>
      <c r="BX344" s="51">
        <f t="shared" si="261"/>
        <v>0</v>
      </c>
      <c r="BY344" s="51">
        <f t="shared" si="269"/>
        <v>0</v>
      </c>
      <c r="BZ344" s="151"/>
      <c r="CA344" s="151"/>
      <c r="CB344" s="32"/>
      <c r="CC344" s="16">
        <f ca="1">SUM($N$7:$N344)</f>
        <v>0</v>
      </c>
      <c r="CD344" s="16">
        <f t="shared" ca="1" si="262"/>
        <v>0</v>
      </c>
      <c r="CE344" s="16">
        <f t="shared" ca="1" si="263"/>
        <v>0</v>
      </c>
      <c r="CF344" s="7">
        <f t="shared" ca="1" si="270"/>
        <v>0</v>
      </c>
    </row>
    <row r="345" spans="1:84" s="7" customFormat="1" x14ac:dyDescent="0.2">
      <c r="A345" s="149"/>
      <c r="B345" s="14">
        <f t="shared" si="232"/>
        <v>0</v>
      </c>
      <c r="C345" s="12">
        <f t="shared" si="233"/>
        <v>0</v>
      </c>
      <c r="D345" s="17">
        <f t="shared" si="271"/>
        <v>339</v>
      </c>
      <c r="E345" s="17">
        <f t="shared" ca="1" si="234"/>
        <v>88</v>
      </c>
      <c r="F345" s="12">
        <f t="shared" si="273"/>
        <v>2</v>
      </c>
      <c r="G345" s="12">
        <f t="shared" si="272"/>
        <v>57</v>
      </c>
      <c r="H345" s="17">
        <f t="shared" si="274"/>
        <v>29</v>
      </c>
      <c r="I345" s="29">
        <f t="shared" si="235"/>
        <v>0</v>
      </c>
      <c r="J345" s="211">
        <f>IFERROR(VLOOKUP(H345,Charges!$T$6:$U$35,2,0)*C345,0)</f>
        <v>0</v>
      </c>
      <c r="K345" s="29">
        <f t="shared" si="236"/>
        <v>0</v>
      </c>
      <c r="L345" s="29">
        <f t="shared" si="237"/>
        <v>0</v>
      </c>
      <c r="M345" s="147">
        <f t="shared" ca="1" si="238"/>
        <v>0</v>
      </c>
      <c r="N345" s="148">
        <f ca="1">IF(AND(Option_SPW="Y",H345&gt;=Lock_In_Period,Z344&gt;SPW_Amount_pa+IF(option="Single",1/5*pr,2*pr),H345&gt;=SPW_Start_Year,H345&lt;=SPW_Start_Year+SPW_Duration-1,age+H345&gt;=Legal_Age),IF(AND(F345=0,SPW_Payout_Freq=1),SPW_Amount_pa,IF(AND(SPW_Payout_Freq=2,MOD(F345,6)=0),SPW_Amount_pa/SPW_Payout_Freq,IF(AND(SPW_Payout_Freq=4,MOD(F345,3)=0),SPW_Amount_pa/SPW_Payout_Freq,IF(SPW_Payout_Freq=12,SPW_Amount_pa/SPW_Payout_Freq,0)))),0)+IFERROR(VLOOKUP(H345,Input!$B$68:$C$74,2,0),0)*(F345=0)*(Option_PW="Y")*(Option_SPW="N")*(age+H345&gt;=Legal_Age)</f>
        <v>0</v>
      </c>
      <c r="O345" s="148">
        <f t="shared" ca="1" si="264"/>
        <v>0</v>
      </c>
      <c r="P345" s="14">
        <f ca="1">(MAX(MAX(sa-CF344*Flag_UL_Type,105%*SUM($I$7:I345))-(AD344+L345-N345)*Flag_UL_Type,0)*B345)</f>
        <v>0</v>
      </c>
      <c r="Q345" s="213">
        <f t="shared" si="239"/>
        <v>0</v>
      </c>
      <c r="R345" s="14">
        <f t="shared" ca="1" si="240"/>
        <v>0</v>
      </c>
      <c r="S345" s="14">
        <f t="shared" ca="1" si="241"/>
        <v>0</v>
      </c>
      <c r="T345" s="14">
        <f>IFERROR(IF(WoP_Flag="Y",IF(fq=1,VLOOKUP(ppt*fq-H345,Charges!$AN$41:$AO$59,2,FALSE),IF(fq=2,VLOOKUP(ppt*fq-G345,Charges!$AP$41:$AQ$79,2,FALSE),VLOOKUP(ppt*fq-D345,Charges!$AR$41:$AS$279,2,FALSE)))*pr/fq,0),0)</f>
        <v>0</v>
      </c>
      <c r="U345" s="14">
        <f ca="1">IFERROR(((T345*(VLOOKUP(Input!$D$18+H345-1,Tab_Mort_Charge,IF(Gender_2="M",2,3),FALSE)*(1+_emr2)+_rpm2)/IF(Model_Type="LA_PQIS",1000/0.0833,(12*1000))))*Flag_Mort_Rider_Charge*(T345&gt;0),0)</f>
        <v>0</v>
      </c>
      <c r="V345" s="34">
        <f>ROUND(MIN(IF(H345&gt;=7,Charges!$C$12*(1+Charges!$C$14)^((H345-7+1)),VLOOKUP(H345,Charges!$B$7:$C$12,2,0))*pr,Charges!$C$13)*B345,Round)</f>
        <v>0</v>
      </c>
      <c r="W345" s="14">
        <f t="shared" ca="1" si="242"/>
        <v>0</v>
      </c>
      <c r="X345" s="14">
        <f t="shared" ca="1" si="243"/>
        <v>0</v>
      </c>
      <c r="Y345" s="213">
        <f t="shared" ca="1" si="265"/>
        <v>0</v>
      </c>
      <c r="Z345" s="14">
        <f t="shared" ca="1" si="244"/>
        <v>0</v>
      </c>
      <c r="AA345" s="14">
        <f>IF(AND($H345=pt,$F345=11),SUM($K$7:K345)*VLOOKUP(pt,ROC,2,FALSE),0)</f>
        <v>0</v>
      </c>
      <c r="AB345" s="14">
        <f>IF(AND($H345=pt,$F345=11),SUM($V$7:V345)*VLOOKUP(pt,ROC,2,FALSE),0)</f>
        <v>0</v>
      </c>
      <c r="AC345" s="14">
        <f>IF(AND($H345=pt,$F345=11),SUM($Q$7:Q345)*VLOOKUP(pt,ROC,2,FALSE),0)</f>
        <v>0</v>
      </c>
      <c r="AD345" s="14">
        <f t="shared" ca="1" si="266"/>
        <v>0</v>
      </c>
      <c r="AE345" s="14">
        <f ca="1">(MAX(sa-CF344*Flag_UL_Type,105%*SUM($I$7:I345),Z345)+AU345)*B345</f>
        <v>0</v>
      </c>
      <c r="AF345" s="136"/>
      <c r="AG345" s="18">
        <v>339</v>
      </c>
      <c r="AH345" s="30">
        <f t="shared" ca="1" si="245"/>
        <v>0</v>
      </c>
      <c r="AI345" s="58"/>
      <c r="AJ345" s="50">
        <f>IF(AND(Option_Sys_TopUp&gt;="Y",H345&gt;=sytp,H345&lt;=(dtp+sytp-1),F345=0,H345&lt;=ppt+1),atp,0)+IFERROR(VLOOKUP(H345,Input!$B$55:$C$61,2,0),0)*(F345=0)*(Option_TopUP="Y")*(Option_Sys_TopUp="N")*B345*(pt&gt;=H345+5)</f>
        <v>0</v>
      </c>
      <c r="AK345" s="50">
        <f t="shared" si="246"/>
        <v>0</v>
      </c>
      <c r="AL345" s="50">
        <f t="shared" si="267"/>
        <v>0</v>
      </c>
      <c r="AM345" s="50">
        <f t="shared" ca="1" si="247"/>
        <v>0</v>
      </c>
      <c r="AN345" s="50">
        <f>IF(B345=0,0,AT345*(_rpm1+(1+_emr1)*VLOOKUP(E345,Tab_Mort_Charge,IF(Input!$C$12="M",2,3),0))*(0.001*0.0833)*Flag_Mort_Rider_Charge*(AT345&gt;0))</f>
        <v>0</v>
      </c>
      <c r="AO345" s="50">
        <f t="shared" ca="1" si="268"/>
        <v>0</v>
      </c>
      <c r="AP345" s="50">
        <f t="shared" ca="1" si="231"/>
        <v>0</v>
      </c>
      <c r="AQ345" s="50">
        <f t="shared" ca="1" si="248"/>
        <v>0</v>
      </c>
      <c r="AR345" s="50">
        <f t="shared" ca="1" si="249"/>
        <v>0</v>
      </c>
      <c r="AS345" s="50">
        <f t="shared" si="250"/>
        <v>0</v>
      </c>
      <c r="AT345" s="50">
        <f ca="1">(MAX((MAX(AS345,105%*SUM($AJ$7:AJ345))-AM345*Flag_UL_Type),0)*B345)</f>
        <v>0</v>
      </c>
      <c r="AU345" s="50">
        <f ca="1">(MAX(AS345,AR345,105%*SUM($AJ$7:AJ345))*B345)</f>
        <v>0</v>
      </c>
      <c r="AV345" s="125"/>
      <c r="AW345" s="13"/>
      <c r="AX345" s="13"/>
      <c r="AY345" s="13"/>
      <c r="AZ345" s="13"/>
      <c r="BA345" s="13"/>
      <c r="BG345" s="51">
        <f t="shared" si="251"/>
        <v>0</v>
      </c>
      <c r="BH345" s="51">
        <f t="shared" si="252"/>
        <v>0</v>
      </c>
      <c r="BI345" s="51">
        <f t="shared" ca="1" si="253"/>
        <v>0</v>
      </c>
      <c r="BJ345" s="51">
        <f t="shared" ca="1" si="254"/>
        <v>0</v>
      </c>
      <c r="BK345" s="51">
        <f t="shared" si="255"/>
        <v>0</v>
      </c>
      <c r="BL345" s="51">
        <f t="shared" ca="1" si="256"/>
        <v>0</v>
      </c>
      <c r="BM345" s="51">
        <f t="shared" si="257"/>
        <v>0</v>
      </c>
      <c r="BN345" s="51">
        <f t="shared" si="258"/>
        <v>0</v>
      </c>
      <c r="BO345" s="51">
        <f t="shared" ca="1" si="259"/>
        <v>0</v>
      </c>
      <c r="BP345" s="51">
        <f t="shared" ca="1" si="260"/>
        <v>0</v>
      </c>
      <c r="BQ345" s="120"/>
      <c r="BR345" s="32"/>
      <c r="BS345" s="126"/>
      <c r="BT345" s="16"/>
      <c r="BU345" s="58"/>
      <c r="BW345" s="51">
        <f>VLOOKUP(H345,Charges!$AT$4:$AU$33,2,FALSE)*I345</f>
        <v>0</v>
      </c>
      <c r="BX345" s="51">
        <f t="shared" si="261"/>
        <v>0</v>
      </c>
      <c r="BY345" s="51">
        <f t="shared" si="269"/>
        <v>0</v>
      </c>
      <c r="BZ345" s="151"/>
      <c r="CA345" s="151"/>
      <c r="CB345" s="32"/>
      <c r="CC345" s="16">
        <f ca="1">SUM($N$7:$N345)</f>
        <v>0</v>
      </c>
      <c r="CD345" s="16">
        <f t="shared" ca="1" si="262"/>
        <v>0</v>
      </c>
      <c r="CE345" s="16">
        <f t="shared" ca="1" si="263"/>
        <v>0</v>
      </c>
      <c r="CF345" s="7">
        <f t="shared" ca="1" si="270"/>
        <v>0</v>
      </c>
    </row>
    <row r="346" spans="1:84" s="7" customFormat="1" x14ac:dyDescent="0.2">
      <c r="A346" s="149"/>
      <c r="B346" s="14">
        <f t="shared" si="232"/>
        <v>0</v>
      </c>
      <c r="C346" s="12">
        <f t="shared" si="233"/>
        <v>0</v>
      </c>
      <c r="D346" s="17">
        <f t="shared" si="271"/>
        <v>340</v>
      </c>
      <c r="E346" s="17">
        <f t="shared" ca="1" si="234"/>
        <v>88</v>
      </c>
      <c r="F346" s="12">
        <f t="shared" si="273"/>
        <v>3</v>
      </c>
      <c r="G346" s="12">
        <f t="shared" si="272"/>
        <v>57</v>
      </c>
      <c r="H346" s="17">
        <f t="shared" si="274"/>
        <v>29</v>
      </c>
      <c r="I346" s="29">
        <f t="shared" si="235"/>
        <v>0</v>
      </c>
      <c r="J346" s="211">
        <f>IFERROR(VLOOKUP(H346,Charges!$T$6:$U$35,2,0)*C346,0)</f>
        <v>0</v>
      </c>
      <c r="K346" s="29">
        <f t="shared" si="236"/>
        <v>0</v>
      </c>
      <c r="L346" s="29">
        <f t="shared" si="237"/>
        <v>0</v>
      </c>
      <c r="M346" s="147">
        <f t="shared" ca="1" si="238"/>
        <v>0</v>
      </c>
      <c r="N346" s="148">
        <f ca="1">IF(AND(Option_SPW="Y",H346&gt;=Lock_In_Period,Z345&gt;SPW_Amount_pa+IF(option="Single",1/5*pr,2*pr),H346&gt;=SPW_Start_Year,H346&lt;=SPW_Start_Year+SPW_Duration-1,age+H346&gt;=Legal_Age),IF(AND(F346=0,SPW_Payout_Freq=1),SPW_Amount_pa,IF(AND(SPW_Payout_Freq=2,MOD(F346,6)=0),SPW_Amount_pa/SPW_Payout_Freq,IF(AND(SPW_Payout_Freq=4,MOD(F346,3)=0),SPW_Amount_pa/SPW_Payout_Freq,IF(SPW_Payout_Freq=12,SPW_Amount_pa/SPW_Payout_Freq,0)))),0)+IFERROR(VLOOKUP(H346,Input!$B$68:$C$74,2,0),0)*(F346=0)*(Option_PW="Y")*(Option_SPW="N")*(age+H346&gt;=Legal_Age)</f>
        <v>0</v>
      </c>
      <c r="O346" s="148">
        <f t="shared" ca="1" si="264"/>
        <v>0</v>
      </c>
      <c r="P346" s="14">
        <f ca="1">(MAX(MAX(sa-CF345*Flag_UL_Type,105%*SUM($I$7:I346))-(AD345+L346-N346)*Flag_UL_Type,0)*B346)</f>
        <v>0</v>
      </c>
      <c r="Q346" s="213">
        <f t="shared" si="239"/>
        <v>0</v>
      </c>
      <c r="R346" s="14">
        <f t="shared" ca="1" si="240"/>
        <v>0</v>
      </c>
      <c r="S346" s="14">
        <f t="shared" ca="1" si="241"/>
        <v>0</v>
      </c>
      <c r="T346" s="14">
        <f>IFERROR(IF(WoP_Flag="Y",IF(fq=1,VLOOKUP(ppt*fq-H346,Charges!$AN$41:$AO$59,2,FALSE),IF(fq=2,VLOOKUP(ppt*fq-G346,Charges!$AP$41:$AQ$79,2,FALSE),VLOOKUP(ppt*fq-D346,Charges!$AR$41:$AS$279,2,FALSE)))*pr/fq,0),0)</f>
        <v>0</v>
      </c>
      <c r="U346" s="14">
        <f ca="1">IFERROR(((T346*(VLOOKUP(Input!$D$18+H346-1,Tab_Mort_Charge,IF(Gender_2="M",2,3),FALSE)*(1+_emr2)+_rpm2)/IF(Model_Type="LA_PQIS",1000/0.0833,(12*1000))))*Flag_Mort_Rider_Charge*(T346&gt;0),0)</f>
        <v>0</v>
      </c>
      <c r="V346" s="34">
        <f>ROUND(MIN(IF(H346&gt;=7,Charges!$C$12*(1+Charges!$C$14)^((H346-7+1)),VLOOKUP(H346,Charges!$B$7:$C$12,2,0))*pr,Charges!$C$13)*B346,Round)</f>
        <v>0</v>
      </c>
      <c r="W346" s="14">
        <f t="shared" ca="1" si="242"/>
        <v>0</v>
      </c>
      <c r="X346" s="14">
        <f t="shared" ca="1" si="243"/>
        <v>0</v>
      </c>
      <c r="Y346" s="213">
        <f t="shared" ca="1" si="265"/>
        <v>0</v>
      </c>
      <c r="Z346" s="14">
        <f t="shared" ca="1" si="244"/>
        <v>0</v>
      </c>
      <c r="AA346" s="14">
        <f>IF(AND($H346=pt,$F346=11),SUM($K$7:K346)*VLOOKUP(pt,ROC,2,FALSE),0)</f>
        <v>0</v>
      </c>
      <c r="AB346" s="14">
        <f>IF(AND($H346=pt,$F346=11),SUM($V$7:V346)*VLOOKUP(pt,ROC,2,FALSE),0)</f>
        <v>0</v>
      </c>
      <c r="AC346" s="14">
        <f>IF(AND($H346=pt,$F346=11),SUM($Q$7:Q346)*VLOOKUP(pt,ROC,2,FALSE),0)</f>
        <v>0</v>
      </c>
      <c r="AD346" s="14">
        <f t="shared" ca="1" si="266"/>
        <v>0</v>
      </c>
      <c r="AE346" s="14">
        <f ca="1">(MAX(sa-CF345*Flag_UL_Type,105%*SUM($I$7:I346),Z346)+AU346)*B346</f>
        <v>0</v>
      </c>
      <c r="AF346" s="136"/>
      <c r="AG346" s="18">
        <v>340</v>
      </c>
      <c r="AH346" s="30">
        <f t="shared" ca="1" si="245"/>
        <v>0</v>
      </c>
      <c r="AI346" s="58"/>
      <c r="AJ346" s="50">
        <f>IF(AND(Option_Sys_TopUp&gt;="Y",H346&gt;=sytp,H346&lt;=(dtp+sytp-1),F346=0,H346&lt;=ppt+1),atp,0)+IFERROR(VLOOKUP(H346,Input!$B$55:$C$61,2,0),0)*(F346=0)*(Option_TopUP="Y")*(Option_Sys_TopUp="N")*B346*(pt&gt;=H346+5)</f>
        <v>0</v>
      </c>
      <c r="AK346" s="50">
        <f t="shared" si="246"/>
        <v>0</v>
      </c>
      <c r="AL346" s="50">
        <f t="shared" si="267"/>
        <v>0</v>
      </c>
      <c r="AM346" s="50">
        <f t="shared" ca="1" si="247"/>
        <v>0</v>
      </c>
      <c r="AN346" s="50">
        <f>IF(B346=0,0,AT346*(_rpm1+(1+_emr1)*VLOOKUP(E346,Tab_Mort_Charge,IF(Input!$C$12="M",2,3),0))*(0.001*0.0833)*Flag_Mort_Rider_Charge*(AT346&gt;0))</f>
        <v>0</v>
      </c>
      <c r="AO346" s="50">
        <f t="shared" ca="1" si="268"/>
        <v>0</v>
      </c>
      <c r="AP346" s="50">
        <f t="shared" ca="1" si="231"/>
        <v>0</v>
      </c>
      <c r="AQ346" s="50">
        <f t="shared" ca="1" si="248"/>
        <v>0</v>
      </c>
      <c r="AR346" s="50">
        <f t="shared" ca="1" si="249"/>
        <v>0</v>
      </c>
      <c r="AS346" s="50">
        <f t="shared" si="250"/>
        <v>0</v>
      </c>
      <c r="AT346" s="50">
        <f ca="1">(MAX((MAX(AS346,105%*SUM($AJ$7:AJ346))-AM346*Flag_UL_Type),0)*B346)</f>
        <v>0</v>
      </c>
      <c r="AU346" s="50">
        <f ca="1">(MAX(AS346,AR346,105%*SUM($AJ$7:AJ346))*B346)</f>
        <v>0</v>
      </c>
      <c r="AV346" s="125"/>
      <c r="AW346" s="13"/>
      <c r="AX346" s="13"/>
      <c r="AY346" s="13"/>
      <c r="AZ346" s="13"/>
      <c r="BA346" s="13"/>
      <c r="BG346" s="51">
        <f t="shared" si="251"/>
        <v>0</v>
      </c>
      <c r="BH346" s="51">
        <f t="shared" si="252"/>
        <v>0</v>
      </c>
      <c r="BI346" s="51">
        <f t="shared" ca="1" si="253"/>
        <v>0</v>
      </c>
      <c r="BJ346" s="51">
        <f t="shared" ca="1" si="254"/>
        <v>0</v>
      </c>
      <c r="BK346" s="51">
        <f t="shared" si="255"/>
        <v>0</v>
      </c>
      <c r="BL346" s="51">
        <f t="shared" ca="1" si="256"/>
        <v>0</v>
      </c>
      <c r="BM346" s="51">
        <f t="shared" si="257"/>
        <v>0</v>
      </c>
      <c r="BN346" s="51">
        <f t="shared" si="258"/>
        <v>0</v>
      </c>
      <c r="BO346" s="51">
        <f t="shared" ca="1" si="259"/>
        <v>0</v>
      </c>
      <c r="BP346" s="51">
        <f t="shared" ca="1" si="260"/>
        <v>0</v>
      </c>
      <c r="BQ346" s="120"/>
      <c r="BR346" s="32"/>
      <c r="BS346" s="126"/>
      <c r="BT346" s="16"/>
      <c r="BU346" s="58"/>
      <c r="BW346" s="51">
        <f>VLOOKUP(H346,Charges!$AT$4:$AU$33,2,FALSE)*I346</f>
        <v>0</v>
      </c>
      <c r="BX346" s="51">
        <f t="shared" si="261"/>
        <v>0</v>
      </c>
      <c r="BY346" s="51">
        <f t="shared" si="269"/>
        <v>0</v>
      </c>
      <c r="BZ346" s="151"/>
      <c r="CA346" s="151"/>
      <c r="CB346" s="32"/>
      <c r="CC346" s="16">
        <f ca="1">SUM($N$7:$N346)</f>
        <v>0</v>
      </c>
      <c r="CD346" s="16">
        <f t="shared" ca="1" si="262"/>
        <v>0</v>
      </c>
      <c r="CE346" s="16">
        <f t="shared" ca="1" si="263"/>
        <v>0</v>
      </c>
      <c r="CF346" s="7">
        <f t="shared" ca="1" si="270"/>
        <v>0</v>
      </c>
    </row>
    <row r="347" spans="1:84" s="7" customFormat="1" x14ac:dyDescent="0.2">
      <c r="A347" s="149"/>
      <c r="B347" s="14">
        <f t="shared" si="232"/>
        <v>0</v>
      </c>
      <c r="C347" s="12">
        <f t="shared" si="233"/>
        <v>0</v>
      </c>
      <c r="D347" s="17">
        <f t="shared" si="271"/>
        <v>341</v>
      </c>
      <c r="E347" s="17">
        <f t="shared" ca="1" si="234"/>
        <v>88</v>
      </c>
      <c r="F347" s="12">
        <f t="shared" si="273"/>
        <v>4</v>
      </c>
      <c r="G347" s="12">
        <f t="shared" si="272"/>
        <v>57</v>
      </c>
      <c r="H347" s="17">
        <f t="shared" si="274"/>
        <v>29</v>
      </c>
      <c r="I347" s="29">
        <f t="shared" si="235"/>
        <v>0</v>
      </c>
      <c r="J347" s="211">
        <f>IFERROR(VLOOKUP(H347,Charges!$T$6:$U$35,2,0)*C347,0)</f>
        <v>0</v>
      </c>
      <c r="K347" s="29">
        <f t="shared" si="236"/>
        <v>0</v>
      </c>
      <c r="L347" s="29">
        <f t="shared" si="237"/>
        <v>0</v>
      </c>
      <c r="M347" s="147">
        <f t="shared" ca="1" si="238"/>
        <v>0</v>
      </c>
      <c r="N347" s="148">
        <f ca="1">IF(AND(Option_SPW="Y",H347&gt;=Lock_In_Period,Z346&gt;SPW_Amount_pa+IF(option="Single",1/5*pr,2*pr),H347&gt;=SPW_Start_Year,H347&lt;=SPW_Start_Year+SPW_Duration-1,age+H347&gt;=Legal_Age),IF(AND(F347=0,SPW_Payout_Freq=1),SPW_Amount_pa,IF(AND(SPW_Payout_Freq=2,MOD(F347,6)=0),SPW_Amount_pa/SPW_Payout_Freq,IF(AND(SPW_Payout_Freq=4,MOD(F347,3)=0),SPW_Amount_pa/SPW_Payout_Freq,IF(SPW_Payout_Freq=12,SPW_Amount_pa/SPW_Payout_Freq,0)))),0)+IFERROR(VLOOKUP(H347,Input!$B$68:$C$74,2,0),0)*(F347=0)*(Option_PW="Y")*(Option_SPW="N")*(age+H347&gt;=Legal_Age)</f>
        <v>0</v>
      </c>
      <c r="O347" s="148">
        <f t="shared" ca="1" si="264"/>
        <v>0</v>
      </c>
      <c r="P347" s="14">
        <f ca="1">(MAX(MAX(sa-CF346*Flag_UL_Type,105%*SUM($I$7:I347))-(AD346+L347-N347)*Flag_UL_Type,0)*B347)</f>
        <v>0</v>
      </c>
      <c r="Q347" s="213">
        <f t="shared" si="239"/>
        <v>0</v>
      </c>
      <c r="R347" s="14">
        <f t="shared" ca="1" si="240"/>
        <v>0</v>
      </c>
      <c r="S347" s="14">
        <f t="shared" ca="1" si="241"/>
        <v>0</v>
      </c>
      <c r="T347" s="14">
        <f>IFERROR(IF(WoP_Flag="Y",IF(fq=1,VLOOKUP(ppt*fq-H347,Charges!$AN$41:$AO$59,2,FALSE),IF(fq=2,VLOOKUP(ppt*fq-G347,Charges!$AP$41:$AQ$79,2,FALSE),VLOOKUP(ppt*fq-D347,Charges!$AR$41:$AS$279,2,FALSE)))*pr/fq,0),0)</f>
        <v>0</v>
      </c>
      <c r="U347" s="14">
        <f ca="1">IFERROR(((T347*(VLOOKUP(Input!$D$18+H347-1,Tab_Mort_Charge,IF(Gender_2="M",2,3),FALSE)*(1+_emr2)+_rpm2)/IF(Model_Type="LA_PQIS",1000/0.0833,(12*1000))))*Flag_Mort_Rider_Charge*(T347&gt;0),0)</f>
        <v>0</v>
      </c>
      <c r="V347" s="34">
        <f>ROUND(MIN(IF(H347&gt;=7,Charges!$C$12*(1+Charges!$C$14)^((H347-7+1)),VLOOKUP(H347,Charges!$B$7:$C$12,2,0))*pr,Charges!$C$13)*B347,Round)</f>
        <v>0</v>
      </c>
      <c r="W347" s="14">
        <f t="shared" ca="1" si="242"/>
        <v>0</v>
      </c>
      <c r="X347" s="14">
        <f t="shared" ca="1" si="243"/>
        <v>0</v>
      </c>
      <c r="Y347" s="213">
        <f t="shared" ca="1" si="265"/>
        <v>0</v>
      </c>
      <c r="Z347" s="14">
        <f t="shared" ca="1" si="244"/>
        <v>0</v>
      </c>
      <c r="AA347" s="14">
        <f>IF(AND($H347=pt,$F347=11),SUM($K$7:K347)*VLOOKUP(pt,ROC,2,FALSE),0)</f>
        <v>0</v>
      </c>
      <c r="AB347" s="14">
        <f>IF(AND($H347=pt,$F347=11),SUM($V$7:V347)*VLOOKUP(pt,ROC,2,FALSE),0)</f>
        <v>0</v>
      </c>
      <c r="AC347" s="14">
        <f>IF(AND($H347=pt,$F347=11),SUM($Q$7:Q347)*VLOOKUP(pt,ROC,2,FALSE),0)</f>
        <v>0</v>
      </c>
      <c r="AD347" s="14">
        <f t="shared" ca="1" si="266"/>
        <v>0</v>
      </c>
      <c r="AE347" s="14">
        <f ca="1">(MAX(sa-CF346*Flag_UL_Type,105%*SUM($I$7:I347),Z347)+AU347)*B347</f>
        <v>0</v>
      </c>
      <c r="AF347" s="136"/>
      <c r="AG347" s="18">
        <v>341</v>
      </c>
      <c r="AH347" s="30">
        <f t="shared" ca="1" si="245"/>
        <v>0</v>
      </c>
      <c r="AI347" s="58"/>
      <c r="AJ347" s="50">
        <f>IF(AND(Option_Sys_TopUp&gt;="Y",H347&gt;=sytp,H347&lt;=(dtp+sytp-1),F347=0,H347&lt;=ppt+1),atp,0)+IFERROR(VLOOKUP(H347,Input!$B$55:$C$61,2,0),0)*(F347=0)*(Option_TopUP="Y")*(Option_Sys_TopUp="N")*B347*(pt&gt;=H347+5)</f>
        <v>0</v>
      </c>
      <c r="AK347" s="50">
        <f t="shared" si="246"/>
        <v>0</v>
      </c>
      <c r="AL347" s="50">
        <f t="shared" si="267"/>
        <v>0</v>
      </c>
      <c r="AM347" s="50">
        <f t="shared" ca="1" si="247"/>
        <v>0</v>
      </c>
      <c r="AN347" s="50">
        <f>IF(B347=0,0,AT347*(_rpm1+(1+_emr1)*VLOOKUP(E347,Tab_Mort_Charge,IF(Input!$C$12="M",2,3),0))*(0.001*0.0833)*Flag_Mort_Rider_Charge*(AT347&gt;0))</f>
        <v>0</v>
      </c>
      <c r="AO347" s="50">
        <f t="shared" ca="1" si="268"/>
        <v>0</v>
      </c>
      <c r="AP347" s="50">
        <f t="shared" ca="1" si="231"/>
        <v>0</v>
      </c>
      <c r="AQ347" s="50">
        <f t="shared" ca="1" si="248"/>
        <v>0</v>
      </c>
      <c r="AR347" s="50">
        <f t="shared" ca="1" si="249"/>
        <v>0</v>
      </c>
      <c r="AS347" s="50">
        <f t="shared" si="250"/>
        <v>0</v>
      </c>
      <c r="AT347" s="50">
        <f ca="1">(MAX((MAX(AS347,105%*SUM($AJ$7:AJ347))-AM347*Flag_UL_Type),0)*B347)</f>
        <v>0</v>
      </c>
      <c r="AU347" s="50">
        <f ca="1">(MAX(AS347,AR347,105%*SUM($AJ$7:AJ347))*B347)</f>
        <v>0</v>
      </c>
      <c r="AV347" s="125"/>
      <c r="AW347" s="13"/>
      <c r="AX347" s="13"/>
      <c r="AY347" s="13"/>
      <c r="AZ347" s="13"/>
      <c r="BA347" s="13"/>
      <c r="BG347" s="51">
        <f t="shared" si="251"/>
        <v>0</v>
      </c>
      <c r="BH347" s="51">
        <f t="shared" si="252"/>
        <v>0</v>
      </c>
      <c r="BI347" s="51">
        <f t="shared" ca="1" si="253"/>
        <v>0</v>
      </c>
      <c r="BJ347" s="51">
        <f t="shared" ca="1" si="254"/>
        <v>0</v>
      </c>
      <c r="BK347" s="51">
        <f t="shared" si="255"/>
        <v>0</v>
      </c>
      <c r="BL347" s="51">
        <f t="shared" ca="1" si="256"/>
        <v>0</v>
      </c>
      <c r="BM347" s="51">
        <f t="shared" si="257"/>
        <v>0</v>
      </c>
      <c r="BN347" s="51">
        <f t="shared" si="258"/>
        <v>0</v>
      </c>
      <c r="BO347" s="51">
        <f t="shared" ca="1" si="259"/>
        <v>0</v>
      </c>
      <c r="BP347" s="51">
        <f t="shared" ca="1" si="260"/>
        <v>0</v>
      </c>
      <c r="BQ347" s="120"/>
      <c r="BR347" s="32"/>
      <c r="BS347" s="126"/>
      <c r="BT347" s="16"/>
      <c r="BU347" s="58"/>
      <c r="BW347" s="51">
        <f>VLOOKUP(H347,Charges!$AT$4:$AU$33,2,FALSE)*I347</f>
        <v>0</v>
      </c>
      <c r="BX347" s="51">
        <f t="shared" si="261"/>
        <v>0</v>
      </c>
      <c r="BY347" s="51">
        <f t="shared" si="269"/>
        <v>0</v>
      </c>
      <c r="BZ347" s="151"/>
      <c r="CA347" s="151"/>
      <c r="CB347" s="32"/>
      <c r="CC347" s="16">
        <f ca="1">SUM($N$7:$N347)</f>
        <v>0</v>
      </c>
      <c r="CD347" s="16">
        <f t="shared" ca="1" si="262"/>
        <v>0</v>
      </c>
      <c r="CE347" s="16">
        <f t="shared" ca="1" si="263"/>
        <v>0</v>
      </c>
      <c r="CF347" s="7">
        <f t="shared" ca="1" si="270"/>
        <v>0</v>
      </c>
    </row>
    <row r="348" spans="1:84" s="7" customFormat="1" x14ac:dyDescent="0.2">
      <c r="A348" s="149"/>
      <c r="B348" s="14">
        <f t="shared" si="232"/>
        <v>0</v>
      </c>
      <c r="C348" s="12">
        <f t="shared" si="233"/>
        <v>0</v>
      </c>
      <c r="D348" s="17">
        <f t="shared" si="271"/>
        <v>342</v>
      </c>
      <c r="E348" s="17">
        <f t="shared" ca="1" si="234"/>
        <v>88</v>
      </c>
      <c r="F348" s="12">
        <f t="shared" si="273"/>
        <v>5</v>
      </c>
      <c r="G348" s="12">
        <f t="shared" si="272"/>
        <v>57</v>
      </c>
      <c r="H348" s="17">
        <f t="shared" si="274"/>
        <v>29</v>
      </c>
      <c r="I348" s="29">
        <f t="shared" si="235"/>
        <v>0</v>
      </c>
      <c r="J348" s="211">
        <f>IFERROR(VLOOKUP(H348,Charges!$T$6:$U$35,2,0)*C348,0)</f>
        <v>0</v>
      </c>
      <c r="K348" s="29">
        <f t="shared" si="236"/>
        <v>0</v>
      </c>
      <c r="L348" s="29">
        <f t="shared" si="237"/>
        <v>0</v>
      </c>
      <c r="M348" s="147">
        <f t="shared" ca="1" si="238"/>
        <v>0</v>
      </c>
      <c r="N348" s="148">
        <f ca="1">IF(AND(Option_SPW="Y",H348&gt;=Lock_In_Period,Z347&gt;SPW_Amount_pa+IF(option="Single",1/5*pr,2*pr),H348&gt;=SPW_Start_Year,H348&lt;=SPW_Start_Year+SPW_Duration-1,age+H348&gt;=Legal_Age),IF(AND(F348=0,SPW_Payout_Freq=1),SPW_Amount_pa,IF(AND(SPW_Payout_Freq=2,MOD(F348,6)=0),SPW_Amount_pa/SPW_Payout_Freq,IF(AND(SPW_Payout_Freq=4,MOD(F348,3)=0),SPW_Amount_pa/SPW_Payout_Freq,IF(SPW_Payout_Freq=12,SPW_Amount_pa/SPW_Payout_Freq,0)))),0)+IFERROR(VLOOKUP(H348,Input!$B$68:$C$74,2,0),0)*(F348=0)*(Option_PW="Y")*(Option_SPW="N")*(age+H348&gt;=Legal_Age)</f>
        <v>0</v>
      </c>
      <c r="O348" s="148">
        <f t="shared" ca="1" si="264"/>
        <v>0</v>
      </c>
      <c r="P348" s="14">
        <f ca="1">(MAX(MAX(sa-CF347*Flag_UL_Type,105%*SUM($I$7:I348))-(AD347+L348-N348)*Flag_UL_Type,0)*B348)</f>
        <v>0</v>
      </c>
      <c r="Q348" s="213">
        <f t="shared" si="239"/>
        <v>0</v>
      </c>
      <c r="R348" s="14">
        <f t="shared" ca="1" si="240"/>
        <v>0</v>
      </c>
      <c r="S348" s="14">
        <f t="shared" ca="1" si="241"/>
        <v>0</v>
      </c>
      <c r="T348" s="14">
        <f>IFERROR(IF(WoP_Flag="Y",IF(fq=1,VLOOKUP(ppt*fq-H348,Charges!$AN$41:$AO$59,2,FALSE),IF(fq=2,VLOOKUP(ppt*fq-G348,Charges!$AP$41:$AQ$79,2,FALSE),VLOOKUP(ppt*fq-D348,Charges!$AR$41:$AS$279,2,FALSE)))*pr/fq,0),0)</f>
        <v>0</v>
      </c>
      <c r="U348" s="14">
        <f ca="1">IFERROR(((T348*(VLOOKUP(Input!$D$18+H348-1,Tab_Mort_Charge,IF(Gender_2="M",2,3),FALSE)*(1+_emr2)+_rpm2)/IF(Model_Type="LA_PQIS",1000/0.0833,(12*1000))))*Flag_Mort_Rider_Charge*(T348&gt;0),0)</f>
        <v>0</v>
      </c>
      <c r="V348" s="34">
        <f>ROUND(MIN(IF(H348&gt;=7,Charges!$C$12*(1+Charges!$C$14)^((H348-7+1)),VLOOKUP(H348,Charges!$B$7:$C$12,2,0))*pr,Charges!$C$13)*B348,Round)</f>
        <v>0</v>
      </c>
      <c r="W348" s="14">
        <f t="shared" ca="1" si="242"/>
        <v>0</v>
      </c>
      <c r="X348" s="14">
        <f t="shared" ca="1" si="243"/>
        <v>0</v>
      </c>
      <c r="Y348" s="213">
        <f t="shared" ca="1" si="265"/>
        <v>0</v>
      </c>
      <c r="Z348" s="14">
        <f t="shared" ca="1" si="244"/>
        <v>0</v>
      </c>
      <c r="AA348" s="14">
        <f>IF(AND($H348=pt,$F348=11),SUM($K$7:K348)*VLOOKUP(pt,ROC,2,FALSE),0)</f>
        <v>0</v>
      </c>
      <c r="AB348" s="14">
        <f>IF(AND($H348=pt,$F348=11),SUM($V$7:V348)*VLOOKUP(pt,ROC,2,FALSE),0)</f>
        <v>0</v>
      </c>
      <c r="AC348" s="14">
        <f>IF(AND($H348=pt,$F348=11),SUM($Q$7:Q348)*VLOOKUP(pt,ROC,2,FALSE),0)</f>
        <v>0</v>
      </c>
      <c r="AD348" s="14">
        <f t="shared" ca="1" si="266"/>
        <v>0</v>
      </c>
      <c r="AE348" s="14">
        <f ca="1">(MAX(sa-CF347*Flag_UL_Type,105%*SUM($I$7:I348),Z348)+AU348)*B348</f>
        <v>0</v>
      </c>
      <c r="AF348" s="136"/>
      <c r="AG348" s="18">
        <v>342</v>
      </c>
      <c r="AH348" s="30">
        <f t="shared" ca="1" si="245"/>
        <v>0</v>
      </c>
      <c r="AI348" s="58"/>
      <c r="AJ348" s="50">
        <f>IF(AND(Option_Sys_TopUp&gt;="Y",H348&gt;=sytp,H348&lt;=(dtp+sytp-1),F348=0,H348&lt;=ppt+1),atp,0)+IFERROR(VLOOKUP(H348,Input!$B$55:$C$61,2,0),0)*(F348=0)*(Option_TopUP="Y")*(Option_Sys_TopUp="N")*B348*(pt&gt;=H348+5)</f>
        <v>0</v>
      </c>
      <c r="AK348" s="50">
        <f t="shared" si="246"/>
        <v>0</v>
      </c>
      <c r="AL348" s="50">
        <f t="shared" si="267"/>
        <v>0</v>
      </c>
      <c r="AM348" s="50">
        <f t="shared" ca="1" si="247"/>
        <v>0</v>
      </c>
      <c r="AN348" s="50">
        <f>IF(B348=0,0,AT348*(_rpm1+(1+_emr1)*VLOOKUP(E348,Tab_Mort_Charge,IF(Input!$C$12="M",2,3),0))*(0.001*0.0833)*Flag_Mort_Rider_Charge*(AT348&gt;0))</f>
        <v>0</v>
      </c>
      <c r="AO348" s="50">
        <f t="shared" ca="1" si="268"/>
        <v>0</v>
      </c>
      <c r="AP348" s="50">
        <f t="shared" ref="AP348:AP367" ca="1" si="275">AO348*(1+$F$3)*B348</f>
        <v>0</v>
      </c>
      <c r="AQ348" s="50">
        <f t="shared" ca="1" si="248"/>
        <v>0</v>
      </c>
      <c r="AR348" s="50">
        <f t="shared" ca="1" si="249"/>
        <v>0</v>
      </c>
      <c r="AS348" s="50">
        <f t="shared" si="250"/>
        <v>0</v>
      </c>
      <c r="AT348" s="50">
        <f ca="1">(MAX((MAX(AS348,105%*SUM($AJ$7:AJ348))-AM348*Flag_UL_Type),0)*B348)</f>
        <v>0</v>
      </c>
      <c r="AU348" s="50">
        <f ca="1">(MAX(AS348,AR348,105%*SUM($AJ$7:AJ348))*B348)</f>
        <v>0</v>
      </c>
      <c r="AV348" s="125"/>
      <c r="AW348" s="13"/>
      <c r="AX348" s="13"/>
      <c r="AY348" s="13"/>
      <c r="AZ348" s="13"/>
      <c r="BA348" s="13"/>
      <c r="BG348" s="51">
        <f t="shared" si="251"/>
        <v>0</v>
      </c>
      <c r="BH348" s="51">
        <f t="shared" si="252"/>
        <v>0</v>
      </c>
      <c r="BI348" s="51">
        <f t="shared" ca="1" si="253"/>
        <v>0</v>
      </c>
      <c r="BJ348" s="51">
        <f t="shared" ca="1" si="254"/>
        <v>0</v>
      </c>
      <c r="BK348" s="51">
        <f t="shared" si="255"/>
        <v>0</v>
      </c>
      <c r="BL348" s="51">
        <f t="shared" ca="1" si="256"/>
        <v>0</v>
      </c>
      <c r="BM348" s="51">
        <f t="shared" si="257"/>
        <v>0</v>
      </c>
      <c r="BN348" s="51">
        <f t="shared" si="258"/>
        <v>0</v>
      </c>
      <c r="BO348" s="51">
        <f t="shared" ca="1" si="259"/>
        <v>0</v>
      </c>
      <c r="BP348" s="51">
        <f t="shared" ca="1" si="260"/>
        <v>0</v>
      </c>
      <c r="BQ348" s="120"/>
      <c r="BR348" s="32"/>
      <c r="BS348" s="126"/>
      <c r="BT348" s="16"/>
      <c r="BU348" s="58"/>
      <c r="BW348" s="51">
        <f>VLOOKUP(H348,Charges!$AT$4:$AU$33,2,FALSE)*I348</f>
        <v>0</v>
      </c>
      <c r="BX348" s="51">
        <f t="shared" si="261"/>
        <v>0</v>
      </c>
      <c r="BY348" s="51">
        <f t="shared" si="269"/>
        <v>0</v>
      </c>
      <c r="BZ348" s="151"/>
      <c r="CA348" s="151"/>
      <c r="CB348" s="32"/>
      <c r="CC348" s="16">
        <f ca="1">SUM($N$7:$N348)</f>
        <v>0</v>
      </c>
      <c r="CD348" s="16">
        <f t="shared" ca="1" si="262"/>
        <v>0</v>
      </c>
      <c r="CE348" s="16">
        <f t="shared" ca="1" si="263"/>
        <v>0</v>
      </c>
      <c r="CF348" s="7">
        <f t="shared" ca="1" si="270"/>
        <v>0</v>
      </c>
    </row>
    <row r="349" spans="1:84" s="7" customFormat="1" x14ac:dyDescent="0.2">
      <c r="A349" s="149"/>
      <c r="B349" s="14">
        <f t="shared" si="232"/>
        <v>0</v>
      </c>
      <c r="C349" s="12">
        <f t="shared" si="233"/>
        <v>0</v>
      </c>
      <c r="D349" s="17">
        <f t="shared" si="271"/>
        <v>343</v>
      </c>
      <c r="E349" s="17">
        <f t="shared" ca="1" si="234"/>
        <v>88</v>
      </c>
      <c r="F349" s="12">
        <f t="shared" si="273"/>
        <v>6</v>
      </c>
      <c r="G349" s="12">
        <f t="shared" si="272"/>
        <v>58</v>
      </c>
      <c r="H349" s="17">
        <f t="shared" si="274"/>
        <v>29</v>
      </c>
      <c r="I349" s="29">
        <f t="shared" si="235"/>
        <v>0</v>
      </c>
      <c r="J349" s="211">
        <f>IFERROR(VLOOKUP(H349,Charges!$T$6:$U$35,2,0)*C349,0)</f>
        <v>0</v>
      </c>
      <c r="K349" s="29">
        <f t="shared" si="236"/>
        <v>0</v>
      </c>
      <c r="L349" s="29">
        <f t="shared" si="237"/>
        <v>0</v>
      </c>
      <c r="M349" s="147">
        <f t="shared" ca="1" si="238"/>
        <v>0</v>
      </c>
      <c r="N349" s="148">
        <f ca="1">IF(AND(Option_SPW="Y",H349&gt;=Lock_In_Period,Z348&gt;SPW_Amount_pa+IF(option="Single",1/5*pr,2*pr),H349&gt;=SPW_Start_Year,H349&lt;=SPW_Start_Year+SPW_Duration-1,age+H349&gt;=Legal_Age),IF(AND(F349=0,SPW_Payout_Freq=1),SPW_Amount_pa,IF(AND(SPW_Payout_Freq=2,MOD(F349,6)=0),SPW_Amount_pa/SPW_Payout_Freq,IF(AND(SPW_Payout_Freq=4,MOD(F349,3)=0),SPW_Amount_pa/SPW_Payout_Freq,IF(SPW_Payout_Freq=12,SPW_Amount_pa/SPW_Payout_Freq,0)))),0)+IFERROR(VLOOKUP(H349,Input!$B$68:$C$74,2,0),0)*(F349=0)*(Option_PW="Y")*(Option_SPW="N")*(age+H349&gt;=Legal_Age)</f>
        <v>0</v>
      </c>
      <c r="O349" s="148">
        <f t="shared" ca="1" si="264"/>
        <v>0</v>
      </c>
      <c r="P349" s="14">
        <f ca="1">(MAX(MAX(sa-CF348*Flag_UL_Type,105%*SUM($I$7:I349))-(AD348+L349-N349)*Flag_UL_Type,0)*B349)</f>
        <v>0</v>
      </c>
      <c r="Q349" s="213">
        <f t="shared" si="239"/>
        <v>0</v>
      </c>
      <c r="R349" s="14">
        <f t="shared" ca="1" si="240"/>
        <v>0</v>
      </c>
      <c r="S349" s="14">
        <f t="shared" ca="1" si="241"/>
        <v>0</v>
      </c>
      <c r="T349" s="14">
        <f>IFERROR(IF(WoP_Flag="Y",IF(fq=1,VLOOKUP(ppt*fq-H349,Charges!$AN$41:$AO$59,2,FALSE),IF(fq=2,VLOOKUP(ppt*fq-G349,Charges!$AP$41:$AQ$79,2,FALSE),VLOOKUP(ppt*fq-D349,Charges!$AR$41:$AS$279,2,FALSE)))*pr/fq,0),0)</f>
        <v>0</v>
      </c>
      <c r="U349" s="14">
        <f ca="1">IFERROR(((T349*(VLOOKUP(Input!$D$18+H349-1,Tab_Mort_Charge,IF(Gender_2="M",2,3),FALSE)*(1+_emr2)+_rpm2)/IF(Model_Type="LA_PQIS",1000/0.0833,(12*1000))))*Flag_Mort_Rider_Charge*(T349&gt;0),0)</f>
        <v>0</v>
      </c>
      <c r="V349" s="34">
        <f>ROUND(MIN(IF(H349&gt;=7,Charges!$C$12*(1+Charges!$C$14)^((H349-7+1)),VLOOKUP(H349,Charges!$B$7:$C$12,2,0))*pr,Charges!$C$13)*B349,Round)</f>
        <v>0</v>
      </c>
      <c r="W349" s="14">
        <f t="shared" ca="1" si="242"/>
        <v>0</v>
      </c>
      <c r="X349" s="14">
        <f t="shared" ca="1" si="243"/>
        <v>0</v>
      </c>
      <c r="Y349" s="213">
        <f t="shared" ca="1" si="265"/>
        <v>0</v>
      </c>
      <c r="Z349" s="14">
        <f t="shared" ca="1" si="244"/>
        <v>0</v>
      </c>
      <c r="AA349" s="14">
        <f>IF(AND($H349=pt,$F349=11),SUM($K$7:K349)*VLOOKUP(pt,ROC,2,FALSE),0)</f>
        <v>0</v>
      </c>
      <c r="AB349" s="14">
        <f>IF(AND($H349=pt,$F349=11),SUM($V$7:V349)*VLOOKUP(pt,ROC,2,FALSE),0)</f>
        <v>0</v>
      </c>
      <c r="AC349" s="14">
        <f>IF(AND($H349=pt,$F349=11),SUM($Q$7:Q349)*VLOOKUP(pt,ROC,2,FALSE),0)</f>
        <v>0</v>
      </c>
      <c r="AD349" s="14">
        <f t="shared" ca="1" si="266"/>
        <v>0</v>
      </c>
      <c r="AE349" s="14">
        <f ca="1">(MAX(sa-CF348*Flag_UL_Type,105%*SUM($I$7:I349),Z349)+AU349)*B349</f>
        <v>0</v>
      </c>
      <c r="AF349" s="136"/>
      <c r="AG349" s="18">
        <v>343</v>
      </c>
      <c r="AH349" s="30">
        <f t="shared" ca="1" si="245"/>
        <v>0</v>
      </c>
      <c r="AI349" s="58"/>
      <c r="AJ349" s="50">
        <f>IF(AND(Option_Sys_TopUp&gt;="Y",H349&gt;=sytp,H349&lt;=(dtp+sytp-1),F349=0,H349&lt;=ppt+1),atp,0)+IFERROR(VLOOKUP(H349,Input!$B$55:$C$61,2,0),0)*(F349=0)*(Option_TopUP="Y")*(Option_Sys_TopUp="N")*B349*(pt&gt;=H349+5)</f>
        <v>0</v>
      </c>
      <c r="AK349" s="50">
        <f t="shared" si="246"/>
        <v>0</v>
      </c>
      <c r="AL349" s="50">
        <f t="shared" si="267"/>
        <v>0</v>
      </c>
      <c r="AM349" s="50">
        <f t="shared" ca="1" si="247"/>
        <v>0</v>
      </c>
      <c r="AN349" s="50">
        <f>IF(B349=0,0,AT349*(_rpm1+(1+_emr1)*VLOOKUP(E349,Tab_Mort_Charge,IF(Input!$C$12="M",2,3),0))*(0.001*0.0833)*Flag_Mort_Rider_Charge*(AT349&gt;0))</f>
        <v>0</v>
      </c>
      <c r="AO349" s="50">
        <f t="shared" ca="1" si="268"/>
        <v>0</v>
      </c>
      <c r="AP349" s="50">
        <f t="shared" ca="1" si="275"/>
        <v>0</v>
      </c>
      <c r="AQ349" s="50">
        <f t="shared" ca="1" si="248"/>
        <v>0</v>
      </c>
      <c r="AR349" s="50">
        <f t="shared" ca="1" si="249"/>
        <v>0</v>
      </c>
      <c r="AS349" s="50">
        <f t="shared" si="250"/>
        <v>0</v>
      </c>
      <c r="AT349" s="50">
        <f ca="1">(MAX((MAX(AS349,105%*SUM($AJ$7:AJ349))-AM349*Flag_UL_Type),0)*B349)</f>
        <v>0</v>
      </c>
      <c r="AU349" s="50">
        <f ca="1">(MAX(AS349,AR349,105%*SUM($AJ$7:AJ349))*B349)</f>
        <v>0</v>
      </c>
      <c r="AV349" s="125"/>
      <c r="AW349" s="13"/>
      <c r="AX349" s="13"/>
      <c r="AY349" s="13"/>
      <c r="AZ349" s="13"/>
      <c r="BA349" s="13"/>
      <c r="BG349" s="51">
        <f t="shared" si="251"/>
        <v>0</v>
      </c>
      <c r="BH349" s="51">
        <f t="shared" si="252"/>
        <v>0</v>
      </c>
      <c r="BI349" s="51">
        <f t="shared" ca="1" si="253"/>
        <v>0</v>
      </c>
      <c r="BJ349" s="51">
        <f t="shared" ca="1" si="254"/>
        <v>0</v>
      </c>
      <c r="BK349" s="51">
        <f t="shared" si="255"/>
        <v>0</v>
      </c>
      <c r="BL349" s="51">
        <f t="shared" ca="1" si="256"/>
        <v>0</v>
      </c>
      <c r="BM349" s="51">
        <f t="shared" si="257"/>
        <v>0</v>
      </c>
      <c r="BN349" s="51">
        <f t="shared" si="258"/>
        <v>0</v>
      </c>
      <c r="BO349" s="51">
        <f t="shared" ca="1" si="259"/>
        <v>0</v>
      </c>
      <c r="BP349" s="51">
        <f t="shared" ca="1" si="260"/>
        <v>0</v>
      </c>
      <c r="BQ349" s="120"/>
      <c r="BR349" s="32"/>
      <c r="BS349" s="126"/>
      <c r="BT349" s="16"/>
      <c r="BU349" s="58"/>
      <c r="BW349" s="51">
        <f>VLOOKUP(H349,Charges!$AT$4:$AU$33,2,FALSE)*I349</f>
        <v>0</v>
      </c>
      <c r="BX349" s="51">
        <f t="shared" si="261"/>
        <v>0</v>
      </c>
      <c r="BY349" s="51">
        <f t="shared" si="269"/>
        <v>0</v>
      </c>
      <c r="BZ349" s="151"/>
      <c r="CA349" s="151"/>
      <c r="CB349" s="32"/>
      <c r="CC349" s="16">
        <f ca="1">SUM($N$7:$N349)</f>
        <v>0</v>
      </c>
      <c r="CD349" s="16">
        <f t="shared" ca="1" si="262"/>
        <v>0</v>
      </c>
      <c r="CE349" s="16">
        <f t="shared" ca="1" si="263"/>
        <v>0</v>
      </c>
      <c r="CF349" s="7">
        <f t="shared" ca="1" si="270"/>
        <v>0</v>
      </c>
    </row>
    <row r="350" spans="1:84" s="7" customFormat="1" x14ac:dyDescent="0.2">
      <c r="A350" s="149"/>
      <c r="B350" s="14">
        <f t="shared" si="232"/>
        <v>0</v>
      </c>
      <c r="C350" s="12">
        <f t="shared" si="233"/>
        <v>0</v>
      </c>
      <c r="D350" s="17">
        <f t="shared" si="271"/>
        <v>344</v>
      </c>
      <c r="E350" s="17">
        <f t="shared" ca="1" si="234"/>
        <v>88</v>
      </c>
      <c r="F350" s="12">
        <f t="shared" si="273"/>
        <v>7</v>
      </c>
      <c r="G350" s="12">
        <f t="shared" si="272"/>
        <v>58</v>
      </c>
      <c r="H350" s="17">
        <f t="shared" si="274"/>
        <v>29</v>
      </c>
      <c r="I350" s="29">
        <f t="shared" si="235"/>
        <v>0</v>
      </c>
      <c r="J350" s="211">
        <f>IFERROR(VLOOKUP(H350,Charges!$T$6:$U$35,2,0)*C350,0)</f>
        <v>0</v>
      </c>
      <c r="K350" s="29">
        <f t="shared" si="236"/>
        <v>0</v>
      </c>
      <c r="L350" s="29">
        <f t="shared" si="237"/>
        <v>0</v>
      </c>
      <c r="M350" s="147">
        <f t="shared" ca="1" si="238"/>
        <v>0</v>
      </c>
      <c r="N350" s="148">
        <f ca="1">IF(AND(Option_SPW="Y",H350&gt;=Lock_In_Period,Z349&gt;SPW_Amount_pa+IF(option="Single",1/5*pr,2*pr),H350&gt;=SPW_Start_Year,H350&lt;=SPW_Start_Year+SPW_Duration-1,age+H350&gt;=Legal_Age),IF(AND(F350=0,SPW_Payout_Freq=1),SPW_Amount_pa,IF(AND(SPW_Payout_Freq=2,MOD(F350,6)=0),SPW_Amount_pa/SPW_Payout_Freq,IF(AND(SPW_Payout_Freq=4,MOD(F350,3)=0),SPW_Amount_pa/SPW_Payout_Freq,IF(SPW_Payout_Freq=12,SPW_Amount_pa/SPW_Payout_Freq,0)))),0)+IFERROR(VLOOKUP(H350,Input!$B$68:$C$74,2,0),0)*(F350=0)*(Option_PW="Y")*(Option_SPW="N")*(age+H350&gt;=Legal_Age)</f>
        <v>0</v>
      </c>
      <c r="O350" s="148">
        <f t="shared" ca="1" si="264"/>
        <v>0</v>
      </c>
      <c r="P350" s="14">
        <f ca="1">(MAX(MAX(sa-CF349*Flag_UL_Type,105%*SUM($I$7:I350))-(AD349+L350-N350)*Flag_UL_Type,0)*B350)</f>
        <v>0</v>
      </c>
      <c r="Q350" s="213">
        <f t="shared" si="239"/>
        <v>0</v>
      </c>
      <c r="R350" s="14">
        <f t="shared" ca="1" si="240"/>
        <v>0</v>
      </c>
      <c r="S350" s="14">
        <f t="shared" ca="1" si="241"/>
        <v>0</v>
      </c>
      <c r="T350" s="14">
        <f>IFERROR(IF(WoP_Flag="Y",IF(fq=1,VLOOKUP(ppt*fq-H350,Charges!$AN$41:$AO$59,2,FALSE),IF(fq=2,VLOOKUP(ppt*fq-G350,Charges!$AP$41:$AQ$79,2,FALSE),VLOOKUP(ppt*fq-D350,Charges!$AR$41:$AS$279,2,FALSE)))*pr/fq,0),0)</f>
        <v>0</v>
      </c>
      <c r="U350" s="14">
        <f ca="1">IFERROR(((T350*(VLOOKUP(Input!$D$18+H350-1,Tab_Mort_Charge,IF(Gender_2="M",2,3),FALSE)*(1+_emr2)+_rpm2)/IF(Model_Type="LA_PQIS",1000/0.0833,(12*1000))))*Flag_Mort_Rider_Charge*(T350&gt;0),0)</f>
        <v>0</v>
      </c>
      <c r="V350" s="34">
        <f>ROUND(MIN(IF(H350&gt;=7,Charges!$C$12*(1+Charges!$C$14)^((H350-7+1)),VLOOKUP(H350,Charges!$B$7:$C$12,2,0))*pr,Charges!$C$13)*B350,Round)</f>
        <v>0</v>
      </c>
      <c r="W350" s="14">
        <f t="shared" ca="1" si="242"/>
        <v>0</v>
      </c>
      <c r="X350" s="14">
        <f t="shared" ca="1" si="243"/>
        <v>0</v>
      </c>
      <c r="Y350" s="213">
        <f t="shared" ca="1" si="265"/>
        <v>0</v>
      </c>
      <c r="Z350" s="14">
        <f t="shared" ca="1" si="244"/>
        <v>0</v>
      </c>
      <c r="AA350" s="14">
        <f>IF(AND($H350=pt,$F350=11),SUM($K$7:K350)*VLOOKUP(pt,ROC,2,FALSE),0)</f>
        <v>0</v>
      </c>
      <c r="AB350" s="14">
        <f>IF(AND($H350=pt,$F350=11),SUM($V$7:V350)*VLOOKUP(pt,ROC,2,FALSE),0)</f>
        <v>0</v>
      </c>
      <c r="AC350" s="14">
        <f>IF(AND($H350=pt,$F350=11),SUM($Q$7:Q350)*VLOOKUP(pt,ROC,2,FALSE),0)</f>
        <v>0</v>
      </c>
      <c r="AD350" s="14">
        <f t="shared" ca="1" si="266"/>
        <v>0</v>
      </c>
      <c r="AE350" s="14">
        <f ca="1">(MAX(sa-CF349*Flag_UL_Type,105%*SUM($I$7:I350),Z350)+AU350)*B350</f>
        <v>0</v>
      </c>
      <c r="AF350" s="136"/>
      <c r="AG350" s="18">
        <v>344</v>
      </c>
      <c r="AH350" s="30">
        <f t="shared" ca="1" si="245"/>
        <v>0</v>
      </c>
      <c r="AI350" s="58"/>
      <c r="AJ350" s="50">
        <f>IF(AND(Option_Sys_TopUp&gt;="Y",H350&gt;=sytp,H350&lt;=(dtp+sytp-1),F350=0,H350&lt;=ppt+1),atp,0)+IFERROR(VLOOKUP(H350,Input!$B$55:$C$61,2,0),0)*(F350=0)*(Option_TopUP="Y")*(Option_Sys_TopUp="N")*B350*(pt&gt;=H350+5)</f>
        <v>0</v>
      </c>
      <c r="AK350" s="50">
        <f t="shared" si="246"/>
        <v>0</v>
      </c>
      <c r="AL350" s="50">
        <f t="shared" si="267"/>
        <v>0</v>
      </c>
      <c r="AM350" s="50">
        <f t="shared" ca="1" si="247"/>
        <v>0</v>
      </c>
      <c r="AN350" s="50">
        <f>IF(B350=0,0,AT350*(_rpm1+(1+_emr1)*VLOOKUP(E350,Tab_Mort_Charge,IF(Input!$C$12="M",2,3),0))*(0.001*0.0833)*Flag_Mort_Rider_Charge*(AT350&gt;0))</f>
        <v>0</v>
      </c>
      <c r="AO350" s="50">
        <f t="shared" ca="1" si="268"/>
        <v>0</v>
      </c>
      <c r="AP350" s="50">
        <f t="shared" ca="1" si="275"/>
        <v>0</v>
      </c>
      <c r="AQ350" s="50">
        <f t="shared" ca="1" si="248"/>
        <v>0</v>
      </c>
      <c r="AR350" s="50">
        <f t="shared" ca="1" si="249"/>
        <v>0</v>
      </c>
      <c r="AS350" s="50">
        <f t="shared" si="250"/>
        <v>0</v>
      </c>
      <c r="AT350" s="50">
        <f ca="1">(MAX((MAX(AS350,105%*SUM($AJ$7:AJ350))-AM350*Flag_UL_Type),0)*B350)</f>
        <v>0</v>
      </c>
      <c r="AU350" s="50">
        <f ca="1">(MAX(AS350,AR350,105%*SUM($AJ$7:AJ350))*B350)</f>
        <v>0</v>
      </c>
      <c r="AV350" s="125"/>
      <c r="AW350" s="13"/>
      <c r="AX350" s="13"/>
      <c r="AY350" s="13"/>
      <c r="AZ350" s="13"/>
      <c r="BA350" s="13"/>
      <c r="BG350" s="51">
        <f t="shared" si="251"/>
        <v>0</v>
      </c>
      <c r="BH350" s="51">
        <f t="shared" si="252"/>
        <v>0</v>
      </c>
      <c r="BI350" s="51">
        <f t="shared" ca="1" si="253"/>
        <v>0</v>
      </c>
      <c r="BJ350" s="51">
        <f t="shared" ca="1" si="254"/>
        <v>0</v>
      </c>
      <c r="BK350" s="51">
        <f t="shared" si="255"/>
        <v>0</v>
      </c>
      <c r="BL350" s="51">
        <f t="shared" ca="1" si="256"/>
        <v>0</v>
      </c>
      <c r="BM350" s="51">
        <f t="shared" si="257"/>
        <v>0</v>
      </c>
      <c r="BN350" s="51">
        <f t="shared" si="258"/>
        <v>0</v>
      </c>
      <c r="BO350" s="51">
        <f t="shared" ca="1" si="259"/>
        <v>0</v>
      </c>
      <c r="BP350" s="51">
        <f t="shared" ca="1" si="260"/>
        <v>0</v>
      </c>
      <c r="BQ350" s="120"/>
      <c r="BR350" s="32"/>
      <c r="BS350" s="126"/>
      <c r="BT350" s="16"/>
      <c r="BU350" s="58"/>
      <c r="BW350" s="51">
        <f>VLOOKUP(H350,Charges!$AT$4:$AU$33,2,FALSE)*I350</f>
        <v>0</v>
      </c>
      <c r="BX350" s="51">
        <f t="shared" si="261"/>
        <v>0</v>
      </c>
      <c r="BY350" s="51">
        <f t="shared" si="269"/>
        <v>0</v>
      </c>
      <c r="BZ350" s="151"/>
      <c r="CA350" s="151"/>
      <c r="CB350" s="32"/>
      <c r="CC350" s="16">
        <f ca="1">SUM($N$7:$N350)</f>
        <v>0</v>
      </c>
      <c r="CD350" s="16">
        <f t="shared" ca="1" si="262"/>
        <v>0</v>
      </c>
      <c r="CE350" s="16">
        <f t="shared" ca="1" si="263"/>
        <v>0</v>
      </c>
      <c r="CF350" s="7">
        <f t="shared" ca="1" si="270"/>
        <v>0</v>
      </c>
    </row>
    <row r="351" spans="1:84" s="7" customFormat="1" x14ac:dyDescent="0.2">
      <c r="A351" s="149"/>
      <c r="B351" s="14">
        <f t="shared" si="232"/>
        <v>0</v>
      </c>
      <c r="C351" s="12">
        <f t="shared" si="233"/>
        <v>0</v>
      </c>
      <c r="D351" s="17">
        <f t="shared" si="271"/>
        <v>345</v>
      </c>
      <c r="E351" s="17">
        <f t="shared" ca="1" si="234"/>
        <v>88</v>
      </c>
      <c r="F351" s="12">
        <f t="shared" si="273"/>
        <v>8</v>
      </c>
      <c r="G351" s="12">
        <f t="shared" si="272"/>
        <v>58</v>
      </c>
      <c r="H351" s="17">
        <f t="shared" si="274"/>
        <v>29</v>
      </c>
      <c r="I351" s="29">
        <f t="shared" si="235"/>
        <v>0</v>
      </c>
      <c r="J351" s="211">
        <f>IFERROR(VLOOKUP(H351,Charges!$T$6:$U$35,2,0)*C351,0)</f>
        <v>0</v>
      </c>
      <c r="K351" s="29">
        <f t="shared" si="236"/>
        <v>0</v>
      </c>
      <c r="L351" s="29">
        <f t="shared" si="237"/>
        <v>0</v>
      </c>
      <c r="M351" s="147">
        <f t="shared" ca="1" si="238"/>
        <v>0</v>
      </c>
      <c r="N351" s="148">
        <f ca="1">IF(AND(Option_SPW="Y",H351&gt;=Lock_In_Period,Z350&gt;SPW_Amount_pa+IF(option="Single",1/5*pr,2*pr),H351&gt;=SPW_Start_Year,H351&lt;=SPW_Start_Year+SPW_Duration-1,age+H351&gt;=Legal_Age),IF(AND(F351=0,SPW_Payout_Freq=1),SPW_Amount_pa,IF(AND(SPW_Payout_Freq=2,MOD(F351,6)=0),SPW_Amount_pa/SPW_Payout_Freq,IF(AND(SPW_Payout_Freq=4,MOD(F351,3)=0),SPW_Amount_pa/SPW_Payout_Freq,IF(SPW_Payout_Freq=12,SPW_Amount_pa/SPW_Payout_Freq,0)))),0)+IFERROR(VLOOKUP(H351,Input!$B$68:$C$74,2,0),0)*(F351=0)*(Option_PW="Y")*(Option_SPW="N")*(age+H351&gt;=Legal_Age)</f>
        <v>0</v>
      </c>
      <c r="O351" s="148">
        <f t="shared" ca="1" si="264"/>
        <v>0</v>
      </c>
      <c r="P351" s="14">
        <f ca="1">(MAX(MAX(sa-CF350*Flag_UL_Type,105%*SUM($I$7:I351))-(AD350+L351-N351)*Flag_UL_Type,0)*B351)</f>
        <v>0</v>
      </c>
      <c r="Q351" s="213">
        <f t="shared" si="239"/>
        <v>0</v>
      </c>
      <c r="R351" s="14">
        <f t="shared" ca="1" si="240"/>
        <v>0</v>
      </c>
      <c r="S351" s="14">
        <f t="shared" ca="1" si="241"/>
        <v>0</v>
      </c>
      <c r="T351" s="14">
        <f>IFERROR(IF(WoP_Flag="Y",IF(fq=1,VLOOKUP(ppt*fq-H351,Charges!$AN$41:$AO$59,2,FALSE),IF(fq=2,VLOOKUP(ppt*fq-G351,Charges!$AP$41:$AQ$79,2,FALSE),VLOOKUP(ppt*fq-D351,Charges!$AR$41:$AS$279,2,FALSE)))*pr/fq,0),0)</f>
        <v>0</v>
      </c>
      <c r="U351" s="14">
        <f ca="1">IFERROR(((T351*(VLOOKUP(Input!$D$18+H351-1,Tab_Mort_Charge,IF(Gender_2="M",2,3),FALSE)*(1+_emr2)+_rpm2)/IF(Model_Type="LA_PQIS",1000/0.0833,(12*1000))))*Flag_Mort_Rider_Charge*(T351&gt;0),0)</f>
        <v>0</v>
      </c>
      <c r="V351" s="34">
        <f>ROUND(MIN(IF(H351&gt;=7,Charges!$C$12*(1+Charges!$C$14)^((H351-7+1)),VLOOKUP(H351,Charges!$B$7:$C$12,2,0))*pr,Charges!$C$13)*B351,Round)</f>
        <v>0</v>
      </c>
      <c r="W351" s="14">
        <f t="shared" ca="1" si="242"/>
        <v>0</v>
      </c>
      <c r="X351" s="14">
        <f t="shared" ca="1" si="243"/>
        <v>0</v>
      </c>
      <c r="Y351" s="213">
        <f t="shared" ca="1" si="265"/>
        <v>0</v>
      </c>
      <c r="Z351" s="14">
        <f t="shared" ca="1" si="244"/>
        <v>0</v>
      </c>
      <c r="AA351" s="14">
        <f>IF(AND($H351=pt,$F351=11),SUM($K$7:K351)*VLOOKUP(pt,ROC,2,FALSE),0)</f>
        <v>0</v>
      </c>
      <c r="AB351" s="14">
        <f>IF(AND($H351=pt,$F351=11),SUM($V$7:V351)*VLOOKUP(pt,ROC,2,FALSE),0)</f>
        <v>0</v>
      </c>
      <c r="AC351" s="14">
        <f>IF(AND($H351=pt,$F351=11),SUM($Q$7:Q351)*VLOOKUP(pt,ROC,2,FALSE),0)</f>
        <v>0</v>
      </c>
      <c r="AD351" s="14">
        <f t="shared" ca="1" si="266"/>
        <v>0</v>
      </c>
      <c r="AE351" s="14">
        <f ca="1">(MAX(sa-CF350*Flag_UL_Type,105%*SUM($I$7:I351),Z351)+AU351)*B351</f>
        <v>0</v>
      </c>
      <c r="AF351" s="136"/>
      <c r="AG351" s="18">
        <v>345</v>
      </c>
      <c r="AH351" s="30">
        <f t="shared" ca="1" si="245"/>
        <v>0</v>
      </c>
      <c r="AI351" s="58"/>
      <c r="AJ351" s="50">
        <f>IF(AND(Option_Sys_TopUp&gt;="Y",H351&gt;=sytp,H351&lt;=(dtp+sytp-1),F351=0,H351&lt;=ppt+1),atp,0)+IFERROR(VLOOKUP(H351,Input!$B$55:$C$61,2,0),0)*(F351=0)*(Option_TopUP="Y")*(Option_Sys_TopUp="N")*B351*(pt&gt;=H351+5)</f>
        <v>0</v>
      </c>
      <c r="AK351" s="50">
        <f t="shared" si="246"/>
        <v>0</v>
      </c>
      <c r="AL351" s="50">
        <f t="shared" si="267"/>
        <v>0</v>
      </c>
      <c r="AM351" s="50">
        <f t="shared" ca="1" si="247"/>
        <v>0</v>
      </c>
      <c r="AN351" s="50">
        <f>IF(B351=0,0,AT351*(_rpm1+(1+_emr1)*VLOOKUP(E351,Tab_Mort_Charge,IF(Input!$C$12="M",2,3),0))*(0.001*0.0833)*Flag_Mort_Rider_Charge*(AT351&gt;0))</f>
        <v>0</v>
      </c>
      <c r="AO351" s="50">
        <f t="shared" ca="1" si="268"/>
        <v>0</v>
      </c>
      <c r="AP351" s="50">
        <f t="shared" ca="1" si="275"/>
        <v>0</v>
      </c>
      <c r="AQ351" s="50">
        <f t="shared" ca="1" si="248"/>
        <v>0</v>
      </c>
      <c r="AR351" s="50">
        <f t="shared" ca="1" si="249"/>
        <v>0</v>
      </c>
      <c r="AS351" s="50">
        <f t="shared" si="250"/>
        <v>0</v>
      </c>
      <c r="AT351" s="50">
        <f ca="1">(MAX((MAX(AS351,105%*SUM($AJ$7:AJ351))-AM351*Flag_UL_Type),0)*B351)</f>
        <v>0</v>
      </c>
      <c r="AU351" s="50">
        <f ca="1">(MAX(AS351,AR351,105%*SUM($AJ$7:AJ351))*B351)</f>
        <v>0</v>
      </c>
      <c r="AV351" s="125"/>
      <c r="AW351" s="13"/>
      <c r="AX351" s="13"/>
      <c r="AY351" s="13"/>
      <c r="AZ351" s="13"/>
      <c r="BA351" s="13"/>
      <c r="BG351" s="51">
        <f t="shared" si="251"/>
        <v>0</v>
      </c>
      <c r="BH351" s="51">
        <f t="shared" si="252"/>
        <v>0</v>
      </c>
      <c r="BI351" s="51">
        <f t="shared" ca="1" si="253"/>
        <v>0</v>
      </c>
      <c r="BJ351" s="51">
        <f t="shared" ca="1" si="254"/>
        <v>0</v>
      </c>
      <c r="BK351" s="51">
        <f t="shared" si="255"/>
        <v>0</v>
      </c>
      <c r="BL351" s="51">
        <f t="shared" ca="1" si="256"/>
        <v>0</v>
      </c>
      <c r="BM351" s="51">
        <f t="shared" si="257"/>
        <v>0</v>
      </c>
      <c r="BN351" s="51">
        <f t="shared" si="258"/>
        <v>0</v>
      </c>
      <c r="BO351" s="51">
        <f t="shared" ca="1" si="259"/>
        <v>0</v>
      </c>
      <c r="BP351" s="51">
        <f t="shared" ca="1" si="260"/>
        <v>0</v>
      </c>
      <c r="BQ351" s="120"/>
      <c r="BR351" s="32"/>
      <c r="BS351" s="126"/>
      <c r="BT351" s="16"/>
      <c r="BU351" s="58"/>
      <c r="BW351" s="51">
        <f>VLOOKUP(H351,Charges!$AT$4:$AU$33,2,FALSE)*I351</f>
        <v>0</v>
      </c>
      <c r="BX351" s="51">
        <f t="shared" si="261"/>
        <v>0</v>
      </c>
      <c r="BY351" s="51">
        <f t="shared" si="269"/>
        <v>0</v>
      </c>
      <c r="BZ351" s="151"/>
      <c r="CA351" s="151"/>
      <c r="CB351" s="32"/>
      <c r="CC351" s="16">
        <f ca="1">SUM($N$7:$N351)</f>
        <v>0</v>
      </c>
      <c r="CD351" s="16">
        <f t="shared" ca="1" si="262"/>
        <v>0</v>
      </c>
      <c r="CE351" s="16">
        <f t="shared" ca="1" si="263"/>
        <v>0</v>
      </c>
      <c r="CF351" s="7">
        <f t="shared" ca="1" si="270"/>
        <v>0</v>
      </c>
    </row>
    <row r="352" spans="1:84" s="7" customFormat="1" x14ac:dyDescent="0.2">
      <c r="A352" s="149"/>
      <c r="B352" s="14">
        <f t="shared" si="232"/>
        <v>0</v>
      </c>
      <c r="C352" s="12">
        <f t="shared" si="233"/>
        <v>0</v>
      </c>
      <c r="D352" s="17">
        <f t="shared" si="271"/>
        <v>346</v>
      </c>
      <c r="E352" s="17">
        <f t="shared" ca="1" si="234"/>
        <v>88</v>
      </c>
      <c r="F352" s="12">
        <f t="shared" si="273"/>
        <v>9</v>
      </c>
      <c r="G352" s="12">
        <f t="shared" si="272"/>
        <v>58</v>
      </c>
      <c r="H352" s="17">
        <f t="shared" si="274"/>
        <v>29</v>
      </c>
      <c r="I352" s="29">
        <f t="shared" si="235"/>
        <v>0</v>
      </c>
      <c r="J352" s="211">
        <f>IFERROR(VLOOKUP(H352,Charges!$T$6:$U$35,2,0)*C352,0)</f>
        <v>0</v>
      </c>
      <c r="K352" s="29">
        <f t="shared" si="236"/>
        <v>0</v>
      </c>
      <c r="L352" s="29">
        <f t="shared" si="237"/>
        <v>0</v>
      </c>
      <c r="M352" s="147">
        <f t="shared" ca="1" si="238"/>
        <v>0</v>
      </c>
      <c r="N352" s="148">
        <f ca="1">IF(AND(Option_SPW="Y",H352&gt;=Lock_In_Period,Z351&gt;SPW_Amount_pa+IF(option="Single",1/5*pr,2*pr),H352&gt;=SPW_Start_Year,H352&lt;=SPW_Start_Year+SPW_Duration-1,age+H352&gt;=Legal_Age),IF(AND(F352=0,SPW_Payout_Freq=1),SPW_Amount_pa,IF(AND(SPW_Payout_Freq=2,MOD(F352,6)=0),SPW_Amount_pa/SPW_Payout_Freq,IF(AND(SPW_Payout_Freq=4,MOD(F352,3)=0),SPW_Amount_pa/SPW_Payout_Freq,IF(SPW_Payout_Freq=12,SPW_Amount_pa/SPW_Payout_Freq,0)))),0)+IFERROR(VLOOKUP(H352,Input!$B$68:$C$74,2,0),0)*(F352=0)*(Option_PW="Y")*(Option_SPW="N")*(age+H352&gt;=Legal_Age)</f>
        <v>0</v>
      </c>
      <c r="O352" s="148">
        <f t="shared" ca="1" si="264"/>
        <v>0</v>
      </c>
      <c r="P352" s="14">
        <f ca="1">(MAX(MAX(sa-CF351*Flag_UL_Type,105%*SUM($I$7:I352))-(AD351+L352-N352)*Flag_UL_Type,0)*B352)</f>
        <v>0</v>
      </c>
      <c r="Q352" s="213">
        <f t="shared" si="239"/>
        <v>0</v>
      </c>
      <c r="R352" s="14">
        <f t="shared" ca="1" si="240"/>
        <v>0</v>
      </c>
      <c r="S352" s="14">
        <f t="shared" ca="1" si="241"/>
        <v>0</v>
      </c>
      <c r="T352" s="14">
        <f>IFERROR(IF(WoP_Flag="Y",IF(fq=1,VLOOKUP(ppt*fq-H352,Charges!$AN$41:$AO$59,2,FALSE),IF(fq=2,VLOOKUP(ppt*fq-G352,Charges!$AP$41:$AQ$79,2,FALSE),VLOOKUP(ppt*fq-D352,Charges!$AR$41:$AS$279,2,FALSE)))*pr/fq,0),0)</f>
        <v>0</v>
      </c>
      <c r="U352" s="14">
        <f ca="1">IFERROR(((T352*(VLOOKUP(Input!$D$18+H352-1,Tab_Mort_Charge,IF(Gender_2="M",2,3),FALSE)*(1+_emr2)+_rpm2)/IF(Model_Type="LA_PQIS",1000/0.0833,(12*1000))))*Flag_Mort_Rider_Charge*(T352&gt;0),0)</f>
        <v>0</v>
      </c>
      <c r="V352" s="34">
        <f>ROUND(MIN(IF(H352&gt;=7,Charges!$C$12*(1+Charges!$C$14)^((H352-7+1)),VLOOKUP(H352,Charges!$B$7:$C$12,2,0))*pr,Charges!$C$13)*B352,Round)</f>
        <v>0</v>
      </c>
      <c r="W352" s="14">
        <f t="shared" ca="1" si="242"/>
        <v>0</v>
      </c>
      <c r="X352" s="14">
        <f t="shared" ca="1" si="243"/>
        <v>0</v>
      </c>
      <c r="Y352" s="213">
        <f t="shared" ca="1" si="265"/>
        <v>0</v>
      </c>
      <c r="Z352" s="14">
        <f t="shared" ca="1" si="244"/>
        <v>0</v>
      </c>
      <c r="AA352" s="14">
        <f>IF(AND($H352=pt,$F352=11),SUM($K$7:K352)*VLOOKUP(pt,ROC,2,FALSE),0)</f>
        <v>0</v>
      </c>
      <c r="AB352" s="14">
        <f>IF(AND($H352=pt,$F352=11),SUM($V$7:V352)*VLOOKUP(pt,ROC,2,FALSE),0)</f>
        <v>0</v>
      </c>
      <c r="AC352" s="14">
        <f>IF(AND($H352=pt,$F352=11),SUM($Q$7:Q352)*VLOOKUP(pt,ROC,2,FALSE),0)</f>
        <v>0</v>
      </c>
      <c r="AD352" s="14">
        <f t="shared" ca="1" si="266"/>
        <v>0</v>
      </c>
      <c r="AE352" s="14">
        <f ca="1">(MAX(sa-CF351*Flag_UL_Type,105%*SUM($I$7:I352),Z352)+AU352)*B352</f>
        <v>0</v>
      </c>
      <c r="AF352" s="136"/>
      <c r="AG352" s="18">
        <v>346</v>
      </c>
      <c r="AH352" s="30">
        <f t="shared" ca="1" si="245"/>
        <v>0</v>
      </c>
      <c r="AI352" s="58"/>
      <c r="AJ352" s="50">
        <f>IF(AND(Option_Sys_TopUp&gt;="Y",H352&gt;=sytp,H352&lt;=(dtp+sytp-1),F352=0,H352&lt;=ppt+1),atp,0)+IFERROR(VLOOKUP(H352,Input!$B$55:$C$61,2,0),0)*(F352=0)*(Option_TopUP="Y")*(Option_Sys_TopUp="N")*B352*(pt&gt;=H352+5)</f>
        <v>0</v>
      </c>
      <c r="AK352" s="50">
        <f t="shared" si="246"/>
        <v>0</v>
      </c>
      <c r="AL352" s="50">
        <f t="shared" si="267"/>
        <v>0</v>
      </c>
      <c r="AM352" s="50">
        <f t="shared" ca="1" si="247"/>
        <v>0</v>
      </c>
      <c r="AN352" s="50">
        <f>IF(B352=0,0,AT352*(_rpm1+(1+_emr1)*VLOOKUP(E352,Tab_Mort_Charge,IF(Input!$C$12="M",2,3),0))*(0.001*0.0833)*Flag_Mort_Rider_Charge*(AT352&gt;0))</f>
        <v>0</v>
      </c>
      <c r="AO352" s="50">
        <f t="shared" ca="1" si="268"/>
        <v>0</v>
      </c>
      <c r="AP352" s="50">
        <f t="shared" ca="1" si="275"/>
        <v>0</v>
      </c>
      <c r="AQ352" s="50">
        <f t="shared" ca="1" si="248"/>
        <v>0</v>
      </c>
      <c r="AR352" s="50">
        <f t="shared" ca="1" si="249"/>
        <v>0</v>
      </c>
      <c r="AS352" s="50">
        <f t="shared" si="250"/>
        <v>0</v>
      </c>
      <c r="AT352" s="50">
        <f ca="1">(MAX((MAX(AS352,105%*SUM($AJ$7:AJ352))-AM352*Flag_UL_Type),0)*B352)</f>
        <v>0</v>
      </c>
      <c r="AU352" s="50">
        <f ca="1">(MAX(AS352,AR352,105%*SUM($AJ$7:AJ352))*B352)</f>
        <v>0</v>
      </c>
      <c r="AV352" s="125"/>
      <c r="AW352" s="13"/>
      <c r="AX352" s="13"/>
      <c r="AY352" s="13"/>
      <c r="AZ352" s="13"/>
      <c r="BA352" s="13"/>
      <c r="BG352" s="51">
        <f t="shared" si="251"/>
        <v>0</v>
      </c>
      <c r="BH352" s="51">
        <f t="shared" si="252"/>
        <v>0</v>
      </c>
      <c r="BI352" s="51">
        <f t="shared" ca="1" si="253"/>
        <v>0</v>
      </c>
      <c r="BJ352" s="51">
        <f t="shared" ca="1" si="254"/>
        <v>0</v>
      </c>
      <c r="BK352" s="51">
        <f t="shared" si="255"/>
        <v>0</v>
      </c>
      <c r="BL352" s="51">
        <f t="shared" ca="1" si="256"/>
        <v>0</v>
      </c>
      <c r="BM352" s="51">
        <f t="shared" si="257"/>
        <v>0</v>
      </c>
      <c r="BN352" s="51">
        <f t="shared" si="258"/>
        <v>0</v>
      </c>
      <c r="BO352" s="51">
        <f t="shared" ca="1" si="259"/>
        <v>0</v>
      </c>
      <c r="BP352" s="51">
        <f t="shared" ca="1" si="260"/>
        <v>0</v>
      </c>
      <c r="BQ352" s="120"/>
      <c r="BR352" s="32"/>
      <c r="BS352" s="126"/>
      <c r="BT352" s="16"/>
      <c r="BU352" s="58"/>
      <c r="BW352" s="51">
        <f>VLOOKUP(H352,Charges!$AT$4:$AU$33,2,FALSE)*I352</f>
        <v>0</v>
      </c>
      <c r="BX352" s="51">
        <f t="shared" si="261"/>
        <v>0</v>
      </c>
      <c r="BY352" s="51">
        <f t="shared" si="269"/>
        <v>0</v>
      </c>
      <c r="BZ352" s="151"/>
      <c r="CA352" s="151"/>
      <c r="CB352" s="32"/>
      <c r="CC352" s="16">
        <f ca="1">SUM($N$7:$N352)</f>
        <v>0</v>
      </c>
      <c r="CD352" s="16">
        <f t="shared" ca="1" si="262"/>
        <v>0</v>
      </c>
      <c r="CE352" s="16">
        <f t="shared" ca="1" si="263"/>
        <v>0</v>
      </c>
      <c r="CF352" s="7">
        <f t="shared" ca="1" si="270"/>
        <v>0</v>
      </c>
    </row>
    <row r="353" spans="1:84" s="7" customFormat="1" x14ac:dyDescent="0.2">
      <c r="A353" s="149"/>
      <c r="B353" s="14">
        <f t="shared" si="232"/>
        <v>0</v>
      </c>
      <c r="C353" s="12">
        <f t="shared" si="233"/>
        <v>0</v>
      </c>
      <c r="D353" s="17">
        <f t="shared" si="271"/>
        <v>347</v>
      </c>
      <c r="E353" s="17">
        <f t="shared" ca="1" si="234"/>
        <v>88</v>
      </c>
      <c r="F353" s="12">
        <f t="shared" si="273"/>
        <v>10</v>
      </c>
      <c r="G353" s="12">
        <f t="shared" si="272"/>
        <v>58</v>
      </c>
      <c r="H353" s="17">
        <f t="shared" si="274"/>
        <v>29</v>
      </c>
      <c r="I353" s="29">
        <f t="shared" si="235"/>
        <v>0</v>
      </c>
      <c r="J353" s="211">
        <f>IFERROR(VLOOKUP(H353,Charges!$T$6:$U$35,2,0)*C353,0)</f>
        <v>0</v>
      </c>
      <c r="K353" s="29">
        <f t="shared" si="236"/>
        <v>0</v>
      </c>
      <c r="L353" s="29">
        <f t="shared" si="237"/>
        <v>0</v>
      </c>
      <c r="M353" s="147">
        <f t="shared" ca="1" si="238"/>
        <v>0</v>
      </c>
      <c r="N353" s="148">
        <f ca="1">IF(AND(Option_SPW="Y",H353&gt;=Lock_In_Period,Z352&gt;SPW_Amount_pa+IF(option="Single",1/5*pr,2*pr),H353&gt;=SPW_Start_Year,H353&lt;=SPW_Start_Year+SPW_Duration-1,age+H353&gt;=Legal_Age),IF(AND(F353=0,SPW_Payout_Freq=1),SPW_Amount_pa,IF(AND(SPW_Payout_Freq=2,MOD(F353,6)=0),SPW_Amount_pa/SPW_Payout_Freq,IF(AND(SPW_Payout_Freq=4,MOD(F353,3)=0),SPW_Amount_pa/SPW_Payout_Freq,IF(SPW_Payout_Freq=12,SPW_Amount_pa/SPW_Payout_Freq,0)))),0)+IFERROR(VLOOKUP(H353,Input!$B$68:$C$74,2,0),0)*(F353=0)*(Option_PW="Y")*(Option_SPW="N")*(age+H353&gt;=Legal_Age)</f>
        <v>0</v>
      </c>
      <c r="O353" s="148">
        <f t="shared" ca="1" si="264"/>
        <v>0</v>
      </c>
      <c r="P353" s="14">
        <f ca="1">(MAX(MAX(sa-CF352*Flag_UL_Type,105%*SUM($I$7:I353))-(AD352+L353-N353)*Flag_UL_Type,0)*B353)</f>
        <v>0</v>
      </c>
      <c r="Q353" s="213">
        <f t="shared" si="239"/>
        <v>0</v>
      </c>
      <c r="R353" s="14">
        <f t="shared" ca="1" si="240"/>
        <v>0</v>
      </c>
      <c r="S353" s="14">
        <f t="shared" ca="1" si="241"/>
        <v>0</v>
      </c>
      <c r="T353" s="14">
        <f>IFERROR(IF(WoP_Flag="Y",IF(fq=1,VLOOKUP(ppt*fq-H353,Charges!$AN$41:$AO$59,2,FALSE),IF(fq=2,VLOOKUP(ppt*fq-G353,Charges!$AP$41:$AQ$79,2,FALSE),VLOOKUP(ppt*fq-D353,Charges!$AR$41:$AS$279,2,FALSE)))*pr/fq,0),0)</f>
        <v>0</v>
      </c>
      <c r="U353" s="14">
        <f ca="1">IFERROR(((T353*(VLOOKUP(Input!$D$18+H353-1,Tab_Mort_Charge,IF(Gender_2="M",2,3),FALSE)*(1+_emr2)+_rpm2)/IF(Model_Type="LA_PQIS",1000/0.0833,(12*1000))))*Flag_Mort_Rider_Charge*(T353&gt;0),0)</f>
        <v>0</v>
      </c>
      <c r="V353" s="34">
        <f>ROUND(MIN(IF(H353&gt;=7,Charges!$C$12*(1+Charges!$C$14)^((H353-7+1)),VLOOKUP(H353,Charges!$B$7:$C$12,2,0))*pr,Charges!$C$13)*B353,Round)</f>
        <v>0</v>
      </c>
      <c r="W353" s="14">
        <f t="shared" ca="1" si="242"/>
        <v>0</v>
      </c>
      <c r="X353" s="14">
        <f t="shared" ca="1" si="243"/>
        <v>0</v>
      </c>
      <c r="Y353" s="213">
        <f t="shared" ca="1" si="265"/>
        <v>0</v>
      </c>
      <c r="Z353" s="14">
        <f t="shared" ca="1" si="244"/>
        <v>0</v>
      </c>
      <c r="AA353" s="14">
        <f>IF(AND($H353=pt,$F353=11),SUM($K$7:K353)*VLOOKUP(pt,ROC,2,FALSE),0)</f>
        <v>0</v>
      </c>
      <c r="AB353" s="14">
        <f>IF(AND($H353=pt,$F353=11),SUM($V$7:V353)*VLOOKUP(pt,ROC,2,FALSE),0)</f>
        <v>0</v>
      </c>
      <c r="AC353" s="14">
        <f>IF(AND($H353=pt,$F353=11),SUM($Q$7:Q353)*VLOOKUP(pt,ROC,2,FALSE),0)</f>
        <v>0</v>
      </c>
      <c r="AD353" s="14">
        <f t="shared" ca="1" si="266"/>
        <v>0</v>
      </c>
      <c r="AE353" s="14">
        <f ca="1">(MAX(sa-CF352*Flag_UL_Type,105%*SUM($I$7:I353),Z353)+AU353)*B353</f>
        <v>0</v>
      </c>
      <c r="AF353" s="136"/>
      <c r="AG353" s="18">
        <v>347</v>
      </c>
      <c r="AH353" s="30">
        <f t="shared" ca="1" si="245"/>
        <v>0</v>
      </c>
      <c r="AI353" s="58"/>
      <c r="AJ353" s="50">
        <f>IF(AND(Option_Sys_TopUp&gt;="Y",H353&gt;=sytp,H353&lt;=(dtp+sytp-1),F353=0,H353&lt;=ppt+1),atp,0)+IFERROR(VLOOKUP(H353,Input!$B$55:$C$61,2,0),0)*(F353=0)*(Option_TopUP="Y")*(Option_Sys_TopUp="N")*B353*(pt&gt;=H353+5)</f>
        <v>0</v>
      </c>
      <c r="AK353" s="50">
        <f t="shared" si="246"/>
        <v>0</v>
      </c>
      <c r="AL353" s="50">
        <f t="shared" si="267"/>
        <v>0</v>
      </c>
      <c r="AM353" s="50">
        <f t="shared" ca="1" si="247"/>
        <v>0</v>
      </c>
      <c r="AN353" s="50">
        <f>IF(B353=0,0,AT353*(_rpm1+(1+_emr1)*VLOOKUP(E353,Tab_Mort_Charge,IF(Input!$C$12="M",2,3),0))*(0.001*0.0833)*Flag_Mort_Rider_Charge*(AT353&gt;0))</f>
        <v>0</v>
      </c>
      <c r="AO353" s="50">
        <f t="shared" ca="1" si="268"/>
        <v>0</v>
      </c>
      <c r="AP353" s="50">
        <f t="shared" ca="1" si="275"/>
        <v>0</v>
      </c>
      <c r="AQ353" s="50">
        <f t="shared" ca="1" si="248"/>
        <v>0</v>
      </c>
      <c r="AR353" s="50">
        <f t="shared" ca="1" si="249"/>
        <v>0</v>
      </c>
      <c r="AS353" s="50">
        <f t="shared" si="250"/>
        <v>0</v>
      </c>
      <c r="AT353" s="50">
        <f ca="1">(MAX((MAX(AS353,105%*SUM($AJ$7:AJ353))-AM353*Flag_UL_Type),0)*B353)</f>
        <v>0</v>
      </c>
      <c r="AU353" s="50">
        <f ca="1">(MAX(AS353,AR353,105%*SUM($AJ$7:AJ353))*B353)</f>
        <v>0</v>
      </c>
      <c r="AV353" s="125"/>
      <c r="AW353" s="13"/>
      <c r="AX353" s="13"/>
      <c r="AY353" s="13"/>
      <c r="AZ353" s="13"/>
      <c r="BA353" s="13"/>
      <c r="BG353" s="51">
        <f t="shared" si="251"/>
        <v>0</v>
      </c>
      <c r="BH353" s="51">
        <f t="shared" si="252"/>
        <v>0</v>
      </c>
      <c r="BI353" s="51">
        <f t="shared" ca="1" si="253"/>
        <v>0</v>
      </c>
      <c r="BJ353" s="51">
        <f t="shared" ca="1" si="254"/>
        <v>0</v>
      </c>
      <c r="BK353" s="51">
        <f t="shared" si="255"/>
        <v>0</v>
      </c>
      <c r="BL353" s="51">
        <f t="shared" ca="1" si="256"/>
        <v>0</v>
      </c>
      <c r="BM353" s="51">
        <f t="shared" si="257"/>
        <v>0</v>
      </c>
      <c r="BN353" s="51">
        <f t="shared" si="258"/>
        <v>0</v>
      </c>
      <c r="BO353" s="51">
        <f t="shared" ca="1" si="259"/>
        <v>0</v>
      </c>
      <c r="BP353" s="51">
        <f t="shared" ca="1" si="260"/>
        <v>0</v>
      </c>
      <c r="BQ353" s="120"/>
      <c r="BR353" s="32"/>
      <c r="BS353" s="126"/>
      <c r="BT353" s="16"/>
      <c r="BU353" s="58"/>
      <c r="BW353" s="51">
        <f>VLOOKUP(H353,Charges!$AT$4:$AU$33,2,FALSE)*I353</f>
        <v>0</v>
      </c>
      <c r="BX353" s="51">
        <f t="shared" si="261"/>
        <v>0</v>
      </c>
      <c r="BY353" s="51">
        <f t="shared" si="269"/>
        <v>0</v>
      </c>
      <c r="BZ353" s="151"/>
      <c r="CA353" s="151"/>
      <c r="CB353" s="32"/>
      <c r="CC353" s="16">
        <f ca="1">SUM($N$7:$N353)</f>
        <v>0</v>
      </c>
      <c r="CD353" s="16">
        <f t="shared" ca="1" si="262"/>
        <v>0</v>
      </c>
      <c r="CE353" s="16">
        <f t="shared" ca="1" si="263"/>
        <v>0</v>
      </c>
      <c r="CF353" s="7">
        <f t="shared" ca="1" si="270"/>
        <v>0</v>
      </c>
    </row>
    <row r="354" spans="1:84" s="7" customFormat="1" x14ac:dyDescent="0.2">
      <c r="A354" s="149"/>
      <c r="B354" s="14">
        <f t="shared" si="232"/>
        <v>0</v>
      </c>
      <c r="C354" s="12">
        <f t="shared" si="233"/>
        <v>0</v>
      </c>
      <c r="D354" s="17">
        <f t="shared" si="271"/>
        <v>348</v>
      </c>
      <c r="E354" s="17">
        <f t="shared" ca="1" si="234"/>
        <v>88</v>
      </c>
      <c r="F354" s="12">
        <f t="shared" si="273"/>
        <v>11</v>
      </c>
      <c r="G354" s="12">
        <f t="shared" si="272"/>
        <v>58</v>
      </c>
      <c r="H354" s="17">
        <f t="shared" si="274"/>
        <v>29</v>
      </c>
      <c r="I354" s="29">
        <f t="shared" si="235"/>
        <v>0</v>
      </c>
      <c r="J354" s="211">
        <f>IFERROR(VLOOKUP(H354,Charges!$T$6:$U$35,2,0)*C354,0)</f>
        <v>0</v>
      </c>
      <c r="K354" s="29">
        <f t="shared" si="236"/>
        <v>0</v>
      </c>
      <c r="L354" s="29">
        <f t="shared" si="237"/>
        <v>0</v>
      </c>
      <c r="M354" s="147">
        <f t="shared" ca="1" si="238"/>
        <v>0</v>
      </c>
      <c r="N354" s="148">
        <f ca="1">IF(AND(Option_SPW="Y",H354&gt;=Lock_In_Period,Z353&gt;SPW_Amount_pa+IF(option="Single",1/5*pr,2*pr),H354&gt;=SPW_Start_Year,H354&lt;=SPW_Start_Year+SPW_Duration-1,age+H354&gt;=Legal_Age),IF(AND(F354=0,SPW_Payout_Freq=1),SPW_Amount_pa,IF(AND(SPW_Payout_Freq=2,MOD(F354,6)=0),SPW_Amount_pa/SPW_Payout_Freq,IF(AND(SPW_Payout_Freq=4,MOD(F354,3)=0),SPW_Amount_pa/SPW_Payout_Freq,IF(SPW_Payout_Freq=12,SPW_Amount_pa/SPW_Payout_Freq,0)))),0)+IFERROR(VLOOKUP(H354,Input!$B$68:$C$74,2,0),0)*(F354=0)*(Option_PW="Y")*(Option_SPW="N")*(age+H354&gt;=Legal_Age)</f>
        <v>0</v>
      </c>
      <c r="O354" s="148">
        <f t="shared" ca="1" si="264"/>
        <v>0</v>
      </c>
      <c r="P354" s="14">
        <f ca="1">(MAX(MAX(sa-CF353*Flag_UL_Type,105%*SUM($I$7:I354))-(AD353+L354-N354)*Flag_UL_Type,0)*B354)</f>
        <v>0</v>
      </c>
      <c r="Q354" s="213">
        <f t="shared" si="239"/>
        <v>0</v>
      </c>
      <c r="R354" s="14">
        <f t="shared" ca="1" si="240"/>
        <v>0</v>
      </c>
      <c r="S354" s="14">
        <f t="shared" ca="1" si="241"/>
        <v>0</v>
      </c>
      <c r="T354" s="14">
        <f>IFERROR(IF(WoP_Flag="Y",IF(fq=1,VLOOKUP(ppt*fq-H354,Charges!$AN$41:$AO$59,2,FALSE),IF(fq=2,VLOOKUP(ppt*fq-G354,Charges!$AP$41:$AQ$79,2,FALSE),VLOOKUP(ppt*fq-D354,Charges!$AR$41:$AS$279,2,FALSE)))*pr/fq,0),0)</f>
        <v>0</v>
      </c>
      <c r="U354" s="14">
        <f ca="1">IFERROR(((T354*(VLOOKUP(Input!$D$18+H354-1,Tab_Mort_Charge,IF(Gender_2="M",2,3),FALSE)*(1+_emr2)+_rpm2)/IF(Model_Type="LA_PQIS",1000/0.0833,(12*1000))))*Flag_Mort_Rider_Charge*(T354&gt;0),0)</f>
        <v>0</v>
      </c>
      <c r="V354" s="34">
        <f>ROUND(MIN(IF(H354&gt;=7,Charges!$C$12*(1+Charges!$C$14)^((H354-7+1)),VLOOKUP(H354,Charges!$B$7:$C$12,2,0))*pr,Charges!$C$13)*B354,Round)</f>
        <v>0</v>
      </c>
      <c r="W354" s="14">
        <f t="shared" ca="1" si="242"/>
        <v>0</v>
      </c>
      <c r="X354" s="14">
        <f t="shared" ca="1" si="243"/>
        <v>0</v>
      </c>
      <c r="Y354" s="213">
        <f t="shared" ca="1" si="265"/>
        <v>0</v>
      </c>
      <c r="Z354" s="14">
        <f t="shared" ca="1" si="244"/>
        <v>0</v>
      </c>
      <c r="AA354" s="14">
        <f>IF(AND($H354=pt,$F354=11),SUM($K$7:K354)*VLOOKUP(pt,ROC,2,FALSE),0)</f>
        <v>0</v>
      </c>
      <c r="AB354" s="14">
        <f>IF(AND($H354=pt,$F354=11),SUM($V$7:V354)*VLOOKUP(pt,ROC,2,FALSE),0)</f>
        <v>0</v>
      </c>
      <c r="AC354" s="14">
        <f>IF(AND($H354=pt,$F354=11),SUM($Q$7:Q354)*VLOOKUP(pt,ROC,2,FALSE),0)</f>
        <v>0</v>
      </c>
      <c r="AD354" s="14">
        <f t="shared" ca="1" si="266"/>
        <v>0</v>
      </c>
      <c r="AE354" s="14">
        <f ca="1">(MAX(sa-CF353*Flag_UL_Type,105%*SUM($I$7:I354),Z354)+AU354)*B354</f>
        <v>0</v>
      </c>
      <c r="AF354" s="136"/>
      <c r="AG354" s="18">
        <v>348</v>
      </c>
      <c r="AH354" s="30">
        <f t="shared" ca="1" si="245"/>
        <v>0</v>
      </c>
      <c r="AI354" s="58"/>
      <c r="AJ354" s="50">
        <f>IF(AND(Option_Sys_TopUp&gt;="Y",H354&gt;=sytp,H354&lt;=(dtp+sytp-1),F354=0,H354&lt;=ppt+1),atp,0)+IFERROR(VLOOKUP(H354,Input!$B$55:$C$61,2,0),0)*(F354=0)*(Option_TopUP="Y")*(Option_Sys_TopUp="N")*B354*(pt&gt;=H354+5)</f>
        <v>0</v>
      </c>
      <c r="AK354" s="50">
        <f t="shared" si="246"/>
        <v>0</v>
      </c>
      <c r="AL354" s="50">
        <f t="shared" si="267"/>
        <v>0</v>
      </c>
      <c r="AM354" s="50">
        <f t="shared" ca="1" si="247"/>
        <v>0</v>
      </c>
      <c r="AN354" s="50">
        <f>IF(B354=0,0,AT354*(_rpm1+(1+_emr1)*VLOOKUP(E354,Tab_Mort_Charge,IF(Input!$C$12="M",2,3),0))*(0.001*0.0833)*Flag_Mort_Rider_Charge*(AT354&gt;0))</f>
        <v>0</v>
      </c>
      <c r="AO354" s="50">
        <f t="shared" ca="1" si="268"/>
        <v>0</v>
      </c>
      <c r="AP354" s="50">
        <f t="shared" ca="1" si="275"/>
        <v>0</v>
      </c>
      <c r="AQ354" s="50">
        <f t="shared" ca="1" si="248"/>
        <v>0</v>
      </c>
      <c r="AR354" s="50">
        <f t="shared" ca="1" si="249"/>
        <v>0</v>
      </c>
      <c r="AS354" s="50">
        <f t="shared" si="250"/>
        <v>0</v>
      </c>
      <c r="AT354" s="50">
        <f ca="1">(MAX((MAX(AS354,105%*SUM($AJ$7:AJ354))-AM354*Flag_UL_Type),0)*B354)</f>
        <v>0</v>
      </c>
      <c r="AU354" s="50">
        <f ca="1">(MAX(AS354,AR354,105%*SUM($AJ$7:AJ354))*B354)</f>
        <v>0</v>
      </c>
      <c r="AV354" s="125"/>
      <c r="AW354" s="13"/>
      <c r="AX354" s="13"/>
      <c r="AY354" s="13"/>
      <c r="AZ354" s="13"/>
      <c r="BA354" s="13"/>
      <c r="BG354" s="51">
        <f t="shared" si="251"/>
        <v>0</v>
      </c>
      <c r="BH354" s="51">
        <f t="shared" si="252"/>
        <v>0</v>
      </c>
      <c r="BI354" s="51">
        <f t="shared" ca="1" si="253"/>
        <v>0</v>
      </c>
      <c r="BJ354" s="51">
        <f t="shared" ca="1" si="254"/>
        <v>0</v>
      </c>
      <c r="BK354" s="51">
        <f t="shared" si="255"/>
        <v>0</v>
      </c>
      <c r="BL354" s="51">
        <f t="shared" ca="1" si="256"/>
        <v>0</v>
      </c>
      <c r="BM354" s="51">
        <f t="shared" si="257"/>
        <v>0</v>
      </c>
      <c r="BN354" s="51">
        <f t="shared" si="258"/>
        <v>0</v>
      </c>
      <c r="BO354" s="51">
        <f t="shared" ca="1" si="259"/>
        <v>0</v>
      </c>
      <c r="BP354" s="51">
        <f t="shared" ca="1" si="260"/>
        <v>0</v>
      </c>
      <c r="BQ354" s="120"/>
      <c r="BR354" s="32"/>
      <c r="BS354" s="126"/>
      <c r="BT354" s="16"/>
      <c r="BU354" s="58"/>
      <c r="BW354" s="51">
        <f>VLOOKUP(H354,Charges!$AT$4:$AU$33,2,FALSE)*I354</f>
        <v>0</v>
      </c>
      <c r="BX354" s="51">
        <f t="shared" si="261"/>
        <v>0</v>
      </c>
      <c r="BY354" s="51">
        <f t="shared" si="269"/>
        <v>0</v>
      </c>
      <c r="BZ354" s="151"/>
      <c r="CA354" s="151"/>
      <c r="CB354" s="32"/>
      <c r="CC354" s="16">
        <f ca="1">SUM($N$7:$N354)</f>
        <v>0</v>
      </c>
      <c r="CD354" s="16">
        <f t="shared" ca="1" si="262"/>
        <v>0</v>
      </c>
      <c r="CE354" s="16">
        <f t="shared" ca="1" si="263"/>
        <v>0</v>
      </c>
      <c r="CF354" s="7">
        <f t="shared" ca="1" si="270"/>
        <v>0</v>
      </c>
    </row>
    <row r="355" spans="1:84" s="7" customFormat="1" x14ac:dyDescent="0.2">
      <c r="A355" s="149"/>
      <c r="B355" s="14">
        <f t="shared" si="232"/>
        <v>0</v>
      </c>
      <c r="C355" s="12">
        <f t="shared" si="233"/>
        <v>0</v>
      </c>
      <c r="D355" s="17">
        <f t="shared" si="271"/>
        <v>349</v>
      </c>
      <c r="E355" s="17">
        <f t="shared" ca="1" si="234"/>
        <v>89</v>
      </c>
      <c r="F355" s="12">
        <f t="shared" si="273"/>
        <v>0</v>
      </c>
      <c r="G355" s="12">
        <f t="shared" si="272"/>
        <v>59</v>
      </c>
      <c r="H355" s="17">
        <f t="shared" si="274"/>
        <v>30</v>
      </c>
      <c r="I355" s="29">
        <f t="shared" si="235"/>
        <v>0</v>
      </c>
      <c r="J355" s="211">
        <f>IFERROR(VLOOKUP(H355,Charges!$T$6:$U$35,2,0)*C355,0)</f>
        <v>0</v>
      </c>
      <c r="K355" s="29">
        <f t="shared" si="236"/>
        <v>0</v>
      </c>
      <c r="L355" s="29">
        <f t="shared" si="237"/>
        <v>0</v>
      </c>
      <c r="M355" s="147">
        <f t="shared" ca="1" si="238"/>
        <v>0</v>
      </c>
      <c r="N355" s="148">
        <f ca="1">IF(AND(Option_SPW="Y",H355&gt;=Lock_In_Period,Z354&gt;SPW_Amount_pa+IF(option="Single",1/5*pr,2*pr),H355&gt;=SPW_Start_Year,H355&lt;=SPW_Start_Year+SPW_Duration-1,age+H355&gt;=Legal_Age),IF(AND(F355=0,SPW_Payout_Freq=1),SPW_Amount_pa,IF(AND(SPW_Payout_Freq=2,MOD(F355,6)=0),SPW_Amount_pa/SPW_Payout_Freq,IF(AND(SPW_Payout_Freq=4,MOD(F355,3)=0),SPW_Amount_pa/SPW_Payout_Freq,IF(SPW_Payout_Freq=12,SPW_Amount_pa/SPW_Payout_Freq,0)))),0)+IFERROR(VLOOKUP(H355,Input!$B$68:$C$74,2,0),0)*(F355=0)*(Option_PW="Y")*(Option_SPW="N")*(age+H355&gt;=Legal_Age)</f>
        <v>0</v>
      </c>
      <c r="O355" s="148">
        <f t="shared" ca="1" si="264"/>
        <v>0</v>
      </c>
      <c r="P355" s="14">
        <f ca="1">(MAX(MAX(sa-CF354*Flag_UL_Type,105%*SUM($I$7:I355))-(AD354+L355-N355)*Flag_UL_Type,0)*B355)</f>
        <v>0</v>
      </c>
      <c r="Q355" s="213">
        <f t="shared" si="239"/>
        <v>0</v>
      </c>
      <c r="R355" s="14">
        <f t="shared" ca="1" si="240"/>
        <v>0</v>
      </c>
      <c r="S355" s="14">
        <f t="shared" ca="1" si="241"/>
        <v>0</v>
      </c>
      <c r="T355" s="14">
        <f>IFERROR(IF(WoP_Flag="Y",IF(fq=1,VLOOKUP(ppt*fq-H355,Charges!$AN$41:$AO$59,2,FALSE),IF(fq=2,VLOOKUP(ppt*fq-G355,Charges!$AP$41:$AQ$79,2,FALSE),VLOOKUP(ppt*fq-D355,Charges!$AR$41:$AS$279,2,FALSE)))*pr/fq,0),0)</f>
        <v>0</v>
      </c>
      <c r="U355" s="14">
        <f ca="1">IFERROR(((T355*(VLOOKUP(Input!$D$18+H355-1,Tab_Mort_Charge,IF(Gender_2="M",2,3),FALSE)*(1+_emr2)+_rpm2)/IF(Model_Type="LA_PQIS",1000/0.0833,(12*1000))))*Flag_Mort_Rider_Charge*(T355&gt;0),0)</f>
        <v>0</v>
      </c>
      <c r="V355" s="34">
        <f>ROUND(MIN(IF(H355&gt;=7,Charges!$C$12*(1+Charges!$C$14)^((H355-7+1)),VLOOKUP(H355,Charges!$B$7:$C$12,2,0))*pr,Charges!$C$13)*B355,Round)</f>
        <v>0</v>
      </c>
      <c r="W355" s="14">
        <f t="shared" ca="1" si="242"/>
        <v>0</v>
      </c>
      <c r="X355" s="14">
        <f t="shared" ca="1" si="243"/>
        <v>0</v>
      </c>
      <c r="Y355" s="213">
        <f t="shared" ca="1" si="265"/>
        <v>0</v>
      </c>
      <c r="Z355" s="14">
        <f t="shared" ca="1" si="244"/>
        <v>0</v>
      </c>
      <c r="AA355" s="14">
        <f>IF(AND($H355=pt,$F355=11),SUM($K$7:K355)*VLOOKUP(pt,ROC,2,FALSE),0)</f>
        <v>0</v>
      </c>
      <c r="AB355" s="14">
        <f>IF(AND($H355=pt,$F355=11),SUM($V$7:V355)*VLOOKUP(pt,ROC,2,FALSE),0)</f>
        <v>0</v>
      </c>
      <c r="AC355" s="14">
        <f>IF(AND($H355=pt,$F355=11),SUM($Q$7:Q355)*VLOOKUP(pt,ROC,2,FALSE),0)</f>
        <v>0</v>
      </c>
      <c r="AD355" s="14">
        <f t="shared" ca="1" si="266"/>
        <v>0</v>
      </c>
      <c r="AE355" s="14">
        <f ca="1">(MAX(sa-CF354*Flag_UL_Type,105%*SUM($I$7:I355),Z355)+AU355)*B355</f>
        <v>0</v>
      </c>
      <c r="AF355" s="136"/>
      <c r="AG355" s="18">
        <v>349</v>
      </c>
      <c r="AH355" s="30">
        <f t="shared" ca="1" si="245"/>
        <v>0</v>
      </c>
      <c r="AI355" s="58"/>
      <c r="AJ355" s="50">
        <f>IF(AND(Option_Sys_TopUp&gt;="Y",H355&gt;=sytp,H355&lt;=(dtp+sytp-1),F355=0,H355&lt;=ppt+1),atp,0)+IFERROR(VLOOKUP(H355,Input!$B$55:$C$61,2,0),0)*(F355=0)*(Option_TopUP="Y")*(Option_Sys_TopUp="N")*B355*(pt&gt;=H355+5)</f>
        <v>0</v>
      </c>
      <c r="AK355" s="50">
        <f t="shared" si="246"/>
        <v>0</v>
      </c>
      <c r="AL355" s="50">
        <f t="shared" si="267"/>
        <v>0</v>
      </c>
      <c r="AM355" s="50">
        <f t="shared" ca="1" si="247"/>
        <v>0</v>
      </c>
      <c r="AN355" s="50">
        <f>IF(B355=0,0,AT355*(_rpm1+(1+_emr1)*VLOOKUP(E355,Tab_Mort_Charge,IF(Input!$C$12="M",2,3),0))*(0.001*0.0833)*Flag_Mort_Rider_Charge*(AT355&gt;0))</f>
        <v>0</v>
      </c>
      <c r="AO355" s="50">
        <f t="shared" ca="1" si="268"/>
        <v>0</v>
      </c>
      <c r="AP355" s="50">
        <f t="shared" ca="1" si="275"/>
        <v>0</v>
      </c>
      <c r="AQ355" s="50">
        <f t="shared" ca="1" si="248"/>
        <v>0</v>
      </c>
      <c r="AR355" s="50">
        <f t="shared" ca="1" si="249"/>
        <v>0</v>
      </c>
      <c r="AS355" s="50">
        <f t="shared" si="250"/>
        <v>0</v>
      </c>
      <c r="AT355" s="50">
        <f ca="1">(MAX((MAX(AS355,105%*SUM($AJ$7:AJ355))-AM355*Flag_UL_Type),0)*B355)</f>
        <v>0</v>
      </c>
      <c r="AU355" s="50">
        <f ca="1">(MAX(AS355,AR355,105%*SUM($AJ$7:AJ355))*B355)</f>
        <v>0</v>
      </c>
      <c r="AV355" s="125"/>
      <c r="AW355" s="13"/>
      <c r="AX355" s="13"/>
      <c r="AY355" s="13"/>
      <c r="AZ355" s="13"/>
      <c r="BA355" s="13"/>
      <c r="BG355" s="51">
        <f t="shared" si="251"/>
        <v>0</v>
      </c>
      <c r="BH355" s="51">
        <f t="shared" si="252"/>
        <v>0</v>
      </c>
      <c r="BI355" s="51">
        <f t="shared" ca="1" si="253"/>
        <v>0</v>
      </c>
      <c r="BJ355" s="51">
        <f t="shared" ca="1" si="254"/>
        <v>0</v>
      </c>
      <c r="BK355" s="51">
        <f t="shared" si="255"/>
        <v>0</v>
      </c>
      <c r="BL355" s="51">
        <f t="shared" ca="1" si="256"/>
        <v>0</v>
      </c>
      <c r="BM355" s="51">
        <f t="shared" si="257"/>
        <v>0</v>
      </c>
      <c r="BN355" s="51">
        <f t="shared" si="258"/>
        <v>0</v>
      </c>
      <c r="BO355" s="51">
        <f t="shared" ca="1" si="259"/>
        <v>0</v>
      </c>
      <c r="BP355" s="51">
        <f t="shared" ca="1" si="260"/>
        <v>0</v>
      </c>
      <c r="BQ355" s="120"/>
      <c r="BR355" s="32"/>
      <c r="BS355" s="126"/>
      <c r="BT355" s="16"/>
      <c r="BU355" s="58"/>
      <c r="BW355" s="51">
        <f>VLOOKUP(H355,Charges!$AT$4:$AU$33,2,FALSE)*I355</f>
        <v>0</v>
      </c>
      <c r="BX355" s="51">
        <f t="shared" si="261"/>
        <v>0</v>
      </c>
      <c r="BY355" s="51">
        <f t="shared" si="269"/>
        <v>0</v>
      </c>
      <c r="BZ355" s="151"/>
      <c r="CA355" s="151"/>
      <c r="CB355" s="32"/>
      <c r="CC355" s="16">
        <f ca="1">SUM($N$7:$N355)</f>
        <v>0</v>
      </c>
      <c r="CD355" s="16">
        <f t="shared" ca="1" si="262"/>
        <v>0</v>
      </c>
      <c r="CE355" s="16">
        <f t="shared" ca="1" si="263"/>
        <v>0</v>
      </c>
      <c r="CF355" s="7">
        <f t="shared" ca="1" si="270"/>
        <v>0</v>
      </c>
    </row>
    <row r="356" spans="1:84" s="7" customFormat="1" x14ac:dyDescent="0.2">
      <c r="A356" s="149"/>
      <c r="B356" s="14">
        <f t="shared" si="232"/>
        <v>0</v>
      </c>
      <c r="C356" s="12">
        <f t="shared" si="233"/>
        <v>0</v>
      </c>
      <c r="D356" s="17">
        <f t="shared" si="271"/>
        <v>350</v>
      </c>
      <c r="E356" s="17">
        <f t="shared" ca="1" si="234"/>
        <v>89</v>
      </c>
      <c r="F356" s="12">
        <f t="shared" si="273"/>
        <v>1</v>
      </c>
      <c r="G356" s="12">
        <f t="shared" si="272"/>
        <v>59</v>
      </c>
      <c r="H356" s="17">
        <f t="shared" si="274"/>
        <v>30</v>
      </c>
      <c r="I356" s="29">
        <f t="shared" si="235"/>
        <v>0</v>
      </c>
      <c r="J356" s="211">
        <f>IFERROR(VLOOKUP(H356,Charges!$T$6:$U$35,2,0)*C356,0)</f>
        <v>0</v>
      </c>
      <c r="K356" s="29">
        <f t="shared" si="236"/>
        <v>0</v>
      </c>
      <c r="L356" s="29">
        <f t="shared" si="237"/>
        <v>0</v>
      </c>
      <c r="M356" s="147">
        <f t="shared" ca="1" si="238"/>
        <v>0</v>
      </c>
      <c r="N356" s="148">
        <f ca="1">IF(AND(Option_SPW="Y",H356&gt;=Lock_In_Period,Z355&gt;SPW_Amount_pa+IF(option="Single",1/5*pr,2*pr),H356&gt;=SPW_Start_Year,H356&lt;=SPW_Start_Year+SPW_Duration-1,age+H356&gt;=Legal_Age),IF(AND(F356=0,SPW_Payout_Freq=1),SPW_Amount_pa,IF(AND(SPW_Payout_Freq=2,MOD(F356,6)=0),SPW_Amount_pa/SPW_Payout_Freq,IF(AND(SPW_Payout_Freq=4,MOD(F356,3)=0),SPW_Amount_pa/SPW_Payout_Freq,IF(SPW_Payout_Freq=12,SPW_Amount_pa/SPW_Payout_Freq,0)))),0)+IFERROR(VLOOKUP(H356,Input!$B$68:$C$74,2,0),0)*(F356=0)*(Option_PW="Y")*(Option_SPW="N")*(age+H356&gt;=Legal_Age)</f>
        <v>0</v>
      </c>
      <c r="O356" s="148">
        <f t="shared" ca="1" si="264"/>
        <v>0</v>
      </c>
      <c r="P356" s="14">
        <f ca="1">(MAX(MAX(sa-CF355*Flag_UL_Type,105%*SUM($I$7:I356))-(AD355+L356-N356)*Flag_UL_Type,0)*B356)</f>
        <v>0</v>
      </c>
      <c r="Q356" s="213">
        <f t="shared" si="239"/>
        <v>0</v>
      </c>
      <c r="R356" s="14">
        <f t="shared" ca="1" si="240"/>
        <v>0</v>
      </c>
      <c r="S356" s="14">
        <f t="shared" ca="1" si="241"/>
        <v>0</v>
      </c>
      <c r="T356" s="14">
        <f>IFERROR(IF(WoP_Flag="Y",IF(fq=1,VLOOKUP(ppt*fq-H356,Charges!$AN$41:$AO$59,2,FALSE),IF(fq=2,VLOOKUP(ppt*fq-G356,Charges!$AP$41:$AQ$79,2,FALSE),VLOOKUP(ppt*fq-D356,Charges!$AR$41:$AS$279,2,FALSE)))*pr/fq,0),0)</f>
        <v>0</v>
      </c>
      <c r="U356" s="14">
        <f ca="1">IFERROR(((T356*(VLOOKUP(Input!$D$18+H356-1,Tab_Mort_Charge,IF(Gender_2="M",2,3),FALSE)*(1+_emr2)+_rpm2)/IF(Model_Type="LA_PQIS",1000/0.0833,(12*1000))))*Flag_Mort_Rider_Charge*(T356&gt;0),0)</f>
        <v>0</v>
      </c>
      <c r="V356" s="34">
        <f>ROUND(MIN(IF(H356&gt;=7,Charges!$C$12*(1+Charges!$C$14)^((H356-7+1)),VLOOKUP(H356,Charges!$B$7:$C$12,2,0))*pr,Charges!$C$13)*B356,Round)</f>
        <v>0</v>
      </c>
      <c r="W356" s="14">
        <f t="shared" ca="1" si="242"/>
        <v>0</v>
      </c>
      <c r="X356" s="14">
        <f t="shared" ca="1" si="243"/>
        <v>0</v>
      </c>
      <c r="Y356" s="213">
        <f t="shared" ca="1" si="265"/>
        <v>0</v>
      </c>
      <c r="Z356" s="14">
        <f t="shared" ca="1" si="244"/>
        <v>0</v>
      </c>
      <c r="AA356" s="14">
        <f>IF(AND($H356=pt,$F356=11),SUM($K$7:K356)*VLOOKUP(pt,ROC,2,FALSE),0)</f>
        <v>0</v>
      </c>
      <c r="AB356" s="14">
        <f>IF(AND($H356=pt,$F356=11),SUM($V$7:V356)*VLOOKUP(pt,ROC,2,FALSE),0)</f>
        <v>0</v>
      </c>
      <c r="AC356" s="14">
        <f>IF(AND($H356=pt,$F356=11),SUM($Q$7:Q356)*VLOOKUP(pt,ROC,2,FALSE),0)</f>
        <v>0</v>
      </c>
      <c r="AD356" s="14">
        <f t="shared" ca="1" si="266"/>
        <v>0</v>
      </c>
      <c r="AE356" s="14">
        <f ca="1">(MAX(sa-CF355*Flag_UL_Type,105%*SUM($I$7:I356),Z356)+AU356)*B356</f>
        <v>0</v>
      </c>
      <c r="AF356" s="136"/>
      <c r="AG356" s="18">
        <v>350</v>
      </c>
      <c r="AH356" s="30">
        <f t="shared" ca="1" si="245"/>
        <v>0</v>
      </c>
      <c r="AI356" s="58"/>
      <c r="AJ356" s="50">
        <f>IF(AND(Option_Sys_TopUp&gt;="Y",H356&gt;=sytp,H356&lt;=(dtp+sytp-1),F356=0,H356&lt;=ppt+1),atp,0)+IFERROR(VLOOKUP(H356,Input!$B$55:$C$61,2,0),0)*(F356=0)*(Option_TopUP="Y")*(Option_Sys_TopUp="N")*B356*(pt&gt;=H356+5)</f>
        <v>0</v>
      </c>
      <c r="AK356" s="50">
        <f t="shared" si="246"/>
        <v>0</v>
      </c>
      <c r="AL356" s="50">
        <f t="shared" si="267"/>
        <v>0</v>
      </c>
      <c r="AM356" s="50">
        <f t="shared" ca="1" si="247"/>
        <v>0</v>
      </c>
      <c r="AN356" s="50">
        <f>IF(B356=0,0,AT356*(_rpm1+(1+_emr1)*VLOOKUP(E356,Tab_Mort_Charge,IF(Input!$C$12="M",2,3),0))*(0.001*0.0833)*Flag_Mort_Rider_Charge*(AT356&gt;0))</f>
        <v>0</v>
      </c>
      <c r="AO356" s="50">
        <f t="shared" ca="1" si="268"/>
        <v>0</v>
      </c>
      <c r="AP356" s="50">
        <f t="shared" ca="1" si="275"/>
        <v>0</v>
      </c>
      <c r="AQ356" s="50">
        <f t="shared" ca="1" si="248"/>
        <v>0</v>
      </c>
      <c r="AR356" s="50">
        <f t="shared" ca="1" si="249"/>
        <v>0</v>
      </c>
      <c r="AS356" s="50">
        <f t="shared" si="250"/>
        <v>0</v>
      </c>
      <c r="AT356" s="50">
        <f ca="1">(MAX((MAX(AS356,105%*SUM($AJ$7:AJ356))-AM356*Flag_UL_Type),0)*B356)</f>
        <v>0</v>
      </c>
      <c r="AU356" s="50">
        <f ca="1">(MAX(AS356,AR356,105%*SUM($AJ$7:AJ356))*B356)</f>
        <v>0</v>
      </c>
      <c r="AV356" s="125"/>
      <c r="AW356" s="13"/>
      <c r="AX356" s="13"/>
      <c r="AY356" s="13"/>
      <c r="AZ356" s="13"/>
      <c r="BA356" s="13"/>
      <c r="BG356" s="51">
        <f t="shared" si="251"/>
        <v>0</v>
      </c>
      <c r="BH356" s="51">
        <f t="shared" si="252"/>
        <v>0</v>
      </c>
      <c r="BI356" s="51">
        <f t="shared" ca="1" si="253"/>
        <v>0</v>
      </c>
      <c r="BJ356" s="51">
        <f t="shared" ca="1" si="254"/>
        <v>0</v>
      </c>
      <c r="BK356" s="51">
        <f t="shared" si="255"/>
        <v>0</v>
      </c>
      <c r="BL356" s="51">
        <f t="shared" ca="1" si="256"/>
        <v>0</v>
      </c>
      <c r="BM356" s="51">
        <f t="shared" si="257"/>
        <v>0</v>
      </c>
      <c r="BN356" s="51">
        <f t="shared" si="258"/>
        <v>0</v>
      </c>
      <c r="BO356" s="51">
        <f t="shared" ca="1" si="259"/>
        <v>0</v>
      </c>
      <c r="BP356" s="51">
        <f t="shared" ca="1" si="260"/>
        <v>0</v>
      </c>
      <c r="BQ356" s="120"/>
      <c r="BR356" s="32"/>
      <c r="BS356" s="126"/>
      <c r="BT356" s="16"/>
      <c r="BU356" s="58"/>
      <c r="BW356" s="51">
        <f>VLOOKUP(H356,Charges!$AT$4:$AU$33,2,FALSE)*I356</f>
        <v>0</v>
      </c>
      <c r="BX356" s="51">
        <f t="shared" si="261"/>
        <v>0</v>
      </c>
      <c r="BY356" s="51">
        <f t="shared" si="269"/>
        <v>0</v>
      </c>
      <c r="BZ356" s="151"/>
      <c r="CA356" s="151"/>
      <c r="CB356" s="32"/>
      <c r="CC356" s="16">
        <f ca="1">SUM($N$7:$N356)</f>
        <v>0</v>
      </c>
      <c r="CD356" s="16">
        <f t="shared" ca="1" si="262"/>
        <v>0</v>
      </c>
      <c r="CE356" s="16">
        <f t="shared" ca="1" si="263"/>
        <v>0</v>
      </c>
      <c r="CF356" s="7">
        <f t="shared" ca="1" si="270"/>
        <v>0</v>
      </c>
    </row>
    <row r="357" spans="1:84" s="7" customFormat="1" x14ac:dyDescent="0.2">
      <c r="A357" s="149"/>
      <c r="B357" s="14">
        <f t="shared" si="232"/>
        <v>0</v>
      </c>
      <c r="C357" s="12">
        <f t="shared" si="233"/>
        <v>0</v>
      </c>
      <c r="D357" s="17">
        <f t="shared" si="271"/>
        <v>351</v>
      </c>
      <c r="E357" s="17">
        <f t="shared" ca="1" si="234"/>
        <v>89</v>
      </c>
      <c r="F357" s="12">
        <f t="shared" si="273"/>
        <v>2</v>
      </c>
      <c r="G357" s="12">
        <f t="shared" si="272"/>
        <v>59</v>
      </c>
      <c r="H357" s="17">
        <f t="shared" si="274"/>
        <v>30</v>
      </c>
      <c r="I357" s="29">
        <f t="shared" si="235"/>
        <v>0</v>
      </c>
      <c r="J357" s="211">
        <f>IFERROR(VLOOKUP(H357,Charges!$T$6:$U$35,2,0)*C357,0)</f>
        <v>0</v>
      </c>
      <c r="K357" s="29">
        <f t="shared" si="236"/>
        <v>0</v>
      </c>
      <c r="L357" s="29">
        <f t="shared" si="237"/>
        <v>0</v>
      </c>
      <c r="M357" s="147">
        <f t="shared" ca="1" si="238"/>
        <v>0</v>
      </c>
      <c r="N357" s="148">
        <f ca="1">IF(AND(Option_SPW="Y",H357&gt;=Lock_In_Period,Z356&gt;SPW_Amount_pa+IF(option="Single",1/5*pr,2*pr),H357&gt;=SPW_Start_Year,H357&lt;=SPW_Start_Year+SPW_Duration-1,age+H357&gt;=Legal_Age),IF(AND(F357=0,SPW_Payout_Freq=1),SPW_Amount_pa,IF(AND(SPW_Payout_Freq=2,MOD(F357,6)=0),SPW_Amount_pa/SPW_Payout_Freq,IF(AND(SPW_Payout_Freq=4,MOD(F357,3)=0),SPW_Amount_pa/SPW_Payout_Freq,IF(SPW_Payout_Freq=12,SPW_Amount_pa/SPW_Payout_Freq,0)))),0)+IFERROR(VLOOKUP(H357,Input!$B$68:$C$74,2,0),0)*(F357=0)*(Option_PW="Y")*(Option_SPW="N")*(age+H357&gt;=Legal_Age)</f>
        <v>0</v>
      </c>
      <c r="O357" s="148">
        <f t="shared" ca="1" si="264"/>
        <v>0</v>
      </c>
      <c r="P357" s="14">
        <f ca="1">(MAX(MAX(sa-CF356*Flag_UL_Type,105%*SUM($I$7:I357))-(AD356+L357-N357)*Flag_UL_Type,0)*B357)</f>
        <v>0</v>
      </c>
      <c r="Q357" s="213">
        <f t="shared" si="239"/>
        <v>0</v>
      </c>
      <c r="R357" s="14">
        <f t="shared" ca="1" si="240"/>
        <v>0</v>
      </c>
      <c r="S357" s="14">
        <f t="shared" ca="1" si="241"/>
        <v>0</v>
      </c>
      <c r="T357" s="14">
        <f>IFERROR(IF(WoP_Flag="Y",IF(fq=1,VLOOKUP(ppt*fq-H357,Charges!$AN$41:$AO$59,2,FALSE),IF(fq=2,VLOOKUP(ppt*fq-G357,Charges!$AP$41:$AQ$79,2,FALSE),VLOOKUP(ppt*fq-D357,Charges!$AR$41:$AS$279,2,FALSE)))*pr/fq,0),0)</f>
        <v>0</v>
      </c>
      <c r="U357" s="14">
        <f ca="1">IFERROR(((T357*(VLOOKUP(Input!$D$18+H357-1,Tab_Mort_Charge,IF(Gender_2="M",2,3),FALSE)*(1+_emr2)+_rpm2)/IF(Model_Type="LA_PQIS",1000/0.0833,(12*1000))))*Flag_Mort_Rider_Charge*(T357&gt;0),0)</f>
        <v>0</v>
      </c>
      <c r="V357" s="34">
        <f>ROUND(MIN(IF(H357&gt;=7,Charges!$C$12*(1+Charges!$C$14)^((H357-7+1)),VLOOKUP(H357,Charges!$B$7:$C$12,2,0))*pr,Charges!$C$13)*B357,Round)</f>
        <v>0</v>
      </c>
      <c r="W357" s="14">
        <f t="shared" ca="1" si="242"/>
        <v>0</v>
      </c>
      <c r="X357" s="14">
        <f t="shared" ca="1" si="243"/>
        <v>0</v>
      </c>
      <c r="Y357" s="213">
        <f t="shared" ca="1" si="265"/>
        <v>0</v>
      </c>
      <c r="Z357" s="14">
        <f t="shared" ca="1" si="244"/>
        <v>0</v>
      </c>
      <c r="AA357" s="14">
        <f>IF(AND($H357=pt,$F357=11),SUM($K$7:K357)*VLOOKUP(pt,ROC,2,FALSE),0)</f>
        <v>0</v>
      </c>
      <c r="AB357" s="14">
        <f>IF(AND($H357=pt,$F357=11),SUM($V$7:V357)*VLOOKUP(pt,ROC,2,FALSE),0)</f>
        <v>0</v>
      </c>
      <c r="AC357" s="14">
        <f>IF(AND($H357=pt,$F357=11),SUM($Q$7:Q357)*VLOOKUP(pt,ROC,2,FALSE),0)</f>
        <v>0</v>
      </c>
      <c r="AD357" s="14">
        <f t="shared" ca="1" si="266"/>
        <v>0</v>
      </c>
      <c r="AE357" s="14">
        <f ca="1">(MAX(sa-CF356*Flag_UL_Type,105%*SUM($I$7:I357),Z357)+AU357)*B357</f>
        <v>0</v>
      </c>
      <c r="AF357" s="136"/>
      <c r="AG357" s="18">
        <v>351</v>
      </c>
      <c r="AH357" s="30">
        <f t="shared" ca="1" si="245"/>
        <v>0</v>
      </c>
      <c r="AI357" s="58"/>
      <c r="AJ357" s="50">
        <f>IF(AND(Option_Sys_TopUp&gt;="Y",H357&gt;=sytp,H357&lt;=(dtp+sytp-1),F357=0,H357&lt;=ppt+1),atp,0)+IFERROR(VLOOKUP(H357,Input!$B$55:$C$61,2,0),0)*(F357=0)*(Option_TopUP="Y")*(Option_Sys_TopUp="N")*B357*(pt&gt;=H357+5)</f>
        <v>0</v>
      </c>
      <c r="AK357" s="50">
        <f t="shared" si="246"/>
        <v>0</v>
      </c>
      <c r="AL357" s="50">
        <f t="shared" si="267"/>
        <v>0</v>
      </c>
      <c r="AM357" s="50">
        <f t="shared" ca="1" si="247"/>
        <v>0</v>
      </c>
      <c r="AN357" s="50">
        <f>IF(B357=0,0,AT357*(_rpm1+(1+_emr1)*VLOOKUP(E357,Tab_Mort_Charge,IF(Input!$C$12="M",2,3),0))*(0.001*0.0833)*Flag_Mort_Rider_Charge*(AT357&gt;0))</f>
        <v>0</v>
      </c>
      <c r="AO357" s="50">
        <f t="shared" ca="1" si="268"/>
        <v>0</v>
      </c>
      <c r="AP357" s="50">
        <f t="shared" ca="1" si="275"/>
        <v>0</v>
      </c>
      <c r="AQ357" s="50">
        <f t="shared" ca="1" si="248"/>
        <v>0</v>
      </c>
      <c r="AR357" s="50">
        <f t="shared" ca="1" si="249"/>
        <v>0</v>
      </c>
      <c r="AS357" s="50">
        <f t="shared" si="250"/>
        <v>0</v>
      </c>
      <c r="AT357" s="50">
        <f ca="1">(MAX((MAX(AS357,105%*SUM($AJ$7:AJ357))-AM357*Flag_UL_Type),0)*B357)</f>
        <v>0</v>
      </c>
      <c r="AU357" s="50">
        <f ca="1">(MAX(AS357,AR357,105%*SUM($AJ$7:AJ357))*B357)</f>
        <v>0</v>
      </c>
      <c r="AV357" s="125"/>
      <c r="AW357" s="13"/>
      <c r="AX357" s="13"/>
      <c r="AY357" s="13"/>
      <c r="AZ357" s="13"/>
      <c r="BA357" s="13"/>
      <c r="BG357" s="51">
        <f t="shared" si="251"/>
        <v>0</v>
      </c>
      <c r="BH357" s="51">
        <f t="shared" si="252"/>
        <v>0</v>
      </c>
      <c r="BI357" s="51">
        <f t="shared" ca="1" si="253"/>
        <v>0</v>
      </c>
      <c r="BJ357" s="51">
        <f t="shared" ca="1" si="254"/>
        <v>0</v>
      </c>
      <c r="BK357" s="51">
        <f t="shared" si="255"/>
        <v>0</v>
      </c>
      <c r="BL357" s="51">
        <f t="shared" ca="1" si="256"/>
        <v>0</v>
      </c>
      <c r="BM357" s="51">
        <f t="shared" si="257"/>
        <v>0</v>
      </c>
      <c r="BN357" s="51">
        <f t="shared" si="258"/>
        <v>0</v>
      </c>
      <c r="BO357" s="51">
        <f t="shared" ca="1" si="259"/>
        <v>0</v>
      </c>
      <c r="BP357" s="51">
        <f t="shared" ca="1" si="260"/>
        <v>0</v>
      </c>
      <c r="BQ357" s="120"/>
      <c r="BR357" s="32"/>
      <c r="BS357" s="126"/>
      <c r="BT357" s="16"/>
      <c r="BU357" s="58"/>
      <c r="BW357" s="51">
        <f>VLOOKUP(H357,Charges!$AT$4:$AU$33,2,FALSE)*I357</f>
        <v>0</v>
      </c>
      <c r="BX357" s="51">
        <f t="shared" si="261"/>
        <v>0</v>
      </c>
      <c r="BY357" s="51">
        <f t="shared" si="269"/>
        <v>0</v>
      </c>
      <c r="BZ357" s="151"/>
      <c r="CA357" s="151"/>
      <c r="CB357" s="32"/>
      <c r="CC357" s="16">
        <f ca="1">SUM($N$7:$N357)</f>
        <v>0</v>
      </c>
      <c r="CD357" s="16">
        <f t="shared" ca="1" si="262"/>
        <v>0</v>
      </c>
      <c r="CE357" s="16">
        <f t="shared" ca="1" si="263"/>
        <v>0</v>
      </c>
      <c r="CF357" s="7">
        <f t="shared" ca="1" si="270"/>
        <v>0</v>
      </c>
    </row>
    <row r="358" spans="1:84" s="7" customFormat="1" x14ac:dyDescent="0.2">
      <c r="A358" s="149"/>
      <c r="B358" s="14">
        <f t="shared" si="232"/>
        <v>0</v>
      </c>
      <c r="C358" s="12">
        <f t="shared" si="233"/>
        <v>0</v>
      </c>
      <c r="D358" s="17">
        <f t="shared" si="271"/>
        <v>352</v>
      </c>
      <c r="E358" s="17">
        <f t="shared" ca="1" si="234"/>
        <v>89</v>
      </c>
      <c r="F358" s="12">
        <f t="shared" si="273"/>
        <v>3</v>
      </c>
      <c r="G358" s="12">
        <f t="shared" si="272"/>
        <v>59</v>
      </c>
      <c r="H358" s="17">
        <f t="shared" si="274"/>
        <v>30</v>
      </c>
      <c r="I358" s="29">
        <f t="shared" si="235"/>
        <v>0</v>
      </c>
      <c r="J358" s="211">
        <f>IFERROR(VLOOKUP(H358,Charges!$T$6:$U$35,2,0)*C358,0)</f>
        <v>0</v>
      </c>
      <c r="K358" s="29">
        <f t="shared" si="236"/>
        <v>0</v>
      </c>
      <c r="L358" s="29">
        <f t="shared" si="237"/>
        <v>0</v>
      </c>
      <c r="M358" s="147">
        <f t="shared" ca="1" si="238"/>
        <v>0</v>
      </c>
      <c r="N358" s="148">
        <f ca="1">IF(AND(Option_SPW="Y",H358&gt;=Lock_In_Period,Z357&gt;SPW_Amount_pa+IF(option="Single",1/5*pr,2*pr),H358&gt;=SPW_Start_Year,H358&lt;=SPW_Start_Year+SPW_Duration-1,age+H358&gt;=Legal_Age),IF(AND(F358=0,SPW_Payout_Freq=1),SPW_Amount_pa,IF(AND(SPW_Payout_Freq=2,MOD(F358,6)=0),SPW_Amount_pa/SPW_Payout_Freq,IF(AND(SPW_Payout_Freq=4,MOD(F358,3)=0),SPW_Amount_pa/SPW_Payout_Freq,IF(SPW_Payout_Freq=12,SPW_Amount_pa/SPW_Payout_Freq,0)))),0)+IFERROR(VLOOKUP(H358,Input!$B$68:$C$74,2,0),0)*(F358=0)*(Option_PW="Y")*(Option_SPW="N")*(age+H358&gt;=Legal_Age)</f>
        <v>0</v>
      </c>
      <c r="O358" s="148">
        <f t="shared" ca="1" si="264"/>
        <v>0</v>
      </c>
      <c r="P358" s="14">
        <f ca="1">(MAX(MAX(sa-CF357*Flag_UL_Type,105%*SUM($I$7:I358))-(AD357+L358-N358)*Flag_UL_Type,0)*B358)</f>
        <v>0</v>
      </c>
      <c r="Q358" s="213">
        <f t="shared" si="239"/>
        <v>0</v>
      </c>
      <c r="R358" s="14">
        <f t="shared" ca="1" si="240"/>
        <v>0</v>
      </c>
      <c r="S358" s="14">
        <f t="shared" ca="1" si="241"/>
        <v>0</v>
      </c>
      <c r="T358" s="14">
        <f>IFERROR(IF(WoP_Flag="Y",IF(fq=1,VLOOKUP(ppt*fq-H358,Charges!$AN$41:$AO$59,2,FALSE),IF(fq=2,VLOOKUP(ppt*fq-G358,Charges!$AP$41:$AQ$79,2,FALSE),VLOOKUP(ppt*fq-D358,Charges!$AR$41:$AS$279,2,FALSE)))*pr/fq,0),0)</f>
        <v>0</v>
      </c>
      <c r="U358" s="14">
        <f ca="1">IFERROR(((T358*(VLOOKUP(Input!$D$18+H358-1,Tab_Mort_Charge,IF(Gender_2="M",2,3),FALSE)*(1+_emr2)+_rpm2)/IF(Model_Type="LA_PQIS",1000/0.0833,(12*1000))))*Flag_Mort_Rider_Charge*(T358&gt;0),0)</f>
        <v>0</v>
      </c>
      <c r="V358" s="34">
        <f>ROUND(MIN(IF(H358&gt;=7,Charges!$C$12*(1+Charges!$C$14)^((H358-7+1)),VLOOKUP(H358,Charges!$B$7:$C$12,2,0))*pr,Charges!$C$13)*B358,Round)</f>
        <v>0</v>
      </c>
      <c r="W358" s="14">
        <f t="shared" ca="1" si="242"/>
        <v>0</v>
      </c>
      <c r="X358" s="14">
        <f t="shared" ca="1" si="243"/>
        <v>0</v>
      </c>
      <c r="Y358" s="213">
        <f t="shared" ca="1" si="265"/>
        <v>0</v>
      </c>
      <c r="Z358" s="14">
        <f t="shared" ca="1" si="244"/>
        <v>0</v>
      </c>
      <c r="AA358" s="14">
        <f>IF(AND($H358=pt,$F358=11),SUM($K$7:K358)*VLOOKUP(pt,ROC,2,FALSE),0)</f>
        <v>0</v>
      </c>
      <c r="AB358" s="14">
        <f>IF(AND($H358=pt,$F358=11),SUM($V$7:V358)*VLOOKUP(pt,ROC,2,FALSE),0)</f>
        <v>0</v>
      </c>
      <c r="AC358" s="14">
        <f>IF(AND($H358=pt,$F358=11),SUM($Q$7:Q358)*VLOOKUP(pt,ROC,2,FALSE),0)</f>
        <v>0</v>
      </c>
      <c r="AD358" s="14">
        <f t="shared" ca="1" si="266"/>
        <v>0</v>
      </c>
      <c r="AE358" s="14">
        <f ca="1">(MAX(sa-CF357*Flag_UL_Type,105%*SUM($I$7:I358),Z358)+AU358)*B358</f>
        <v>0</v>
      </c>
      <c r="AF358" s="136"/>
      <c r="AG358" s="18">
        <v>352</v>
      </c>
      <c r="AH358" s="30">
        <f t="shared" ca="1" si="245"/>
        <v>0</v>
      </c>
      <c r="AI358" s="58"/>
      <c r="AJ358" s="50">
        <f>IF(AND(Option_Sys_TopUp&gt;="Y",H358&gt;=sytp,H358&lt;=(dtp+sytp-1),F358=0,H358&lt;=ppt+1),atp,0)+IFERROR(VLOOKUP(H358,Input!$B$55:$C$61,2,0),0)*(F358=0)*(Option_TopUP="Y")*(Option_Sys_TopUp="N")*B358*(pt&gt;=H358+5)</f>
        <v>0</v>
      </c>
      <c r="AK358" s="50">
        <f t="shared" si="246"/>
        <v>0</v>
      </c>
      <c r="AL358" s="50">
        <f t="shared" si="267"/>
        <v>0</v>
      </c>
      <c r="AM358" s="50">
        <f t="shared" ca="1" si="247"/>
        <v>0</v>
      </c>
      <c r="AN358" s="50">
        <f>IF(B358=0,0,AT358*(_rpm1+(1+_emr1)*VLOOKUP(E358,Tab_Mort_Charge,IF(Input!$C$12="M",2,3),0))*(0.001*0.0833)*Flag_Mort_Rider_Charge*(AT358&gt;0))</f>
        <v>0</v>
      </c>
      <c r="AO358" s="50">
        <f t="shared" ca="1" si="268"/>
        <v>0</v>
      </c>
      <c r="AP358" s="50">
        <f t="shared" ca="1" si="275"/>
        <v>0</v>
      </c>
      <c r="AQ358" s="50">
        <f t="shared" ca="1" si="248"/>
        <v>0</v>
      </c>
      <c r="AR358" s="50">
        <f t="shared" ca="1" si="249"/>
        <v>0</v>
      </c>
      <c r="AS358" s="50">
        <f t="shared" si="250"/>
        <v>0</v>
      </c>
      <c r="AT358" s="50">
        <f ca="1">(MAX((MAX(AS358,105%*SUM($AJ$7:AJ358))-AM358*Flag_UL_Type),0)*B358)</f>
        <v>0</v>
      </c>
      <c r="AU358" s="50">
        <f ca="1">(MAX(AS358,AR358,105%*SUM($AJ$7:AJ358))*B358)</f>
        <v>0</v>
      </c>
      <c r="AV358" s="125"/>
      <c r="AW358" s="13"/>
      <c r="AX358" s="13"/>
      <c r="AY358" s="13"/>
      <c r="AZ358" s="13"/>
      <c r="BA358" s="13"/>
      <c r="BG358" s="51">
        <f t="shared" si="251"/>
        <v>0</v>
      </c>
      <c r="BH358" s="51">
        <f t="shared" si="252"/>
        <v>0</v>
      </c>
      <c r="BI358" s="51">
        <f t="shared" ca="1" si="253"/>
        <v>0</v>
      </c>
      <c r="BJ358" s="51">
        <f t="shared" ca="1" si="254"/>
        <v>0</v>
      </c>
      <c r="BK358" s="51">
        <f t="shared" si="255"/>
        <v>0</v>
      </c>
      <c r="BL358" s="51">
        <f t="shared" ca="1" si="256"/>
        <v>0</v>
      </c>
      <c r="BM358" s="51">
        <f t="shared" si="257"/>
        <v>0</v>
      </c>
      <c r="BN358" s="51">
        <f t="shared" si="258"/>
        <v>0</v>
      </c>
      <c r="BO358" s="51">
        <f t="shared" ca="1" si="259"/>
        <v>0</v>
      </c>
      <c r="BP358" s="51">
        <f t="shared" ca="1" si="260"/>
        <v>0</v>
      </c>
      <c r="BQ358" s="120"/>
      <c r="BR358" s="32"/>
      <c r="BS358" s="126"/>
      <c r="BT358" s="16"/>
      <c r="BU358" s="58"/>
      <c r="BW358" s="51">
        <f>VLOOKUP(H358,Charges!$AT$4:$AU$33,2,FALSE)*I358</f>
        <v>0</v>
      </c>
      <c r="BX358" s="51">
        <f t="shared" si="261"/>
        <v>0</v>
      </c>
      <c r="BY358" s="51">
        <f t="shared" si="269"/>
        <v>0</v>
      </c>
      <c r="BZ358" s="151"/>
      <c r="CA358" s="151"/>
      <c r="CB358" s="32"/>
      <c r="CC358" s="16">
        <f ca="1">SUM($N$7:$N358)</f>
        <v>0</v>
      </c>
      <c r="CD358" s="16">
        <f t="shared" ca="1" si="262"/>
        <v>0</v>
      </c>
      <c r="CE358" s="16">
        <f t="shared" ca="1" si="263"/>
        <v>0</v>
      </c>
      <c r="CF358" s="7">
        <f t="shared" ca="1" si="270"/>
        <v>0</v>
      </c>
    </row>
    <row r="359" spans="1:84" s="7" customFormat="1" x14ac:dyDescent="0.2">
      <c r="A359" s="149"/>
      <c r="B359" s="14">
        <f t="shared" si="232"/>
        <v>0</v>
      </c>
      <c r="C359" s="12">
        <f t="shared" si="233"/>
        <v>0</v>
      </c>
      <c r="D359" s="17">
        <f t="shared" si="271"/>
        <v>353</v>
      </c>
      <c r="E359" s="17">
        <f t="shared" ca="1" si="234"/>
        <v>89</v>
      </c>
      <c r="F359" s="12">
        <f t="shared" si="273"/>
        <v>4</v>
      </c>
      <c r="G359" s="12">
        <f t="shared" si="272"/>
        <v>59</v>
      </c>
      <c r="H359" s="17">
        <f t="shared" si="274"/>
        <v>30</v>
      </c>
      <c r="I359" s="29">
        <f t="shared" si="235"/>
        <v>0</v>
      </c>
      <c r="J359" s="211">
        <f>IFERROR(VLOOKUP(H359,Charges!$T$6:$U$35,2,0)*C359,0)</f>
        <v>0</v>
      </c>
      <c r="K359" s="29">
        <f t="shared" si="236"/>
        <v>0</v>
      </c>
      <c r="L359" s="29">
        <f t="shared" si="237"/>
        <v>0</v>
      </c>
      <c r="M359" s="147">
        <f t="shared" ca="1" si="238"/>
        <v>0</v>
      </c>
      <c r="N359" s="148">
        <f ca="1">IF(AND(Option_SPW="Y",H359&gt;=Lock_In_Period,Z358&gt;SPW_Amount_pa+IF(option="Single",1/5*pr,2*pr),H359&gt;=SPW_Start_Year,H359&lt;=SPW_Start_Year+SPW_Duration-1,age+H359&gt;=Legal_Age),IF(AND(F359=0,SPW_Payout_Freq=1),SPW_Amount_pa,IF(AND(SPW_Payout_Freq=2,MOD(F359,6)=0),SPW_Amount_pa/SPW_Payout_Freq,IF(AND(SPW_Payout_Freq=4,MOD(F359,3)=0),SPW_Amount_pa/SPW_Payout_Freq,IF(SPW_Payout_Freq=12,SPW_Amount_pa/SPW_Payout_Freq,0)))),0)+IFERROR(VLOOKUP(H359,Input!$B$68:$C$74,2,0),0)*(F359=0)*(Option_PW="Y")*(Option_SPW="N")*(age+H359&gt;=Legal_Age)</f>
        <v>0</v>
      </c>
      <c r="O359" s="148">
        <f t="shared" ca="1" si="264"/>
        <v>0</v>
      </c>
      <c r="P359" s="14">
        <f ca="1">(MAX(MAX(sa-CF358*Flag_UL_Type,105%*SUM($I$7:I359))-(AD358+L359-N359)*Flag_UL_Type,0)*B359)</f>
        <v>0</v>
      </c>
      <c r="Q359" s="213">
        <f t="shared" si="239"/>
        <v>0</v>
      </c>
      <c r="R359" s="14">
        <f t="shared" ca="1" si="240"/>
        <v>0</v>
      </c>
      <c r="S359" s="14">
        <f t="shared" ca="1" si="241"/>
        <v>0</v>
      </c>
      <c r="T359" s="14">
        <f>IFERROR(IF(WoP_Flag="Y",IF(fq=1,VLOOKUP(ppt*fq-H359,Charges!$AN$41:$AO$59,2,FALSE),IF(fq=2,VLOOKUP(ppt*fq-G359,Charges!$AP$41:$AQ$79,2,FALSE),VLOOKUP(ppt*fq-D359,Charges!$AR$41:$AS$279,2,FALSE)))*pr/fq,0),0)</f>
        <v>0</v>
      </c>
      <c r="U359" s="14">
        <f ca="1">IFERROR(((T359*(VLOOKUP(Input!$D$18+H359-1,Tab_Mort_Charge,IF(Gender_2="M",2,3),FALSE)*(1+_emr2)+_rpm2)/IF(Model_Type="LA_PQIS",1000/0.0833,(12*1000))))*Flag_Mort_Rider_Charge*(T359&gt;0),0)</f>
        <v>0</v>
      </c>
      <c r="V359" s="34">
        <f>ROUND(MIN(IF(H359&gt;=7,Charges!$C$12*(1+Charges!$C$14)^((H359-7+1)),VLOOKUP(H359,Charges!$B$7:$C$12,2,0))*pr,Charges!$C$13)*B359,Round)</f>
        <v>0</v>
      </c>
      <c r="W359" s="14">
        <f t="shared" ca="1" si="242"/>
        <v>0</v>
      </c>
      <c r="X359" s="14">
        <f t="shared" ca="1" si="243"/>
        <v>0</v>
      </c>
      <c r="Y359" s="213">
        <f t="shared" ca="1" si="265"/>
        <v>0</v>
      </c>
      <c r="Z359" s="14">
        <f t="shared" ca="1" si="244"/>
        <v>0</v>
      </c>
      <c r="AA359" s="14">
        <f>IF(AND($H359=pt,$F359=11),SUM($K$7:K359)*VLOOKUP(pt,ROC,2,FALSE),0)</f>
        <v>0</v>
      </c>
      <c r="AB359" s="14">
        <f>IF(AND($H359=pt,$F359=11),SUM($V$7:V359)*VLOOKUP(pt,ROC,2,FALSE),0)</f>
        <v>0</v>
      </c>
      <c r="AC359" s="14">
        <f>IF(AND($H359=pt,$F359=11),SUM($Q$7:Q359)*VLOOKUP(pt,ROC,2,FALSE),0)</f>
        <v>0</v>
      </c>
      <c r="AD359" s="14">
        <f t="shared" ca="1" si="266"/>
        <v>0</v>
      </c>
      <c r="AE359" s="14">
        <f ca="1">(MAX(sa-CF358*Flag_UL_Type,105%*SUM($I$7:I359),Z359)+AU359)*B359</f>
        <v>0</v>
      </c>
      <c r="AF359" s="136"/>
      <c r="AG359" s="18">
        <v>353</v>
      </c>
      <c r="AH359" s="30">
        <f t="shared" ca="1" si="245"/>
        <v>0</v>
      </c>
      <c r="AI359" s="58"/>
      <c r="AJ359" s="50">
        <f>IF(AND(Option_Sys_TopUp&gt;="Y",H359&gt;=sytp,H359&lt;=(dtp+sytp-1),F359=0,H359&lt;=ppt+1),atp,0)+IFERROR(VLOOKUP(H359,Input!$B$55:$C$61,2,0),0)*(F359=0)*(Option_TopUP="Y")*(Option_Sys_TopUp="N")*B359*(pt&gt;=H359+5)</f>
        <v>0</v>
      </c>
      <c r="AK359" s="50">
        <f t="shared" si="246"/>
        <v>0</v>
      </c>
      <c r="AL359" s="50">
        <f t="shared" si="267"/>
        <v>0</v>
      </c>
      <c r="AM359" s="50">
        <f t="shared" ca="1" si="247"/>
        <v>0</v>
      </c>
      <c r="AN359" s="50">
        <f>IF(B359=0,0,AT359*(_rpm1+(1+_emr1)*VLOOKUP(E359,Tab_Mort_Charge,IF(Input!$C$12="M",2,3),0))*(0.001*0.0833)*Flag_Mort_Rider_Charge*(AT359&gt;0))</f>
        <v>0</v>
      </c>
      <c r="AO359" s="50">
        <f t="shared" ca="1" si="268"/>
        <v>0</v>
      </c>
      <c r="AP359" s="50">
        <f t="shared" ca="1" si="275"/>
        <v>0</v>
      </c>
      <c r="AQ359" s="50">
        <f t="shared" ca="1" si="248"/>
        <v>0</v>
      </c>
      <c r="AR359" s="50">
        <f t="shared" ca="1" si="249"/>
        <v>0</v>
      </c>
      <c r="AS359" s="50">
        <f t="shared" si="250"/>
        <v>0</v>
      </c>
      <c r="AT359" s="50">
        <f ca="1">(MAX((MAX(AS359,105%*SUM($AJ$7:AJ359))-AM359*Flag_UL_Type),0)*B359)</f>
        <v>0</v>
      </c>
      <c r="AU359" s="50">
        <f ca="1">(MAX(AS359,AR359,105%*SUM($AJ$7:AJ359))*B359)</f>
        <v>0</v>
      </c>
      <c r="AV359" s="125"/>
      <c r="AW359" s="13"/>
      <c r="AX359" s="13"/>
      <c r="AY359" s="13"/>
      <c r="AZ359" s="13"/>
      <c r="BA359" s="13"/>
      <c r="BG359" s="51">
        <f t="shared" si="251"/>
        <v>0</v>
      </c>
      <c r="BH359" s="51">
        <f t="shared" si="252"/>
        <v>0</v>
      </c>
      <c r="BI359" s="51">
        <f t="shared" ca="1" si="253"/>
        <v>0</v>
      </c>
      <c r="BJ359" s="51">
        <f t="shared" ca="1" si="254"/>
        <v>0</v>
      </c>
      <c r="BK359" s="51">
        <f t="shared" si="255"/>
        <v>0</v>
      </c>
      <c r="BL359" s="51">
        <f t="shared" ca="1" si="256"/>
        <v>0</v>
      </c>
      <c r="BM359" s="51">
        <f t="shared" si="257"/>
        <v>0</v>
      </c>
      <c r="BN359" s="51">
        <f t="shared" si="258"/>
        <v>0</v>
      </c>
      <c r="BO359" s="51">
        <f t="shared" ca="1" si="259"/>
        <v>0</v>
      </c>
      <c r="BP359" s="51">
        <f t="shared" ca="1" si="260"/>
        <v>0</v>
      </c>
      <c r="BQ359" s="120"/>
      <c r="BR359" s="32"/>
      <c r="BS359" s="126"/>
      <c r="BT359" s="16"/>
      <c r="BU359" s="58"/>
      <c r="BW359" s="51">
        <f>VLOOKUP(H359,Charges!$AT$4:$AU$33,2,FALSE)*I359</f>
        <v>0</v>
      </c>
      <c r="BX359" s="51">
        <f t="shared" si="261"/>
        <v>0</v>
      </c>
      <c r="BY359" s="51">
        <f t="shared" si="269"/>
        <v>0</v>
      </c>
      <c r="BZ359" s="151"/>
      <c r="CA359" s="151"/>
      <c r="CB359" s="32"/>
      <c r="CC359" s="16">
        <f ca="1">SUM($N$7:$N359)</f>
        <v>0</v>
      </c>
      <c r="CD359" s="16">
        <f t="shared" ca="1" si="262"/>
        <v>0</v>
      </c>
      <c r="CE359" s="16">
        <f t="shared" ca="1" si="263"/>
        <v>0</v>
      </c>
      <c r="CF359" s="7">
        <f t="shared" ca="1" si="270"/>
        <v>0</v>
      </c>
    </row>
    <row r="360" spans="1:84" s="7" customFormat="1" x14ac:dyDescent="0.2">
      <c r="A360" s="149"/>
      <c r="B360" s="14">
        <f t="shared" si="232"/>
        <v>0</v>
      </c>
      <c r="C360" s="12">
        <f t="shared" si="233"/>
        <v>0</v>
      </c>
      <c r="D360" s="17">
        <f t="shared" si="271"/>
        <v>354</v>
      </c>
      <c r="E360" s="17">
        <f t="shared" ca="1" si="234"/>
        <v>89</v>
      </c>
      <c r="F360" s="12">
        <f t="shared" si="273"/>
        <v>5</v>
      </c>
      <c r="G360" s="12">
        <f t="shared" si="272"/>
        <v>59</v>
      </c>
      <c r="H360" s="17">
        <f t="shared" si="274"/>
        <v>30</v>
      </c>
      <c r="I360" s="29">
        <f t="shared" si="235"/>
        <v>0</v>
      </c>
      <c r="J360" s="211">
        <f>IFERROR(VLOOKUP(H360,Charges!$T$6:$U$35,2,0)*C360,0)</f>
        <v>0</v>
      </c>
      <c r="K360" s="29">
        <f t="shared" si="236"/>
        <v>0</v>
      </c>
      <c r="L360" s="29">
        <f t="shared" si="237"/>
        <v>0</v>
      </c>
      <c r="M360" s="147">
        <f t="shared" ca="1" si="238"/>
        <v>0</v>
      </c>
      <c r="N360" s="148">
        <f ca="1">IF(AND(Option_SPW="Y",H360&gt;=Lock_In_Period,Z359&gt;SPW_Amount_pa+IF(option="Single",1/5*pr,2*pr),H360&gt;=SPW_Start_Year,H360&lt;=SPW_Start_Year+SPW_Duration-1,age+H360&gt;=Legal_Age),IF(AND(F360=0,SPW_Payout_Freq=1),SPW_Amount_pa,IF(AND(SPW_Payout_Freq=2,MOD(F360,6)=0),SPW_Amount_pa/SPW_Payout_Freq,IF(AND(SPW_Payout_Freq=4,MOD(F360,3)=0),SPW_Amount_pa/SPW_Payout_Freq,IF(SPW_Payout_Freq=12,SPW_Amount_pa/SPW_Payout_Freq,0)))),0)+IFERROR(VLOOKUP(H360,Input!$B$68:$C$74,2,0),0)*(F360=0)*(Option_PW="Y")*(Option_SPW="N")*(age+H360&gt;=Legal_Age)</f>
        <v>0</v>
      </c>
      <c r="O360" s="148">
        <f t="shared" ca="1" si="264"/>
        <v>0</v>
      </c>
      <c r="P360" s="14">
        <f ca="1">(MAX(MAX(sa-CF359*Flag_UL_Type,105%*SUM($I$7:I360))-(AD359+L360-N360)*Flag_UL_Type,0)*B360)</f>
        <v>0</v>
      </c>
      <c r="Q360" s="213">
        <f t="shared" si="239"/>
        <v>0</v>
      </c>
      <c r="R360" s="14">
        <f t="shared" ca="1" si="240"/>
        <v>0</v>
      </c>
      <c r="S360" s="14">
        <f t="shared" ca="1" si="241"/>
        <v>0</v>
      </c>
      <c r="T360" s="14">
        <f>IFERROR(IF(WoP_Flag="Y",IF(fq=1,VLOOKUP(ppt*fq-H360,Charges!$AN$41:$AO$59,2,FALSE),IF(fq=2,VLOOKUP(ppt*fq-G360,Charges!$AP$41:$AQ$79,2,FALSE),VLOOKUP(ppt*fq-D360,Charges!$AR$41:$AS$279,2,FALSE)))*pr/fq,0),0)</f>
        <v>0</v>
      </c>
      <c r="U360" s="14">
        <f ca="1">IFERROR(((T360*(VLOOKUP(Input!$D$18+H360-1,Tab_Mort_Charge,IF(Gender_2="M",2,3),FALSE)*(1+_emr2)+_rpm2)/IF(Model_Type="LA_PQIS",1000/0.0833,(12*1000))))*Flag_Mort_Rider_Charge*(T360&gt;0),0)</f>
        <v>0</v>
      </c>
      <c r="V360" s="34">
        <f>ROUND(MIN(IF(H360&gt;=7,Charges!$C$12*(1+Charges!$C$14)^((H360-7+1)),VLOOKUP(H360,Charges!$B$7:$C$12,2,0))*pr,Charges!$C$13)*B360,Round)</f>
        <v>0</v>
      </c>
      <c r="W360" s="14">
        <f t="shared" ca="1" si="242"/>
        <v>0</v>
      </c>
      <c r="X360" s="14">
        <f t="shared" ca="1" si="243"/>
        <v>0</v>
      </c>
      <c r="Y360" s="213">
        <f t="shared" ca="1" si="265"/>
        <v>0</v>
      </c>
      <c r="Z360" s="14">
        <f t="shared" ca="1" si="244"/>
        <v>0</v>
      </c>
      <c r="AA360" s="14">
        <f>IF(AND($H360=pt,$F360=11),SUM($K$7:K360)*VLOOKUP(pt,ROC,2,FALSE),0)</f>
        <v>0</v>
      </c>
      <c r="AB360" s="14">
        <f>IF(AND($H360=pt,$F360=11),SUM($V$7:V360)*VLOOKUP(pt,ROC,2,FALSE),0)</f>
        <v>0</v>
      </c>
      <c r="AC360" s="14">
        <f>IF(AND($H360=pt,$F360=11),SUM($Q$7:Q360)*VLOOKUP(pt,ROC,2,FALSE),0)</f>
        <v>0</v>
      </c>
      <c r="AD360" s="14">
        <f t="shared" ca="1" si="266"/>
        <v>0</v>
      </c>
      <c r="AE360" s="14">
        <f ca="1">(MAX(sa-CF359*Flag_UL_Type,105%*SUM($I$7:I360),Z360)+AU360)*B360</f>
        <v>0</v>
      </c>
      <c r="AF360" s="136"/>
      <c r="AG360" s="18">
        <v>354</v>
      </c>
      <c r="AH360" s="30">
        <f t="shared" ca="1" si="245"/>
        <v>0</v>
      </c>
      <c r="AI360" s="58"/>
      <c r="AJ360" s="50">
        <f>IF(AND(Option_Sys_TopUp&gt;="Y",H360&gt;=sytp,H360&lt;=(dtp+sytp-1),F360=0,H360&lt;=ppt+1),atp,0)+IFERROR(VLOOKUP(H360,Input!$B$55:$C$61,2,0),0)*(F360=0)*(Option_TopUP="Y")*(Option_Sys_TopUp="N")*B360*(pt&gt;=H360+5)</f>
        <v>0</v>
      </c>
      <c r="AK360" s="50">
        <f t="shared" si="246"/>
        <v>0</v>
      </c>
      <c r="AL360" s="50">
        <f t="shared" si="267"/>
        <v>0</v>
      </c>
      <c r="AM360" s="50">
        <f t="shared" ca="1" si="247"/>
        <v>0</v>
      </c>
      <c r="AN360" s="50">
        <f>IF(B360=0,0,AT360*(_rpm1+(1+_emr1)*VLOOKUP(E360,Tab_Mort_Charge,IF(Input!$C$12="M",2,3),0))*(0.001*0.0833)*Flag_Mort_Rider_Charge*(AT360&gt;0))</f>
        <v>0</v>
      </c>
      <c r="AO360" s="50">
        <f t="shared" ca="1" si="268"/>
        <v>0</v>
      </c>
      <c r="AP360" s="50">
        <f t="shared" ca="1" si="275"/>
        <v>0</v>
      </c>
      <c r="AQ360" s="50">
        <f t="shared" ca="1" si="248"/>
        <v>0</v>
      </c>
      <c r="AR360" s="50">
        <f t="shared" ca="1" si="249"/>
        <v>0</v>
      </c>
      <c r="AS360" s="50">
        <f t="shared" si="250"/>
        <v>0</v>
      </c>
      <c r="AT360" s="50">
        <f ca="1">(MAX((MAX(AS360,105%*SUM($AJ$7:AJ360))-AM360*Flag_UL_Type),0)*B360)</f>
        <v>0</v>
      </c>
      <c r="AU360" s="50">
        <f ca="1">(MAX(AS360,AR360,105%*SUM($AJ$7:AJ360))*B360)</f>
        <v>0</v>
      </c>
      <c r="AV360" s="125"/>
      <c r="AW360" s="13"/>
      <c r="AX360" s="13"/>
      <c r="AY360" s="13"/>
      <c r="AZ360" s="13"/>
      <c r="BA360" s="13"/>
      <c r="BG360" s="51">
        <f t="shared" si="251"/>
        <v>0</v>
      </c>
      <c r="BH360" s="51">
        <f t="shared" si="252"/>
        <v>0</v>
      </c>
      <c r="BI360" s="51">
        <f t="shared" ca="1" si="253"/>
        <v>0</v>
      </c>
      <c r="BJ360" s="51">
        <f t="shared" ca="1" si="254"/>
        <v>0</v>
      </c>
      <c r="BK360" s="51">
        <f t="shared" si="255"/>
        <v>0</v>
      </c>
      <c r="BL360" s="51">
        <f t="shared" ca="1" si="256"/>
        <v>0</v>
      </c>
      <c r="BM360" s="51">
        <f t="shared" si="257"/>
        <v>0</v>
      </c>
      <c r="BN360" s="51">
        <f t="shared" si="258"/>
        <v>0</v>
      </c>
      <c r="BO360" s="51">
        <f t="shared" ca="1" si="259"/>
        <v>0</v>
      </c>
      <c r="BP360" s="51">
        <f t="shared" ca="1" si="260"/>
        <v>0</v>
      </c>
      <c r="BQ360" s="120"/>
      <c r="BR360" s="32"/>
      <c r="BS360" s="126"/>
      <c r="BT360" s="16"/>
      <c r="BU360" s="58"/>
      <c r="BW360" s="51">
        <f>VLOOKUP(H360,Charges!$AT$4:$AU$33,2,FALSE)*I360</f>
        <v>0</v>
      </c>
      <c r="BX360" s="51">
        <f t="shared" si="261"/>
        <v>0</v>
      </c>
      <c r="BY360" s="51">
        <f t="shared" si="269"/>
        <v>0</v>
      </c>
      <c r="BZ360" s="151"/>
      <c r="CA360" s="151"/>
      <c r="CB360" s="32"/>
      <c r="CC360" s="16">
        <f ca="1">SUM($N$7:$N360)</f>
        <v>0</v>
      </c>
      <c r="CD360" s="16">
        <f t="shared" ca="1" si="262"/>
        <v>0</v>
      </c>
      <c r="CE360" s="16">
        <f t="shared" ca="1" si="263"/>
        <v>0</v>
      </c>
      <c r="CF360" s="7">
        <f t="shared" ca="1" si="270"/>
        <v>0</v>
      </c>
    </row>
    <row r="361" spans="1:84" s="7" customFormat="1" x14ac:dyDescent="0.2">
      <c r="A361" s="149"/>
      <c r="B361" s="14">
        <f t="shared" si="232"/>
        <v>0</v>
      </c>
      <c r="C361" s="12">
        <f t="shared" si="233"/>
        <v>0</v>
      </c>
      <c r="D361" s="17">
        <f t="shared" si="271"/>
        <v>355</v>
      </c>
      <c r="E361" s="17">
        <f t="shared" ca="1" si="234"/>
        <v>89</v>
      </c>
      <c r="F361" s="12">
        <f t="shared" si="273"/>
        <v>6</v>
      </c>
      <c r="G361" s="12">
        <f t="shared" si="272"/>
        <v>60</v>
      </c>
      <c r="H361" s="17">
        <f t="shared" si="274"/>
        <v>30</v>
      </c>
      <c r="I361" s="29">
        <f t="shared" si="235"/>
        <v>0</v>
      </c>
      <c r="J361" s="211">
        <f>IFERROR(VLOOKUP(H361,Charges!$T$6:$U$35,2,0)*C361,0)</f>
        <v>0</v>
      </c>
      <c r="K361" s="29">
        <f t="shared" si="236"/>
        <v>0</v>
      </c>
      <c r="L361" s="29">
        <f t="shared" si="237"/>
        <v>0</v>
      </c>
      <c r="M361" s="147">
        <f t="shared" ca="1" si="238"/>
        <v>0</v>
      </c>
      <c r="N361" s="148">
        <f ca="1">IF(AND(Option_SPW="Y",H361&gt;=Lock_In_Period,Z360&gt;SPW_Amount_pa+IF(option="Single",1/5*pr,2*pr),H361&gt;=SPW_Start_Year,H361&lt;=SPW_Start_Year+SPW_Duration-1,age+H361&gt;=Legal_Age),IF(AND(F361=0,SPW_Payout_Freq=1),SPW_Amount_pa,IF(AND(SPW_Payout_Freq=2,MOD(F361,6)=0),SPW_Amount_pa/SPW_Payout_Freq,IF(AND(SPW_Payout_Freq=4,MOD(F361,3)=0),SPW_Amount_pa/SPW_Payout_Freq,IF(SPW_Payout_Freq=12,SPW_Amount_pa/SPW_Payout_Freq,0)))),0)+IFERROR(VLOOKUP(H361,Input!$B$68:$C$74,2,0),0)*(F361=0)*(Option_PW="Y")*(Option_SPW="N")*(age+H361&gt;=Legal_Age)</f>
        <v>0</v>
      </c>
      <c r="O361" s="148">
        <f t="shared" ca="1" si="264"/>
        <v>0</v>
      </c>
      <c r="P361" s="14">
        <f ca="1">(MAX(MAX(sa-CF360*Flag_UL_Type,105%*SUM($I$7:I361))-(AD360+L361-N361)*Flag_UL_Type,0)*B361)</f>
        <v>0</v>
      </c>
      <c r="Q361" s="213">
        <f t="shared" si="239"/>
        <v>0</v>
      </c>
      <c r="R361" s="14">
        <f t="shared" ca="1" si="240"/>
        <v>0</v>
      </c>
      <c r="S361" s="14">
        <f t="shared" ca="1" si="241"/>
        <v>0</v>
      </c>
      <c r="T361" s="14">
        <f>IFERROR(IF(WoP_Flag="Y",IF(fq=1,VLOOKUP(ppt*fq-H361,Charges!$AN$41:$AO$59,2,FALSE),IF(fq=2,VLOOKUP(ppt*fq-G361,Charges!$AP$41:$AQ$79,2,FALSE),VLOOKUP(ppt*fq-D361,Charges!$AR$41:$AS$279,2,FALSE)))*pr/fq,0),0)</f>
        <v>0</v>
      </c>
      <c r="U361" s="14">
        <f ca="1">IFERROR(((T361*(VLOOKUP(Input!$D$18+H361-1,Tab_Mort_Charge,IF(Gender_2="M",2,3),FALSE)*(1+_emr2)+_rpm2)/IF(Model_Type="LA_PQIS",1000/0.0833,(12*1000))))*Flag_Mort_Rider_Charge*(T361&gt;0),0)</f>
        <v>0</v>
      </c>
      <c r="V361" s="34">
        <f>ROUND(MIN(IF(H361&gt;=7,Charges!$C$12*(1+Charges!$C$14)^((H361-7+1)),VLOOKUP(H361,Charges!$B$7:$C$12,2,0))*pr,Charges!$C$13)*B361,Round)</f>
        <v>0</v>
      </c>
      <c r="W361" s="14">
        <f t="shared" ca="1" si="242"/>
        <v>0</v>
      </c>
      <c r="X361" s="14">
        <f t="shared" ca="1" si="243"/>
        <v>0</v>
      </c>
      <c r="Y361" s="213">
        <f t="shared" ca="1" si="265"/>
        <v>0</v>
      </c>
      <c r="Z361" s="14">
        <f t="shared" ca="1" si="244"/>
        <v>0</v>
      </c>
      <c r="AA361" s="14">
        <f>IF(AND($H361=pt,$F361=11),SUM($K$7:K361)*VLOOKUP(pt,ROC,2,FALSE),0)</f>
        <v>0</v>
      </c>
      <c r="AB361" s="14">
        <f>IF(AND($H361=pt,$F361=11),SUM($V$7:V361)*VLOOKUP(pt,ROC,2,FALSE),0)</f>
        <v>0</v>
      </c>
      <c r="AC361" s="14">
        <f>IF(AND($H361=pt,$F361=11),SUM($Q$7:Q361)*VLOOKUP(pt,ROC,2,FALSE),0)</f>
        <v>0</v>
      </c>
      <c r="AD361" s="14">
        <f t="shared" ca="1" si="266"/>
        <v>0</v>
      </c>
      <c r="AE361" s="14">
        <f ca="1">(MAX(sa-CF360*Flag_UL_Type,105%*SUM($I$7:I361),Z361)+AU361)*B361</f>
        <v>0</v>
      </c>
      <c r="AF361" s="136"/>
      <c r="AG361" s="18">
        <v>355</v>
      </c>
      <c r="AH361" s="30">
        <f t="shared" ca="1" si="245"/>
        <v>0</v>
      </c>
      <c r="AI361" s="58"/>
      <c r="AJ361" s="50">
        <f>IF(AND(Option_Sys_TopUp&gt;="Y",H361&gt;=sytp,H361&lt;=(dtp+sytp-1),F361=0,H361&lt;=ppt+1),atp,0)+IFERROR(VLOOKUP(H361,Input!$B$55:$C$61,2,0),0)*(F361=0)*(Option_TopUP="Y")*(Option_Sys_TopUp="N")*B361*(pt&gt;=H361+5)</f>
        <v>0</v>
      </c>
      <c r="AK361" s="50">
        <f t="shared" si="246"/>
        <v>0</v>
      </c>
      <c r="AL361" s="50">
        <f t="shared" si="267"/>
        <v>0</v>
      </c>
      <c r="AM361" s="50">
        <f t="shared" ca="1" si="247"/>
        <v>0</v>
      </c>
      <c r="AN361" s="50">
        <f>IF(B361=0,0,AT361*(_rpm1+(1+_emr1)*VLOOKUP(E361,Tab_Mort_Charge,IF(Input!$C$12="M",2,3),0))*(0.001*0.0833)*Flag_Mort_Rider_Charge*(AT361&gt;0))</f>
        <v>0</v>
      </c>
      <c r="AO361" s="50">
        <f t="shared" ca="1" si="268"/>
        <v>0</v>
      </c>
      <c r="AP361" s="50">
        <f t="shared" ca="1" si="275"/>
        <v>0</v>
      </c>
      <c r="AQ361" s="50">
        <f t="shared" ca="1" si="248"/>
        <v>0</v>
      </c>
      <c r="AR361" s="50">
        <f t="shared" ca="1" si="249"/>
        <v>0</v>
      </c>
      <c r="AS361" s="50">
        <f t="shared" si="250"/>
        <v>0</v>
      </c>
      <c r="AT361" s="50">
        <f ca="1">(MAX((MAX(AS361,105%*SUM($AJ$7:AJ361))-AM361*Flag_UL_Type),0)*B361)</f>
        <v>0</v>
      </c>
      <c r="AU361" s="50">
        <f ca="1">(MAX(AS361,AR361,105%*SUM($AJ$7:AJ361))*B361)</f>
        <v>0</v>
      </c>
      <c r="AV361" s="125"/>
      <c r="AW361" s="13"/>
      <c r="AX361" s="13"/>
      <c r="AY361" s="13"/>
      <c r="AZ361" s="13"/>
      <c r="BA361" s="13"/>
      <c r="BG361" s="51">
        <f t="shared" si="251"/>
        <v>0</v>
      </c>
      <c r="BH361" s="51">
        <f t="shared" si="252"/>
        <v>0</v>
      </c>
      <c r="BI361" s="51">
        <f t="shared" ca="1" si="253"/>
        <v>0</v>
      </c>
      <c r="BJ361" s="51">
        <f t="shared" ca="1" si="254"/>
        <v>0</v>
      </c>
      <c r="BK361" s="51">
        <f t="shared" si="255"/>
        <v>0</v>
      </c>
      <c r="BL361" s="51">
        <f t="shared" ca="1" si="256"/>
        <v>0</v>
      </c>
      <c r="BM361" s="51">
        <f t="shared" si="257"/>
        <v>0</v>
      </c>
      <c r="BN361" s="51">
        <f t="shared" si="258"/>
        <v>0</v>
      </c>
      <c r="BO361" s="51">
        <f t="shared" ca="1" si="259"/>
        <v>0</v>
      </c>
      <c r="BP361" s="51">
        <f t="shared" ca="1" si="260"/>
        <v>0</v>
      </c>
      <c r="BQ361" s="120"/>
      <c r="BR361" s="32"/>
      <c r="BS361" s="126"/>
      <c r="BT361" s="16"/>
      <c r="BU361" s="58"/>
      <c r="BW361" s="51">
        <f>VLOOKUP(H361,Charges!$AT$4:$AU$33,2,FALSE)*I361</f>
        <v>0</v>
      </c>
      <c r="BX361" s="51">
        <f t="shared" si="261"/>
        <v>0</v>
      </c>
      <c r="BY361" s="51">
        <f t="shared" si="269"/>
        <v>0</v>
      </c>
      <c r="BZ361" s="151"/>
      <c r="CA361" s="151"/>
      <c r="CB361" s="32"/>
      <c r="CC361" s="16">
        <f ca="1">SUM($N$7:$N361)</f>
        <v>0</v>
      </c>
      <c r="CD361" s="16">
        <f t="shared" ca="1" si="262"/>
        <v>0</v>
      </c>
      <c r="CE361" s="16">
        <f t="shared" ca="1" si="263"/>
        <v>0</v>
      </c>
      <c r="CF361" s="7">
        <f t="shared" ca="1" si="270"/>
        <v>0</v>
      </c>
    </row>
    <row r="362" spans="1:84" s="7" customFormat="1" x14ac:dyDescent="0.2">
      <c r="A362" s="149"/>
      <c r="B362" s="14">
        <f t="shared" si="232"/>
        <v>0</v>
      </c>
      <c r="C362" s="12">
        <f t="shared" si="233"/>
        <v>0</v>
      </c>
      <c r="D362" s="17">
        <f t="shared" si="271"/>
        <v>356</v>
      </c>
      <c r="E362" s="17">
        <f t="shared" ca="1" si="234"/>
        <v>89</v>
      </c>
      <c r="F362" s="12">
        <f t="shared" si="273"/>
        <v>7</v>
      </c>
      <c r="G362" s="12">
        <f t="shared" si="272"/>
        <v>60</v>
      </c>
      <c r="H362" s="17">
        <f t="shared" si="274"/>
        <v>30</v>
      </c>
      <c r="I362" s="29">
        <f t="shared" si="235"/>
        <v>0</v>
      </c>
      <c r="J362" s="211">
        <f>IFERROR(VLOOKUP(H362,Charges!$T$6:$U$35,2,0)*C362,0)</f>
        <v>0</v>
      </c>
      <c r="K362" s="29">
        <f t="shared" si="236"/>
        <v>0</v>
      </c>
      <c r="L362" s="29">
        <f t="shared" si="237"/>
        <v>0</v>
      </c>
      <c r="M362" s="147">
        <f t="shared" ca="1" si="238"/>
        <v>0</v>
      </c>
      <c r="N362" s="148">
        <f ca="1">IF(AND(Option_SPW="Y",H362&gt;=Lock_In_Period,Z361&gt;SPW_Amount_pa+IF(option="Single",1/5*pr,2*pr),H362&gt;=SPW_Start_Year,H362&lt;=SPW_Start_Year+SPW_Duration-1,age+H362&gt;=Legal_Age),IF(AND(F362=0,SPW_Payout_Freq=1),SPW_Amount_pa,IF(AND(SPW_Payout_Freq=2,MOD(F362,6)=0),SPW_Amount_pa/SPW_Payout_Freq,IF(AND(SPW_Payout_Freq=4,MOD(F362,3)=0),SPW_Amount_pa/SPW_Payout_Freq,IF(SPW_Payout_Freq=12,SPW_Amount_pa/SPW_Payout_Freq,0)))),0)+IFERROR(VLOOKUP(H362,Input!$B$68:$C$74,2,0),0)*(F362=0)*(Option_PW="Y")*(Option_SPW="N")*(age+H362&gt;=Legal_Age)</f>
        <v>0</v>
      </c>
      <c r="O362" s="148">
        <f t="shared" ca="1" si="264"/>
        <v>0</v>
      </c>
      <c r="P362" s="14">
        <f ca="1">(MAX(MAX(sa-CF361*Flag_UL_Type,105%*SUM($I$7:I362))-(AD361+L362-N362)*Flag_UL_Type,0)*B362)</f>
        <v>0</v>
      </c>
      <c r="Q362" s="213">
        <f t="shared" si="239"/>
        <v>0</v>
      </c>
      <c r="R362" s="14">
        <f t="shared" ca="1" si="240"/>
        <v>0</v>
      </c>
      <c r="S362" s="14">
        <f t="shared" ca="1" si="241"/>
        <v>0</v>
      </c>
      <c r="T362" s="14">
        <f>IFERROR(IF(WoP_Flag="Y",IF(fq=1,VLOOKUP(ppt*fq-H362,Charges!$AN$41:$AO$59,2,FALSE),IF(fq=2,VLOOKUP(ppt*fq-G362,Charges!$AP$41:$AQ$79,2,FALSE),VLOOKUP(ppt*fq-D362,Charges!$AR$41:$AS$279,2,FALSE)))*pr/fq,0),0)</f>
        <v>0</v>
      </c>
      <c r="U362" s="14">
        <f ca="1">IFERROR(((T362*(VLOOKUP(Input!$D$18+H362-1,Tab_Mort_Charge,IF(Gender_2="M",2,3),FALSE)*(1+_emr2)+_rpm2)/IF(Model_Type="LA_PQIS",1000/0.0833,(12*1000))))*Flag_Mort_Rider_Charge*(T362&gt;0),0)</f>
        <v>0</v>
      </c>
      <c r="V362" s="34">
        <f>ROUND(MIN(IF(H362&gt;=7,Charges!$C$12*(1+Charges!$C$14)^((H362-7+1)),VLOOKUP(H362,Charges!$B$7:$C$12,2,0))*pr,Charges!$C$13)*B362,Round)</f>
        <v>0</v>
      </c>
      <c r="W362" s="14">
        <f t="shared" ca="1" si="242"/>
        <v>0</v>
      </c>
      <c r="X362" s="14">
        <f t="shared" ca="1" si="243"/>
        <v>0</v>
      </c>
      <c r="Y362" s="213">
        <f t="shared" ca="1" si="265"/>
        <v>0</v>
      </c>
      <c r="Z362" s="14">
        <f t="shared" ca="1" si="244"/>
        <v>0</v>
      </c>
      <c r="AA362" s="14">
        <f>IF(AND($H362=pt,$F362=11),SUM($K$7:K362)*VLOOKUP(pt,ROC,2,FALSE),0)</f>
        <v>0</v>
      </c>
      <c r="AB362" s="14">
        <f>IF(AND($H362=pt,$F362=11),SUM($V$7:V362)*VLOOKUP(pt,ROC,2,FALSE),0)</f>
        <v>0</v>
      </c>
      <c r="AC362" s="14">
        <f>IF(AND($H362=pt,$F362=11),SUM($Q$7:Q362)*VLOOKUP(pt,ROC,2,FALSE),0)</f>
        <v>0</v>
      </c>
      <c r="AD362" s="14">
        <f t="shared" ca="1" si="266"/>
        <v>0</v>
      </c>
      <c r="AE362" s="14">
        <f ca="1">(MAX(sa-CF361*Flag_UL_Type,105%*SUM($I$7:I362),Z362)+AU362)*B362</f>
        <v>0</v>
      </c>
      <c r="AF362" s="136"/>
      <c r="AG362" s="18">
        <v>356</v>
      </c>
      <c r="AH362" s="30">
        <f t="shared" ca="1" si="245"/>
        <v>0</v>
      </c>
      <c r="AI362" s="58"/>
      <c r="AJ362" s="50">
        <f>IF(AND(Option_Sys_TopUp&gt;="Y",H362&gt;=sytp,H362&lt;=(dtp+sytp-1),F362=0,H362&lt;=ppt+1),atp,0)+IFERROR(VLOOKUP(H362,Input!$B$55:$C$61,2,0),0)*(F362=0)*(Option_TopUP="Y")*(Option_Sys_TopUp="N")*B362*(pt&gt;=H362+5)</f>
        <v>0</v>
      </c>
      <c r="AK362" s="50">
        <f t="shared" si="246"/>
        <v>0</v>
      </c>
      <c r="AL362" s="50">
        <f t="shared" si="267"/>
        <v>0</v>
      </c>
      <c r="AM362" s="50">
        <f t="shared" ca="1" si="247"/>
        <v>0</v>
      </c>
      <c r="AN362" s="50">
        <f>IF(B362=0,0,AT362*(_rpm1+(1+_emr1)*VLOOKUP(E362,Tab_Mort_Charge,IF(Input!$C$12="M",2,3),0))*(0.001*0.0833)*Flag_Mort_Rider_Charge*(AT362&gt;0))</f>
        <v>0</v>
      </c>
      <c r="AO362" s="50">
        <f t="shared" ca="1" si="268"/>
        <v>0</v>
      </c>
      <c r="AP362" s="50">
        <f t="shared" ca="1" si="275"/>
        <v>0</v>
      </c>
      <c r="AQ362" s="50">
        <f t="shared" ca="1" si="248"/>
        <v>0</v>
      </c>
      <c r="AR362" s="50">
        <f t="shared" ca="1" si="249"/>
        <v>0</v>
      </c>
      <c r="AS362" s="50">
        <f t="shared" si="250"/>
        <v>0</v>
      </c>
      <c r="AT362" s="50">
        <f ca="1">(MAX((MAX(AS362,105%*SUM($AJ$7:AJ362))-AM362*Flag_UL_Type),0)*B362)</f>
        <v>0</v>
      </c>
      <c r="AU362" s="50">
        <f ca="1">(MAX(AS362,AR362,105%*SUM($AJ$7:AJ362))*B362)</f>
        <v>0</v>
      </c>
      <c r="AV362" s="125"/>
      <c r="AW362" s="13"/>
      <c r="AX362" s="13"/>
      <c r="AY362" s="13"/>
      <c r="AZ362" s="13"/>
      <c r="BA362" s="13"/>
      <c r="BG362" s="51">
        <f t="shared" si="251"/>
        <v>0</v>
      </c>
      <c r="BH362" s="51">
        <f t="shared" si="252"/>
        <v>0</v>
      </c>
      <c r="BI362" s="51">
        <f t="shared" ca="1" si="253"/>
        <v>0</v>
      </c>
      <c r="BJ362" s="51">
        <f t="shared" ca="1" si="254"/>
        <v>0</v>
      </c>
      <c r="BK362" s="51">
        <f t="shared" si="255"/>
        <v>0</v>
      </c>
      <c r="BL362" s="51">
        <f t="shared" ca="1" si="256"/>
        <v>0</v>
      </c>
      <c r="BM362" s="51">
        <f t="shared" si="257"/>
        <v>0</v>
      </c>
      <c r="BN362" s="51">
        <f t="shared" si="258"/>
        <v>0</v>
      </c>
      <c r="BO362" s="51">
        <f t="shared" ca="1" si="259"/>
        <v>0</v>
      </c>
      <c r="BP362" s="51">
        <f t="shared" ca="1" si="260"/>
        <v>0</v>
      </c>
      <c r="BQ362" s="120"/>
      <c r="BR362" s="32"/>
      <c r="BS362" s="126"/>
      <c r="BT362" s="16"/>
      <c r="BU362" s="58"/>
      <c r="BW362" s="51">
        <f>VLOOKUP(H362,Charges!$AT$4:$AU$33,2,FALSE)*I362</f>
        <v>0</v>
      </c>
      <c r="BX362" s="51">
        <f t="shared" si="261"/>
        <v>0</v>
      </c>
      <c r="BY362" s="51">
        <f t="shared" si="269"/>
        <v>0</v>
      </c>
      <c r="BZ362" s="151"/>
      <c r="CA362" s="151"/>
      <c r="CB362" s="32"/>
      <c r="CC362" s="16">
        <f ca="1">SUM($N$7:$N362)</f>
        <v>0</v>
      </c>
      <c r="CD362" s="16">
        <f t="shared" ca="1" si="262"/>
        <v>0</v>
      </c>
      <c r="CE362" s="16">
        <f t="shared" ca="1" si="263"/>
        <v>0</v>
      </c>
      <c r="CF362" s="7">
        <f t="shared" ca="1" si="270"/>
        <v>0</v>
      </c>
    </row>
    <row r="363" spans="1:84" s="7" customFormat="1" x14ac:dyDescent="0.2">
      <c r="A363" s="149"/>
      <c r="B363" s="14">
        <f t="shared" si="232"/>
        <v>0</v>
      </c>
      <c r="C363" s="12">
        <f t="shared" si="233"/>
        <v>0</v>
      </c>
      <c r="D363" s="17">
        <f t="shared" si="271"/>
        <v>357</v>
      </c>
      <c r="E363" s="17">
        <f t="shared" ca="1" si="234"/>
        <v>89</v>
      </c>
      <c r="F363" s="12">
        <f t="shared" si="273"/>
        <v>8</v>
      </c>
      <c r="G363" s="12">
        <f t="shared" si="272"/>
        <v>60</v>
      </c>
      <c r="H363" s="17">
        <f t="shared" si="274"/>
        <v>30</v>
      </c>
      <c r="I363" s="29">
        <f t="shared" si="235"/>
        <v>0</v>
      </c>
      <c r="J363" s="211">
        <f>IFERROR(VLOOKUP(H363,Charges!$T$6:$U$35,2,0)*C363,0)</f>
        <v>0</v>
      </c>
      <c r="K363" s="29">
        <f t="shared" si="236"/>
        <v>0</v>
      </c>
      <c r="L363" s="29">
        <f t="shared" si="237"/>
        <v>0</v>
      </c>
      <c r="M363" s="147">
        <f t="shared" ca="1" si="238"/>
        <v>0</v>
      </c>
      <c r="N363" s="148">
        <f ca="1">IF(AND(Option_SPW="Y",H363&gt;=Lock_In_Period,Z362&gt;SPW_Amount_pa+IF(option="Single",1/5*pr,2*pr),H363&gt;=SPW_Start_Year,H363&lt;=SPW_Start_Year+SPW_Duration-1,age+H363&gt;=Legal_Age),IF(AND(F363=0,SPW_Payout_Freq=1),SPW_Amount_pa,IF(AND(SPW_Payout_Freq=2,MOD(F363,6)=0),SPW_Amount_pa/SPW_Payout_Freq,IF(AND(SPW_Payout_Freq=4,MOD(F363,3)=0),SPW_Amount_pa/SPW_Payout_Freq,IF(SPW_Payout_Freq=12,SPW_Amount_pa/SPW_Payout_Freq,0)))),0)+IFERROR(VLOOKUP(H363,Input!$B$68:$C$74,2,0),0)*(F363=0)*(Option_PW="Y")*(Option_SPW="N")*(age+H363&gt;=Legal_Age)</f>
        <v>0</v>
      </c>
      <c r="O363" s="148">
        <f t="shared" ca="1" si="264"/>
        <v>0</v>
      </c>
      <c r="P363" s="14">
        <f ca="1">(MAX(MAX(sa-CF362*Flag_UL_Type,105%*SUM($I$7:I363))-(AD362+L363-N363)*Flag_UL_Type,0)*B363)</f>
        <v>0</v>
      </c>
      <c r="Q363" s="213">
        <f t="shared" si="239"/>
        <v>0</v>
      </c>
      <c r="R363" s="14">
        <f t="shared" ca="1" si="240"/>
        <v>0</v>
      </c>
      <c r="S363" s="14">
        <f t="shared" ca="1" si="241"/>
        <v>0</v>
      </c>
      <c r="T363" s="14">
        <f>IFERROR(IF(WoP_Flag="Y",IF(fq=1,VLOOKUP(ppt*fq-H363,Charges!$AN$41:$AO$59,2,FALSE),IF(fq=2,VLOOKUP(ppt*fq-G363,Charges!$AP$41:$AQ$79,2,FALSE),VLOOKUP(ppt*fq-D363,Charges!$AR$41:$AS$279,2,FALSE)))*pr/fq,0),0)</f>
        <v>0</v>
      </c>
      <c r="U363" s="14">
        <f ca="1">IFERROR(((T363*(VLOOKUP(Input!$D$18+H363-1,Tab_Mort_Charge,IF(Gender_2="M",2,3),FALSE)*(1+_emr2)+_rpm2)/IF(Model_Type="LA_PQIS",1000/0.0833,(12*1000))))*Flag_Mort_Rider_Charge*(T363&gt;0),0)</f>
        <v>0</v>
      </c>
      <c r="V363" s="34">
        <f>ROUND(MIN(IF(H363&gt;=7,Charges!$C$12*(1+Charges!$C$14)^((H363-7+1)),VLOOKUP(H363,Charges!$B$7:$C$12,2,0))*pr,Charges!$C$13)*B363,Round)</f>
        <v>0</v>
      </c>
      <c r="W363" s="14">
        <f t="shared" ca="1" si="242"/>
        <v>0</v>
      </c>
      <c r="X363" s="14">
        <f t="shared" ca="1" si="243"/>
        <v>0</v>
      </c>
      <c r="Y363" s="213">
        <f t="shared" ca="1" si="265"/>
        <v>0</v>
      </c>
      <c r="Z363" s="14">
        <f t="shared" ca="1" si="244"/>
        <v>0</v>
      </c>
      <c r="AA363" s="14">
        <f>IF(AND($H363=pt,$F363=11),SUM($K$7:K363)*VLOOKUP(pt,ROC,2,FALSE),0)</f>
        <v>0</v>
      </c>
      <c r="AB363" s="14">
        <f>IF(AND($H363=pt,$F363=11),SUM($V$7:V363)*VLOOKUP(pt,ROC,2,FALSE),0)</f>
        <v>0</v>
      </c>
      <c r="AC363" s="14">
        <f>IF(AND($H363=pt,$F363=11),SUM($Q$7:Q363)*VLOOKUP(pt,ROC,2,FALSE),0)</f>
        <v>0</v>
      </c>
      <c r="AD363" s="14">
        <f t="shared" ca="1" si="266"/>
        <v>0</v>
      </c>
      <c r="AE363" s="14">
        <f ca="1">(MAX(sa-CF362*Flag_UL_Type,105%*SUM($I$7:I363),Z363)+AU363)*B363</f>
        <v>0</v>
      </c>
      <c r="AF363" s="136"/>
      <c r="AG363" s="18">
        <v>357</v>
      </c>
      <c r="AH363" s="30">
        <f t="shared" ca="1" si="245"/>
        <v>0</v>
      </c>
      <c r="AI363" s="58"/>
      <c r="AJ363" s="50">
        <f>IF(AND(Option_Sys_TopUp&gt;="Y",H363&gt;=sytp,H363&lt;=(dtp+sytp-1),F363=0,H363&lt;=ppt+1),atp,0)+IFERROR(VLOOKUP(H363,Input!$B$55:$C$61,2,0),0)*(F363=0)*(Option_TopUP="Y")*(Option_Sys_TopUp="N")*B363*(pt&gt;=H363+5)</f>
        <v>0</v>
      </c>
      <c r="AK363" s="50">
        <f t="shared" si="246"/>
        <v>0</v>
      </c>
      <c r="AL363" s="50">
        <f t="shared" si="267"/>
        <v>0</v>
      </c>
      <c r="AM363" s="50">
        <f t="shared" ca="1" si="247"/>
        <v>0</v>
      </c>
      <c r="AN363" s="50">
        <f>IF(B363=0,0,AT363*(_rpm1+(1+_emr1)*VLOOKUP(E363,Tab_Mort_Charge,IF(Input!$C$12="M",2,3),0))*(0.001*0.0833)*Flag_Mort_Rider_Charge*(AT363&gt;0))</f>
        <v>0</v>
      </c>
      <c r="AO363" s="50">
        <f t="shared" ca="1" si="268"/>
        <v>0</v>
      </c>
      <c r="AP363" s="50">
        <f t="shared" ca="1" si="275"/>
        <v>0</v>
      </c>
      <c r="AQ363" s="50">
        <f t="shared" ca="1" si="248"/>
        <v>0</v>
      </c>
      <c r="AR363" s="50">
        <f t="shared" ca="1" si="249"/>
        <v>0</v>
      </c>
      <c r="AS363" s="50">
        <f t="shared" si="250"/>
        <v>0</v>
      </c>
      <c r="AT363" s="50">
        <f ca="1">(MAX((MAX(AS363,105%*SUM($AJ$7:AJ363))-AM363*Flag_UL_Type),0)*B363)</f>
        <v>0</v>
      </c>
      <c r="AU363" s="50">
        <f ca="1">(MAX(AS363,AR363,105%*SUM($AJ$7:AJ363))*B363)</f>
        <v>0</v>
      </c>
      <c r="AV363" s="125"/>
      <c r="AW363" s="13"/>
      <c r="AX363" s="13"/>
      <c r="AY363" s="13"/>
      <c r="AZ363" s="13"/>
      <c r="BA363" s="13"/>
      <c r="BG363" s="51">
        <f t="shared" si="251"/>
        <v>0</v>
      </c>
      <c r="BH363" s="51">
        <f t="shared" si="252"/>
        <v>0</v>
      </c>
      <c r="BI363" s="51">
        <f t="shared" ca="1" si="253"/>
        <v>0</v>
      </c>
      <c r="BJ363" s="51">
        <f t="shared" ca="1" si="254"/>
        <v>0</v>
      </c>
      <c r="BK363" s="51">
        <f t="shared" si="255"/>
        <v>0</v>
      </c>
      <c r="BL363" s="51">
        <f t="shared" ca="1" si="256"/>
        <v>0</v>
      </c>
      <c r="BM363" s="51">
        <f t="shared" si="257"/>
        <v>0</v>
      </c>
      <c r="BN363" s="51">
        <f t="shared" si="258"/>
        <v>0</v>
      </c>
      <c r="BO363" s="51">
        <f t="shared" ca="1" si="259"/>
        <v>0</v>
      </c>
      <c r="BP363" s="51">
        <f t="shared" ca="1" si="260"/>
        <v>0</v>
      </c>
      <c r="BQ363" s="120"/>
      <c r="BR363" s="32"/>
      <c r="BS363" s="126"/>
      <c r="BT363" s="16"/>
      <c r="BU363" s="58"/>
      <c r="BW363" s="51">
        <f>VLOOKUP(H363,Charges!$AT$4:$AU$33,2,FALSE)*I363</f>
        <v>0</v>
      </c>
      <c r="BX363" s="51">
        <f t="shared" si="261"/>
        <v>0</v>
      </c>
      <c r="BY363" s="51">
        <f t="shared" si="269"/>
        <v>0</v>
      </c>
      <c r="BZ363" s="151"/>
      <c r="CA363" s="151"/>
      <c r="CB363" s="32"/>
      <c r="CC363" s="16">
        <f ca="1">SUM($N$7:$N363)</f>
        <v>0</v>
      </c>
      <c r="CD363" s="16">
        <f t="shared" ca="1" si="262"/>
        <v>0</v>
      </c>
      <c r="CE363" s="16">
        <f t="shared" ca="1" si="263"/>
        <v>0</v>
      </c>
      <c r="CF363" s="7">
        <f t="shared" ca="1" si="270"/>
        <v>0</v>
      </c>
    </row>
    <row r="364" spans="1:84" s="7" customFormat="1" x14ac:dyDescent="0.2">
      <c r="A364" s="149"/>
      <c r="B364" s="14">
        <f t="shared" si="232"/>
        <v>0</v>
      </c>
      <c r="C364" s="12">
        <f t="shared" si="233"/>
        <v>0</v>
      </c>
      <c r="D364" s="17">
        <f t="shared" si="271"/>
        <v>358</v>
      </c>
      <c r="E364" s="17">
        <f t="shared" ca="1" si="234"/>
        <v>89</v>
      </c>
      <c r="F364" s="12">
        <f t="shared" si="273"/>
        <v>9</v>
      </c>
      <c r="G364" s="12">
        <f t="shared" si="272"/>
        <v>60</v>
      </c>
      <c r="H364" s="17">
        <f t="shared" si="274"/>
        <v>30</v>
      </c>
      <c r="I364" s="29">
        <f t="shared" si="235"/>
        <v>0</v>
      </c>
      <c r="J364" s="211">
        <f>IFERROR(VLOOKUP(H364,Charges!$T$6:$U$35,2,0)*C364,0)</f>
        <v>0</v>
      </c>
      <c r="K364" s="29">
        <f t="shared" si="236"/>
        <v>0</v>
      </c>
      <c r="L364" s="29">
        <f t="shared" si="237"/>
        <v>0</v>
      </c>
      <c r="M364" s="147">
        <f t="shared" ca="1" si="238"/>
        <v>0</v>
      </c>
      <c r="N364" s="148">
        <f ca="1">IF(AND(Option_SPW="Y",H364&gt;=Lock_In_Period,Z363&gt;SPW_Amount_pa+IF(option="Single",1/5*pr,2*pr),H364&gt;=SPW_Start_Year,H364&lt;=SPW_Start_Year+SPW_Duration-1,age+H364&gt;=Legal_Age),IF(AND(F364=0,SPW_Payout_Freq=1),SPW_Amount_pa,IF(AND(SPW_Payout_Freq=2,MOD(F364,6)=0),SPW_Amount_pa/SPW_Payout_Freq,IF(AND(SPW_Payout_Freq=4,MOD(F364,3)=0),SPW_Amount_pa/SPW_Payout_Freq,IF(SPW_Payout_Freq=12,SPW_Amount_pa/SPW_Payout_Freq,0)))),0)+IFERROR(VLOOKUP(H364,Input!$B$68:$C$74,2,0),0)*(F364=0)*(Option_PW="Y")*(Option_SPW="N")*(age+H364&gt;=Legal_Age)</f>
        <v>0</v>
      </c>
      <c r="O364" s="148">
        <f t="shared" ca="1" si="264"/>
        <v>0</v>
      </c>
      <c r="P364" s="14">
        <f ca="1">(MAX(MAX(sa-CF363*Flag_UL_Type,105%*SUM($I$7:I364))-(AD363+L364-N364)*Flag_UL_Type,0)*B364)</f>
        <v>0</v>
      </c>
      <c r="Q364" s="213">
        <f t="shared" si="239"/>
        <v>0</v>
      </c>
      <c r="R364" s="14">
        <f t="shared" ca="1" si="240"/>
        <v>0</v>
      </c>
      <c r="S364" s="14">
        <f t="shared" ca="1" si="241"/>
        <v>0</v>
      </c>
      <c r="T364" s="14">
        <f>IFERROR(IF(WoP_Flag="Y",IF(fq=1,VLOOKUP(ppt*fq-H364,Charges!$AN$41:$AO$59,2,FALSE),IF(fq=2,VLOOKUP(ppt*fq-G364,Charges!$AP$41:$AQ$79,2,FALSE),VLOOKUP(ppt*fq-D364,Charges!$AR$41:$AS$279,2,FALSE)))*pr/fq,0),0)</f>
        <v>0</v>
      </c>
      <c r="U364" s="14">
        <f ca="1">IFERROR(((T364*(VLOOKUP(Input!$D$18+H364-1,Tab_Mort_Charge,IF(Gender_2="M",2,3),FALSE)*(1+_emr2)+_rpm2)/IF(Model_Type="LA_PQIS",1000/0.0833,(12*1000))))*Flag_Mort_Rider_Charge*(T364&gt;0),0)</f>
        <v>0</v>
      </c>
      <c r="V364" s="34">
        <f>ROUND(MIN(IF(H364&gt;=7,Charges!$C$12*(1+Charges!$C$14)^((H364-7+1)),VLOOKUP(H364,Charges!$B$7:$C$12,2,0))*pr,Charges!$C$13)*B364,Round)</f>
        <v>0</v>
      </c>
      <c r="W364" s="14">
        <f t="shared" ca="1" si="242"/>
        <v>0</v>
      </c>
      <c r="X364" s="14">
        <f t="shared" ca="1" si="243"/>
        <v>0</v>
      </c>
      <c r="Y364" s="213">
        <f t="shared" ca="1" si="265"/>
        <v>0</v>
      </c>
      <c r="Z364" s="14">
        <f t="shared" ca="1" si="244"/>
        <v>0</v>
      </c>
      <c r="AA364" s="14">
        <f>IF(AND($H364=pt,$F364=11),SUM($K$7:K364)*VLOOKUP(pt,ROC,2,FALSE),0)</f>
        <v>0</v>
      </c>
      <c r="AB364" s="14">
        <f>IF(AND($H364=pt,$F364=11),SUM($V$7:V364)*VLOOKUP(pt,ROC,2,FALSE),0)</f>
        <v>0</v>
      </c>
      <c r="AC364" s="14">
        <f>IF(AND($H364=pt,$F364=11),SUM($Q$7:Q364)*VLOOKUP(pt,ROC,2,FALSE),0)</f>
        <v>0</v>
      </c>
      <c r="AD364" s="14">
        <f t="shared" ca="1" si="266"/>
        <v>0</v>
      </c>
      <c r="AE364" s="14">
        <f ca="1">(MAX(sa-CF363*Flag_UL_Type,105%*SUM($I$7:I364),Z364)+AU364)*B364</f>
        <v>0</v>
      </c>
      <c r="AF364" s="136"/>
      <c r="AG364" s="18">
        <v>358</v>
      </c>
      <c r="AH364" s="30">
        <f t="shared" ca="1" si="245"/>
        <v>0</v>
      </c>
      <c r="AI364" s="58"/>
      <c r="AJ364" s="50">
        <f>IF(AND(Option_Sys_TopUp&gt;="Y",H364&gt;=sytp,H364&lt;=(dtp+sytp-1),F364=0,H364&lt;=ppt+1),atp,0)+IFERROR(VLOOKUP(H364,Input!$B$55:$C$61,2,0),0)*(F364=0)*(Option_TopUP="Y")*(Option_Sys_TopUp="N")*B364*(pt&gt;=H364+5)</f>
        <v>0</v>
      </c>
      <c r="AK364" s="50">
        <f t="shared" si="246"/>
        <v>0</v>
      </c>
      <c r="AL364" s="50">
        <f t="shared" si="267"/>
        <v>0</v>
      </c>
      <c r="AM364" s="50">
        <f t="shared" ca="1" si="247"/>
        <v>0</v>
      </c>
      <c r="AN364" s="50">
        <f>IF(B364=0,0,AT364*(_rpm1+(1+_emr1)*VLOOKUP(E364,Tab_Mort_Charge,IF(Input!$C$12="M",2,3),0))*(0.001*0.0833)*Flag_Mort_Rider_Charge*(AT364&gt;0))</f>
        <v>0</v>
      </c>
      <c r="AO364" s="50">
        <f t="shared" ca="1" si="268"/>
        <v>0</v>
      </c>
      <c r="AP364" s="50">
        <f t="shared" ca="1" si="275"/>
        <v>0</v>
      </c>
      <c r="AQ364" s="50">
        <f t="shared" ca="1" si="248"/>
        <v>0</v>
      </c>
      <c r="AR364" s="50">
        <f t="shared" ca="1" si="249"/>
        <v>0</v>
      </c>
      <c r="AS364" s="50">
        <f t="shared" si="250"/>
        <v>0</v>
      </c>
      <c r="AT364" s="50">
        <f ca="1">(MAX((MAX(AS364,105%*SUM($AJ$7:AJ364))-AM364*Flag_UL_Type),0)*B364)</f>
        <v>0</v>
      </c>
      <c r="AU364" s="50">
        <f ca="1">(MAX(AS364,AR364,105%*SUM($AJ$7:AJ364))*B364)</f>
        <v>0</v>
      </c>
      <c r="AV364" s="125"/>
      <c r="AW364" s="13"/>
      <c r="AX364" s="13"/>
      <c r="AY364" s="13"/>
      <c r="AZ364" s="13"/>
      <c r="BA364" s="13"/>
      <c r="BG364" s="51">
        <f t="shared" si="251"/>
        <v>0</v>
      </c>
      <c r="BH364" s="51">
        <f t="shared" si="252"/>
        <v>0</v>
      </c>
      <c r="BI364" s="51">
        <f t="shared" ca="1" si="253"/>
        <v>0</v>
      </c>
      <c r="BJ364" s="51">
        <f t="shared" ca="1" si="254"/>
        <v>0</v>
      </c>
      <c r="BK364" s="51">
        <f t="shared" si="255"/>
        <v>0</v>
      </c>
      <c r="BL364" s="51">
        <f t="shared" ca="1" si="256"/>
        <v>0</v>
      </c>
      <c r="BM364" s="51">
        <f t="shared" si="257"/>
        <v>0</v>
      </c>
      <c r="BN364" s="51">
        <f t="shared" si="258"/>
        <v>0</v>
      </c>
      <c r="BO364" s="51">
        <f t="shared" ca="1" si="259"/>
        <v>0</v>
      </c>
      <c r="BP364" s="51">
        <f t="shared" ca="1" si="260"/>
        <v>0</v>
      </c>
      <c r="BQ364" s="120"/>
      <c r="BR364" s="32"/>
      <c r="BS364" s="126"/>
      <c r="BT364" s="16"/>
      <c r="BU364" s="58"/>
      <c r="BW364" s="51">
        <f>VLOOKUP(H364,Charges!$AT$4:$AU$33,2,FALSE)*I364</f>
        <v>0</v>
      </c>
      <c r="BX364" s="51">
        <f t="shared" si="261"/>
        <v>0</v>
      </c>
      <c r="BY364" s="51">
        <f t="shared" si="269"/>
        <v>0</v>
      </c>
      <c r="BZ364" s="151"/>
      <c r="CA364" s="151"/>
      <c r="CB364" s="32"/>
      <c r="CC364" s="16">
        <f ca="1">SUM($N$7:$N364)</f>
        <v>0</v>
      </c>
      <c r="CD364" s="16">
        <f t="shared" ca="1" si="262"/>
        <v>0</v>
      </c>
      <c r="CE364" s="16">
        <f t="shared" ca="1" si="263"/>
        <v>0</v>
      </c>
      <c r="CF364" s="7">
        <f t="shared" ca="1" si="270"/>
        <v>0</v>
      </c>
    </row>
    <row r="365" spans="1:84" s="7" customFormat="1" x14ac:dyDescent="0.2">
      <c r="A365" s="149"/>
      <c r="B365" s="14">
        <f t="shared" si="232"/>
        <v>0</v>
      </c>
      <c r="C365" s="12">
        <f t="shared" si="233"/>
        <v>0</v>
      </c>
      <c r="D365" s="17">
        <f t="shared" si="271"/>
        <v>359</v>
      </c>
      <c r="E365" s="17">
        <f t="shared" ca="1" si="234"/>
        <v>89</v>
      </c>
      <c r="F365" s="12">
        <f t="shared" si="273"/>
        <v>10</v>
      </c>
      <c r="G365" s="12">
        <f t="shared" si="272"/>
        <v>60</v>
      </c>
      <c r="H365" s="17">
        <f t="shared" si="274"/>
        <v>30</v>
      </c>
      <c r="I365" s="29">
        <f t="shared" si="235"/>
        <v>0</v>
      </c>
      <c r="J365" s="211">
        <f>IFERROR(VLOOKUP(H365,Charges!$T$6:$U$35,2,0)*C365,0)</f>
        <v>0</v>
      </c>
      <c r="K365" s="29">
        <f t="shared" si="236"/>
        <v>0</v>
      </c>
      <c r="L365" s="29">
        <f t="shared" si="237"/>
        <v>0</v>
      </c>
      <c r="M365" s="147">
        <f t="shared" ca="1" si="238"/>
        <v>0</v>
      </c>
      <c r="N365" s="148">
        <f ca="1">IF(AND(Option_SPW="Y",H365&gt;=Lock_In_Period,Z364&gt;SPW_Amount_pa+IF(option="Single",1/5*pr,2*pr),H365&gt;=SPW_Start_Year,H365&lt;=SPW_Start_Year+SPW_Duration-1,age+H365&gt;=Legal_Age),IF(AND(F365=0,SPW_Payout_Freq=1),SPW_Amount_pa,IF(AND(SPW_Payout_Freq=2,MOD(F365,6)=0),SPW_Amount_pa/SPW_Payout_Freq,IF(AND(SPW_Payout_Freq=4,MOD(F365,3)=0),SPW_Amount_pa/SPW_Payout_Freq,IF(SPW_Payout_Freq=12,SPW_Amount_pa/SPW_Payout_Freq,0)))),0)+IFERROR(VLOOKUP(H365,Input!$B$68:$C$74,2,0),0)*(F365=0)*(Option_PW="Y")*(Option_SPW="N")*(age+H365&gt;=Legal_Age)</f>
        <v>0</v>
      </c>
      <c r="O365" s="148">
        <f t="shared" ca="1" si="264"/>
        <v>0</v>
      </c>
      <c r="P365" s="14">
        <f ca="1">(MAX(MAX(sa-CF364*Flag_UL_Type,105%*SUM($I$7:I365))-(AD364+L365-N365)*Flag_UL_Type,0)*B365)</f>
        <v>0</v>
      </c>
      <c r="Q365" s="213">
        <f t="shared" si="239"/>
        <v>0</v>
      </c>
      <c r="R365" s="14">
        <f t="shared" ca="1" si="240"/>
        <v>0</v>
      </c>
      <c r="S365" s="14">
        <f t="shared" ca="1" si="241"/>
        <v>0</v>
      </c>
      <c r="T365" s="14">
        <f>IFERROR(IF(WoP_Flag="Y",IF(fq=1,VLOOKUP(ppt*fq-H365,Charges!$AN$41:$AO$59,2,FALSE),IF(fq=2,VLOOKUP(ppt*fq-G365,Charges!$AP$41:$AQ$79,2,FALSE),VLOOKUP(ppt*fq-D365,Charges!$AR$41:$AS$279,2,FALSE)))*pr/fq,0),0)</f>
        <v>0</v>
      </c>
      <c r="U365" s="14">
        <f ca="1">IFERROR(((T365*(VLOOKUP(Input!$D$18+H365-1,Tab_Mort_Charge,IF(Gender_2="M",2,3),FALSE)*(1+_emr2)+_rpm2)/IF(Model_Type="LA_PQIS",1000/0.0833,(12*1000))))*Flag_Mort_Rider_Charge*(T365&gt;0),0)</f>
        <v>0</v>
      </c>
      <c r="V365" s="34">
        <f>ROUND(MIN(IF(H365&gt;=7,Charges!$C$12*(1+Charges!$C$14)^((H365-7+1)),VLOOKUP(H365,Charges!$B$7:$C$12,2,0))*pr,Charges!$C$13)*B365,Round)</f>
        <v>0</v>
      </c>
      <c r="W365" s="14">
        <f t="shared" ca="1" si="242"/>
        <v>0</v>
      </c>
      <c r="X365" s="14">
        <f t="shared" ca="1" si="243"/>
        <v>0</v>
      </c>
      <c r="Y365" s="213">
        <f t="shared" ca="1" si="265"/>
        <v>0</v>
      </c>
      <c r="Z365" s="14">
        <f t="shared" ca="1" si="244"/>
        <v>0</v>
      </c>
      <c r="AA365" s="14">
        <f>IF(AND($H365=pt,$F365=11),SUM($K$7:K365)*VLOOKUP(pt,ROC,2,FALSE),0)</f>
        <v>0</v>
      </c>
      <c r="AB365" s="14">
        <f>IF(AND($H365=pt,$F365=11),SUM($V$7:V365)*VLOOKUP(pt,ROC,2,FALSE),0)</f>
        <v>0</v>
      </c>
      <c r="AC365" s="14">
        <f>IF(AND($H365=pt,$F365=11),SUM($Q$7:Q365)*VLOOKUP(pt,ROC,2,FALSE),0)</f>
        <v>0</v>
      </c>
      <c r="AD365" s="14">
        <f t="shared" ca="1" si="266"/>
        <v>0</v>
      </c>
      <c r="AE365" s="14">
        <f ca="1">(MAX(sa-CF364*Flag_UL_Type,105%*SUM($I$7:I365),Z365)+AU365)*B365</f>
        <v>0</v>
      </c>
      <c r="AF365" s="136"/>
      <c r="AG365" s="18">
        <v>359</v>
      </c>
      <c r="AH365" s="30">
        <f t="shared" ca="1" si="245"/>
        <v>0</v>
      </c>
      <c r="AI365" s="58"/>
      <c r="AJ365" s="50">
        <f>IF(AND(Option_Sys_TopUp&gt;="Y",H365&gt;=sytp,H365&lt;=(dtp+sytp-1),F365=0,H365&lt;=ppt+1),atp,0)+IFERROR(VLOOKUP(H365,Input!$B$55:$C$61,2,0),0)*(F365=0)*(Option_TopUP="Y")*(Option_Sys_TopUp="N")*B365*(pt&gt;=H365+5)</f>
        <v>0</v>
      </c>
      <c r="AK365" s="50">
        <f t="shared" si="246"/>
        <v>0</v>
      </c>
      <c r="AL365" s="50">
        <f t="shared" si="267"/>
        <v>0</v>
      </c>
      <c r="AM365" s="50">
        <f t="shared" ca="1" si="247"/>
        <v>0</v>
      </c>
      <c r="AN365" s="50">
        <f>IF(B365=0,0,AT365*(_rpm1+(1+_emr1)*VLOOKUP(E365,Tab_Mort_Charge,IF(Input!$C$12="M",2,3),0))*(0.001*0.0833)*Flag_Mort_Rider_Charge*(AT365&gt;0))</f>
        <v>0</v>
      </c>
      <c r="AO365" s="50">
        <f t="shared" ca="1" si="268"/>
        <v>0</v>
      </c>
      <c r="AP365" s="50">
        <f t="shared" ca="1" si="275"/>
        <v>0</v>
      </c>
      <c r="AQ365" s="50">
        <f t="shared" ca="1" si="248"/>
        <v>0</v>
      </c>
      <c r="AR365" s="50">
        <f t="shared" ca="1" si="249"/>
        <v>0</v>
      </c>
      <c r="AS365" s="50">
        <f t="shared" si="250"/>
        <v>0</v>
      </c>
      <c r="AT365" s="50">
        <f ca="1">(MAX((MAX(AS365,105%*SUM($AJ$7:AJ365))-AM365*Flag_UL_Type),0)*B365)</f>
        <v>0</v>
      </c>
      <c r="AU365" s="50">
        <f ca="1">(MAX(AS365,AR365,105%*SUM($AJ$7:AJ365))*B365)</f>
        <v>0</v>
      </c>
      <c r="AV365" s="125"/>
      <c r="AW365" s="13"/>
      <c r="AX365" s="13"/>
      <c r="AY365" s="13"/>
      <c r="AZ365" s="13"/>
      <c r="BA365" s="13"/>
      <c r="BG365" s="51">
        <f t="shared" si="251"/>
        <v>0</v>
      </c>
      <c r="BH365" s="51">
        <f t="shared" si="252"/>
        <v>0</v>
      </c>
      <c r="BI365" s="51">
        <f t="shared" ca="1" si="253"/>
        <v>0</v>
      </c>
      <c r="BJ365" s="51">
        <f t="shared" ca="1" si="254"/>
        <v>0</v>
      </c>
      <c r="BK365" s="51">
        <f t="shared" si="255"/>
        <v>0</v>
      </c>
      <c r="BL365" s="51">
        <f t="shared" ca="1" si="256"/>
        <v>0</v>
      </c>
      <c r="BM365" s="51">
        <f t="shared" si="257"/>
        <v>0</v>
      </c>
      <c r="BN365" s="51">
        <f t="shared" si="258"/>
        <v>0</v>
      </c>
      <c r="BO365" s="51">
        <f t="shared" ca="1" si="259"/>
        <v>0</v>
      </c>
      <c r="BP365" s="51">
        <f t="shared" ca="1" si="260"/>
        <v>0</v>
      </c>
      <c r="BQ365" s="120"/>
      <c r="BR365" s="32"/>
      <c r="BS365" s="126"/>
      <c r="BT365" s="16"/>
      <c r="BU365" s="58"/>
      <c r="BW365" s="51">
        <f>VLOOKUP(H365,Charges!$AT$4:$AU$33,2,FALSE)*I365</f>
        <v>0</v>
      </c>
      <c r="BX365" s="51">
        <f t="shared" si="261"/>
        <v>0</v>
      </c>
      <c r="BY365" s="51">
        <f t="shared" si="269"/>
        <v>0</v>
      </c>
      <c r="BZ365" s="151"/>
      <c r="CA365" s="151"/>
      <c r="CB365" s="32"/>
      <c r="CC365" s="16">
        <f ca="1">SUM($N$7:$N365)</f>
        <v>0</v>
      </c>
      <c r="CD365" s="16">
        <f t="shared" ca="1" si="262"/>
        <v>0</v>
      </c>
      <c r="CE365" s="16">
        <f t="shared" ca="1" si="263"/>
        <v>0</v>
      </c>
      <c r="CF365" s="7">
        <f t="shared" ca="1" si="270"/>
        <v>0</v>
      </c>
    </row>
    <row r="366" spans="1:84" s="7" customFormat="1" x14ac:dyDescent="0.2">
      <c r="A366" s="149"/>
      <c r="B366" s="14">
        <f t="shared" si="232"/>
        <v>0</v>
      </c>
      <c r="C366" s="12">
        <f t="shared" si="233"/>
        <v>0</v>
      </c>
      <c r="D366" s="17">
        <f t="shared" si="271"/>
        <v>360</v>
      </c>
      <c r="E366" s="17">
        <f t="shared" ca="1" si="234"/>
        <v>89</v>
      </c>
      <c r="F366" s="12">
        <f t="shared" si="273"/>
        <v>11</v>
      </c>
      <c r="G366" s="12">
        <f t="shared" si="272"/>
        <v>60</v>
      </c>
      <c r="H366" s="17">
        <f t="shared" si="274"/>
        <v>30</v>
      </c>
      <c r="I366" s="29">
        <f t="shared" si="235"/>
        <v>0</v>
      </c>
      <c r="J366" s="211">
        <f>IFERROR(VLOOKUP(H366,Charges!$T$6:$U$35,2,0)*C366,0)</f>
        <v>0</v>
      </c>
      <c r="K366" s="29">
        <f t="shared" si="236"/>
        <v>0</v>
      </c>
      <c r="L366" s="29">
        <f t="shared" si="237"/>
        <v>0</v>
      </c>
      <c r="M366" s="147">
        <f t="shared" ca="1" si="238"/>
        <v>0</v>
      </c>
      <c r="N366" s="148">
        <f ca="1">IF(AND(Option_SPW="Y",H366&gt;=Lock_In_Period,Z365&gt;SPW_Amount_pa+IF(option="Single",1/5*pr,2*pr),H366&gt;=SPW_Start_Year,H366&lt;=SPW_Start_Year+SPW_Duration-1,age+H366&gt;=Legal_Age),IF(AND(F366=0,SPW_Payout_Freq=1),SPW_Amount_pa,IF(AND(SPW_Payout_Freq=2,MOD(F366,6)=0),SPW_Amount_pa/SPW_Payout_Freq,IF(AND(SPW_Payout_Freq=4,MOD(F366,3)=0),SPW_Amount_pa/SPW_Payout_Freq,IF(SPW_Payout_Freq=12,SPW_Amount_pa/SPW_Payout_Freq,0)))),0)+IFERROR(VLOOKUP(H366,Input!$B$68:$C$74,2,0),0)*(F366=0)*(Option_PW="Y")*(Option_SPW="N")*(age+H366&gt;=Legal_Age)</f>
        <v>0</v>
      </c>
      <c r="O366" s="148">
        <f t="shared" ca="1" si="264"/>
        <v>0</v>
      </c>
      <c r="P366" s="14">
        <f ca="1">(MAX(MAX(sa-CF365*Flag_UL_Type,105%*SUM($I$7:I366))-(AD365+L366-N366)*Flag_UL_Type,0)*B366)</f>
        <v>0</v>
      </c>
      <c r="Q366" s="213">
        <f t="shared" si="239"/>
        <v>0</v>
      </c>
      <c r="R366" s="14">
        <f t="shared" ca="1" si="240"/>
        <v>0</v>
      </c>
      <c r="S366" s="14">
        <f t="shared" ca="1" si="241"/>
        <v>0</v>
      </c>
      <c r="T366" s="14">
        <f>IFERROR(IF(WoP_Flag="Y",IF(fq=1,VLOOKUP(ppt*fq-H366,Charges!$AN$41:$AO$59,2,FALSE),IF(fq=2,VLOOKUP(ppt*fq-G366,Charges!$AP$41:$AQ$79,2,FALSE),VLOOKUP(ppt*fq-D366,Charges!$AR$41:$AS$279,2,FALSE)))*pr/fq,0),0)</f>
        <v>0</v>
      </c>
      <c r="U366" s="14">
        <f ca="1">IFERROR(((T366*(VLOOKUP(Input!$D$18+H366-1,Tab_Mort_Charge,IF(Gender_2="M",2,3),FALSE)*(1+_emr2)+_rpm2)/IF(Model_Type="LA_PQIS",1000/0.0833,(12*1000))))*Flag_Mort_Rider_Charge*(T366&gt;0),0)</f>
        <v>0</v>
      </c>
      <c r="V366" s="34">
        <f>ROUND(MIN(IF(H366&gt;=7,Charges!$C$12*(1+Charges!$C$14)^((H366-7+1)),VLOOKUP(H366,Charges!$B$7:$C$12,2,0))*pr,Charges!$C$13)*B366,Round)</f>
        <v>0</v>
      </c>
      <c r="W366" s="14">
        <f t="shared" ca="1" si="242"/>
        <v>0</v>
      </c>
      <c r="X366" s="14">
        <f t="shared" ca="1" si="243"/>
        <v>0</v>
      </c>
      <c r="Y366" s="213">
        <f t="shared" ca="1" si="265"/>
        <v>0</v>
      </c>
      <c r="Z366" s="14">
        <f t="shared" ca="1" si="244"/>
        <v>0</v>
      </c>
      <c r="AA366" s="14">
        <f>IF(AND($H366=pt,$F366=11),SUM($K$7:K366)*VLOOKUP(pt,ROC,2,FALSE),0)</f>
        <v>0</v>
      </c>
      <c r="AB366" s="14">
        <f>IF(AND($H366=pt,$F366=11),SUM($V$7:V366)*VLOOKUP(pt,ROC,2,FALSE),0)</f>
        <v>0</v>
      </c>
      <c r="AC366" s="14">
        <f>IF(AND($H366=pt,$F366=11),SUM($Q$7:Q366)*VLOOKUP(pt,ROC,2,FALSE),0)</f>
        <v>0</v>
      </c>
      <c r="AD366" s="14">
        <f t="shared" ca="1" si="266"/>
        <v>0</v>
      </c>
      <c r="AE366" s="14">
        <f ca="1">(MAX(sa-CF365*Flag_UL_Type,105%*SUM($I$7:I366),Z366)+AU366)*B366</f>
        <v>0</v>
      </c>
      <c r="AF366" s="136"/>
      <c r="AG366" s="18">
        <v>360</v>
      </c>
      <c r="AH366" s="30">
        <f t="shared" ca="1" si="245"/>
        <v>0</v>
      </c>
      <c r="AI366" s="58"/>
      <c r="AJ366" s="50">
        <f>IF(AND(Option_Sys_TopUp&gt;="Y",H366&gt;=sytp,H366&lt;=(dtp+sytp-1),F366=0,H366&lt;=ppt+1),atp,0)+IFERROR(VLOOKUP(H366,Input!$B$55:$C$61,2,0),0)*(F366=0)*(Option_TopUP="Y")*(Option_Sys_TopUp="N")*B366*(pt&gt;=H366+5)</f>
        <v>0</v>
      </c>
      <c r="AK366" s="50">
        <f t="shared" si="246"/>
        <v>0</v>
      </c>
      <c r="AL366" s="50">
        <f t="shared" si="267"/>
        <v>0</v>
      </c>
      <c r="AM366" s="50">
        <f t="shared" ca="1" si="247"/>
        <v>0</v>
      </c>
      <c r="AN366" s="50">
        <f>IF(B366=0,0,AT366*(_rpm1+(1+_emr1)*VLOOKUP(E366,Tab_Mort_Charge,IF(Input!$C$12="M",2,3),0))*(0.001*0.0833)*Flag_Mort_Rider_Charge*(AT366&gt;0))</f>
        <v>0</v>
      </c>
      <c r="AO366" s="50">
        <f t="shared" ca="1" si="268"/>
        <v>0</v>
      </c>
      <c r="AP366" s="50">
        <f t="shared" ca="1" si="275"/>
        <v>0</v>
      </c>
      <c r="AQ366" s="50">
        <f t="shared" ca="1" si="248"/>
        <v>0</v>
      </c>
      <c r="AR366" s="50">
        <f t="shared" ca="1" si="249"/>
        <v>0</v>
      </c>
      <c r="AS366" s="50">
        <f t="shared" si="250"/>
        <v>0</v>
      </c>
      <c r="AT366" s="50">
        <f ca="1">(MAX((MAX(AS366,105%*SUM($AJ$7:AJ366))-AM366*Flag_UL_Type),0)*B366)</f>
        <v>0</v>
      </c>
      <c r="AU366" s="50">
        <f ca="1">(MAX(AS366,AR366,105%*SUM($AJ$7:AJ366))*B366)</f>
        <v>0</v>
      </c>
      <c r="AV366" s="125"/>
      <c r="AW366" s="13"/>
      <c r="AX366" s="13"/>
      <c r="AY366" s="13"/>
      <c r="AZ366" s="13"/>
      <c r="BA366" s="13"/>
      <c r="BG366" s="51">
        <f t="shared" si="251"/>
        <v>0</v>
      </c>
      <c r="BH366" s="51">
        <f t="shared" si="252"/>
        <v>0</v>
      </c>
      <c r="BI366" s="51">
        <f t="shared" ca="1" si="253"/>
        <v>0</v>
      </c>
      <c r="BJ366" s="51">
        <f t="shared" ca="1" si="254"/>
        <v>0</v>
      </c>
      <c r="BK366" s="51">
        <f t="shared" si="255"/>
        <v>0</v>
      </c>
      <c r="BL366" s="51">
        <f t="shared" ca="1" si="256"/>
        <v>0</v>
      </c>
      <c r="BM366" s="51">
        <f t="shared" si="257"/>
        <v>0</v>
      </c>
      <c r="BN366" s="51">
        <f t="shared" si="258"/>
        <v>0</v>
      </c>
      <c r="BO366" s="51">
        <f t="shared" ca="1" si="259"/>
        <v>0</v>
      </c>
      <c r="BP366" s="51">
        <f t="shared" ca="1" si="260"/>
        <v>0</v>
      </c>
      <c r="BQ366" s="120"/>
      <c r="BR366" s="32"/>
      <c r="BS366" s="126"/>
      <c r="BT366" s="16"/>
      <c r="BU366" s="58"/>
      <c r="BW366" s="51">
        <f>VLOOKUP(H366,Charges!$AT$4:$AU$33,2,FALSE)*I366</f>
        <v>0</v>
      </c>
      <c r="BX366" s="51">
        <f t="shared" si="261"/>
        <v>0</v>
      </c>
      <c r="BY366" s="51">
        <f t="shared" si="269"/>
        <v>0</v>
      </c>
      <c r="BZ366" s="151"/>
      <c r="CA366" s="151"/>
      <c r="CB366" s="32"/>
      <c r="CC366" s="16">
        <f ca="1">SUM($N$7:$N366)</f>
        <v>0</v>
      </c>
      <c r="CD366" s="16">
        <f t="shared" ca="1" si="262"/>
        <v>0</v>
      </c>
      <c r="CE366" s="16">
        <f t="shared" ca="1" si="263"/>
        <v>0</v>
      </c>
      <c r="CF366" s="7">
        <f t="shared" ca="1" si="270"/>
        <v>0</v>
      </c>
    </row>
    <row r="367" spans="1:84" s="7" customFormat="1" x14ac:dyDescent="0.2">
      <c r="A367" s="149"/>
      <c r="B367" s="14">
        <f t="shared" si="232"/>
        <v>0</v>
      </c>
      <c r="C367" s="12">
        <f t="shared" si="233"/>
        <v>0</v>
      </c>
      <c r="D367" s="17">
        <f t="shared" si="271"/>
        <v>361</v>
      </c>
      <c r="E367" s="17">
        <f t="shared" ca="1" si="234"/>
        <v>90</v>
      </c>
      <c r="F367" s="12">
        <f t="shared" si="273"/>
        <v>0</v>
      </c>
      <c r="G367" s="12">
        <f t="shared" si="272"/>
        <v>61</v>
      </c>
      <c r="H367" s="17">
        <f t="shared" si="274"/>
        <v>31</v>
      </c>
      <c r="I367" s="29">
        <f t="shared" si="235"/>
        <v>0</v>
      </c>
      <c r="J367" s="211">
        <f>IFERROR(VLOOKUP(H367,Charges!$T$6:$U$35,2,0)*C367,0)</f>
        <v>0</v>
      </c>
      <c r="K367" s="29">
        <f t="shared" si="236"/>
        <v>0</v>
      </c>
      <c r="L367" s="29">
        <f t="shared" si="237"/>
        <v>0</v>
      </c>
      <c r="M367" s="147">
        <f t="shared" ca="1" si="238"/>
        <v>0</v>
      </c>
      <c r="N367" s="148">
        <f ca="1">IF(AND(Option_SPW="Y",H367&gt;=Lock_In_Period,Z366&gt;SPW_Amount_pa+IF(option="Single",1/5*pr,2*pr),H367&gt;=SPW_Start_Year,H367&lt;=SPW_Start_Year+SPW_Duration-1,age+H367&gt;=Legal_Age),IF(AND(F367=0,SPW_Payout_Freq=1),SPW_Amount_pa,IF(AND(SPW_Payout_Freq=2,MOD(F367,6)=0),SPW_Amount_pa/SPW_Payout_Freq,IF(AND(SPW_Payout_Freq=4,MOD(F367,3)=0),SPW_Amount_pa/SPW_Payout_Freq,IF(SPW_Payout_Freq=12,SPW_Amount_pa/SPW_Payout_Freq,0)))),0)+IFERROR(VLOOKUP(H367,Input!$B$68:$C$74,2,0),0)*(F367=0)*(Option_PW="Y")*(Option_SPW="N")*(age+H367&gt;=Legal_Age)</f>
        <v>0</v>
      </c>
      <c r="O367" s="148">
        <f t="shared" ca="1" si="264"/>
        <v>0</v>
      </c>
      <c r="P367" s="14">
        <f ca="1">(MAX(MAX(sa-CF366*Flag_UL_Type,105%*SUM($I$7:I367))-(AD366+L367-N367)*Flag_UL_Type,0)*B367)</f>
        <v>0</v>
      </c>
      <c r="Q367" s="213">
        <f t="shared" si="239"/>
        <v>0</v>
      </c>
      <c r="R367" s="14">
        <f t="shared" ca="1" si="240"/>
        <v>0</v>
      </c>
      <c r="S367" s="14">
        <f t="shared" ca="1" si="241"/>
        <v>0</v>
      </c>
      <c r="T367" s="14">
        <f>IFERROR(IF(WoP_Flag="Y",IF(fq=1,VLOOKUP(ppt*fq-H367,Charges!$AN$41:$AO$59,2,FALSE),IF(fq=2,VLOOKUP(ppt*fq-G367,Charges!$AP$41:$AQ$79,2,FALSE),VLOOKUP(ppt*fq-D367,Charges!$AR$41:$AS$279,2,FALSE)))*pr/fq,0),0)</f>
        <v>0</v>
      </c>
      <c r="U367" s="14">
        <f ca="1">IFERROR(((T367*(VLOOKUP(Input!$D$18+H367-1,Tab_Mort_Charge,IF(Gender_2="M",2,3),FALSE)*(1+_emr2)+_rpm2)/IF(Model_Type="LA_PQIS",1000/0.0833,(12*1000))))*Flag_Mort_Rider_Charge*(T367&gt;0),0)</f>
        <v>0</v>
      </c>
      <c r="V367" s="34">
        <f>ROUND(MIN(IF(H367&gt;=7,Charges!$C$12*(1+Charges!$C$14)^((H367-7+1)),VLOOKUP(H367,Charges!$B$7:$C$12,2,0))*pr,Charges!$C$13)*B367,Round)</f>
        <v>0</v>
      </c>
      <c r="W367" s="14">
        <f t="shared" ca="1" si="242"/>
        <v>0</v>
      </c>
      <c r="X367" s="14">
        <f t="shared" ca="1" si="243"/>
        <v>0</v>
      </c>
      <c r="Y367" s="213">
        <f t="shared" ca="1" si="265"/>
        <v>0</v>
      </c>
      <c r="Z367" s="14">
        <f t="shared" ca="1" si="244"/>
        <v>0</v>
      </c>
      <c r="AA367" s="14">
        <f>IF(AND($H367=pt,$F367=11),SUM($K$7:K367)*VLOOKUP(pt,ROC,2,FALSE),0)</f>
        <v>0</v>
      </c>
      <c r="AB367" s="14">
        <f>IF(AND($H367=pt,$F367=11),SUM($V$7:V367)*VLOOKUP(pt,ROC,2,FALSE),0)</f>
        <v>0</v>
      </c>
      <c r="AC367" s="14">
        <f>IF(AND($H367=pt,$F367=11),SUM($Q$7:Q367)*VLOOKUP(pt,ROC,2,FALSE),0)</f>
        <v>0</v>
      </c>
      <c r="AD367" s="14">
        <f t="shared" ca="1" si="266"/>
        <v>0</v>
      </c>
      <c r="AE367" s="14">
        <f ca="1">(MAX(sa-CF366*Flag_UL_Type,105%*SUM($I$7:I367),Z367)+AU367)*B367</f>
        <v>0</v>
      </c>
      <c r="AF367" s="136"/>
      <c r="AG367" s="18">
        <v>361</v>
      </c>
      <c r="AH367" s="30">
        <f t="shared" ca="1" si="245"/>
        <v>0</v>
      </c>
      <c r="AI367" s="58"/>
      <c r="AJ367" s="50">
        <f>IF(AND(Option_Sys_TopUp&gt;="Y",H367&gt;=sytp,H367&lt;=(dtp+sytp-1),F367=0,H367&lt;=ppt+1),atp,0)+IFERROR(VLOOKUP(H367,Input!$B$55:$C$61,2,0),0)*(F367=0)*(Option_TopUP="Y")*(Option_Sys_TopUp="N")*B367*(pt&gt;=H367+5)</f>
        <v>0</v>
      </c>
      <c r="AK367" s="50">
        <f t="shared" si="246"/>
        <v>0</v>
      </c>
      <c r="AL367" s="50">
        <f t="shared" si="267"/>
        <v>0</v>
      </c>
      <c r="AM367" s="50">
        <f t="shared" ca="1" si="247"/>
        <v>0</v>
      </c>
      <c r="AN367" s="50">
        <f>IF(B367=0,0,AT367*(_rpm1+(1+_emr1)*VLOOKUP(E367,Tab_Mort_Charge,IF(Input!$C$12="M",2,3),0))*(0.001*0.0833)*Flag_Mort_Rider_Charge*(AT367&gt;0))</f>
        <v>0</v>
      </c>
      <c r="AO367" s="50">
        <f t="shared" ca="1" si="268"/>
        <v>0</v>
      </c>
      <c r="AP367" s="50">
        <f t="shared" ca="1" si="275"/>
        <v>0</v>
      </c>
      <c r="AQ367" s="50">
        <f t="shared" ca="1" si="248"/>
        <v>0</v>
      </c>
      <c r="AR367" s="50">
        <f t="shared" ca="1" si="249"/>
        <v>0</v>
      </c>
      <c r="AS367" s="50">
        <f t="shared" si="250"/>
        <v>0</v>
      </c>
      <c r="AT367" s="50">
        <f ca="1">(MAX((MAX(AS367,105%*SUM($AJ$7:AJ367))-AM367*Flag_UL_Type),0)*B367)</f>
        <v>0</v>
      </c>
      <c r="AU367" s="50">
        <f ca="1">(MAX(AS367,AR367,105%*SUM($AJ$7:AJ367))*B367)</f>
        <v>0</v>
      </c>
      <c r="AV367" s="125"/>
      <c r="AW367" s="13"/>
      <c r="AX367" s="13"/>
      <c r="AY367" s="13"/>
      <c r="AZ367" s="13"/>
      <c r="BA367" s="13"/>
      <c r="BG367" s="51">
        <f t="shared" si="251"/>
        <v>0</v>
      </c>
      <c r="BH367" s="51">
        <f t="shared" si="252"/>
        <v>0</v>
      </c>
      <c r="BI367" s="51">
        <f t="shared" ca="1" si="253"/>
        <v>0</v>
      </c>
      <c r="BJ367" s="51">
        <f t="shared" ca="1" si="254"/>
        <v>0</v>
      </c>
      <c r="BK367" s="51">
        <f t="shared" si="255"/>
        <v>0</v>
      </c>
      <c r="BL367" s="51">
        <f t="shared" ca="1" si="256"/>
        <v>0</v>
      </c>
      <c r="BM367" s="51">
        <f t="shared" si="257"/>
        <v>0</v>
      </c>
      <c r="BN367" s="51">
        <f t="shared" si="258"/>
        <v>0</v>
      </c>
      <c r="BO367" s="51">
        <f t="shared" ca="1" si="259"/>
        <v>0</v>
      </c>
      <c r="BP367" s="51">
        <f t="shared" ca="1" si="260"/>
        <v>0</v>
      </c>
      <c r="BQ367" s="120"/>
      <c r="BR367" s="32"/>
      <c r="BS367" s="126"/>
      <c r="BT367" s="16"/>
      <c r="BU367" s="58"/>
      <c r="BW367" s="51" t="e">
        <f>VLOOKUP(H367,Charges!$AT$4:$AU$33,2,FALSE)*I367</f>
        <v>#N/A</v>
      </c>
      <c r="BX367" s="51">
        <f t="shared" si="261"/>
        <v>0</v>
      </c>
      <c r="BY367" s="51" t="e">
        <f t="shared" si="269"/>
        <v>#N/A</v>
      </c>
      <c r="BZ367" s="151"/>
      <c r="CA367" s="151"/>
      <c r="CB367" s="32"/>
      <c r="CC367" s="16">
        <f ca="1">SUM($N$7:$N367)</f>
        <v>0</v>
      </c>
      <c r="CD367" s="16">
        <f t="shared" ca="1" si="262"/>
        <v>0</v>
      </c>
      <c r="CE367" s="16">
        <f t="shared" ca="1" si="263"/>
        <v>0</v>
      </c>
      <c r="CF367" s="7">
        <f t="shared" ca="1" si="270"/>
        <v>0</v>
      </c>
    </row>
    <row r="368" spans="1:84" s="7" customFormat="1" x14ac:dyDescent="0.2">
      <c r="D368" s="32"/>
      <c r="P368" s="16"/>
      <c r="Q368" s="38"/>
      <c r="V368" s="39"/>
      <c r="W368" s="6"/>
      <c r="X368" s="16"/>
      <c r="AP368" s="16"/>
      <c r="AQ368" s="16"/>
      <c r="AR368" s="16"/>
    </row>
    <row r="369" spans="4:44" s="7" customFormat="1" x14ac:dyDescent="0.2">
      <c r="D369" s="32"/>
      <c r="I369" s="119"/>
      <c r="P369" s="16"/>
      <c r="Q369" s="38"/>
      <c r="V369" s="39"/>
      <c r="W369" s="6"/>
      <c r="X369" s="16"/>
      <c r="AP369" s="16"/>
      <c r="AQ369" s="16"/>
      <c r="AR369" s="16"/>
    </row>
    <row r="370" spans="4:44" s="7" customFormat="1" x14ac:dyDescent="0.2">
      <c r="D370" s="32"/>
      <c r="P370" s="16"/>
      <c r="Q370" s="38"/>
      <c r="V370" s="39"/>
      <c r="W370" s="6"/>
      <c r="X370" s="16"/>
      <c r="AP370" s="16"/>
      <c r="AQ370" s="16"/>
      <c r="AR370" s="16"/>
    </row>
    <row r="371" spans="4:44" s="7" customFormat="1" x14ac:dyDescent="0.2">
      <c r="D371" s="32"/>
      <c r="P371" s="16"/>
      <c r="Q371" s="38"/>
      <c r="V371" s="39"/>
      <c r="W371" s="6"/>
      <c r="X371" s="16"/>
      <c r="AP371" s="16"/>
      <c r="AQ371" s="16"/>
      <c r="AR371" s="16"/>
    </row>
    <row r="372" spans="4:44" s="7" customFormat="1" x14ac:dyDescent="0.2">
      <c r="D372" s="32"/>
      <c r="P372" s="16"/>
      <c r="Q372" s="38"/>
      <c r="V372" s="39"/>
      <c r="W372" s="6"/>
      <c r="X372" s="16"/>
      <c r="AP372" s="16"/>
      <c r="AQ372" s="16"/>
      <c r="AR372" s="16"/>
    </row>
    <row r="373" spans="4:44" s="7" customFormat="1" x14ac:dyDescent="0.2">
      <c r="D373" s="32"/>
      <c r="P373" s="16"/>
      <c r="Q373" s="38"/>
      <c r="V373" s="39"/>
      <c r="W373" s="6"/>
      <c r="X373" s="16"/>
      <c r="AP373" s="16"/>
      <c r="AQ373" s="16"/>
      <c r="AR373" s="16"/>
    </row>
    <row r="374" spans="4:44" s="7" customFormat="1" x14ac:dyDescent="0.2">
      <c r="D374" s="32"/>
      <c r="P374" s="16"/>
      <c r="Q374" s="38"/>
      <c r="V374" s="39"/>
      <c r="W374" s="6"/>
      <c r="X374" s="16"/>
      <c r="AP374" s="16"/>
      <c r="AQ374" s="16"/>
      <c r="AR374" s="16"/>
    </row>
    <row r="375" spans="4:44" s="7" customFormat="1" x14ac:dyDescent="0.2">
      <c r="D375" s="32"/>
      <c r="P375" s="16"/>
      <c r="Q375" s="38"/>
      <c r="V375" s="39"/>
      <c r="W375" s="6"/>
      <c r="X375" s="16"/>
      <c r="AP375" s="16"/>
      <c r="AQ375" s="16"/>
      <c r="AR375" s="16"/>
    </row>
    <row r="376" spans="4:44" s="7" customFormat="1" x14ac:dyDescent="0.2">
      <c r="D376" s="32"/>
      <c r="P376" s="16"/>
      <c r="Q376" s="38"/>
      <c r="V376" s="39"/>
      <c r="W376" s="6"/>
      <c r="X376" s="16"/>
      <c r="AP376" s="16"/>
      <c r="AQ376" s="16"/>
      <c r="AR376" s="16"/>
    </row>
    <row r="377" spans="4:44" s="7" customFormat="1" x14ac:dyDescent="0.2">
      <c r="D377" s="32"/>
      <c r="P377" s="16"/>
      <c r="Q377" s="38"/>
      <c r="V377" s="39"/>
      <c r="W377" s="6"/>
      <c r="X377" s="16"/>
      <c r="AP377" s="16"/>
      <c r="AQ377" s="16"/>
      <c r="AR377" s="16"/>
    </row>
    <row r="378" spans="4:44" s="7" customFormat="1" x14ac:dyDescent="0.2">
      <c r="D378" s="32"/>
      <c r="P378" s="16"/>
      <c r="Q378" s="38"/>
      <c r="V378" s="39"/>
      <c r="W378" s="6"/>
      <c r="X378" s="16"/>
      <c r="AP378" s="16"/>
      <c r="AQ378" s="16"/>
      <c r="AR378" s="16"/>
    </row>
    <row r="379" spans="4:44" s="7" customFormat="1" x14ac:dyDescent="0.2">
      <c r="D379" s="32"/>
      <c r="P379" s="16"/>
      <c r="Q379" s="38"/>
      <c r="V379" s="39"/>
      <c r="W379" s="6"/>
      <c r="X379" s="16"/>
      <c r="AP379" s="16"/>
      <c r="AQ379" s="16"/>
      <c r="AR379" s="16"/>
    </row>
    <row r="380" spans="4:44" s="7" customFormat="1" x14ac:dyDescent="0.2">
      <c r="D380" s="32"/>
      <c r="P380" s="16"/>
      <c r="Q380" s="38"/>
      <c r="V380" s="39"/>
      <c r="W380" s="6"/>
      <c r="X380" s="16"/>
      <c r="AP380" s="16"/>
      <c r="AQ380" s="16"/>
      <c r="AR380" s="16"/>
    </row>
    <row r="381" spans="4:44" s="7" customFormat="1" x14ac:dyDescent="0.2">
      <c r="D381" s="32"/>
      <c r="P381" s="16"/>
      <c r="Q381" s="38"/>
      <c r="V381" s="39"/>
      <c r="W381" s="6"/>
      <c r="X381" s="16"/>
      <c r="AP381" s="16"/>
      <c r="AQ381" s="16"/>
      <c r="AR381" s="16"/>
    </row>
    <row r="382" spans="4:44" s="7" customFormat="1" x14ac:dyDescent="0.2">
      <c r="D382" s="32"/>
      <c r="P382" s="16"/>
      <c r="Q382" s="38"/>
      <c r="V382" s="39"/>
      <c r="W382" s="6"/>
      <c r="X382" s="16"/>
      <c r="AP382" s="16"/>
      <c r="AQ382" s="16"/>
      <c r="AR382" s="16"/>
    </row>
    <row r="383" spans="4:44" s="7" customFormat="1" x14ac:dyDescent="0.2">
      <c r="D383" s="32"/>
      <c r="P383" s="16"/>
      <c r="Q383" s="38"/>
      <c r="V383" s="39"/>
      <c r="W383" s="6"/>
      <c r="X383" s="16"/>
      <c r="AP383" s="16"/>
      <c r="AQ383" s="16"/>
      <c r="AR383" s="16"/>
    </row>
    <row r="384" spans="4:44" s="7" customFormat="1" x14ac:dyDescent="0.2">
      <c r="D384" s="32"/>
      <c r="P384" s="16"/>
      <c r="Q384" s="38"/>
      <c r="V384" s="39"/>
      <c r="W384" s="6"/>
      <c r="X384" s="16"/>
      <c r="AP384" s="16"/>
      <c r="AQ384" s="16"/>
      <c r="AR384" s="16"/>
    </row>
    <row r="385" spans="4:44" s="7" customFormat="1" x14ac:dyDescent="0.2">
      <c r="D385" s="32"/>
      <c r="P385" s="16"/>
      <c r="Q385" s="38"/>
      <c r="V385" s="39"/>
      <c r="W385" s="6"/>
      <c r="X385" s="16"/>
      <c r="AP385" s="16"/>
      <c r="AQ385" s="16"/>
      <c r="AR385" s="16"/>
    </row>
    <row r="386" spans="4:44" s="7" customFormat="1" x14ac:dyDescent="0.2">
      <c r="D386" s="32"/>
      <c r="P386" s="16"/>
      <c r="Q386" s="38"/>
      <c r="V386" s="39"/>
      <c r="W386" s="6"/>
      <c r="X386" s="16"/>
      <c r="AP386" s="16"/>
      <c r="AQ386" s="16"/>
      <c r="AR386" s="16"/>
    </row>
    <row r="387" spans="4:44" s="7" customFormat="1" x14ac:dyDescent="0.2">
      <c r="D387" s="32"/>
      <c r="P387" s="16"/>
      <c r="Q387" s="38"/>
      <c r="V387" s="39"/>
      <c r="W387" s="6"/>
      <c r="X387" s="16"/>
      <c r="AP387" s="16"/>
      <c r="AQ387" s="16"/>
      <c r="AR387" s="16"/>
    </row>
    <row r="388" spans="4:44" s="7" customFormat="1" x14ac:dyDescent="0.2">
      <c r="D388" s="32"/>
      <c r="P388" s="16"/>
      <c r="Q388" s="38"/>
      <c r="V388" s="39"/>
      <c r="W388" s="6"/>
      <c r="X388" s="16"/>
      <c r="AP388" s="16"/>
      <c r="AQ388" s="16"/>
      <c r="AR388" s="16"/>
    </row>
    <row r="389" spans="4:44" x14ac:dyDescent="0.2">
      <c r="Q389" s="40"/>
      <c r="V389" s="41"/>
      <c r="W389" s="6"/>
      <c r="AA389" s="7"/>
      <c r="AB389" s="7"/>
      <c r="AC389" s="7"/>
      <c r="AD389" s="7"/>
    </row>
    <row r="390" spans="4:44" x14ac:dyDescent="0.2">
      <c r="Q390" s="40"/>
      <c r="V390" s="41"/>
      <c r="W390" s="6"/>
      <c r="AA390" s="7"/>
      <c r="AB390" s="7"/>
      <c r="AC390" s="7"/>
      <c r="AD390" s="7"/>
    </row>
    <row r="391" spans="4:44" x14ac:dyDescent="0.2">
      <c r="Q391" s="40"/>
      <c r="V391" s="41"/>
      <c r="W391" s="6"/>
      <c r="AA391" s="7"/>
      <c r="AB391" s="7"/>
      <c r="AC391" s="7"/>
      <c r="AD391" s="7"/>
    </row>
    <row r="392" spans="4:44" x14ac:dyDescent="0.2">
      <c r="Q392" s="40"/>
      <c r="V392" s="41"/>
      <c r="W392" s="6"/>
      <c r="AA392" s="7"/>
      <c r="AB392" s="7"/>
      <c r="AC392" s="7"/>
      <c r="AD392" s="7"/>
    </row>
    <row r="393" spans="4:44" x14ac:dyDescent="0.2">
      <c r="Q393" s="40"/>
      <c r="V393" s="41"/>
      <c r="W393" s="6"/>
      <c r="AA393" s="7"/>
      <c r="AB393" s="7"/>
      <c r="AC393" s="7"/>
      <c r="AD393" s="7"/>
    </row>
    <row r="394" spans="4:44" x14ac:dyDescent="0.2">
      <c r="Q394" s="40"/>
      <c r="V394" s="41"/>
      <c r="W394" s="6"/>
      <c r="AA394" s="7"/>
      <c r="AB394" s="7"/>
      <c r="AC394" s="7"/>
      <c r="AD394" s="7"/>
    </row>
    <row r="395" spans="4:44" x14ac:dyDescent="0.2">
      <c r="Q395" s="40"/>
      <c r="V395" s="41"/>
      <c r="W395" s="6"/>
      <c r="AA395" s="7"/>
      <c r="AB395" s="7"/>
      <c r="AC395" s="7"/>
      <c r="AD395" s="7"/>
    </row>
    <row r="396" spans="4:44" x14ac:dyDescent="0.2">
      <c r="Q396" s="40"/>
      <c r="V396" s="41"/>
      <c r="W396" s="6"/>
      <c r="AA396" s="7"/>
      <c r="AB396" s="7"/>
      <c r="AC396" s="7"/>
      <c r="AD396" s="7"/>
    </row>
    <row r="397" spans="4:44" x14ac:dyDescent="0.2">
      <c r="Q397" s="40"/>
      <c r="V397" s="41"/>
      <c r="W397" s="6"/>
      <c r="AA397" s="7"/>
      <c r="AB397" s="7"/>
      <c r="AC397" s="7"/>
      <c r="AD397" s="7"/>
    </row>
    <row r="398" spans="4:44" x14ac:dyDescent="0.2">
      <c r="Q398" s="40"/>
      <c r="V398" s="41"/>
      <c r="W398" s="6"/>
      <c r="AA398" s="7"/>
      <c r="AB398" s="7"/>
      <c r="AC398" s="7"/>
      <c r="AD398" s="7"/>
    </row>
    <row r="399" spans="4:44" x14ac:dyDescent="0.2">
      <c r="Q399" s="40"/>
      <c r="V399" s="41"/>
      <c r="W399" s="6"/>
      <c r="AA399" s="7"/>
      <c r="AB399" s="7"/>
      <c r="AC399" s="7"/>
      <c r="AD399" s="7"/>
    </row>
    <row r="400" spans="4:44" x14ac:dyDescent="0.2">
      <c r="Q400" s="40"/>
      <c r="V400" s="41"/>
      <c r="W400" s="6"/>
      <c r="AA400" s="7"/>
      <c r="AB400" s="7"/>
      <c r="AC400" s="7"/>
      <c r="AD400" s="7"/>
    </row>
    <row r="401" spans="17:30" x14ac:dyDescent="0.2">
      <c r="Q401" s="40"/>
      <c r="V401" s="41"/>
      <c r="W401" s="6"/>
      <c r="AA401" s="7"/>
      <c r="AB401" s="7"/>
      <c r="AC401" s="7"/>
      <c r="AD401" s="7"/>
    </row>
    <row r="402" spans="17:30" x14ac:dyDescent="0.2">
      <c r="Q402" s="40"/>
      <c r="V402" s="41"/>
      <c r="W402" s="6"/>
      <c r="AA402" s="7"/>
      <c r="AB402" s="7"/>
      <c r="AC402" s="7"/>
      <c r="AD402" s="7"/>
    </row>
    <row r="403" spans="17:30" x14ac:dyDescent="0.2">
      <c r="Q403" s="40"/>
      <c r="V403" s="41"/>
      <c r="W403" s="6"/>
      <c r="AA403" s="7"/>
      <c r="AB403" s="7"/>
      <c r="AC403" s="7"/>
      <c r="AD403" s="7"/>
    </row>
    <row r="404" spans="17:30" x14ac:dyDescent="0.2">
      <c r="Q404" s="40"/>
      <c r="V404" s="41"/>
      <c r="W404" s="6"/>
      <c r="AA404" s="7"/>
      <c r="AB404" s="7"/>
      <c r="AC404" s="7"/>
      <c r="AD404" s="7"/>
    </row>
    <row r="405" spans="17:30" x14ac:dyDescent="0.2">
      <c r="Q405" s="40"/>
      <c r="V405" s="41"/>
      <c r="W405" s="6"/>
      <c r="AA405" s="7"/>
      <c r="AB405" s="7"/>
      <c r="AC405" s="7"/>
      <c r="AD405" s="7"/>
    </row>
    <row r="406" spans="17:30" x14ac:dyDescent="0.2">
      <c r="Q406" s="40"/>
      <c r="V406" s="41"/>
      <c r="W406" s="6"/>
      <c r="AA406" s="7"/>
      <c r="AB406" s="7"/>
      <c r="AC406" s="7"/>
      <c r="AD406" s="7"/>
    </row>
    <row r="407" spans="17:30" x14ac:dyDescent="0.2">
      <c r="Q407" s="40"/>
      <c r="V407" s="41"/>
      <c r="W407" s="6"/>
      <c r="AA407" s="7"/>
      <c r="AB407" s="7"/>
      <c r="AC407" s="7"/>
      <c r="AD407" s="7"/>
    </row>
    <row r="408" spans="17:30" x14ac:dyDescent="0.2">
      <c r="Q408" s="40"/>
      <c r="V408" s="41"/>
      <c r="W408" s="6"/>
      <c r="AA408" s="7"/>
      <c r="AB408" s="7"/>
      <c r="AC408" s="7"/>
      <c r="AD408" s="7"/>
    </row>
    <row r="409" spans="17:30" x14ac:dyDescent="0.2">
      <c r="Q409" s="40"/>
      <c r="V409" s="41"/>
      <c r="W409" s="6"/>
      <c r="AA409" s="7"/>
      <c r="AB409" s="7"/>
      <c r="AC409" s="7"/>
      <c r="AD409" s="7"/>
    </row>
    <row r="410" spans="17:30" x14ac:dyDescent="0.2">
      <c r="Q410" s="40"/>
      <c r="V410" s="41"/>
      <c r="W410" s="6"/>
      <c r="AA410" s="7"/>
      <c r="AB410" s="7"/>
      <c r="AC410" s="7"/>
      <c r="AD410" s="7"/>
    </row>
    <row r="411" spans="17:30" x14ac:dyDescent="0.2">
      <c r="Q411" s="40"/>
      <c r="V411" s="41"/>
      <c r="W411" s="6"/>
      <c r="AA411" s="7"/>
      <c r="AB411" s="7"/>
      <c r="AC411" s="7"/>
      <c r="AD411" s="7"/>
    </row>
    <row r="412" spans="17:30" x14ac:dyDescent="0.2">
      <c r="Q412" s="40"/>
      <c r="V412" s="41"/>
      <c r="W412" s="6"/>
      <c r="AA412" s="7"/>
      <c r="AB412" s="7"/>
      <c r="AC412" s="7"/>
      <c r="AD412" s="7"/>
    </row>
    <row r="413" spans="17:30" x14ac:dyDescent="0.2">
      <c r="Q413" s="40"/>
      <c r="V413" s="41"/>
      <c r="W413" s="6"/>
      <c r="AA413" s="7"/>
      <c r="AB413" s="7"/>
      <c r="AC413" s="7"/>
      <c r="AD413" s="7"/>
    </row>
    <row r="414" spans="17:30" x14ac:dyDescent="0.2">
      <c r="Q414" s="40"/>
      <c r="V414" s="41"/>
      <c r="W414" s="6"/>
      <c r="AA414" s="7"/>
      <c r="AB414" s="7"/>
      <c r="AC414" s="7"/>
      <c r="AD414" s="7"/>
    </row>
    <row r="415" spans="17:30" x14ac:dyDescent="0.2">
      <c r="Q415" s="40"/>
      <c r="V415" s="41"/>
      <c r="W415" s="6"/>
      <c r="AA415" s="7"/>
      <c r="AB415" s="7"/>
      <c r="AC415" s="7"/>
      <c r="AD415" s="7"/>
    </row>
    <row r="416" spans="17:30" x14ac:dyDescent="0.2">
      <c r="Q416" s="40"/>
      <c r="V416" s="41"/>
      <c r="W416" s="6"/>
      <c r="AA416" s="7"/>
      <c r="AB416" s="7"/>
      <c r="AC416" s="7"/>
      <c r="AD416" s="7"/>
    </row>
    <row r="417" spans="17:30" x14ac:dyDescent="0.2">
      <c r="Q417" s="40"/>
      <c r="V417" s="41"/>
      <c r="W417" s="6"/>
      <c r="AA417" s="7"/>
      <c r="AB417" s="7"/>
      <c r="AC417" s="7"/>
      <c r="AD417" s="7"/>
    </row>
    <row r="418" spans="17:30" x14ac:dyDescent="0.2">
      <c r="Q418" s="40"/>
      <c r="V418" s="41"/>
      <c r="W418" s="6"/>
      <c r="AA418" s="7"/>
      <c r="AB418" s="7"/>
      <c r="AC418" s="7"/>
      <c r="AD418" s="7"/>
    </row>
    <row r="419" spans="17:30" x14ac:dyDescent="0.2">
      <c r="Q419" s="40"/>
      <c r="V419" s="41"/>
      <c r="W419" s="6"/>
      <c r="AA419" s="7"/>
      <c r="AB419" s="7"/>
      <c r="AC419" s="7"/>
      <c r="AD419" s="7"/>
    </row>
    <row r="420" spans="17:30" x14ac:dyDescent="0.2">
      <c r="Q420" s="40"/>
      <c r="V420" s="41"/>
      <c r="W420" s="6"/>
      <c r="AA420" s="7"/>
      <c r="AB420" s="7"/>
      <c r="AC420" s="7"/>
      <c r="AD420" s="7"/>
    </row>
    <row r="421" spans="17:30" x14ac:dyDescent="0.2">
      <c r="Q421" s="40"/>
      <c r="V421" s="41"/>
      <c r="W421" s="6"/>
      <c r="AA421" s="7"/>
      <c r="AB421" s="7"/>
      <c r="AC421" s="7"/>
      <c r="AD421" s="7"/>
    </row>
    <row r="422" spans="17:30" x14ac:dyDescent="0.2">
      <c r="Q422" s="40"/>
      <c r="V422" s="41"/>
      <c r="W422" s="6"/>
      <c r="AA422" s="7"/>
      <c r="AB422" s="7"/>
      <c r="AC422" s="7"/>
      <c r="AD422" s="7"/>
    </row>
    <row r="423" spans="17:30" x14ac:dyDescent="0.2">
      <c r="Q423" s="40"/>
      <c r="V423" s="41"/>
      <c r="W423" s="6"/>
      <c r="AA423" s="7"/>
      <c r="AB423" s="7"/>
      <c r="AC423" s="7"/>
      <c r="AD423" s="7"/>
    </row>
    <row r="424" spans="17:30" x14ac:dyDescent="0.2">
      <c r="Q424" s="40"/>
      <c r="V424" s="41"/>
      <c r="W424" s="6"/>
      <c r="AA424" s="7"/>
      <c r="AB424" s="7"/>
      <c r="AC424" s="7"/>
      <c r="AD424" s="7"/>
    </row>
    <row r="425" spans="17:30" x14ac:dyDescent="0.2">
      <c r="Q425" s="40"/>
      <c r="V425" s="41"/>
      <c r="W425" s="6"/>
      <c r="AA425" s="7"/>
      <c r="AB425" s="7"/>
      <c r="AC425" s="7"/>
      <c r="AD425" s="7"/>
    </row>
    <row r="426" spans="17:30" x14ac:dyDescent="0.2">
      <c r="Q426" s="40"/>
      <c r="V426" s="41"/>
      <c r="W426" s="6"/>
      <c r="AA426" s="7"/>
      <c r="AB426" s="7"/>
      <c r="AC426" s="7"/>
      <c r="AD426" s="7"/>
    </row>
    <row r="427" spans="17:30" x14ac:dyDescent="0.2">
      <c r="Q427" s="40"/>
      <c r="V427" s="41"/>
      <c r="W427" s="6"/>
      <c r="AA427" s="7"/>
      <c r="AB427" s="7"/>
      <c r="AC427" s="7"/>
      <c r="AD427" s="7"/>
    </row>
    <row r="428" spans="17:30" x14ac:dyDescent="0.2">
      <c r="Q428" s="40"/>
      <c r="V428" s="41"/>
      <c r="W428" s="6"/>
      <c r="AA428" s="7"/>
      <c r="AB428" s="7"/>
      <c r="AC428" s="7"/>
      <c r="AD428" s="7"/>
    </row>
    <row r="429" spans="17:30" x14ac:dyDescent="0.2">
      <c r="Q429" s="40"/>
      <c r="V429" s="41"/>
      <c r="W429" s="6"/>
      <c r="AA429" s="7"/>
      <c r="AB429" s="7"/>
      <c r="AC429" s="7"/>
      <c r="AD429" s="7"/>
    </row>
    <row r="430" spans="17:30" x14ac:dyDescent="0.2">
      <c r="Q430" s="40"/>
      <c r="V430" s="41"/>
      <c r="W430" s="6"/>
      <c r="AA430" s="7"/>
      <c r="AB430" s="7"/>
      <c r="AC430" s="7"/>
      <c r="AD430" s="7"/>
    </row>
    <row r="431" spans="17:30" x14ac:dyDescent="0.2">
      <c r="Q431" s="40"/>
      <c r="V431" s="41"/>
      <c r="W431" s="6"/>
      <c r="AA431" s="7"/>
      <c r="AB431" s="7"/>
      <c r="AC431" s="7"/>
      <c r="AD431" s="7"/>
    </row>
    <row r="432" spans="17:30" x14ac:dyDescent="0.2">
      <c r="Q432" s="40"/>
      <c r="V432" s="41"/>
      <c r="W432" s="6"/>
      <c r="AA432" s="7"/>
      <c r="AB432" s="7"/>
      <c r="AC432" s="7"/>
      <c r="AD432" s="7"/>
    </row>
    <row r="433" spans="17:30" x14ac:dyDescent="0.2">
      <c r="Q433" s="40"/>
      <c r="V433" s="41"/>
      <c r="W433" s="6"/>
      <c r="AA433" s="7"/>
      <c r="AB433" s="7"/>
      <c r="AC433" s="7"/>
      <c r="AD433" s="7"/>
    </row>
    <row r="434" spans="17:30" x14ac:dyDescent="0.2">
      <c r="Q434" s="40"/>
      <c r="V434" s="41"/>
      <c r="W434" s="6"/>
      <c r="AA434" s="7"/>
      <c r="AB434" s="7"/>
      <c r="AC434" s="7"/>
      <c r="AD434" s="7"/>
    </row>
    <row r="435" spans="17:30" x14ac:dyDescent="0.2">
      <c r="Q435" s="40"/>
      <c r="V435" s="41"/>
      <c r="W435" s="6"/>
      <c r="AA435" s="7"/>
      <c r="AB435" s="7"/>
      <c r="AC435" s="7"/>
      <c r="AD435" s="7"/>
    </row>
    <row r="436" spans="17:30" x14ac:dyDescent="0.2">
      <c r="Q436" s="40"/>
      <c r="V436" s="41"/>
      <c r="W436" s="6"/>
      <c r="AA436" s="7"/>
      <c r="AB436" s="7"/>
      <c r="AC436" s="7"/>
      <c r="AD436" s="7"/>
    </row>
    <row r="437" spans="17:30" x14ac:dyDescent="0.2">
      <c r="Q437" s="40"/>
      <c r="V437" s="41"/>
      <c r="W437" s="6"/>
      <c r="AA437" s="7"/>
      <c r="AB437" s="7"/>
      <c r="AC437" s="7"/>
      <c r="AD437" s="7"/>
    </row>
    <row r="438" spans="17:30" x14ac:dyDescent="0.2">
      <c r="Q438" s="40"/>
      <c r="V438" s="41"/>
      <c r="W438" s="6"/>
      <c r="AA438" s="7"/>
      <c r="AB438" s="7"/>
      <c r="AC438" s="7"/>
      <c r="AD438" s="7"/>
    </row>
    <row r="439" spans="17:30" x14ac:dyDescent="0.2">
      <c r="Q439" s="40"/>
      <c r="V439" s="41"/>
      <c r="W439" s="6"/>
      <c r="AA439" s="7"/>
      <c r="AB439" s="7"/>
      <c r="AC439" s="7"/>
      <c r="AD439" s="7"/>
    </row>
    <row r="440" spans="17:30" x14ac:dyDescent="0.2">
      <c r="Q440" s="40"/>
      <c r="V440" s="41"/>
      <c r="W440" s="6"/>
      <c r="AA440" s="7"/>
      <c r="AB440" s="7"/>
      <c r="AC440" s="7"/>
      <c r="AD440" s="7"/>
    </row>
    <row r="441" spans="17:30" x14ac:dyDescent="0.2">
      <c r="Q441" s="40"/>
      <c r="V441" s="41"/>
      <c r="W441" s="6"/>
      <c r="AA441" s="7"/>
      <c r="AB441" s="7"/>
      <c r="AC441" s="7"/>
      <c r="AD441" s="7"/>
    </row>
    <row r="442" spans="17:30" x14ac:dyDescent="0.2">
      <c r="Q442" s="40"/>
      <c r="V442" s="41"/>
      <c r="W442" s="6"/>
      <c r="AA442" s="7"/>
      <c r="AB442" s="7"/>
      <c r="AC442" s="7"/>
      <c r="AD442" s="7"/>
    </row>
    <row r="443" spans="17:30" x14ac:dyDescent="0.2">
      <c r="Q443" s="40"/>
      <c r="V443" s="41"/>
      <c r="W443" s="6"/>
      <c r="AA443" s="7"/>
      <c r="AB443" s="7"/>
      <c r="AC443" s="7"/>
      <c r="AD443" s="7"/>
    </row>
    <row r="444" spans="17:30" x14ac:dyDescent="0.2">
      <c r="Q444" s="40"/>
      <c r="V444" s="41"/>
      <c r="W444" s="6"/>
      <c r="AA444" s="7"/>
      <c r="AB444" s="7"/>
      <c r="AC444" s="7"/>
      <c r="AD444" s="7"/>
    </row>
    <row r="445" spans="17:30" x14ac:dyDescent="0.2">
      <c r="Q445" s="40"/>
      <c r="V445" s="41"/>
      <c r="W445" s="6"/>
      <c r="AA445" s="7"/>
      <c r="AB445" s="7"/>
      <c r="AC445" s="7"/>
      <c r="AD445" s="7"/>
    </row>
    <row r="446" spans="17:30" x14ac:dyDescent="0.2">
      <c r="Q446" s="40"/>
      <c r="V446" s="41"/>
      <c r="W446" s="6"/>
      <c r="AA446" s="7"/>
      <c r="AB446" s="7"/>
      <c r="AC446" s="7"/>
      <c r="AD446" s="7"/>
    </row>
    <row r="447" spans="17:30" x14ac:dyDescent="0.2">
      <c r="Q447" s="40"/>
      <c r="V447" s="41"/>
      <c r="W447" s="6"/>
      <c r="AA447" s="7"/>
      <c r="AB447" s="7"/>
      <c r="AC447" s="7"/>
      <c r="AD447" s="7"/>
    </row>
    <row r="448" spans="17:30" x14ac:dyDescent="0.2">
      <c r="Q448" s="40"/>
      <c r="V448" s="41"/>
      <c r="W448" s="6"/>
      <c r="AA448" s="7"/>
      <c r="AB448" s="7"/>
      <c r="AC448" s="7"/>
      <c r="AD448" s="7"/>
    </row>
    <row r="449" spans="17:30" x14ac:dyDescent="0.2">
      <c r="Q449" s="40"/>
      <c r="V449" s="41"/>
      <c r="W449" s="6"/>
      <c r="AA449" s="7"/>
      <c r="AB449" s="7"/>
      <c r="AC449" s="7"/>
      <c r="AD449" s="7"/>
    </row>
    <row r="450" spans="17:30" x14ac:dyDescent="0.2">
      <c r="Q450" s="40"/>
      <c r="V450" s="41"/>
      <c r="W450" s="6"/>
      <c r="AA450" s="7"/>
      <c r="AB450" s="7"/>
      <c r="AC450" s="7"/>
      <c r="AD450" s="7"/>
    </row>
    <row r="451" spans="17:30" x14ac:dyDescent="0.2">
      <c r="Q451" s="40"/>
      <c r="V451" s="41"/>
      <c r="W451" s="6"/>
      <c r="AA451" s="7"/>
      <c r="AB451" s="7"/>
      <c r="AC451" s="7"/>
      <c r="AD451" s="7"/>
    </row>
    <row r="452" spans="17:30" x14ac:dyDescent="0.2">
      <c r="Q452" s="40"/>
      <c r="V452" s="41"/>
      <c r="W452" s="6"/>
      <c r="AA452" s="7"/>
      <c r="AB452" s="7"/>
      <c r="AC452" s="7"/>
      <c r="AD452" s="7"/>
    </row>
    <row r="453" spans="17:30" x14ac:dyDescent="0.2">
      <c r="Q453" s="40"/>
      <c r="V453" s="41"/>
      <c r="W453" s="6"/>
      <c r="AA453" s="7"/>
      <c r="AB453" s="7"/>
      <c r="AC453" s="7"/>
      <c r="AD453" s="7"/>
    </row>
    <row r="454" spans="17:30" x14ac:dyDescent="0.2">
      <c r="Q454" s="40"/>
      <c r="V454" s="41"/>
      <c r="W454" s="6"/>
      <c r="AA454" s="7"/>
      <c r="AB454" s="7"/>
      <c r="AC454" s="7"/>
      <c r="AD454" s="7"/>
    </row>
    <row r="455" spans="17:30" x14ac:dyDescent="0.2">
      <c r="Q455" s="40"/>
      <c r="V455" s="41"/>
      <c r="W455" s="6"/>
      <c r="AA455" s="7"/>
      <c r="AB455" s="7"/>
      <c r="AC455" s="7"/>
      <c r="AD455" s="7"/>
    </row>
    <row r="456" spans="17:30" x14ac:dyDescent="0.2">
      <c r="Q456" s="40"/>
      <c r="V456" s="41"/>
      <c r="W456" s="6"/>
      <c r="AA456" s="7"/>
      <c r="AB456" s="7"/>
      <c r="AC456" s="7"/>
      <c r="AD456" s="7"/>
    </row>
    <row r="457" spans="17:30" x14ac:dyDescent="0.2">
      <c r="Q457" s="40"/>
      <c r="V457" s="41"/>
      <c r="W457" s="6"/>
      <c r="AA457" s="7"/>
      <c r="AB457" s="7"/>
      <c r="AC457" s="7"/>
      <c r="AD457" s="7"/>
    </row>
    <row r="458" spans="17:30" x14ac:dyDescent="0.2">
      <c r="Q458" s="40"/>
      <c r="V458" s="41"/>
      <c r="W458" s="6"/>
      <c r="AA458" s="7"/>
      <c r="AB458" s="7"/>
      <c r="AC458" s="7"/>
      <c r="AD458" s="7"/>
    </row>
    <row r="459" spans="17:30" x14ac:dyDescent="0.2">
      <c r="Q459" s="40"/>
      <c r="V459" s="41"/>
      <c r="W459" s="6"/>
      <c r="AA459" s="7"/>
      <c r="AB459" s="7"/>
      <c r="AC459" s="7"/>
      <c r="AD459" s="7"/>
    </row>
    <row r="460" spans="17:30" x14ac:dyDescent="0.2">
      <c r="Q460" s="40"/>
      <c r="V460" s="41"/>
      <c r="W460" s="6"/>
      <c r="AA460" s="7"/>
      <c r="AB460" s="7"/>
      <c r="AC460" s="7"/>
      <c r="AD460" s="7"/>
    </row>
    <row r="461" spans="17:30" x14ac:dyDescent="0.2">
      <c r="Q461" s="40"/>
      <c r="V461" s="41"/>
      <c r="W461" s="6"/>
      <c r="AA461" s="7"/>
      <c r="AB461" s="7"/>
      <c r="AC461" s="7"/>
      <c r="AD461" s="7"/>
    </row>
    <row r="462" spans="17:30" x14ac:dyDescent="0.2">
      <c r="Q462" s="40"/>
      <c r="V462" s="41"/>
      <c r="W462" s="6"/>
      <c r="AA462" s="7"/>
      <c r="AB462" s="7"/>
      <c r="AC462" s="7"/>
      <c r="AD462" s="7"/>
    </row>
    <row r="463" spans="17:30" x14ac:dyDescent="0.2">
      <c r="Q463" s="40"/>
      <c r="V463" s="41"/>
      <c r="W463" s="6"/>
      <c r="AA463" s="7"/>
      <c r="AB463" s="7"/>
      <c r="AC463" s="7"/>
      <c r="AD463" s="7"/>
    </row>
    <row r="464" spans="17:30" x14ac:dyDescent="0.2">
      <c r="Q464" s="40"/>
      <c r="V464" s="41"/>
      <c r="W464" s="6"/>
      <c r="AA464" s="7"/>
      <c r="AB464" s="7"/>
      <c r="AC464" s="7"/>
      <c r="AD464" s="7"/>
    </row>
    <row r="465" spans="17:30" x14ac:dyDescent="0.2">
      <c r="Q465" s="40"/>
      <c r="V465" s="41"/>
      <c r="W465" s="6"/>
      <c r="AA465" s="7"/>
      <c r="AB465" s="7"/>
      <c r="AC465" s="7"/>
      <c r="AD465" s="7"/>
    </row>
    <row r="466" spans="17:30" x14ac:dyDescent="0.2">
      <c r="Q466" s="40"/>
      <c r="V466" s="41"/>
      <c r="W466" s="6"/>
      <c r="AA466" s="7"/>
      <c r="AB466" s="7"/>
      <c r="AC466" s="7"/>
      <c r="AD466" s="7"/>
    </row>
    <row r="467" spans="17:30" x14ac:dyDescent="0.2">
      <c r="Q467" s="40"/>
      <c r="V467" s="41"/>
      <c r="W467" s="6"/>
      <c r="AA467" s="7"/>
      <c r="AB467" s="7"/>
      <c r="AC467" s="7"/>
      <c r="AD467" s="7"/>
    </row>
    <row r="468" spans="17:30" x14ac:dyDescent="0.2">
      <c r="Q468" s="40"/>
      <c r="V468" s="41"/>
      <c r="W468" s="6"/>
      <c r="AA468" s="7"/>
      <c r="AB468" s="7"/>
      <c r="AC468" s="7"/>
      <c r="AD468" s="7"/>
    </row>
    <row r="469" spans="17:30" x14ac:dyDescent="0.2">
      <c r="Q469" s="40"/>
      <c r="V469" s="41"/>
      <c r="W469" s="6"/>
      <c r="AA469" s="7"/>
      <c r="AB469" s="7"/>
      <c r="AC469" s="7"/>
      <c r="AD469" s="7"/>
    </row>
    <row r="470" spans="17:30" x14ac:dyDescent="0.2">
      <c r="Q470" s="40"/>
      <c r="V470" s="41"/>
      <c r="W470" s="6"/>
      <c r="AA470" s="7"/>
      <c r="AB470" s="7"/>
      <c r="AC470" s="7"/>
      <c r="AD470" s="7"/>
    </row>
    <row r="471" spans="17:30" x14ac:dyDescent="0.2">
      <c r="Q471" s="40"/>
      <c r="V471" s="41"/>
      <c r="W471" s="6"/>
      <c r="AA471" s="7"/>
      <c r="AB471" s="7"/>
      <c r="AC471" s="7"/>
      <c r="AD471" s="7"/>
    </row>
    <row r="472" spans="17:30" x14ac:dyDescent="0.2">
      <c r="Q472" s="40"/>
      <c r="V472" s="41"/>
      <c r="W472" s="6"/>
      <c r="AA472" s="7"/>
      <c r="AB472" s="7"/>
      <c r="AC472" s="7"/>
      <c r="AD472" s="7"/>
    </row>
    <row r="473" spans="17:30" x14ac:dyDescent="0.2">
      <c r="Q473" s="40"/>
      <c r="V473" s="41"/>
      <c r="W473" s="6"/>
      <c r="AA473" s="7"/>
      <c r="AB473" s="7"/>
      <c r="AC473" s="7"/>
      <c r="AD473" s="7"/>
    </row>
    <row r="474" spans="17:30" x14ac:dyDescent="0.2">
      <c r="Q474" s="40"/>
      <c r="V474" s="41"/>
      <c r="W474" s="6"/>
      <c r="AA474" s="7"/>
      <c r="AB474" s="7"/>
      <c r="AC474" s="7"/>
      <c r="AD474" s="7"/>
    </row>
    <row r="475" spans="17:30" x14ac:dyDescent="0.2">
      <c r="Q475" s="40"/>
      <c r="V475" s="41"/>
      <c r="W475" s="6"/>
      <c r="AA475" s="7"/>
      <c r="AB475" s="7"/>
      <c r="AC475" s="7"/>
      <c r="AD475" s="7"/>
    </row>
    <row r="476" spans="17:30" x14ac:dyDescent="0.2">
      <c r="Q476" s="40"/>
      <c r="V476" s="41"/>
      <c r="W476" s="6"/>
      <c r="AA476" s="7"/>
      <c r="AB476" s="7"/>
      <c r="AC476" s="7"/>
      <c r="AD476" s="7"/>
    </row>
    <row r="477" spans="17:30" x14ac:dyDescent="0.2">
      <c r="Q477" s="40"/>
      <c r="V477" s="41"/>
      <c r="W477" s="6"/>
      <c r="AA477" s="7"/>
      <c r="AB477" s="7"/>
      <c r="AC477" s="7"/>
      <c r="AD477" s="7"/>
    </row>
    <row r="478" spans="17:30" x14ac:dyDescent="0.2">
      <c r="Q478" s="40"/>
      <c r="V478" s="41"/>
      <c r="W478" s="6"/>
      <c r="AA478" s="7"/>
      <c r="AB478" s="7"/>
      <c r="AC478" s="7"/>
      <c r="AD478" s="7"/>
    </row>
    <row r="479" spans="17:30" x14ac:dyDescent="0.2">
      <c r="Q479" s="40"/>
      <c r="V479" s="41"/>
      <c r="W479" s="6"/>
      <c r="AA479" s="7"/>
      <c r="AB479" s="7"/>
      <c r="AC479" s="7"/>
      <c r="AD479" s="7"/>
    </row>
    <row r="480" spans="17:30" x14ac:dyDescent="0.2">
      <c r="Q480" s="40"/>
      <c r="V480" s="41"/>
      <c r="W480" s="6"/>
      <c r="AA480" s="7"/>
      <c r="AB480" s="7"/>
      <c r="AC480" s="7"/>
      <c r="AD480" s="7"/>
    </row>
    <row r="481" spans="17:30" x14ac:dyDescent="0.2">
      <c r="Q481" s="40"/>
      <c r="V481" s="41"/>
      <c r="W481" s="6"/>
      <c r="AA481" s="7"/>
      <c r="AB481" s="7"/>
      <c r="AC481" s="7"/>
      <c r="AD481" s="7"/>
    </row>
    <row r="482" spans="17:30" x14ac:dyDescent="0.2">
      <c r="Q482" s="40"/>
      <c r="V482" s="41"/>
      <c r="W482" s="6"/>
      <c r="AA482" s="7"/>
      <c r="AB482" s="7"/>
      <c r="AC482" s="7"/>
      <c r="AD482" s="7"/>
    </row>
    <row r="483" spans="17:30" x14ac:dyDescent="0.2">
      <c r="Q483" s="40"/>
      <c r="V483" s="41"/>
      <c r="W483" s="6"/>
      <c r="AA483" s="7"/>
      <c r="AB483" s="7"/>
      <c r="AC483" s="7"/>
      <c r="AD483" s="7"/>
    </row>
    <row r="484" spans="17:30" x14ac:dyDescent="0.2">
      <c r="Q484" s="40"/>
      <c r="V484" s="41"/>
      <c r="W484" s="6"/>
      <c r="AA484" s="7"/>
      <c r="AB484" s="7"/>
      <c r="AC484" s="7"/>
      <c r="AD484" s="7"/>
    </row>
    <row r="485" spans="17:30" x14ac:dyDescent="0.2">
      <c r="Q485" s="40"/>
      <c r="V485" s="41"/>
      <c r="W485" s="6"/>
      <c r="AA485" s="7"/>
      <c r="AB485" s="7"/>
      <c r="AC485" s="7"/>
      <c r="AD485" s="7"/>
    </row>
    <row r="486" spans="17:30" x14ac:dyDescent="0.2">
      <c r="Q486" s="40"/>
      <c r="V486" s="41"/>
      <c r="W486" s="6"/>
      <c r="AA486" s="7"/>
      <c r="AB486" s="7"/>
      <c r="AC486" s="7"/>
      <c r="AD486" s="7"/>
    </row>
    <row r="487" spans="17:30" x14ac:dyDescent="0.2">
      <c r="Q487" s="40"/>
      <c r="V487" s="41"/>
      <c r="W487" s="6"/>
      <c r="AA487" s="7"/>
      <c r="AB487" s="7"/>
      <c r="AC487" s="7"/>
      <c r="AD487" s="7"/>
    </row>
    <row r="488" spans="17:30" x14ac:dyDescent="0.2">
      <c r="Q488" s="40"/>
      <c r="V488" s="41"/>
      <c r="W488" s="6"/>
      <c r="AA488" s="7"/>
      <c r="AB488" s="7"/>
      <c r="AC488" s="7"/>
      <c r="AD488" s="7"/>
    </row>
    <row r="489" spans="17:30" x14ac:dyDescent="0.2">
      <c r="Q489" s="40"/>
      <c r="V489" s="41"/>
      <c r="W489" s="6"/>
      <c r="AA489" s="7"/>
      <c r="AB489" s="7"/>
      <c r="AC489" s="7"/>
      <c r="AD489" s="7"/>
    </row>
    <row r="490" spans="17:30" x14ac:dyDescent="0.2">
      <c r="Q490" s="40"/>
      <c r="V490" s="41"/>
      <c r="W490" s="6"/>
      <c r="AA490" s="7"/>
      <c r="AB490" s="7"/>
      <c r="AC490" s="7"/>
      <c r="AD490" s="7"/>
    </row>
    <row r="491" spans="17:30" x14ac:dyDescent="0.2">
      <c r="Q491" s="40"/>
      <c r="V491" s="41"/>
      <c r="W491" s="6"/>
      <c r="AA491" s="7"/>
      <c r="AB491" s="7"/>
      <c r="AC491" s="7"/>
      <c r="AD491" s="7"/>
    </row>
    <row r="492" spans="17:30" x14ac:dyDescent="0.2">
      <c r="Q492" s="40"/>
      <c r="V492" s="41"/>
      <c r="W492" s="6"/>
      <c r="AA492" s="7"/>
      <c r="AB492" s="7"/>
      <c r="AC492" s="7"/>
      <c r="AD492" s="7"/>
    </row>
    <row r="493" spans="17:30" x14ac:dyDescent="0.2">
      <c r="Q493" s="40"/>
      <c r="V493" s="41"/>
      <c r="W493" s="6"/>
      <c r="AA493" s="7"/>
      <c r="AB493" s="7"/>
      <c r="AC493" s="7"/>
      <c r="AD493" s="7"/>
    </row>
    <row r="494" spans="17:30" x14ac:dyDescent="0.2">
      <c r="Q494" s="40"/>
      <c r="V494" s="41"/>
      <c r="W494" s="6"/>
      <c r="AA494" s="7"/>
      <c r="AB494" s="7"/>
      <c r="AC494" s="7"/>
      <c r="AD494" s="7"/>
    </row>
    <row r="495" spans="17:30" x14ac:dyDescent="0.2">
      <c r="Q495" s="40"/>
      <c r="V495" s="41"/>
      <c r="W495" s="6"/>
      <c r="AA495" s="7"/>
      <c r="AB495" s="7"/>
      <c r="AC495" s="7"/>
      <c r="AD495" s="7"/>
    </row>
    <row r="496" spans="17:30" x14ac:dyDescent="0.2">
      <c r="Q496" s="40"/>
      <c r="V496" s="41"/>
      <c r="W496" s="6"/>
      <c r="AA496" s="7"/>
      <c r="AB496" s="7"/>
      <c r="AC496" s="7"/>
      <c r="AD496" s="7"/>
    </row>
    <row r="497" spans="17:30" x14ac:dyDescent="0.2">
      <c r="Q497" s="40"/>
      <c r="V497" s="41"/>
      <c r="W497" s="6"/>
      <c r="AA497" s="7"/>
      <c r="AB497" s="7"/>
      <c r="AC497" s="7"/>
      <c r="AD497" s="7"/>
    </row>
    <row r="498" spans="17:30" x14ac:dyDescent="0.2">
      <c r="Q498" s="40"/>
      <c r="V498" s="41"/>
      <c r="W498" s="6"/>
      <c r="AA498" s="7"/>
      <c r="AB498" s="7"/>
      <c r="AC498" s="7"/>
      <c r="AD498" s="7"/>
    </row>
    <row r="499" spans="17:30" x14ac:dyDescent="0.2">
      <c r="Q499" s="40"/>
      <c r="V499" s="41"/>
      <c r="W499" s="6"/>
      <c r="AA499" s="7"/>
      <c r="AB499" s="7"/>
      <c r="AC499" s="7"/>
      <c r="AD499" s="7"/>
    </row>
    <row r="500" spans="17:30" x14ac:dyDescent="0.2">
      <c r="Q500" s="40"/>
      <c r="V500" s="41"/>
      <c r="W500" s="6"/>
      <c r="AA500" s="7"/>
      <c r="AB500" s="7"/>
      <c r="AC500" s="7"/>
      <c r="AD500" s="7"/>
    </row>
    <row r="501" spans="17:30" x14ac:dyDescent="0.2">
      <c r="Q501" s="40"/>
      <c r="V501" s="41"/>
      <c r="W501" s="6"/>
      <c r="AA501" s="7"/>
      <c r="AB501" s="7"/>
      <c r="AC501" s="7"/>
      <c r="AD501" s="7"/>
    </row>
    <row r="502" spans="17:30" x14ac:dyDescent="0.2">
      <c r="Q502" s="40"/>
      <c r="V502" s="41"/>
      <c r="W502" s="6"/>
      <c r="AA502" s="7"/>
      <c r="AB502" s="7"/>
      <c r="AC502" s="7"/>
      <c r="AD502" s="7"/>
    </row>
    <row r="503" spans="17:30" x14ac:dyDescent="0.2">
      <c r="Q503" s="40"/>
      <c r="V503" s="41"/>
      <c r="W503" s="6"/>
      <c r="AA503" s="7"/>
      <c r="AB503" s="7"/>
      <c r="AC503" s="7"/>
      <c r="AD503" s="7"/>
    </row>
    <row r="504" spans="17:30" x14ac:dyDescent="0.2">
      <c r="Q504" s="40"/>
      <c r="V504" s="41"/>
      <c r="W504" s="6"/>
      <c r="AA504" s="7"/>
      <c r="AB504" s="7"/>
      <c r="AC504" s="7"/>
      <c r="AD504" s="7"/>
    </row>
    <row r="505" spans="17:30" x14ac:dyDescent="0.2">
      <c r="Q505" s="40"/>
      <c r="V505" s="41"/>
      <c r="W505" s="6"/>
      <c r="AA505" s="7"/>
      <c r="AB505" s="7"/>
      <c r="AC505" s="7"/>
      <c r="AD505" s="7"/>
    </row>
    <row r="506" spans="17:30" x14ac:dyDescent="0.2">
      <c r="Q506" s="40"/>
      <c r="V506" s="41"/>
      <c r="W506" s="6"/>
      <c r="AA506" s="7"/>
      <c r="AB506" s="7"/>
      <c r="AC506" s="7"/>
      <c r="AD506" s="7"/>
    </row>
    <row r="507" spans="17:30" x14ac:dyDescent="0.2">
      <c r="Q507" s="40"/>
      <c r="V507" s="41"/>
      <c r="W507" s="6"/>
      <c r="AA507" s="7"/>
      <c r="AB507" s="7"/>
      <c r="AC507" s="7"/>
      <c r="AD507" s="7"/>
    </row>
    <row r="508" spans="17:30" x14ac:dyDescent="0.2">
      <c r="Q508" s="40"/>
      <c r="V508" s="41"/>
      <c r="W508" s="6"/>
      <c r="AA508" s="7"/>
      <c r="AB508" s="7"/>
      <c r="AC508" s="7"/>
      <c r="AD508" s="7"/>
    </row>
    <row r="509" spans="17:30" x14ac:dyDescent="0.2">
      <c r="Q509" s="40"/>
      <c r="V509" s="41"/>
      <c r="W509" s="6"/>
      <c r="AA509" s="7"/>
      <c r="AB509" s="7"/>
      <c r="AC509" s="7"/>
      <c r="AD509" s="7"/>
    </row>
    <row r="510" spans="17:30" x14ac:dyDescent="0.2">
      <c r="Q510" s="40"/>
      <c r="V510" s="41"/>
      <c r="W510" s="6"/>
      <c r="AA510" s="7"/>
      <c r="AB510" s="7"/>
      <c r="AC510" s="7"/>
      <c r="AD510" s="7"/>
    </row>
    <row r="511" spans="17:30" x14ac:dyDescent="0.2">
      <c r="Q511" s="40"/>
      <c r="V511" s="41"/>
      <c r="W511" s="6"/>
      <c r="AA511" s="7"/>
      <c r="AB511" s="7"/>
      <c r="AC511" s="7"/>
      <c r="AD511" s="7"/>
    </row>
    <row r="512" spans="17:30" x14ac:dyDescent="0.2">
      <c r="Q512" s="40"/>
      <c r="V512" s="41"/>
      <c r="W512" s="6"/>
      <c r="AA512" s="7"/>
      <c r="AB512" s="7"/>
      <c r="AC512" s="7"/>
      <c r="AD512" s="7"/>
    </row>
    <row r="513" spans="17:30" x14ac:dyDescent="0.2">
      <c r="Q513" s="40"/>
      <c r="V513" s="41"/>
      <c r="W513" s="6"/>
      <c r="AA513" s="7"/>
      <c r="AB513" s="7"/>
      <c r="AC513" s="7"/>
      <c r="AD513" s="7"/>
    </row>
    <row r="514" spans="17:30" x14ac:dyDescent="0.2">
      <c r="Q514" s="40"/>
      <c r="V514" s="41"/>
      <c r="W514" s="6"/>
      <c r="AA514" s="7"/>
      <c r="AB514" s="7"/>
      <c r="AC514" s="7"/>
      <c r="AD514" s="7"/>
    </row>
    <row r="515" spans="17:30" x14ac:dyDescent="0.2">
      <c r="Q515" s="40"/>
      <c r="V515" s="41"/>
      <c r="W515" s="6"/>
      <c r="AA515" s="7"/>
      <c r="AB515" s="7"/>
      <c r="AC515" s="7"/>
      <c r="AD515" s="7"/>
    </row>
    <row r="516" spans="17:30" x14ac:dyDescent="0.2">
      <c r="Q516" s="40"/>
      <c r="V516" s="41"/>
      <c r="W516" s="6"/>
      <c r="AA516" s="7"/>
      <c r="AB516" s="7"/>
      <c r="AC516" s="7"/>
      <c r="AD516" s="7"/>
    </row>
    <row r="517" spans="17:30" x14ac:dyDescent="0.2">
      <c r="Q517" s="40"/>
      <c r="V517" s="41"/>
      <c r="W517" s="6"/>
      <c r="AA517" s="7"/>
      <c r="AB517" s="7"/>
      <c r="AC517" s="7"/>
      <c r="AD517" s="7"/>
    </row>
    <row r="518" spans="17:30" x14ac:dyDescent="0.2">
      <c r="Q518" s="40"/>
      <c r="V518" s="41"/>
      <c r="W518" s="6"/>
      <c r="AA518" s="7"/>
      <c r="AB518" s="7"/>
      <c r="AC518" s="7"/>
      <c r="AD518" s="7"/>
    </row>
    <row r="519" spans="17:30" x14ac:dyDescent="0.2">
      <c r="Q519" s="40"/>
      <c r="V519" s="41"/>
      <c r="W519" s="6"/>
      <c r="AA519" s="7"/>
      <c r="AB519" s="7"/>
      <c r="AC519" s="7"/>
      <c r="AD519" s="7"/>
    </row>
    <row r="520" spans="17:30" x14ac:dyDescent="0.2">
      <c r="Q520" s="40"/>
      <c r="V520" s="41"/>
      <c r="W520" s="6"/>
      <c r="AA520" s="7"/>
      <c r="AB520" s="7"/>
      <c r="AC520" s="7"/>
      <c r="AD520" s="7"/>
    </row>
    <row r="521" spans="17:30" x14ac:dyDescent="0.2">
      <c r="Q521" s="40"/>
      <c r="V521" s="41"/>
      <c r="W521" s="6"/>
      <c r="AA521" s="7"/>
      <c r="AB521" s="7"/>
      <c r="AC521" s="7"/>
      <c r="AD521" s="7"/>
    </row>
    <row r="522" spans="17:30" x14ac:dyDescent="0.2">
      <c r="Q522" s="40"/>
      <c r="V522" s="41"/>
      <c r="W522" s="6"/>
      <c r="AA522" s="7"/>
      <c r="AB522" s="7"/>
      <c r="AC522" s="7"/>
      <c r="AD522" s="7"/>
    </row>
    <row r="523" spans="17:30" x14ac:dyDescent="0.2">
      <c r="Q523" s="40"/>
      <c r="V523" s="41"/>
      <c r="W523" s="6"/>
      <c r="AA523" s="7"/>
      <c r="AB523" s="7"/>
      <c r="AC523" s="7"/>
      <c r="AD523" s="7"/>
    </row>
    <row r="524" spans="17:30" x14ac:dyDescent="0.2">
      <c r="Q524" s="40"/>
      <c r="V524" s="41"/>
      <c r="W524" s="6"/>
      <c r="AA524" s="7"/>
      <c r="AB524" s="7"/>
      <c r="AC524" s="7"/>
      <c r="AD524" s="7"/>
    </row>
    <row r="525" spans="17:30" x14ac:dyDescent="0.2">
      <c r="Q525" s="40"/>
      <c r="V525" s="41"/>
      <c r="W525" s="6"/>
      <c r="AA525" s="7"/>
      <c r="AB525" s="7"/>
      <c r="AC525" s="7"/>
      <c r="AD525" s="7"/>
    </row>
    <row r="526" spans="17:30" x14ac:dyDescent="0.2">
      <c r="Q526" s="40"/>
      <c r="V526" s="41"/>
      <c r="W526" s="6"/>
      <c r="AA526" s="7"/>
      <c r="AB526" s="7"/>
      <c r="AC526" s="7"/>
      <c r="AD526" s="7"/>
    </row>
    <row r="527" spans="17:30" x14ac:dyDescent="0.2">
      <c r="Q527" s="40"/>
      <c r="V527" s="41"/>
      <c r="W527" s="6"/>
      <c r="AA527" s="7"/>
      <c r="AB527" s="7"/>
      <c r="AC527" s="7"/>
      <c r="AD527" s="7"/>
    </row>
    <row r="528" spans="17:30" x14ac:dyDescent="0.2">
      <c r="Q528" s="40"/>
      <c r="V528" s="41"/>
      <c r="W528" s="6"/>
      <c r="AA528" s="7"/>
      <c r="AB528" s="7"/>
      <c r="AC528" s="7"/>
      <c r="AD528" s="7"/>
    </row>
    <row r="529" spans="17:30" x14ac:dyDescent="0.2">
      <c r="Q529" s="40"/>
      <c r="V529" s="41"/>
      <c r="W529" s="6"/>
      <c r="AA529" s="7"/>
      <c r="AB529" s="7"/>
      <c r="AC529" s="7"/>
      <c r="AD529" s="7"/>
    </row>
    <row r="530" spans="17:30" x14ac:dyDescent="0.2">
      <c r="Q530" s="40"/>
      <c r="V530" s="41"/>
      <c r="W530" s="6"/>
      <c r="AA530" s="7"/>
      <c r="AB530" s="7"/>
      <c r="AC530" s="7"/>
      <c r="AD530" s="7"/>
    </row>
    <row r="531" spans="17:30" x14ac:dyDescent="0.2">
      <c r="Q531" s="40"/>
      <c r="V531" s="41"/>
      <c r="W531" s="6"/>
      <c r="AA531" s="7"/>
      <c r="AB531" s="7"/>
      <c r="AC531" s="7"/>
      <c r="AD531" s="7"/>
    </row>
    <row r="532" spans="17:30" x14ac:dyDescent="0.2">
      <c r="Q532" s="40"/>
      <c r="V532" s="41"/>
      <c r="W532" s="6"/>
      <c r="AA532" s="7"/>
      <c r="AB532" s="7"/>
      <c r="AC532" s="7"/>
      <c r="AD532" s="7"/>
    </row>
    <row r="533" spans="17:30" x14ac:dyDescent="0.2">
      <c r="Q533" s="40"/>
      <c r="V533" s="41"/>
      <c r="W533" s="6"/>
      <c r="AA533" s="7"/>
      <c r="AB533" s="7"/>
      <c r="AC533" s="7"/>
      <c r="AD533" s="7"/>
    </row>
    <row r="534" spans="17:30" x14ac:dyDescent="0.2">
      <c r="Q534" s="40"/>
      <c r="V534" s="41"/>
      <c r="W534" s="6"/>
      <c r="AA534" s="7"/>
      <c r="AB534" s="7"/>
      <c r="AC534" s="7"/>
      <c r="AD534" s="7"/>
    </row>
    <row r="535" spans="17:30" x14ac:dyDescent="0.2">
      <c r="Q535" s="40"/>
      <c r="V535" s="41"/>
      <c r="W535" s="6"/>
      <c r="AA535" s="7"/>
      <c r="AB535" s="7"/>
      <c r="AC535" s="7"/>
      <c r="AD535" s="7"/>
    </row>
    <row r="536" spans="17:30" x14ac:dyDescent="0.2">
      <c r="Q536" s="40"/>
      <c r="V536" s="41"/>
      <c r="W536" s="6"/>
      <c r="AA536" s="7"/>
      <c r="AB536" s="7"/>
      <c r="AC536" s="7"/>
      <c r="AD536" s="7"/>
    </row>
    <row r="537" spans="17:30" x14ac:dyDescent="0.2">
      <c r="Q537" s="40"/>
      <c r="V537" s="41"/>
      <c r="W537" s="6"/>
      <c r="AA537" s="7"/>
      <c r="AB537" s="7"/>
      <c r="AC537" s="7"/>
      <c r="AD537" s="7"/>
    </row>
    <row r="538" spans="17:30" x14ac:dyDescent="0.2">
      <c r="Q538" s="40"/>
      <c r="V538" s="41"/>
      <c r="W538" s="6"/>
      <c r="AA538" s="7"/>
      <c r="AB538" s="7"/>
      <c r="AC538" s="7"/>
      <c r="AD538" s="7"/>
    </row>
    <row r="539" spans="17:30" x14ac:dyDescent="0.2">
      <c r="Q539" s="40"/>
      <c r="V539" s="41"/>
      <c r="W539" s="6"/>
      <c r="AA539" s="7"/>
      <c r="AB539" s="7"/>
      <c r="AC539" s="7"/>
      <c r="AD539" s="7"/>
    </row>
    <row r="540" spans="17:30" x14ac:dyDescent="0.2">
      <c r="Q540" s="40"/>
      <c r="V540" s="41"/>
      <c r="W540" s="6"/>
      <c r="AA540" s="7"/>
      <c r="AB540" s="7"/>
      <c r="AC540" s="7"/>
      <c r="AD540" s="7"/>
    </row>
    <row r="541" spans="17:30" x14ac:dyDescent="0.2">
      <c r="Q541" s="40"/>
      <c r="V541" s="41"/>
      <c r="W541" s="6"/>
      <c r="AA541" s="7"/>
      <c r="AB541" s="7"/>
      <c r="AC541" s="7"/>
      <c r="AD541" s="7"/>
    </row>
    <row r="542" spans="17:30" x14ac:dyDescent="0.2">
      <c r="Q542" s="40"/>
      <c r="V542" s="41"/>
      <c r="W542" s="6"/>
      <c r="AA542" s="7"/>
      <c r="AB542" s="7"/>
      <c r="AC542" s="7"/>
      <c r="AD542" s="7"/>
    </row>
    <row r="543" spans="17:30" x14ac:dyDescent="0.2">
      <c r="Q543" s="40"/>
      <c r="V543" s="41"/>
      <c r="W543" s="6"/>
      <c r="AA543" s="7"/>
      <c r="AB543" s="7"/>
      <c r="AC543" s="7"/>
      <c r="AD543" s="7"/>
    </row>
    <row r="544" spans="17:30" x14ac:dyDescent="0.2">
      <c r="Q544" s="40"/>
      <c r="V544" s="41"/>
      <c r="W544" s="6"/>
      <c r="AA544" s="7"/>
      <c r="AB544" s="7"/>
      <c r="AC544" s="7"/>
      <c r="AD544" s="7"/>
    </row>
    <row r="545" spans="17:30" x14ac:dyDescent="0.2">
      <c r="Q545" s="40"/>
      <c r="V545" s="41"/>
      <c r="W545" s="6"/>
      <c r="AA545" s="7"/>
      <c r="AB545" s="7"/>
      <c r="AC545" s="7"/>
      <c r="AD545" s="7"/>
    </row>
    <row r="546" spans="17:30" x14ac:dyDescent="0.2">
      <c r="Q546" s="40"/>
      <c r="V546" s="41"/>
      <c r="W546" s="6"/>
      <c r="AA546" s="7"/>
      <c r="AB546" s="7"/>
      <c r="AC546" s="7"/>
      <c r="AD546" s="7"/>
    </row>
    <row r="547" spans="17:30" x14ac:dyDescent="0.2">
      <c r="Q547" s="40"/>
      <c r="V547" s="41"/>
      <c r="W547" s="6"/>
      <c r="AA547" s="7"/>
      <c r="AB547" s="7"/>
      <c r="AC547" s="7"/>
      <c r="AD547" s="7"/>
    </row>
    <row r="548" spans="17:30" x14ac:dyDescent="0.2">
      <c r="Q548" s="40"/>
      <c r="V548" s="41"/>
      <c r="W548" s="6"/>
      <c r="AA548" s="7"/>
      <c r="AB548" s="7"/>
      <c r="AC548" s="7"/>
      <c r="AD548" s="7"/>
    </row>
    <row r="549" spans="17:30" x14ac:dyDescent="0.2">
      <c r="Q549" s="40"/>
      <c r="V549" s="41"/>
      <c r="W549" s="6"/>
      <c r="AA549" s="7"/>
      <c r="AB549" s="7"/>
      <c r="AC549" s="7"/>
      <c r="AD549" s="7"/>
    </row>
    <row r="550" spans="17:30" x14ac:dyDescent="0.2">
      <c r="Q550" s="40"/>
      <c r="V550" s="41"/>
      <c r="W550" s="6"/>
      <c r="AA550" s="7"/>
      <c r="AB550" s="7"/>
      <c r="AC550" s="7"/>
      <c r="AD550" s="7"/>
    </row>
    <row r="551" spans="17:30" x14ac:dyDescent="0.2">
      <c r="Q551" s="40"/>
      <c r="V551" s="41"/>
      <c r="W551" s="6"/>
      <c r="AA551" s="7"/>
      <c r="AB551" s="7"/>
      <c r="AC551" s="7"/>
      <c r="AD551" s="7"/>
    </row>
    <row r="552" spans="17:30" x14ac:dyDescent="0.2">
      <c r="Q552" s="40"/>
      <c r="V552" s="41"/>
      <c r="W552" s="6"/>
      <c r="AA552" s="7"/>
      <c r="AB552" s="7"/>
      <c r="AC552" s="7"/>
      <c r="AD552" s="7"/>
    </row>
    <row r="553" spans="17:30" x14ac:dyDescent="0.2">
      <c r="Q553" s="40"/>
      <c r="V553" s="41"/>
      <c r="W553" s="6"/>
      <c r="AA553" s="7"/>
      <c r="AB553" s="7"/>
      <c r="AC553" s="7"/>
      <c r="AD553" s="7"/>
    </row>
    <row r="554" spans="17:30" x14ac:dyDescent="0.2">
      <c r="Q554" s="40"/>
      <c r="V554" s="41"/>
      <c r="W554" s="6"/>
      <c r="AA554" s="7"/>
      <c r="AB554" s="7"/>
      <c r="AC554" s="7"/>
      <c r="AD554" s="7"/>
    </row>
    <row r="555" spans="17:30" x14ac:dyDescent="0.2">
      <c r="Q555" s="40"/>
      <c r="V555" s="41"/>
      <c r="W555" s="6"/>
      <c r="AA555" s="7"/>
      <c r="AB555" s="7"/>
      <c r="AC555" s="7"/>
      <c r="AD555" s="7"/>
    </row>
    <row r="556" spans="17:30" x14ac:dyDescent="0.2">
      <c r="Q556" s="40"/>
      <c r="V556" s="41"/>
      <c r="W556" s="6"/>
      <c r="AA556" s="7"/>
      <c r="AB556" s="7"/>
      <c r="AC556" s="7"/>
      <c r="AD556" s="7"/>
    </row>
    <row r="557" spans="17:30" x14ac:dyDescent="0.2">
      <c r="Q557" s="40"/>
      <c r="V557" s="41"/>
      <c r="W557" s="6"/>
      <c r="AA557" s="7"/>
      <c r="AB557" s="7"/>
      <c r="AC557" s="7"/>
      <c r="AD557" s="7"/>
    </row>
    <row r="558" spans="17:30" x14ac:dyDescent="0.2">
      <c r="Q558" s="40"/>
      <c r="V558" s="41"/>
      <c r="W558" s="6"/>
      <c r="AA558" s="7"/>
      <c r="AB558" s="7"/>
      <c r="AC558" s="7"/>
      <c r="AD558" s="7"/>
    </row>
    <row r="559" spans="17:30" x14ac:dyDescent="0.2">
      <c r="Q559" s="40"/>
      <c r="V559" s="41"/>
      <c r="W559" s="6"/>
      <c r="AA559" s="7"/>
      <c r="AB559" s="7"/>
      <c r="AC559" s="7"/>
      <c r="AD559" s="7"/>
    </row>
    <row r="560" spans="17:30" x14ac:dyDescent="0.2">
      <c r="Q560" s="40"/>
      <c r="V560" s="41"/>
      <c r="W560" s="6"/>
      <c r="AA560" s="7"/>
      <c r="AB560" s="7"/>
      <c r="AC560" s="7"/>
      <c r="AD560" s="7"/>
    </row>
    <row r="561" spans="17:30" x14ac:dyDescent="0.2">
      <c r="Q561" s="40"/>
      <c r="V561" s="41"/>
      <c r="W561" s="6"/>
      <c r="AA561" s="7"/>
      <c r="AB561" s="7"/>
      <c r="AC561" s="7"/>
      <c r="AD561" s="7"/>
    </row>
    <row r="562" spans="17:30" x14ac:dyDescent="0.2">
      <c r="Q562" s="40"/>
      <c r="V562" s="41"/>
      <c r="W562" s="6"/>
      <c r="AA562" s="7"/>
      <c r="AB562" s="7"/>
      <c r="AC562" s="7"/>
      <c r="AD562" s="7"/>
    </row>
    <row r="563" spans="17:30" x14ac:dyDescent="0.2">
      <c r="Q563" s="40"/>
      <c r="V563" s="41"/>
      <c r="W563" s="6"/>
      <c r="AA563" s="7"/>
      <c r="AB563" s="7"/>
      <c r="AC563" s="7"/>
      <c r="AD563" s="7"/>
    </row>
    <row r="564" spans="17:30" x14ac:dyDescent="0.2">
      <c r="Q564" s="40"/>
      <c r="V564" s="41"/>
      <c r="W564" s="6"/>
      <c r="AA564" s="7"/>
      <c r="AB564" s="7"/>
      <c r="AC564" s="7"/>
      <c r="AD564" s="7"/>
    </row>
    <row r="565" spans="17:30" x14ac:dyDescent="0.2">
      <c r="Q565" s="40"/>
      <c r="V565" s="41"/>
      <c r="W565" s="6"/>
      <c r="AA565" s="7"/>
      <c r="AB565" s="7"/>
      <c r="AC565" s="7"/>
      <c r="AD565" s="7"/>
    </row>
    <row r="566" spans="17:30" x14ac:dyDescent="0.2">
      <c r="Q566" s="40"/>
      <c r="V566" s="41"/>
      <c r="W566" s="6"/>
      <c r="AA566" s="7"/>
      <c r="AB566" s="7"/>
      <c r="AC566" s="7"/>
      <c r="AD566" s="7"/>
    </row>
    <row r="567" spans="17:30" x14ac:dyDescent="0.2">
      <c r="Q567" s="40"/>
      <c r="V567" s="41"/>
      <c r="W567" s="6"/>
      <c r="AA567" s="7"/>
      <c r="AB567" s="7"/>
      <c r="AC567" s="7"/>
      <c r="AD567" s="7"/>
    </row>
    <row r="568" spans="17:30" x14ac:dyDescent="0.2">
      <c r="Q568" s="40"/>
      <c r="V568" s="41"/>
      <c r="W568" s="6"/>
      <c r="AA568" s="7"/>
      <c r="AB568" s="7"/>
      <c r="AC568" s="7"/>
      <c r="AD568" s="7"/>
    </row>
    <row r="569" spans="17:30" x14ac:dyDescent="0.2">
      <c r="Q569" s="40"/>
      <c r="V569" s="41"/>
      <c r="W569" s="6"/>
      <c r="AA569" s="7"/>
      <c r="AB569" s="7"/>
      <c r="AC569" s="7"/>
      <c r="AD569" s="7"/>
    </row>
    <row r="570" spans="17:30" x14ac:dyDescent="0.2">
      <c r="Q570" s="40"/>
      <c r="V570" s="41"/>
      <c r="W570" s="6"/>
      <c r="AA570" s="7"/>
      <c r="AB570" s="7"/>
      <c r="AC570" s="7"/>
      <c r="AD570" s="7"/>
    </row>
    <row r="571" spans="17:30" x14ac:dyDescent="0.2">
      <c r="Q571" s="40"/>
      <c r="V571" s="41"/>
      <c r="W571" s="6"/>
      <c r="AA571" s="7"/>
      <c r="AB571" s="7"/>
      <c r="AC571" s="7"/>
      <c r="AD571" s="7"/>
    </row>
    <row r="572" spans="17:30" x14ac:dyDescent="0.2">
      <c r="Q572" s="40"/>
      <c r="V572" s="41"/>
      <c r="W572" s="6"/>
      <c r="AA572" s="7"/>
      <c r="AB572" s="7"/>
      <c r="AC572" s="7"/>
      <c r="AD572" s="7"/>
    </row>
    <row r="573" spans="17:30" x14ac:dyDescent="0.2">
      <c r="Q573" s="40"/>
      <c r="V573" s="41"/>
      <c r="W573" s="6"/>
      <c r="AA573" s="7"/>
      <c r="AB573" s="7"/>
      <c r="AC573" s="7"/>
      <c r="AD573" s="7"/>
    </row>
    <row r="574" spans="17:30" x14ac:dyDescent="0.2">
      <c r="Q574" s="40"/>
      <c r="V574" s="41"/>
      <c r="W574" s="6"/>
      <c r="AA574" s="7"/>
      <c r="AB574" s="7"/>
      <c r="AC574" s="7"/>
      <c r="AD574" s="7"/>
    </row>
    <row r="575" spans="17:30" x14ac:dyDescent="0.2">
      <c r="Q575" s="40"/>
      <c r="V575" s="41"/>
      <c r="W575" s="6"/>
      <c r="AA575" s="7"/>
      <c r="AB575" s="7"/>
      <c r="AC575" s="7"/>
      <c r="AD575" s="7"/>
    </row>
    <row r="576" spans="17:30" x14ac:dyDescent="0.2">
      <c r="Q576" s="40"/>
      <c r="V576" s="41"/>
      <c r="W576" s="6"/>
      <c r="AA576" s="7"/>
      <c r="AB576" s="7"/>
      <c r="AC576" s="7"/>
      <c r="AD576" s="7"/>
    </row>
    <row r="577" spans="17:30" x14ac:dyDescent="0.2">
      <c r="Q577" s="40"/>
      <c r="V577" s="41"/>
      <c r="W577" s="6"/>
      <c r="AA577" s="7"/>
      <c r="AB577" s="7"/>
      <c r="AC577" s="7"/>
      <c r="AD577" s="7"/>
    </row>
    <row r="578" spans="17:30" x14ac:dyDescent="0.2">
      <c r="Q578" s="40"/>
      <c r="V578" s="41"/>
      <c r="W578" s="6"/>
      <c r="AA578" s="7"/>
      <c r="AB578" s="7"/>
      <c r="AC578" s="7"/>
      <c r="AD578" s="7"/>
    </row>
    <row r="579" spans="17:30" x14ac:dyDescent="0.2">
      <c r="Q579" s="40"/>
      <c r="V579" s="41"/>
      <c r="W579" s="6"/>
      <c r="AA579" s="7"/>
      <c r="AB579" s="7"/>
      <c r="AC579" s="7"/>
      <c r="AD579" s="7"/>
    </row>
    <row r="580" spans="17:30" x14ac:dyDescent="0.2">
      <c r="Q580" s="40"/>
      <c r="V580" s="41"/>
      <c r="W580" s="6"/>
      <c r="AA580" s="7"/>
      <c r="AB580" s="7"/>
      <c r="AC580" s="7"/>
      <c r="AD580" s="7"/>
    </row>
    <row r="581" spans="17:30" x14ac:dyDescent="0.2">
      <c r="Q581" s="40"/>
      <c r="V581" s="41"/>
      <c r="W581" s="6"/>
      <c r="AA581" s="7"/>
      <c r="AB581" s="7"/>
      <c r="AC581" s="7"/>
      <c r="AD581" s="7"/>
    </row>
    <row r="582" spans="17:30" x14ac:dyDescent="0.2">
      <c r="Q582" s="40"/>
      <c r="V582" s="41"/>
      <c r="W582" s="6"/>
      <c r="AA582" s="7"/>
      <c r="AB582" s="7"/>
      <c r="AC582" s="7"/>
      <c r="AD582" s="7"/>
    </row>
    <row r="583" spans="17:30" x14ac:dyDescent="0.2">
      <c r="Q583" s="40"/>
      <c r="V583" s="41"/>
      <c r="W583" s="6"/>
      <c r="AA583" s="7"/>
      <c r="AB583" s="7"/>
      <c r="AC583" s="7"/>
      <c r="AD583" s="7"/>
    </row>
    <row r="584" spans="17:30" x14ac:dyDescent="0.2">
      <c r="Q584" s="40"/>
      <c r="V584" s="41"/>
      <c r="W584" s="6"/>
      <c r="AA584" s="7"/>
      <c r="AB584" s="7"/>
      <c r="AC584" s="7"/>
      <c r="AD584" s="7"/>
    </row>
    <row r="585" spans="17:30" x14ac:dyDescent="0.2">
      <c r="Q585" s="40"/>
      <c r="V585" s="41"/>
      <c r="W585" s="6"/>
      <c r="AA585" s="7"/>
      <c r="AB585" s="7"/>
      <c r="AC585" s="7"/>
      <c r="AD585" s="7"/>
    </row>
    <row r="586" spans="17:30" x14ac:dyDescent="0.2">
      <c r="Q586" s="40"/>
      <c r="V586" s="41"/>
      <c r="W586" s="6"/>
      <c r="AA586" s="7"/>
      <c r="AB586" s="7"/>
      <c r="AC586" s="7"/>
      <c r="AD586" s="7"/>
    </row>
    <row r="587" spans="17:30" x14ac:dyDescent="0.2">
      <c r="Q587" s="40"/>
      <c r="V587" s="41"/>
      <c r="W587" s="6"/>
      <c r="AA587" s="7"/>
      <c r="AB587" s="7"/>
      <c r="AC587" s="7"/>
      <c r="AD587" s="7"/>
    </row>
    <row r="588" spans="17:30" x14ac:dyDescent="0.2">
      <c r="Q588" s="40"/>
      <c r="V588" s="41"/>
      <c r="W588" s="6"/>
      <c r="AA588" s="7"/>
      <c r="AB588" s="7"/>
      <c r="AC588" s="7"/>
      <c r="AD588" s="7"/>
    </row>
    <row r="589" spans="17:30" x14ac:dyDescent="0.2">
      <c r="Q589" s="40"/>
      <c r="V589" s="41"/>
      <c r="W589" s="6"/>
      <c r="AA589" s="7"/>
      <c r="AB589" s="7"/>
      <c r="AC589" s="7"/>
      <c r="AD589" s="7"/>
    </row>
    <row r="590" spans="17:30" x14ac:dyDescent="0.2">
      <c r="Q590" s="40"/>
      <c r="V590" s="41"/>
      <c r="W590" s="6"/>
      <c r="AA590" s="7"/>
      <c r="AB590" s="7"/>
      <c r="AC590" s="7"/>
      <c r="AD590" s="7"/>
    </row>
    <row r="591" spans="17:30" x14ac:dyDescent="0.2">
      <c r="Q591" s="40"/>
      <c r="V591" s="41"/>
      <c r="W591" s="6"/>
      <c r="AA591" s="7"/>
      <c r="AB591" s="7"/>
      <c r="AC591" s="7"/>
      <c r="AD591" s="7"/>
    </row>
    <row r="592" spans="17:30" x14ac:dyDescent="0.2">
      <c r="Q592" s="40"/>
      <c r="V592" s="41"/>
      <c r="W592" s="6"/>
      <c r="AA592" s="7"/>
      <c r="AB592" s="7"/>
      <c r="AC592" s="7"/>
      <c r="AD592" s="7"/>
    </row>
    <row r="593" spans="17:30" x14ac:dyDescent="0.2">
      <c r="Q593" s="40"/>
      <c r="V593" s="41"/>
      <c r="W593" s="6"/>
      <c r="AA593" s="7"/>
      <c r="AB593" s="7"/>
      <c r="AC593" s="7"/>
      <c r="AD593" s="7"/>
    </row>
    <row r="594" spans="17:30" x14ac:dyDescent="0.2">
      <c r="Q594" s="40"/>
      <c r="V594" s="41"/>
      <c r="W594" s="6"/>
      <c r="AA594" s="7"/>
      <c r="AB594" s="7"/>
      <c r="AC594" s="7"/>
      <c r="AD594" s="7"/>
    </row>
    <row r="595" spans="17:30" x14ac:dyDescent="0.2">
      <c r="Q595" s="40"/>
      <c r="V595" s="41"/>
      <c r="W595" s="6"/>
      <c r="AA595" s="7"/>
      <c r="AB595" s="7"/>
      <c r="AC595" s="7"/>
      <c r="AD595" s="7"/>
    </row>
    <row r="596" spans="17:30" x14ac:dyDescent="0.2">
      <c r="Q596" s="40"/>
      <c r="V596" s="41"/>
      <c r="W596" s="6"/>
      <c r="AA596" s="7"/>
      <c r="AB596" s="7"/>
      <c r="AC596" s="7"/>
      <c r="AD596" s="7"/>
    </row>
    <row r="597" spans="17:30" x14ac:dyDescent="0.2">
      <c r="Q597" s="40"/>
      <c r="V597" s="41"/>
      <c r="W597" s="6"/>
      <c r="AA597" s="7"/>
      <c r="AB597" s="7"/>
      <c r="AC597" s="7"/>
      <c r="AD597" s="7"/>
    </row>
    <row r="598" spans="17:30" x14ac:dyDescent="0.2">
      <c r="Q598" s="40"/>
      <c r="V598" s="41"/>
      <c r="W598" s="6"/>
      <c r="AA598" s="7"/>
      <c r="AB598" s="7"/>
      <c r="AC598" s="7"/>
      <c r="AD598" s="7"/>
    </row>
    <row r="599" spans="17:30" x14ac:dyDescent="0.2">
      <c r="Q599" s="40"/>
      <c r="V599" s="41"/>
      <c r="W599" s="6"/>
      <c r="AA599" s="7"/>
      <c r="AB599" s="7"/>
      <c r="AC599" s="7"/>
      <c r="AD599" s="7"/>
    </row>
    <row r="600" spans="17:30" x14ac:dyDescent="0.2">
      <c r="Q600" s="40"/>
      <c r="V600" s="41"/>
      <c r="W600" s="6"/>
      <c r="AA600" s="7"/>
      <c r="AB600" s="7"/>
      <c r="AC600" s="7"/>
      <c r="AD600" s="7"/>
    </row>
    <row r="601" spans="17:30" x14ac:dyDescent="0.2">
      <c r="Q601" s="40"/>
      <c r="V601" s="41"/>
      <c r="W601" s="6"/>
      <c r="AA601" s="7"/>
      <c r="AB601" s="7"/>
      <c r="AC601" s="7"/>
      <c r="AD601" s="7"/>
    </row>
    <row r="602" spans="17:30" x14ac:dyDescent="0.2">
      <c r="Q602" s="40"/>
      <c r="V602" s="41"/>
      <c r="W602" s="6"/>
      <c r="AA602" s="7"/>
      <c r="AB602" s="7"/>
      <c r="AC602" s="7"/>
      <c r="AD602" s="7"/>
    </row>
    <row r="603" spans="17:30" x14ac:dyDescent="0.2">
      <c r="Q603" s="40"/>
      <c r="V603" s="41"/>
      <c r="W603" s="6"/>
      <c r="AA603" s="7"/>
      <c r="AB603" s="7"/>
      <c r="AC603" s="7"/>
      <c r="AD603" s="7"/>
    </row>
    <row r="604" spans="17:30" x14ac:dyDescent="0.2">
      <c r="Q604" s="40"/>
      <c r="V604" s="41"/>
      <c r="W604" s="6"/>
      <c r="AA604" s="7"/>
      <c r="AB604" s="7"/>
      <c r="AC604" s="7"/>
      <c r="AD604" s="7"/>
    </row>
    <row r="605" spans="17:30" x14ac:dyDescent="0.2">
      <c r="Q605" s="40"/>
      <c r="V605" s="41"/>
      <c r="W605" s="6"/>
      <c r="AA605" s="7"/>
      <c r="AB605" s="7"/>
      <c r="AC605" s="7"/>
      <c r="AD605" s="7"/>
    </row>
    <row r="606" spans="17:30" x14ac:dyDescent="0.2">
      <c r="Q606" s="40"/>
      <c r="V606" s="41"/>
      <c r="W606" s="6"/>
      <c r="AA606" s="7"/>
      <c r="AB606" s="7"/>
      <c r="AC606" s="7"/>
      <c r="AD606" s="7"/>
    </row>
    <row r="607" spans="17:30" x14ac:dyDescent="0.2">
      <c r="Q607" s="40"/>
      <c r="V607" s="41"/>
      <c r="W607" s="6"/>
      <c r="AA607" s="7"/>
      <c r="AB607" s="7"/>
      <c r="AC607" s="7"/>
      <c r="AD607" s="7"/>
    </row>
    <row r="608" spans="17:30" x14ac:dyDescent="0.2">
      <c r="Q608" s="40"/>
      <c r="V608" s="41"/>
      <c r="W608" s="6"/>
      <c r="AA608" s="7"/>
      <c r="AB608" s="7"/>
      <c r="AC608" s="7"/>
      <c r="AD608" s="7"/>
    </row>
    <row r="609" spans="17:30" x14ac:dyDescent="0.2">
      <c r="Q609" s="40"/>
      <c r="V609" s="41"/>
      <c r="W609" s="6"/>
      <c r="AA609" s="7"/>
      <c r="AB609" s="7"/>
      <c r="AC609" s="7"/>
      <c r="AD609" s="7"/>
    </row>
    <row r="610" spans="17:30" x14ac:dyDescent="0.2">
      <c r="Q610" s="40"/>
      <c r="V610" s="41"/>
      <c r="W610" s="6"/>
      <c r="AA610" s="7"/>
      <c r="AB610" s="7"/>
      <c r="AC610" s="7"/>
      <c r="AD610" s="7"/>
    </row>
    <row r="611" spans="17:30" x14ac:dyDescent="0.2">
      <c r="Q611" s="40"/>
      <c r="V611" s="41"/>
      <c r="W611" s="6"/>
      <c r="AA611" s="7"/>
      <c r="AB611" s="7"/>
      <c r="AC611" s="7"/>
      <c r="AD611" s="7"/>
    </row>
    <row r="612" spans="17:30" x14ac:dyDescent="0.2">
      <c r="Q612" s="40"/>
      <c r="V612" s="41"/>
      <c r="W612" s="6"/>
      <c r="AA612" s="7"/>
      <c r="AB612" s="7"/>
      <c r="AC612" s="7"/>
      <c r="AD612" s="7"/>
    </row>
    <row r="613" spans="17:30" x14ac:dyDescent="0.2">
      <c r="Q613" s="40"/>
      <c r="V613" s="41"/>
      <c r="W613" s="6"/>
      <c r="AA613" s="7"/>
      <c r="AB613" s="7"/>
      <c r="AC613" s="7"/>
      <c r="AD613" s="7"/>
    </row>
    <row r="614" spans="17:30" x14ac:dyDescent="0.2">
      <c r="Q614" s="40"/>
      <c r="V614" s="41"/>
      <c r="W614" s="6"/>
      <c r="AA614" s="7"/>
      <c r="AB614" s="7"/>
      <c r="AC614" s="7"/>
      <c r="AD614" s="7"/>
    </row>
    <row r="615" spans="17:30" x14ac:dyDescent="0.2">
      <c r="Q615" s="40"/>
      <c r="V615" s="41"/>
      <c r="W615" s="6"/>
      <c r="AA615" s="7"/>
      <c r="AB615" s="7"/>
      <c r="AC615" s="7"/>
      <c r="AD615" s="7"/>
    </row>
    <row r="616" spans="17:30" x14ac:dyDescent="0.2">
      <c r="Q616" s="40"/>
      <c r="V616" s="41"/>
      <c r="W616" s="6"/>
      <c r="AA616" s="7"/>
      <c r="AB616" s="7"/>
      <c r="AC616" s="7"/>
      <c r="AD616" s="7"/>
    </row>
    <row r="617" spans="17:30" x14ac:dyDescent="0.2">
      <c r="Q617" s="40"/>
      <c r="V617" s="41"/>
      <c r="W617" s="6"/>
      <c r="AA617" s="7"/>
      <c r="AB617" s="7"/>
      <c r="AC617" s="7"/>
      <c r="AD617" s="7"/>
    </row>
    <row r="618" spans="17:30" x14ac:dyDescent="0.2">
      <c r="Q618" s="40"/>
      <c r="V618" s="41"/>
      <c r="W618" s="6"/>
      <c r="AA618" s="7"/>
      <c r="AB618" s="7"/>
      <c r="AC618" s="7"/>
      <c r="AD618" s="7"/>
    </row>
    <row r="619" spans="17:30" x14ac:dyDescent="0.2">
      <c r="Q619" s="40"/>
      <c r="V619" s="41"/>
      <c r="W619" s="6"/>
      <c r="AA619" s="7"/>
      <c r="AB619" s="7"/>
      <c r="AC619" s="7"/>
      <c r="AD619" s="7"/>
    </row>
    <row r="620" spans="17:30" x14ac:dyDescent="0.2">
      <c r="Q620" s="40"/>
      <c r="V620" s="41"/>
      <c r="W620" s="6"/>
      <c r="AA620" s="7"/>
      <c r="AB620" s="7"/>
      <c r="AC620" s="7"/>
      <c r="AD620" s="7"/>
    </row>
    <row r="621" spans="17:30" x14ac:dyDescent="0.2">
      <c r="Q621" s="40"/>
      <c r="V621" s="41"/>
      <c r="W621" s="6"/>
      <c r="AA621" s="7"/>
      <c r="AB621" s="7"/>
      <c r="AC621" s="7"/>
      <c r="AD621" s="7"/>
    </row>
    <row r="622" spans="17:30" x14ac:dyDescent="0.2">
      <c r="Q622" s="40"/>
      <c r="V622" s="41"/>
      <c r="W622" s="6"/>
      <c r="AA622" s="7"/>
      <c r="AB622" s="7"/>
      <c r="AC622" s="7"/>
      <c r="AD622" s="7"/>
    </row>
    <row r="623" spans="17:30" x14ac:dyDescent="0.2">
      <c r="Q623" s="40"/>
      <c r="V623" s="41"/>
      <c r="W623" s="6"/>
      <c r="AA623" s="7"/>
      <c r="AB623" s="7"/>
      <c r="AC623" s="7"/>
      <c r="AD623" s="7"/>
    </row>
    <row r="624" spans="17:30" x14ac:dyDescent="0.2">
      <c r="Q624" s="40"/>
      <c r="V624" s="41"/>
      <c r="W624" s="6"/>
      <c r="AA624" s="7"/>
      <c r="AB624" s="7"/>
      <c r="AC624" s="7"/>
      <c r="AD624" s="7"/>
    </row>
    <row r="625" spans="17:30" x14ac:dyDescent="0.2">
      <c r="Q625" s="40"/>
      <c r="V625" s="41"/>
      <c r="W625" s="6"/>
      <c r="AA625" s="7"/>
      <c r="AB625" s="7"/>
      <c r="AC625" s="7"/>
      <c r="AD625" s="7"/>
    </row>
    <row r="626" spans="17:30" x14ac:dyDescent="0.2">
      <c r="Q626" s="40"/>
      <c r="V626" s="41"/>
      <c r="W626" s="6"/>
      <c r="AA626" s="7"/>
      <c r="AB626" s="7"/>
      <c r="AC626" s="7"/>
      <c r="AD626" s="7"/>
    </row>
    <row r="627" spans="17:30" x14ac:dyDescent="0.2">
      <c r="Q627" s="40"/>
      <c r="V627" s="41"/>
      <c r="W627" s="6"/>
      <c r="AA627" s="7"/>
      <c r="AB627" s="7"/>
      <c r="AC627" s="7"/>
      <c r="AD627" s="7"/>
    </row>
    <row r="628" spans="17:30" x14ac:dyDescent="0.2">
      <c r="Q628" s="40"/>
      <c r="V628" s="41"/>
      <c r="W628" s="6"/>
      <c r="AA628" s="7"/>
      <c r="AB628" s="7"/>
      <c r="AC628" s="7"/>
      <c r="AD628" s="7"/>
    </row>
    <row r="629" spans="17:30" x14ac:dyDescent="0.2">
      <c r="Q629" s="40"/>
      <c r="V629" s="41"/>
      <c r="W629" s="6"/>
      <c r="AA629" s="7"/>
      <c r="AB629" s="7"/>
      <c r="AC629" s="7"/>
      <c r="AD629" s="7"/>
    </row>
    <row r="630" spans="17:30" x14ac:dyDescent="0.2">
      <c r="Q630" s="40"/>
      <c r="V630" s="41"/>
      <c r="W630" s="6"/>
      <c r="AA630" s="7"/>
      <c r="AB630" s="7"/>
      <c r="AC630" s="7"/>
      <c r="AD630" s="7"/>
    </row>
    <row r="631" spans="17:30" x14ac:dyDescent="0.2">
      <c r="Q631" s="40"/>
      <c r="V631" s="41"/>
      <c r="W631" s="6"/>
      <c r="AA631" s="7"/>
      <c r="AB631" s="7"/>
      <c r="AC631" s="7"/>
      <c r="AD631" s="7"/>
    </row>
    <row r="632" spans="17:30" x14ac:dyDescent="0.2">
      <c r="Q632" s="40"/>
      <c r="V632" s="41"/>
      <c r="W632" s="6"/>
      <c r="AA632" s="7"/>
      <c r="AB632" s="7"/>
      <c r="AC632" s="7"/>
      <c r="AD632" s="7"/>
    </row>
    <row r="633" spans="17:30" x14ac:dyDescent="0.2">
      <c r="Q633" s="40"/>
      <c r="V633" s="41"/>
      <c r="W633" s="6"/>
      <c r="AA633" s="7"/>
      <c r="AB633" s="7"/>
      <c r="AC633" s="7"/>
      <c r="AD633" s="7"/>
    </row>
    <row r="634" spans="17:30" x14ac:dyDescent="0.2">
      <c r="Q634" s="40"/>
      <c r="V634" s="41"/>
      <c r="W634" s="6"/>
      <c r="AA634" s="7"/>
      <c r="AB634" s="7"/>
      <c r="AC634" s="7"/>
      <c r="AD634" s="7"/>
    </row>
    <row r="635" spans="17:30" x14ac:dyDescent="0.2">
      <c r="Q635" s="40"/>
      <c r="V635" s="41"/>
      <c r="W635" s="6"/>
      <c r="AA635" s="7"/>
      <c r="AB635" s="7"/>
      <c r="AC635" s="7"/>
      <c r="AD635" s="7"/>
    </row>
    <row r="636" spans="17:30" x14ac:dyDescent="0.2">
      <c r="Q636" s="40"/>
      <c r="V636" s="41"/>
      <c r="W636" s="6"/>
      <c r="AA636" s="7"/>
      <c r="AB636" s="7"/>
      <c r="AC636" s="7"/>
      <c r="AD636" s="7"/>
    </row>
    <row r="637" spans="17:30" x14ac:dyDescent="0.2">
      <c r="Q637" s="40"/>
      <c r="V637" s="41"/>
      <c r="W637" s="6"/>
      <c r="AA637" s="7"/>
      <c r="AB637" s="7"/>
      <c r="AC637" s="7"/>
      <c r="AD637" s="7"/>
    </row>
    <row r="638" spans="17:30" x14ac:dyDescent="0.2">
      <c r="Q638" s="40"/>
      <c r="V638" s="41"/>
      <c r="W638" s="6"/>
      <c r="AA638" s="7"/>
      <c r="AB638" s="7"/>
      <c r="AC638" s="7"/>
      <c r="AD638" s="7"/>
    </row>
    <row r="639" spans="17:30" x14ac:dyDescent="0.2">
      <c r="Q639" s="40"/>
      <c r="V639" s="41"/>
      <c r="W639" s="6"/>
      <c r="AA639" s="7"/>
      <c r="AB639" s="7"/>
      <c r="AC639" s="7"/>
      <c r="AD639" s="7"/>
    </row>
    <row r="640" spans="17:30" x14ac:dyDescent="0.2">
      <c r="Q640" s="40"/>
      <c r="V640" s="41"/>
      <c r="W640" s="6"/>
      <c r="AA640" s="7"/>
      <c r="AB640" s="7"/>
      <c r="AC640" s="7"/>
      <c r="AD640" s="7"/>
    </row>
    <row r="641" spans="17:30" x14ac:dyDescent="0.2">
      <c r="Q641" s="40"/>
      <c r="V641" s="41"/>
      <c r="W641" s="6"/>
      <c r="AA641" s="7"/>
      <c r="AB641" s="7"/>
      <c r="AC641" s="7"/>
      <c r="AD641" s="7"/>
    </row>
    <row r="642" spans="17:30" x14ac:dyDescent="0.2">
      <c r="Q642" s="40"/>
      <c r="V642" s="41"/>
      <c r="W642" s="6"/>
      <c r="AA642" s="7"/>
      <c r="AB642" s="7"/>
      <c r="AC642" s="7"/>
      <c r="AD642" s="7"/>
    </row>
    <row r="643" spans="17:30" x14ac:dyDescent="0.2">
      <c r="Q643" s="40"/>
      <c r="V643" s="41"/>
      <c r="W643" s="6"/>
      <c r="AA643" s="7"/>
      <c r="AB643" s="7"/>
      <c r="AC643" s="7"/>
      <c r="AD643" s="7"/>
    </row>
    <row r="644" spans="17:30" x14ac:dyDescent="0.2">
      <c r="Q644" s="40"/>
      <c r="V644" s="41"/>
      <c r="W644" s="6"/>
      <c r="AA644" s="7"/>
      <c r="AB644" s="7"/>
      <c r="AC644" s="7"/>
      <c r="AD644" s="7"/>
    </row>
    <row r="645" spans="17:30" x14ac:dyDescent="0.2">
      <c r="Q645" s="40"/>
      <c r="V645" s="41"/>
      <c r="W645" s="6"/>
      <c r="AA645" s="7"/>
      <c r="AB645" s="7"/>
      <c r="AC645" s="7"/>
      <c r="AD645" s="7"/>
    </row>
    <row r="646" spans="17:30" x14ac:dyDescent="0.2">
      <c r="Q646" s="40"/>
      <c r="V646" s="41"/>
      <c r="W646" s="6"/>
      <c r="AA646" s="7"/>
      <c r="AB646" s="7"/>
      <c r="AC646" s="7"/>
      <c r="AD646" s="7"/>
    </row>
    <row r="647" spans="17:30" x14ac:dyDescent="0.2">
      <c r="Q647" s="40"/>
      <c r="V647" s="41"/>
      <c r="W647" s="6"/>
      <c r="AA647" s="7"/>
      <c r="AB647" s="7"/>
      <c r="AC647" s="7"/>
      <c r="AD647" s="7"/>
    </row>
    <row r="648" spans="17:30" x14ac:dyDescent="0.2">
      <c r="Q648" s="40"/>
      <c r="V648" s="41"/>
      <c r="W648" s="6"/>
      <c r="AA648" s="7"/>
      <c r="AB648" s="7"/>
      <c r="AC648" s="7"/>
      <c r="AD648" s="7"/>
    </row>
    <row r="649" spans="17:30" x14ac:dyDescent="0.2">
      <c r="Q649" s="40"/>
      <c r="V649" s="41"/>
      <c r="W649" s="6"/>
      <c r="AA649" s="7"/>
      <c r="AB649" s="7"/>
      <c r="AC649" s="7"/>
      <c r="AD649" s="7"/>
    </row>
    <row r="650" spans="17:30" x14ac:dyDescent="0.2">
      <c r="Q650" s="40"/>
      <c r="V650" s="41"/>
      <c r="W650" s="6"/>
      <c r="AA650" s="7"/>
      <c r="AB650" s="7"/>
      <c r="AC650" s="7"/>
      <c r="AD650" s="7"/>
    </row>
    <row r="651" spans="17:30" x14ac:dyDescent="0.2">
      <c r="Q651" s="40"/>
      <c r="V651" s="41"/>
      <c r="W651" s="6"/>
      <c r="AA651" s="7"/>
      <c r="AB651" s="7"/>
      <c r="AC651" s="7"/>
      <c r="AD651" s="7"/>
    </row>
    <row r="652" spans="17:30" x14ac:dyDescent="0.2">
      <c r="Q652" s="40"/>
      <c r="V652" s="41"/>
      <c r="W652" s="6"/>
      <c r="AA652" s="7"/>
      <c r="AB652" s="7"/>
      <c r="AC652" s="7"/>
      <c r="AD652" s="7"/>
    </row>
    <row r="653" spans="17:30" x14ac:dyDescent="0.2">
      <c r="Q653" s="40"/>
      <c r="V653" s="41"/>
      <c r="W653" s="6"/>
      <c r="AA653" s="7"/>
      <c r="AB653" s="7"/>
      <c r="AC653" s="7"/>
      <c r="AD653" s="7"/>
    </row>
    <row r="654" spans="17:30" x14ac:dyDescent="0.2">
      <c r="Q654" s="40"/>
      <c r="V654" s="41"/>
      <c r="W654" s="6"/>
      <c r="AA654" s="7"/>
      <c r="AB654" s="7"/>
      <c r="AC654" s="7"/>
      <c r="AD654" s="7"/>
    </row>
    <row r="655" spans="17:30" x14ac:dyDescent="0.2">
      <c r="Q655" s="40"/>
      <c r="V655" s="41"/>
      <c r="W655" s="6"/>
      <c r="AA655" s="7"/>
      <c r="AB655" s="7"/>
      <c r="AC655" s="7"/>
      <c r="AD655" s="7"/>
    </row>
    <row r="656" spans="17:30" x14ac:dyDescent="0.2">
      <c r="Q656" s="40"/>
      <c r="V656" s="41"/>
      <c r="W656" s="6"/>
      <c r="AA656" s="7"/>
      <c r="AB656" s="7"/>
      <c r="AC656" s="7"/>
      <c r="AD656" s="7"/>
    </row>
    <row r="657" spans="17:30" x14ac:dyDescent="0.2">
      <c r="Q657" s="40"/>
      <c r="V657" s="41"/>
      <c r="W657" s="6"/>
      <c r="AA657" s="7"/>
      <c r="AB657" s="7"/>
      <c r="AC657" s="7"/>
      <c r="AD657" s="7"/>
    </row>
    <row r="658" spans="17:30" x14ac:dyDescent="0.2">
      <c r="Q658" s="40"/>
      <c r="V658" s="41"/>
      <c r="W658" s="6"/>
      <c r="AA658" s="7"/>
      <c r="AB658" s="7"/>
      <c r="AC658" s="7"/>
      <c r="AD658" s="7"/>
    </row>
    <row r="659" spans="17:30" x14ac:dyDescent="0.2">
      <c r="Q659" s="40"/>
      <c r="V659" s="41"/>
      <c r="W659" s="6"/>
      <c r="AA659" s="7"/>
      <c r="AB659" s="7"/>
      <c r="AC659" s="7"/>
      <c r="AD659" s="7"/>
    </row>
    <row r="660" spans="17:30" x14ac:dyDescent="0.2">
      <c r="Q660" s="40"/>
      <c r="V660" s="41"/>
      <c r="W660" s="6"/>
      <c r="AA660" s="7"/>
      <c r="AB660" s="7"/>
      <c r="AC660" s="7"/>
      <c r="AD660" s="7"/>
    </row>
    <row r="661" spans="17:30" x14ac:dyDescent="0.2">
      <c r="Q661" s="40"/>
      <c r="V661" s="41"/>
      <c r="W661" s="6"/>
      <c r="AA661" s="7"/>
      <c r="AB661" s="7"/>
      <c r="AC661" s="7"/>
      <c r="AD661" s="7"/>
    </row>
    <row r="662" spans="17:30" x14ac:dyDescent="0.2">
      <c r="Q662" s="40"/>
      <c r="V662" s="41"/>
      <c r="W662" s="6"/>
      <c r="AA662" s="7"/>
      <c r="AB662" s="7"/>
      <c r="AC662" s="7"/>
      <c r="AD662" s="7"/>
    </row>
    <row r="663" spans="17:30" x14ac:dyDescent="0.2">
      <c r="Q663" s="40"/>
      <c r="V663" s="41"/>
      <c r="W663" s="6"/>
      <c r="AA663" s="7"/>
      <c r="AB663" s="7"/>
      <c r="AC663" s="7"/>
      <c r="AD663" s="7"/>
    </row>
    <row r="664" spans="17:30" x14ac:dyDescent="0.2">
      <c r="Q664" s="40"/>
      <c r="V664" s="41"/>
      <c r="W664" s="6"/>
      <c r="AA664" s="7"/>
      <c r="AB664" s="7"/>
      <c r="AC664" s="7"/>
      <c r="AD664" s="7"/>
    </row>
    <row r="665" spans="17:30" x14ac:dyDescent="0.2">
      <c r="Q665" s="40"/>
      <c r="V665" s="41"/>
      <c r="W665" s="6"/>
      <c r="AA665" s="7"/>
      <c r="AB665" s="7"/>
      <c r="AC665" s="7"/>
      <c r="AD665" s="7"/>
    </row>
    <row r="666" spans="17:30" x14ac:dyDescent="0.2">
      <c r="Q666" s="40"/>
      <c r="V666" s="41"/>
      <c r="W666" s="6"/>
      <c r="AA666" s="7"/>
      <c r="AB666" s="7"/>
      <c r="AC666" s="7"/>
      <c r="AD666" s="7"/>
    </row>
    <row r="667" spans="17:30" x14ac:dyDescent="0.2">
      <c r="Q667" s="40"/>
      <c r="V667" s="41"/>
      <c r="W667" s="6"/>
      <c r="AA667" s="7"/>
      <c r="AB667" s="7"/>
      <c r="AC667" s="7"/>
      <c r="AD667" s="7"/>
    </row>
    <row r="668" spans="17:30" x14ac:dyDescent="0.2">
      <c r="Q668" s="40"/>
      <c r="V668" s="41"/>
      <c r="W668" s="6"/>
      <c r="AA668" s="7"/>
      <c r="AB668" s="7"/>
      <c r="AC668" s="7"/>
      <c r="AD668" s="7"/>
    </row>
    <row r="669" spans="17:30" x14ac:dyDescent="0.2">
      <c r="Q669" s="40"/>
      <c r="V669" s="41"/>
      <c r="W669" s="6"/>
      <c r="AA669" s="7"/>
      <c r="AB669" s="7"/>
      <c r="AC669" s="7"/>
      <c r="AD669" s="7"/>
    </row>
    <row r="670" spans="17:30" x14ac:dyDescent="0.2">
      <c r="Q670" s="40"/>
      <c r="V670" s="41"/>
      <c r="W670" s="6"/>
      <c r="AA670" s="7"/>
      <c r="AB670" s="7"/>
      <c r="AC670" s="7"/>
      <c r="AD670" s="7"/>
    </row>
    <row r="671" spans="17:30" x14ac:dyDescent="0.2">
      <c r="Q671" s="40"/>
      <c r="V671" s="41"/>
      <c r="W671" s="6"/>
      <c r="AA671" s="7"/>
      <c r="AB671" s="7"/>
      <c r="AC671" s="7"/>
      <c r="AD671" s="7"/>
    </row>
    <row r="672" spans="17:30" x14ac:dyDescent="0.2">
      <c r="Q672" s="40"/>
      <c r="V672" s="41"/>
      <c r="W672" s="6"/>
      <c r="AA672" s="7"/>
      <c r="AB672" s="7"/>
      <c r="AC672" s="7"/>
      <c r="AD672" s="7"/>
    </row>
    <row r="673" spans="17:30" x14ac:dyDescent="0.2">
      <c r="Q673" s="40"/>
      <c r="V673" s="41"/>
      <c r="W673" s="6"/>
      <c r="AA673" s="7"/>
      <c r="AB673" s="7"/>
      <c r="AC673" s="7"/>
      <c r="AD673" s="7"/>
    </row>
    <row r="674" spans="17:30" x14ac:dyDescent="0.2">
      <c r="Q674" s="40"/>
      <c r="V674" s="41"/>
      <c r="W674" s="6"/>
      <c r="AA674" s="7"/>
      <c r="AB674" s="7"/>
      <c r="AC674" s="7"/>
      <c r="AD674" s="7"/>
    </row>
    <row r="675" spans="17:30" x14ac:dyDescent="0.2">
      <c r="Q675" s="40"/>
      <c r="V675" s="41"/>
      <c r="W675" s="6"/>
      <c r="AA675" s="7"/>
      <c r="AB675" s="7"/>
      <c r="AC675" s="7"/>
      <c r="AD675" s="7"/>
    </row>
    <row r="676" spans="17:30" x14ac:dyDescent="0.2">
      <c r="Q676" s="40"/>
      <c r="V676" s="41"/>
      <c r="W676" s="6"/>
      <c r="AA676" s="7"/>
      <c r="AB676" s="7"/>
      <c r="AC676" s="7"/>
      <c r="AD676" s="7"/>
    </row>
    <row r="677" spans="17:30" x14ac:dyDescent="0.2">
      <c r="Q677" s="40"/>
      <c r="V677" s="41"/>
      <c r="W677" s="6"/>
      <c r="AA677" s="7"/>
      <c r="AB677" s="7"/>
      <c r="AC677" s="7"/>
      <c r="AD677" s="7"/>
    </row>
    <row r="678" spans="17:30" x14ac:dyDescent="0.2">
      <c r="Q678" s="40"/>
      <c r="V678" s="41"/>
      <c r="W678" s="6"/>
      <c r="AA678" s="7"/>
      <c r="AB678" s="7"/>
      <c r="AC678" s="7"/>
      <c r="AD678" s="7"/>
    </row>
    <row r="679" spans="17:30" x14ac:dyDescent="0.2">
      <c r="Q679" s="40"/>
      <c r="V679" s="41"/>
      <c r="W679" s="6"/>
      <c r="AA679" s="7"/>
      <c r="AB679" s="7"/>
      <c r="AC679" s="7"/>
      <c r="AD679" s="7"/>
    </row>
    <row r="680" spans="17:30" x14ac:dyDescent="0.2">
      <c r="Q680" s="40"/>
      <c r="V680" s="41"/>
      <c r="W680" s="6"/>
      <c r="AA680" s="7"/>
      <c r="AB680" s="7"/>
      <c r="AC680" s="7"/>
      <c r="AD680" s="7"/>
    </row>
    <row r="681" spans="17:30" x14ac:dyDescent="0.2">
      <c r="Q681" s="40"/>
      <c r="V681" s="41"/>
      <c r="W681" s="6"/>
      <c r="AA681" s="7"/>
      <c r="AB681" s="7"/>
      <c r="AC681" s="7"/>
      <c r="AD681" s="7"/>
    </row>
    <row r="682" spans="17:30" x14ac:dyDescent="0.2">
      <c r="Q682" s="40"/>
      <c r="V682" s="41"/>
      <c r="W682" s="6"/>
      <c r="AA682" s="7"/>
      <c r="AB682" s="7"/>
      <c r="AC682" s="7"/>
      <c r="AD682" s="7"/>
    </row>
    <row r="683" spans="17:30" x14ac:dyDescent="0.2">
      <c r="Q683" s="40"/>
      <c r="V683" s="41"/>
      <c r="W683" s="6"/>
      <c r="AA683" s="7"/>
      <c r="AB683" s="7"/>
      <c r="AC683" s="7"/>
      <c r="AD683" s="7"/>
    </row>
    <row r="684" spans="17:30" x14ac:dyDescent="0.2">
      <c r="Q684" s="40"/>
      <c r="V684" s="41"/>
      <c r="W684" s="6"/>
      <c r="AA684" s="7"/>
      <c r="AB684" s="7"/>
      <c r="AC684" s="7"/>
      <c r="AD684" s="7"/>
    </row>
    <row r="685" spans="17:30" x14ac:dyDescent="0.2">
      <c r="Q685" s="40"/>
      <c r="V685" s="41"/>
      <c r="W685" s="6"/>
      <c r="AA685" s="7"/>
      <c r="AB685" s="7"/>
      <c r="AC685" s="7"/>
      <c r="AD685" s="7"/>
    </row>
    <row r="686" spans="17:30" x14ac:dyDescent="0.2">
      <c r="Q686" s="40"/>
      <c r="V686" s="41"/>
      <c r="W686" s="6"/>
      <c r="AA686" s="7"/>
      <c r="AB686" s="7"/>
      <c r="AC686" s="7"/>
      <c r="AD686" s="7"/>
    </row>
    <row r="687" spans="17:30" x14ac:dyDescent="0.2">
      <c r="Q687" s="40"/>
      <c r="V687" s="41"/>
      <c r="W687" s="6"/>
      <c r="AA687" s="7"/>
      <c r="AB687" s="7"/>
      <c r="AC687" s="7"/>
      <c r="AD687" s="7"/>
    </row>
    <row r="688" spans="17:30" x14ac:dyDescent="0.2">
      <c r="Q688" s="40"/>
      <c r="V688" s="41"/>
      <c r="W688" s="6"/>
      <c r="AA688" s="7"/>
      <c r="AB688" s="7"/>
      <c r="AC688" s="7"/>
      <c r="AD688" s="7"/>
    </row>
    <row r="689" spans="17:30" x14ac:dyDescent="0.2">
      <c r="Q689" s="40"/>
      <c r="V689" s="41"/>
      <c r="W689" s="6"/>
      <c r="AA689" s="7"/>
      <c r="AB689" s="7"/>
      <c r="AC689" s="7"/>
      <c r="AD689" s="7"/>
    </row>
    <row r="690" spans="17:30" x14ac:dyDescent="0.2">
      <c r="Q690" s="40"/>
      <c r="V690" s="41"/>
      <c r="W690" s="6"/>
      <c r="AA690" s="7"/>
      <c r="AB690" s="7"/>
      <c r="AC690" s="7"/>
      <c r="AD690" s="7"/>
    </row>
    <row r="691" spans="17:30" x14ac:dyDescent="0.2">
      <c r="Q691" s="40"/>
      <c r="V691" s="41"/>
      <c r="W691" s="6"/>
      <c r="AA691" s="7"/>
      <c r="AB691" s="7"/>
      <c r="AC691" s="7"/>
      <c r="AD691" s="7"/>
    </row>
    <row r="692" spans="17:30" x14ac:dyDescent="0.2">
      <c r="Q692" s="40"/>
      <c r="V692" s="41"/>
      <c r="W692" s="6"/>
      <c r="AA692" s="7"/>
      <c r="AB692" s="7"/>
      <c r="AC692" s="7"/>
      <c r="AD692" s="7"/>
    </row>
    <row r="693" spans="17:30" x14ac:dyDescent="0.2">
      <c r="Q693" s="40"/>
      <c r="V693" s="41"/>
      <c r="W693" s="6"/>
      <c r="AA693" s="7"/>
      <c r="AB693" s="7"/>
      <c r="AC693" s="7"/>
      <c r="AD693" s="7"/>
    </row>
    <row r="694" spans="17:30" x14ac:dyDescent="0.2">
      <c r="Q694" s="40"/>
      <c r="V694" s="41"/>
      <c r="W694" s="6"/>
      <c r="AA694" s="7"/>
      <c r="AB694" s="7"/>
      <c r="AC694" s="7"/>
      <c r="AD694" s="7"/>
    </row>
    <row r="695" spans="17:30" x14ac:dyDescent="0.2">
      <c r="Q695" s="40"/>
      <c r="V695" s="41"/>
      <c r="W695" s="6"/>
      <c r="AA695" s="7"/>
      <c r="AB695" s="7"/>
      <c r="AC695" s="7"/>
      <c r="AD695" s="7"/>
    </row>
    <row r="696" spans="17:30" x14ac:dyDescent="0.2">
      <c r="Q696" s="40"/>
      <c r="V696" s="41"/>
      <c r="W696" s="6"/>
      <c r="AA696" s="7"/>
      <c r="AB696" s="7"/>
      <c r="AC696" s="7"/>
      <c r="AD696" s="7"/>
    </row>
    <row r="697" spans="17:30" x14ac:dyDescent="0.2">
      <c r="Q697" s="40"/>
      <c r="V697" s="41"/>
      <c r="W697" s="6"/>
      <c r="AA697" s="7"/>
      <c r="AB697" s="7"/>
      <c r="AC697" s="7"/>
      <c r="AD697" s="7"/>
    </row>
    <row r="698" spans="17:30" x14ac:dyDescent="0.2">
      <c r="Q698" s="40"/>
      <c r="V698" s="41"/>
      <c r="W698" s="6"/>
      <c r="AA698" s="7"/>
      <c r="AB698" s="7"/>
      <c r="AC698" s="7"/>
      <c r="AD698" s="7"/>
    </row>
    <row r="699" spans="17:30" x14ac:dyDescent="0.2">
      <c r="Q699" s="40"/>
      <c r="V699" s="41"/>
      <c r="W699" s="6"/>
      <c r="AA699" s="7"/>
      <c r="AB699" s="7"/>
      <c r="AC699" s="7"/>
      <c r="AD699" s="7"/>
    </row>
    <row r="700" spans="17:30" x14ac:dyDescent="0.2">
      <c r="Q700" s="40"/>
      <c r="V700" s="41"/>
      <c r="W700" s="6"/>
      <c r="AA700" s="7"/>
      <c r="AB700" s="7"/>
      <c r="AC700" s="7"/>
      <c r="AD700" s="7"/>
    </row>
    <row r="701" spans="17:30" x14ac:dyDescent="0.2">
      <c r="Q701" s="40"/>
      <c r="V701" s="41"/>
      <c r="W701" s="6"/>
      <c r="AA701" s="7"/>
      <c r="AB701" s="7"/>
      <c r="AC701" s="7"/>
      <c r="AD701" s="7"/>
    </row>
    <row r="702" spans="17:30" x14ac:dyDescent="0.2">
      <c r="Q702" s="40"/>
      <c r="V702" s="41"/>
      <c r="W702" s="6"/>
      <c r="AA702" s="7"/>
      <c r="AB702" s="7"/>
      <c r="AC702" s="7"/>
      <c r="AD702" s="7"/>
    </row>
    <row r="703" spans="17:30" x14ac:dyDescent="0.2">
      <c r="Q703" s="40"/>
      <c r="V703" s="41"/>
      <c r="W703" s="6"/>
      <c r="AA703" s="7"/>
      <c r="AB703" s="7"/>
      <c r="AC703" s="7"/>
      <c r="AD703" s="7"/>
    </row>
    <row r="704" spans="17:30" x14ac:dyDescent="0.2">
      <c r="Q704" s="40"/>
      <c r="V704" s="41"/>
      <c r="W704" s="6"/>
      <c r="AA704" s="7"/>
      <c r="AB704" s="7"/>
      <c r="AC704" s="7"/>
      <c r="AD704" s="7"/>
    </row>
    <row r="705" spans="17:30" x14ac:dyDescent="0.2">
      <c r="Q705" s="40"/>
      <c r="V705" s="41"/>
      <c r="W705" s="6"/>
      <c r="AA705" s="7"/>
      <c r="AB705" s="7"/>
      <c r="AC705" s="7"/>
      <c r="AD705" s="7"/>
    </row>
    <row r="706" spans="17:30" x14ac:dyDescent="0.2">
      <c r="Q706" s="40"/>
      <c r="V706" s="41"/>
      <c r="W706" s="6"/>
      <c r="AA706" s="7"/>
      <c r="AB706" s="7"/>
      <c r="AC706" s="7"/>
      <c r="AD706" s="7"/>
    </row>
    <row r="707" spans="17:30" x14ac:dyDescent="0.2">
      <c r="Q707" s="40"/>
      <c r="V707" s="41"/>
      <c r="W707" s="6"/>
      <c r="AA707" s="7"/>
      <c r="AB707" s="7"/>
      <c r="AC707" s="7"/>
      <c r="AD707" s="7"/>
    </row>
    <row r="708" spans="17:30" x14ac:dyDescent="0.2">
      <c r="Q708" s="40"/>
      <c r="V708" s="41"/>
      <c r="W708" s="6"/>
      <c r="AA708" s="7"/>
      <c r="AB708" s="7"/>
      <c r="AC708" s="7"/>
      <c r="AD708" s="7"/>
    </row>
    <row r="709" spans="17:30" x14ac:dyDescent="0.2">
      <c r="Q709" s="40"/>
      <c r="V709" s="41"/>
      <c r="W709" s="6"/>
      <c r="AA709" s="7"/>
      <c r="AB709" s="7"/>
      <c r="AC709" s="7"/>
      <c r="AD709" s="7"/>
    </row>
    <row r="710" spans="17:30" x14ac:dyDescent="0.2">
      <c r="Q710" s="40"/>
      <c r="V710" s="41"/>
      <c r="W710" s="6"/>
      <c r="AA710" s="7"/>
      <c r="AB710" s="7"/>
      <c r="AC710" s="7"/>
      <c r="AD710" s="7"/>
    </row>
    <row r="711" spans="17:30" x14ac:dyDescent="0.2">
      <c r="Q711" s="40"/>
      <c r="V711" s="41"/>
      <c r="W711" s="6"/>
      <c r="AA711" s="7"/>
      <c r="AB711" s="7"/>
      <c r="AC711" s="7"/>
      <c r="AD711" s="7"/>
    </row>
    <row r="712" spans="17:30" x14ac:dyDescent="0.2">
      <c r="Q712" s="40"/>
      <c r="V712" s="41"/>
      <c r="W712" s="6"/>
      <c r="AA712" s="7"/>
      <c r="AB712" s="7"/>
      <c r="AC712" s="7"/>
      <c r="AD712" s="7"/>
    </row>
    <row r="713" spans="17:30" x14ac:dyDescent="0.2">
      <c r="Q713" s="40"/>
      <c r="V713" s="41"/>
      <c r="W713" s="6"/>
      <c r="AA713" s="7"/>
      <c r="AB713" s="7"/>
      <c r="AC713" s="7"/>
      <c r="AD713" s="7"/>
    </row>
    <row r="714" spans="17:30" x14ac:dyDescent="0.2">
      <c r="Q714" s="40"/>
      <c r="V714" s="41"/>
      <c r="W714" s="6"/>
      <c r="AA714" s="7"/>
      <c r="AB714" s="7"/>
      <c r="AC714" s="7"/>
      <c r="AD714" s="7"/>
    </row>
    <row r="715" spans="17:30" x14ac:dyDescent="0.2">
      <c r="Q715" s="40"/>
      <c r="V715" s="41"/>
      <c r="W715" s="6"/>
      <c r="AA715" s="7"/>
      <c r="AB715" s="7"/>
      <c r="AC715" s="7"/>
      <c r="AD715" s="7"/>
    </row>
    <row r="716" spans="17:30" x14ac:dyDescent="0.2">
      <c r="Q716" s="40"/>
      <c r="V716" s="41"/>
      <c r="W716" s="6"/>
      <c r="AA716" s="7"/>
      <c r="AB716" s="7"/>
      <c r="AC716" s="7"/>
      <c r="AD716" s="7"/>
    </row>
    <row r="717" spans="17:30" x14ac:dyDescent="0.2">
      <c r="Q717" s="40"/>
      <c r="V717" s="41"/>
      <c r="W717" s="6"/>
      <c r="AA717" s="7"/>
      <c r="AB717" s="7"/>
      <c r="AC717" s="7"/>
      <c r="AD717" s="7"/>
    </row>
    <row r="718" spans="17:30" x14ac:dyDescent="0.2">
      <c r="Q718" s="40"/>
      <c r="V718" s="41"/>
      <c r="W718" s="6"/>
      <c r="AA718" s="7"/>
      <c r="AB718" s="7"/>
      <c r="AC718" s="7"/>
      <c r="AD718" s="7"/>
    </row>
    <row r="719" spans="17:30" x14ac:dyDescent="0.2">
      <c r="Q719" s="40"/>
      <c r="V719" s="41"/>
      <c r="W719" s="6"/>
      <c r="AA719" s="7"/>
      <c r="AB719" s="7"/>
      <c r="AC719" s="7"/>
      <c r="AD719" s="7"/>
    </row>
    <row r="720" spans="17:30" x14ac:dyDescent="0.2">
      <c r="Q720" s="40"/>
      <c r="V720" s="41"/>
      <c r="W720" s="6"/>
      <c r="AA720" s="7"/>
      <c r="AB720" s="7"/>
      <c r="AC720" s="7"/>
      <c r="AD720" s="7"/>
    </row>
    <row r="721" spans="17:30" x14ac:dyDescent="0.2">
      <c r="Q721" s="40"/>
      <c r="V721" s="41"/>
      <c r="W721" s="6"/>
      <c r="AA721" s="7"/>
      <c r="AB721" s="7"/>
      <c r="AC721" s="7"/>
      <c r="AD721" s="7"/>
    </row>
    <row r="722" spans="17:30" x14ac:dyDescent="0.2">
      <c r="Q722" s="40"/>
      <c r="V722" s="41"/>
      <c r="W722" s="6"/>
      <c r="AA722" s="7"/>
      <c r="AB722" s="7"/>
      <c r="AC722" s="7"/>
      <c r="AD722" s="7"/>
    </row>
    <row r="723" spans="17:30" x14ac:dyDescent="0.2">
      <c r="Q723" s="40"/>
      <c r="V723" s="41"/>
      <c r="W723" s="6"/>
      <c r="AA723" s="7"/>
      <c r="AB723" s="7"/>
      <c r="AC723" s="7"/>
      <c r="AD723" s="7"/>
    </row>
    <row r="724" spans="17:30" x14ac:dyDescent="0.2">
      <c r="Q724" s="40"/>
      <c r="V724" s="41"/>
      <c r="W724" s="6"/>
      <c r="AA724" s="7"/>
      <c r="AB724" s="7"/>
      <c r="AC724" s="7"/>
      <c r="AD724" s="7"/>
    </row>
    <row r="725" spans="17:30" x14ac:dyDescent="0.2">
      <c r="Q725" s="40"/>
      <c r="V725" s="41"/>
      <c r="W725" s="6"/>
      <c r="AA725" s="7"/>
      <c r="AB725" s="7"/>
      <c r="AC725" s="7"/>
      <c r="AD725" s="7"/>
    </row>
    <row r="726" spans="17:30" x14ac:dyDescent="0.2">
      <c r="Q726" s="40"/>
      <c r="V726" s="41"/>
      <c r="W726" s="6"/>
      <c r="AA726" s="7"/>
      <c r="AB726" s="7"/>
      <c r="AC726" s="7"/>
      <c r="AD726" s="7"/>
    </row>
    <row r="727" spans="17:30" x14ac:dyDescent="0.2">
      <c r="Q727" s="40"/>
      <c r="V727" s="41"/>
      <c r="W727" s="6"/>
      <c r="AA727" s="7"/>
      <c r="AB727" s="7"/>
      <c r="AC727" s="7"/>
      <c r="AD727" s="7"/>
    </row>
    <row r="728" spans="17:30" x14ac:dyDescent="0.2">
      <c r="Q728" s="40"/>
      <c r="V728" s="41"/>
      <c r="W728" s="6"/>
      <c r="AA728" s="7"/>
      <c r="AB728" s="7"/>
      <c r="AC728" s="7"/>
      <c r="AD728" s="7"/>
    </row>
    <row r="729" spans="17:30" x14ac:dyDescent="0.2">
      <c r="Q729" s="40"/>
      <c r="V729" s="41"/>
      <c r="W729" s="6"/>
      <c r="AA729" s="7"/>
      <c r="AB729" s="7"/>
      <c r="AC729" s="7"/>
      <c r="AD729" s="7"/>
    </row>
    <row r="730" spans="17:30" x14ac:dyDescent="0.2">
      <c r="Q730" s="40"/>
      <c r="V730" s="41"/>
      <c r="W730" s="6"/>
      <c r="AA730" s="7"/>
      <c r="AB730" s="7"/>
      <c r="AC730" s="7"/>
      <c r="AD730" s="7"/>
    </row>
    <row r="731" spans="17:30" x14ac:dyDescent="0.2">
      <c r="Q731" s="40"/>
      <c r="V731" s="41"/>
      <c r="W731" s="6"/>
      <c r="AA731" s="7"/>
      <c r="AB731" s="7"/>
      <c r="AC731" s="7"/>
      <c r="AD731" s="7"/>
    </row>
    <row r="732" spans="17:30" x14ac:dyDescent="0.2">
      <c r="Q732" s="40"/>
      <c r="V732" s="41"/>
      <c r="W732" s="6"/>
      <c r="AA732" s="7"/>
      <c r="AB732" s="7"/>
      <c r="AC732" s="7"/>
      <c r="AD732" s="7"/>
    </row>
    <row r="733" spans="17:30" x14ac:dyDescent="0.2">
      <c r="Q733" s="40"/>
      <c r="V733" s="41"/>
      <c r="W733" s="6"/>
      <c r="AA733" s="7"/>
      <c r="AB733" s="7"/>
      <c r="AC733" s="7"/>
      <c r="AD733" s="7"/>
    </row>
    <row r="734" spans="17:30" x14ac:dyDescent="0.2">
      <c r="Q734" s="40"/>
      <c r="V734" s="41"/>
      <c r="W734" s="6"/>
      <c r="AA734" s="7"/>
      <c r="AB734" s="7"/>
      <c r="AC734" s="7"/>
      <c r="AD734" s="7"/>
    </row>
    <row r="735" spans="17:30" x14ac:dyDescent="0.2">
      <c r="Q735" s="40"/>
      <c r="V735" s="41"/>
      <c r="W735" s="6"/>
      <c r="AA735" s="7"/>
      <c r="AB735" s="7"/>
      <c r="AC735" s="7"/>
      <c r="AD735" s="7"/>
    </row>
    <row r="736" spans="17:30" x14ac:dyDescent="0.2">
      <c r="Q736" s="40"/>
      <c r="V736" s="41"/>
      <c r="W736" s="6"/>
      <c r="AA736" s="7"/>
      <c r="AB736" s="7"/>
      <c r="AC736" s="7"/>
      <c r="AD736" s="7"/>
    </row>
    <row r="737" spans="17:30" x14ac:dyDescent="0.2">
      <c r="Q737" s="40"/>
      <c r="V737" s="41"/>
      <c r="W737" s="6"/>
      <c r="AA737" s="7"/>
      <c r="AB737" s="7"/>
      <c r="AC737" s="7"/>
      <c r="AD737" s="7"/>
    </row>
    <row r="738" spans="17:30" x14ac:dyDescent="0.2">
      <c r="Q738" s="40"/>
      <c r="V738" s="41"/>
      <c r="W738" s="6"/>
      <c r="AA738" s="7"/>
      <c r="AB738" s="7"/>
      <c r="AC738" s="7"/>
      <c r="AD738" s="7"/>
    </row>
    <row r="739" spans="17:30" x14ac:dyDescent="0.2">
      <c r="Q739" s="40"/>
      <c r="V739" s="41"/>
      <c r="W739" s="6"/>
      <c r="AA739" s="7"/>
      <c r="AB739" s="7"/>
      <c r="AC739" s="7"/>
      <c r="AD739" s="7"/>
    </row>
    <row r="740" spans="17:30" x14ac:dyDescent="0.2">
      <c r="Q740" s="40"/>
      <c r="V740" s="41"/>
      <c r="W740" s="6"/>
      <c r="AA740" s="7"/>
      <c r="AB740" s="7"/>
      <c r="AC740" s="7"/>
      <c r="AD740" s="7"/>
    </row>
    <row r="741" spans="17:30" x14ac:dyDescent="0.2">
      <c r="Q741" s="40"/>
      <c r="V741" s="41"/>
      <c r="W741" s="6"/>
      <c r="AA741" s="7"/>
      <c r="AB741" s="7"/>
      <c r="AC741" s="7"/>
      <c r="AD741" s="7"/>
    </row>
    <row r="742" spans="17:30" x14ac:dyDescent="0.2">
      <c r="Q742" s="40"/>
      <c r="V742" s="41"/>
      <c r="W742" s="6"/>
      <c r="AA742" s="7"/>
      <c r="AB742" s="7"/>
      <c r="AC742" s="7"/>
      <c r="AD742" s="7"/>
    </row>
    <row r="743" spans="17:30" x14ac:dyDescent="0.2">
      <c r="Q743" s="40"/>
      <c r="V743" s="41"/>
      <c r="W743" s="6"/>
      <c r="AA743" s="7"/>
      <c r="AB743" s="7"/>
      <c r="AC743" s="7"/>
      <c r="AD743" s="7"/>
    </row>
    <row r="744" spans="17:30" x14ac:dyDescent="0.2">
      <c r="Q744" s="40"/>
      <c r="V744" s="41"/>
      <c r="W744" s="6"/>
      <c r="AA744" s="7"/>
      <c r="AB744" s="7"/>
      <c r="AC744" s="7"/>
      <c r="AD744" s="7"/>
    </row>
    <row r="745" spans="17:30" x14ac:dyDescent="0.2">
      <c r="Q745" s="40"/>
      <c r="V745" s="41"/>
      <c r="W745" s="6"/>
      <c r="AA745" s="7"/>
      <c r="AB745" s="7"/>
      <c r="AC745" s="7"/>
      <c r="AD745" s="7"/>
    </row>
    <row r="746" spans="17:30" x14ac:dyDescent="0.2">
      <c r="Q746" s="40"/>
      <c r="V746" s="41"/>
      <c r="W746" s="6"/>
      <c r="AA746" s="7"/>
      <c r="AB746" s="7"/>
      <c r="AC746" s="7"/>
      <c r="AD746" s="7"/>
    </row>
    <row r="747" spans="17:30" x14ac:dyDescent="0.2">
      <c r="Q747" s="40"/>
      <c r="V747" s="41"/>
      <c r="W747" s="6"/>
      <c r="AA747" s="7"/>
      <c r="AB747" s="7"/>
      <c r="AC747" s="7"/>
      <c r="AD747" s="7"/>
    </row>
    <row r="748" spans="17:30" x14ac:dyDescent="0.2">
      <c r="Q748" s="40"/>
      <c r="V748" s="41"/>
      <c r="W748" s="6"/>
      <c r="AA748" s="7"/>
      <c r="AB748" s="7"/>
      <c r="AC748" s="7"/>
      <c r="AD748" s="7"/>
    </row>
    <row r="749" spans="17:30" x14ac:dyDescent="0.2">
      <c r="Q749" s="40"/>
      <c r="V749" s="41"/>
      <c r="W749" s="6"/>
      <c r="AA749" s="7"/>
      <c r="AB749" s="7"/>
      <c r="AC749" s="7"/>
      <c r="AD749" s="7"/>
    </row>
    <row r="750" spans="17:30" x14ac:dyDescent="0.2">
      <c r="Q750" s="40"/>
      <c r="V750" s="41"/>
      <c r="W750" s="6"/>
      <c r="AA750" s="7"/>
      <c r="AB750" s="7"/>
      <c r="AC750" s="7"/>
      <c r="AD750" s="7"/>
    </row>
    <row r="751" spans="17:30" x14ac:dyDescent="0.2">
      <c r="Q751" s="40"/>
      <c r="V751" s="41"/>
      <c r="W751" s="6"/>
      <c r="AA751" s="7"/>
      <c r="AB751" s="7"/>
      <c r="AC751" s="7"/>
      <c r="AD751" s="7"/>
    </row>
    <row r="752" spans="17:30" x14ac:dyDescent="0.2">
      <c r="Q752" s="40"/>
      <c r="V752" s="41"/>
      <c r="W752" s="6"/>
      <c r="AA752" s="7"/>
      <c r="AB752" s="7"/>
      <c r="AC752" s="7"/>
      <c r="AD752" s="7"/>
    </row>
    <row r="753" spans="17:30" x14ac:dyDescent="0.2">
      <c r="Q753" s="40"/>
      <c r="V753" s="41"/>
      <c r="W753" s="6"/>
      <c r="AA753" s="7"/>
      <c r="AB753" s="7"/>
      <c r="AC753" s="7"/>
      <c r="AD753" s="7"/>
    </row>
    <row r="754" spans="17:30" x14ac:dyDescent="0.2">
      <c r="Q754" s="40"/>
      <c r="V754" s="41"/>
      <c r="W754" s="6"/>
      <c r="AA754" s="7"/>
      <c r="AB754" s="7"/>
      <c r="AC754" s="7"/>
      <c r="AD754" s="7"/>
    </row>
    <row r="755" spans="17:30" x14ac:dyDescent="0.2">
      <c r="Q755" s="40"/>
      <c r="V755" s="41"/>
      <c r="W755" s="6"/>
      <c r="AA755" s="7"/>
      <c r="AB755" s="7"/>
      <c r="AC755" s="7"/>
      <c r="AD755" s="7"/>
    </row>
    <row r="756" spans="17:30" x14ac:dyDescent="0.2">
      <c r="Q756" s="40"/>
      <c r="V756" s="41"/>
      <c r="W756" s="6"/>
      <c r="AA756" s="7"/>
      <c r="AB756" s="7"/>
      <c r="AC756" s="7"/>
      <c r="AD756" s="7"/>
    </row>
    <row r="757" spans="17:30" x14ac:dyDescent="0.2">
      <c r="Q757" s="40"/>
      <c r="V757" s="41"/>
      <c r="W757" s="6"/>
      <c r="AA757" s="7"/>
      <c r="AB757" s="7"/>
      <c r="AC757" s="7"/>
      <c r="AD757" s="7"/>
    </row>
    <row r="758" spans="17:30" x14ac:dyDescent="0.2">
      <c r="Q758" s="40"/>
      <c r="V758" s="41"/>
      <c r="W758" s="6"/>
      <c r="AA758" s="7"/>
      <c r="AB758" s="7"/>
      <c r="AC758" s="7"/>
      <c r="AD758" s="7"/>
    </row>
    <row r="759" spans="17:30" x14ac:dyDescent="0.2">
      <c r="Q759" s="40"/>
      <c r="V759" s="41"/>
      <c r="W759" s="6"/>
      <c r="AA759" s="7"/>
      <c r="AB759" s="7"/>
      <c r="AC759" s="7"/>
      <c r="AD759" s="7"/>
    </row>
    <row r="760" spans="17:30" x14ac:dyDescent="0.2">
      <c r="Q760" s="40"/>
      <c r="V760" s="41"/>
      <c r="W760" s="6"/>
      <c r="AA760" s="7"/>
      <c r="AB760" s="7"/>
      <c r="AC760" s="7"/>
      <c r="AD760" s="7"/>
    </row>
    <row r="761" spans="17:30" x14ac:dyDescent="0.2">
      <c r="Q761" s="40"/>
      <c r="V761" s="41"/>
      <c r="W761" s="6"/>
      <c r="AA761" s="7"/>
      <c r="AB761" s="7"/>
      <c r="AC761" s="7"/>
      <c r="AD761" s="7"/>
    </row>
    <row r="762" spans="17:30" x14ac:dyDescent="0.2">
      <c r="Q762" s="40"/>
      <c r="V762" s="41"/>
      <c r="W762" s="6"/>
      <c r="AA762" s="7"/>
      <c r="AB762" s="7"/>
      <c r="AC762" s="7"/>
      <c r="AD762" s="7"/>
    </row>
    <row r="763" spans="17:30" x14ac:dyDescent="0.2">
      <c r="Q763" s="40"/>
      <c r="V763" s="41"/>
      <c r="W763" s="6"/>
      <c r="AA763" s="7"/>
      <c r="AB763" s="7"/>
      <c r="AC763" s="7"/>
      <c r="AD763" s="7"/>
    </row>
    <row r="764" spans="17:30" x14ac:dyDescent="0.2">
      <c r="Q764" s="40"/>
      <c r="V764" s="41"/>
      <c r="W764" s="6"/>
      <c r="AA764" s="7"/>
      <c r="AB764" s="7"/>
      <c r="AC764" s="7"/>
      <c r="AD764" s="7"/>
    </row>
    <row r="765" spans="17:30" x14ac:dyDescent="0.2">
      <c r="Q765" s="40"/>
      <c r="V765" s="41"/>
      <c r="W765" s="6"/>
      <c r="AA765" s="7"/>
      <c r="AB765" s="7"/>
      <c r="AC765" s="7"/>
      <c r="AD765" s="7"/>
    </row>
    <row r="766" spans="17:30" x14ac:dyDescent="0.2">
      <c r="Q766" s="40"/>
      <c r="V766" s="41"/>
      <c r="W766" s="6"/>
      <c r="AA766" s="7"/>
      <c r="AB766" s="7"/>
      <c r="AC766" s="7"/>
      <c r="AD766" s="7"/>
    </row>
    <row r="767" spans="17:30" x14ac:dyDescent="0.2">
      <c r="Q767" s="40"/>
      <c r="V767" s="41"/>
      <c r="W767" s="6"/>
      <c r="AA767" s="7"/>
      <c r="AB767" s="7"/>
      <c r="AC767" s="7"/>
      <c r="AD767" s="7"/>
    </row>
    <row r="768" spans="17:30" x14ac:dyDescent="0.2">
      <c r="Q768" s="40"/>
      <c r="V768" s="41"/>
      <c r="W768" s="6"/>
      <c r="AA768" s="7"/>
      <c r="AB768" s="7"/>
      <c r="AC768" s="7"/>
      <c r="AD768" s="7"/>
    </row>
    <row r="769" spans="17:30" x14ac:dyDescent="0.2">
      <c r="Q769" s="40"/>
      <c r="V769" s="41"/>
      <c r="W769" s="6"/>
      <c r="AA769" s="7"/>
      <c r="AB769" s="7"/>
      <c r="AC769" s="7"/>
      <c r="AD769" s="7"/>
    </row>
    <row r="770" spans="17:30" x14ac:dyDescent="0.2">
      <c r="Q770" s="40"/>
      <c r="V770" s="41"/>
      <c r="W770" s="6"/>
      <c r="AA770" s="7"/>
      <c r="AB770" s="7"/>
      <c r="AC770" s="7"/>
      <c r="AD770" s="7"/>
    </row>
    <row r="771" spans="17:30" x14ac:dyDescent="0.2">
      <c r="Q771" s="40"/>
      <c r="V771" s="41"/>
      <c r="W771" s="6"/>
      <c r="AA771" s="7"/>
      <c r="AB771" s="7"/>
      <c r="AC771" s="7"/>
      <c r="AD771" s="7"/>
    </row>
    <row r="772" spans="17:30" x14ac:dyDescent="0.2">
      <c r="Q772" s="40"/>
      <c r="V772" s="41"/>
      <c r="W772" s="6"/>
      <c r="AA772" s="7"/>
      <c r="AB772" s="7"/>
      <c r="AC772" s="7"/>
      <c r="AD772" s="7"/>
    </row>
    <row r="773" spans="17:30" x14ac:dyDescent="0.2">
      <c r="Q773" s="40"/>
      <c r="V773" s="41"/>
      <c r="W773" s="6"/>
      <c r="AA773" s="7"/>
      <c r="AB773" s="7"/>
      <c r="AC773" s="7"/>
      <c r="AD773" s="7"/>
    </row>
    <row r="774" spans="17:30" x14ac:dyDescent="0.2">
      <c r="Q774" s="40"/>
      <c r="V774" s="41"/>
      <c r="W774" s="6"/>
      <c r="AA774" s="7"/>
      <c r="AB774" s="7"/>
      <c r="AC774" s="7"/>
      <c r="AD774" s="7"/>
    </row>
    <row r="775" spans="17:30" x14ac:dyDescent="0.2">
      <c r="Q775" s="40"/>
      <c r="V775" s="41"/>
      <c r="W775" s="6"/>
      <c r="AA775" s="7"/>
      <c r="AB775" s="7"/>
      <c r="AC775" s="7"/>
      <c r="AD775" s="7"/>
    </row>
    <row r="776" spans="17:30" x14ac:dyDescent="0.2">
      <c r="Q776" s="40"/>
      <c r="V776" s="41"/>
      <c r="W776" s="6"/>
      <c r="AA776" s="7"/>
      <c r="AB776" s="7"/>
      <c r="AC776" s="7"/>
      <c r="AD776" s="7"/>
    </row>
    <row r="777" spans="17:30" x14ac:dyDescent="0.2">
      <c r="Q777" s="40"/>
      <c r="V777" s="41"/>
      <c r="W777" s="6"/>
      <c r="AA777" s="7"/>
      <c r="AB777" s="7"/>
      <c r="AC777" s="7"/>
      <c r="AD777" s="7"/>
    </row>
    <row r="778" spans="17:30" x14ac:dyDescent="0.2">
      <c r="Q778" s="40"/>
      <c r="V778" s="41"/>
      <c r="W778" s="6"/>
      <c r="AA778" s="7"/>
      <c r="AB778" s="7"/>
      <c r="AC778" s="7"/>
      <c r="AD778" s="7"/>
    </row>
    <row r="779" spans="17:30" x14ac:dyDescent="0.2">
      <c r="Q779" s="40"/>
      <c r="V779" s="41"/>
      <c r="W779" s="6"/>
      <c r="AA779" s="7"/>
      <c r="AB779" s="7"/>
      <c r="AC779" s="7"/>
      <c r="AD779" s="7"/>
    </row>
    <row r="780" spans="17:30" x14ac:dyDescent="0.2">
      <c r="Q780" s="40"/>
      <c r="V780" s="41"/>
      <c r="W780" s="6"/>
      <c r="AA780" s="7"/>
      <c r="AB780" s="7"/>
      <c r="AC780" s="7"/>
      <c r="AD780" s="7"/>
    </row>
    <row r="781" spans="17:30" x14ac:dyDescent="0.2">
      <c r="Q781" s="40"/>
      <c r="V781" s="41"/>
      <c r="W781" s="6"/>
      <c r="AA781" s="7"/>
      <c r="AB781" s="7"/>
      <c r="AC781" s="7"/>
      <c r="AD781" s="7"/>
    </row>
    <row r="782" spans="17:30" x14ac:dyDescent="0.2">
      <c r="Q782" s="40"/>
      <c r="V782" s="41"/>
      <c r="W782" s="6"/>
      <c r="AA782" s="7"/>
      <c r="AB782" s="7"/>
      <c r="AC782" s="7"/>
      <c r="AD782" s="7"/>
    </row>
    <row r="783" spans="17:30" x14ac:dyDescent="0.2">
      <c r="Q783" s="40"/>
      <c r="V783" s="41"/>
      <c r="W783" s="6"/>
      <c r="AA783" s="7"/>
      <c r="AB783" s="7"/>
      <c r="AC783" s="7"/>
      <c r="AD783" s="7"/>
    </row>
    <row r="784" spans="17:30" x14ac:dyDescent="0.2">
      <c r="Q784" s="40"/>
      <c r="V784" s="41"/>
      <c r="W784" s="6"/>
      <c r="AA784" s="7"/>
      <c r="AB784" s="7"/>
      <c r="AC784" s="7"/>
      <c r="AD784" s="7"/>
    </row>
    <row r="785" spans="17:30" x14ac:dyDescent="0.2">
      <c r="Q785" s="40"/>
      <c r="V785" s="41"/>
      <c r="W785" s="6"/>
      <c r="AA785" s="7"/>
      <c r="AB785" s="7"/>
      <c r="AC785" s="7"/>
      <c r="AD785" s="7"/>
    </row>
    <row r="786" spans="17:30" x14ac:dyDescent="0.2">
      <c r="Q786" s="40"/>
      <c r="V786" s="41"/>
      <c r="W786" s="6"/>
      <c r="AA786" s="7"/>
      <c r="AB786" s="7"/>
      <c r="AC786" s="7"/>
      <c r="AD786" s="7"/>
    </row>
    <row r="787" spans="17:30" x14ac:dyDescent="0.2">
      <c r="Q787" s="40"/>
      <c r="V787" s="41"/>
      <c r="W787" s="6"/>
      <c r="AA787" s="7"/>
      <c r="AB787" s="7"/>
      <c r="AC787" s="7"/>
      <c r="AD787" s="7"/>
    </row>
    <row r="788" spans="17:30" x14ac:dyDescent="0.2">
      <c r="Q788" s="40"/>
      <c r="V788" s="41"/>
      <c r="W788" s="6"/>
      <c r="AA788" s="7"/>
      <c r="AB788" s="7"/>
      <c r="AC788" s="7"/>
      <c r="AD788" s="7"/>
    </row>
    <row r="789" spans="17:30" x14ac:dyDescent="0.2">
      <c r="Q789" s="40"/>
      <c r="V789" s="41"/>
      <c r="W789" s="6"/>
      <c r="AA789" s="7"/>
      <c r="AB789" s="7"/>
      <c r="AC789" s="7"/>
      <c r="AD789" s="7"/>
    </row>
  </sheetData>
  <autoFilter ref="B5:AE367"/>
  <mergeCells count="3">
    <mergeCell ref="D2:E3"/>
    <mergeCell ref="AG2:AH2"/>
    <mergeCell ref="BS4:BU4"/>
  </mergeCells>
  <dataValidations disablePrompts="1" count="1">
    <dataValidation type="list" allowBlank="1" showInputMessage="1" showErrorMessage="1" sqref="BH2 R2">
      <formula1>"0,1"</formula1>
    </dataValidation>
  </dataValidations>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5" tint="-0.249977111117893"/>
  </sheetPr>
  <dimension ref="A1:CF789"/>
  <sheetViews>
    <sheetView workbookViewId="0">
      <pane xSplit="8" ySplit="7" topLeftCell="I8" activePane="bottomRight" state="frozen"/>
      <selection pane="topRight" activeCell="H1" sqref="H1"/>
      <selection pane="bottomLeft" activeCell="A8" sqref="A8"/>
      <selection pane="bottomRight" activeCell="R7" sqref="R7"/>
    </sheetView>
  </sheetViews>
  <sheetFormatPr defaultRowHeight="12" x14ac:dyDescent="0.2"/>
  <cols>
    <col min="1" max="1" width="12.42578125" style="2" bestFit="1" customWidth="1"/>
    <col min="2" max="2" width="8.42578125" style="2" customWidth="1"/>
    <col min="3" max="3" width="7.85546875" style="2" customWidth="1"/>
    <col min="4" max="4" width="8.85546875" style="4" customWidth="1"/>
    <col min="5" max="5" width="6.85546875" style="2" customWidth="1"/>
    <col min="6" max="7" width="12.7109375" style="2" customWidth="1"/>
    <col min="8" max="8" width="8.42578125" style="2" customWidth="1"/>
    <col min="9" max="9" width="9.28515625" style="2" customWidth="1"/>
    <col min="10" max="10" width="9.42578125" style="2" customWidth="1"/>
    <col min="11" max="11" width="9.5703125" style="2" customWidth="1"/>
    <col min="12" max="12" width="9.42578125" style="2" customWidth="1"/>
    <col min="13" max="13" width="10.85546875" style="2" customWidth="1"/>
    <col min="14" max="14" width="10.28515625" style="7" bestFit="1" customWidth="1"/>
    <col min="15" max="15" width="10.7109375" style="2" customWidth="1"/>
    <col min="16" max="16" width="17" style="3" bestFit="1" customWidth="1"/>
    <col min="17" max="17" width="15.85546875" style="5" bestFit="1" customWidth="1"/>
    <col min="18" max="21" width="11.140625" style="7" customWidth="1"/>
    <col min="22" max="22" width="12.85546875" style="15" customWidth="1"/>
    <col min="23" max="23" width="13.140625" style="5" customWidth="1"/>
    <col min="24" max="24" width="16.5703125" style="3" customWidth="1"/>
    <col min="25" max="25" width="11.28515625" style="2" customWidth="1"/>
    <col min="26" max="26" width="11.7109375" style="2" customWidth="1"/>
    <col min="27" max="29" width="10.140625" style="2" customWidth="1"/>
    <col min="30" max="30" width="11" style="2" customWidth="1"/>
    <col min="31" max="31" width="11.85546875" style="2" customWidth="1"/>
    <col min="32" max="32" width="17.7109375" style="7" bestFit="1" customWidth="1"/>
    <col min="33" max="33" width="12.85546875" style="2" customWidth="1"/>
    <col min="34" max="34" width="11.5703125" style="2" customWidth="1"/>
    <col min="35" max="35" width="24.42578125" style="2" bestFit="1" customWidth="1"/>
    <col min="36" max="36" width="11" style="2" bestFit="1" customWidth="1"/>
    <col min="37" max="37" width="9.42578125" style="2" bestFit="1" customWidth="1"/>
    <col min="38" max="38" width="9.42578125" style="2" customWidth="1"/>
    <col min="39" max="41" width="13.85546875" style="2" customWidth="1"/>
    <col min="42" max="42" width="11" style="3" bestFit="1" customWidth="1"/>
    <col min="43" max="44" width="9.85546875" style="3" customWidth="1"/>
    <col min="45" max="46" width="11" style="2" bestFit="1" customWidth="1"/>
    <col min="47" max="47" width="11" style="7" bestFit="1" customWidth="1"/>
    <col min="48" max="48" width="11.42578125" style="2" bestFit="1" customWidth="1"/>
    <col min="49" max="49" width="9.140625" style="2" customWidth="1"/>
    <col min="50" max="50" width="10.5703125" style="2" customWidth="1"/>
    <col min="51" max="51" width="10.42578125" style="2" customWidth="1"/>
    <col min="52" max="53" width="9.7109375" style="2" customWidth="1"/>
    <col min="54" max="55" width="9.140625" style="2" customWidth="1"/>
    <col min="56" max="57" width="9.140625" style="2"/>
    <col min="58" max="58" width="10.7109375" style="2" customWidth="1"/>
    <col min="59" max="59" width="9.140625" style="2"/>
    <col min="60" max="60" width="9.140625" style="2" customWidth="1"/>
    <col min="61" max="62" width="9.28515625" style="2" customWidth="1"/>
    <col min="63" max="63" width="8.85546875" style="2" customWidth="1"/>
    <col min="64" max="64" width="10.140625" style="2" customWidth="1"/>
    <col min="65" max="66" width="9.140625" style="2"/>
    <col min="67" max="67" width="10.42578125" style="2" customWidth="1"/>
    <col min="68" max="68" width="9.140625" style="2"/>
    <col min="69" max="69" width="14" style="2" bestFit="1" customWidth="1"/>
    <col min="70" max="70" width="9.140625" style="2"/>
    <col min="71" max="71" width="12.42578125" style="2" bestFit="1" customWidth="1"/>
    <col min="72" max="72" width="13.42578125" style="2" customWidth="1"/>
    <col min="73" max="80" width="9.140625" style="2"/>
    <col min="81" max="81" width="11.28515625" style="2" bestFit="1" customWidth="1"/>
    <col min="82" max="82" width="10.28515625" style="2" bestFit="1" customWidth="1"/>
    <col min="83" max="84" width="11.28515625" style="2" bestFit="1" customWidth="1"/>
    <col min="85" max="16384" width="9.140625" style="2"/>
  </cols>
  <sheetData>
    <row r="1" spans="1:84" ht="12.75" thickBot="1" x14ac:dyDescent="0.25">
      <c r="D1" s="2"/>
    </row>
    <row r="2" spans="1:84" ht="12.75" customHeight="1" thickBot="1" x14ac:dyDescent="0.25">
      <c r="D2" s="633" t="s">
        <v>55</v>
      </c>
      <c r="E2" s="634"/>
      <c r="F2" s="42">
        <f>Input!E24</f>
        <v>0.08</v>
      </c>
      <c r="G2" s="2" t="s">
        <v>69</v>
      </c>
      <c r="J2" s="2" t="s">
        <v>293</v>
      </c>
      <c r="M2" s="137"/>
      <c r="P2" s="108" t="s">
        <v>117</v>
      </c>
      <c r="Q2" s="109">
        <v>0</v>
      </c>
      <c r="S2" s="15"/>
      <c r="T2" s="15"/>
      <c r="U2" s="15"/>
      <c r="W2" s="215">
        <f>wfmc/12</f>
        <v>1.1249999999999999E-3</v>
      </c>
      <c r="X2" s="47" t="s">
        <v>56</v>
      </c>
      <c r="Y2" s="48">
        <f>((1+wfmc/365.25)^(365.25))^(1/12)-1</f>
        <v>1.1256122364291521E-3</v>
      </c>
      <c r="AB2" s="140"/>
      <c r="AC2" s="140"/>
      <c r="AG2" s="637" t="s">
        <v>23</v>
      </c>
      <c r="AH2" s="638"/>
      <c r="AP2" s="43"/>
      <c r="AQ2" s="43"/>
      <c r="AR2" s="43"/>
      <c r="AS2" s="43"/>
      <c r="AT2" s="43"/>
      <c r="AU2" s="43"/>
      <c r="BG2" s="47" t="s">
        <v>77</v>
      </c>
      <c r="BH2" s="52">
        <v>0</v>
      </c>
      <c r="CC2" s="3">
        <f ca="1">SUM(N7:N367)</f>
        <v>0</v>
      </c>
    </row>
    <row r="3" spans="1:84" ht="12.75" thickBot="1" x14ac:dyDescent="0.25">
      <c r="D3" s="635"/>
      <c r="E3" s="636"/>
      <c r="F3" s="214">
        <f>((1+F2)^(1/12)-1)</f>
        <v>6.4340301100034303E-3</v>
      </c>
      <c r="G3" s="2" t="s">
        <v>70</v>
      </c>
      <c r="M3" s="129"/>
      <c r="N3" s="16"/>
      <c r="P3" s="24"/>
      <c r="R3" s="33"/>
      <c r="S3" s="33"/>
      <c r="T3" s="33"/>
      <c r="U3" s="33"/>
      <c r="W3" s="3"/>
      <c r="Y3" s="3"/>
      <c r="Z3" s="3"/>
      <c r="AA3" s="3"/>
      <c r="AB3" s="3"/>
      <c r="AC3" s="3"/>
      <c r="AD3" s="3"/>
      <c r="AE3" s="3"/>
      <c r="AF3" s="152"/>
      <c r="AG3" s="8" t="s">
        <v>25</v>
      </c>
      <c r="AH3" s="9">
        <f ca="1">IRR(AH7:AH367,0.001)</f>
        <v>5.1326620895137953E-3</v>
      </c>
      <c r="AS3" s="3"/>
      <c r="BG3" s="19"/>
      <c r="BH3" s="19"/>
      <c r="BI3" s="19"/>
      <c r="BJ3" s="19"/>
      <c r="BK3" s="19"/>
      <c r="BL3" s="19"/>
      <c r="BM3" s="19"/>
      <c r="BN3" s="19"/>
      <c r="BO3" s="19"/>
      <c r="BP3" s="19"/>
      <c r="CC3" s="3"/>
      <c r="CD3" s="3"/>
      <c r="CF3" s="3"/>
    </row>
    <row r="4" spans="1:84" ht="12.75" thickBot="1" x14ac:dyDescent="0.25">
      <c r="A4" s="150"/>
      <c r="D4" s="2"/>
      <c r="W4" s="3"/>
      <c r="Y4" s="3"/>
      <c r="Z4" s="3"/>
      <c r="AA4" s="16"/>
      <c r="AB4" s="16"/>
      <c r="AC4" s="16"/>
      <c r="AD4" s="16"/>
      <c r="AE4" s="3"/>
      <c r="AG4" s="10" t="s">
        <v>26</v>
      </c>
      <c r="AH4" s="11">
        <f ca="1">(1+AH3)^12-1</f>
        <v>6.3360757495081854E-2</v>
      </c>
      <c r="AJ4" s="43" t="s">
        <v>28</v>
      </c>
      <c r="AK4" s="43"/>
      <c r="AL4" s="43"/>
      <c r="AM4" s="43"/>
      <c r="AN4" s="43"/>
      <c r="AW4" s="43" t="s">
        <v>97</v>
      </c>
      <c r="AX4" s="43"/>
      <c r="BG4" s="49" t="s">
        <v>214</v>
      </c>
      <c r="BH4" s="49"/>
      <c r="BI4" s="26"/>
      <c r="BJ4" s="26"/>
      <c r="BK4" s="49"/>
      <c r="BL4" s="49"/>
      <c r="BM4" s="26"/>
      <c r="BN4" s="26"/>
      <c r="BO4" s="49"/>
      <c r="BS4" s="639"/>
      <c r="BT4" s="639"/>
      <c r="BU4" s="639"/>
      <c r="CE4" s="3" t="s">
        <v>239</v>
      </c>
    </row>
    <row r="5" spans="1:84" s="240" customFormat="1" ht="72" customHeight="1" x14ac:dyDescent="0.2">
      <c r="B5" s="53" t="s">
        <v>78</v>
      </c>
      <c r="C5" s="53" t="s">
        <v>66</v>
      </c>
      <c r="D5" s="53" t="s">
        <v>12</v>
      </c>
      <c r="E5" s="53" t="s">
        <v>38</v>
      </c>
      <c r="F5" s="53" t="s">
        <v>12</v>
      </c>
      <c r="G5" s="53" t="s">
        <v>318</v>
      </c>
      <c r="H5" s="53" t="s">
        <v>13</v>
      </c>
      <c r="I5" s="53" t="s">
        <v>67</v>
      </c>
      <c r="J5" s="53" t="s">
        <v>14</v>
      </c>
      <c r="K5" s="53" t="s">
        <v>54</v>
      </c>
      <c r="L5" s="53" t="s">
        <v>15</v>
      </c>
      <c r="M5" s="53" t="s">
        <v>107</v>
      </c>
      <c r="N5" s="53" t="s">
        <v>108</v>
      </c>
      <c r="O5" s="53" t="s">
        <v>114</v>
      </c>
      <c r="P5" s="53" t="s">
        <v>41</v>
      </c>
      <c r="Q5" s="53" t="s">
        <v>18</v>
      </c>
      <c r="R5" s="53" t="s">
        <v>62</v>
      </c>
      <c r="S5" s="53" t="s">
        <v>76</v>
      </c>
      <c r="T5" s="53" t="s">
        <v>314</v>
      </c>
      <c r="U5" s="53" t="s">
        <v>305</v>
      </c>
      <c r="V5" s="53" t="s">
        <v>40</v>
      </c>
      <c r="W5" s="53" t="s">
        <v>19</v>
      </c>
      <c r="X5" s="53" t="s">
        <v>74</v>
      </c>
      <c r="Y5" s="53" t="s">
        <v>36</v>
      </c>
      <c r="Z5" s="53" t="s">
        <v>75</v>
      </c>
      <c r="AA5" s="53" t="s">
        <v>256</v>
      </c>
      <c r="AB5" s="53" t="s">
        <v>255</v>
      </c>
      <c r="AC5" s="53" t="s">
        <v>394</v>
      </c>
      <c r="AD5" s="53" t="s">
        <v>72</v>
      </c>
      <c r="AE5" s="53" t="s">
        <v>73</v>
      </c>
      <c r="AF5" s="37"/>
      <c r="AG5" s="56" t="s">
        <v>12</v>
      </c>
      <c r="AH5" s="57" t="s">
        <v>24</v>
      </c>
      <c r="AJ5" s="53" t="s">
        <v>68</v>
      </c>
      <c r="AK5" s="53" t="s">
        <v>54</v>
      </c>
      <c r="AL5" s="53" t="s">
        <v>27</v>
      </c>
      <c r="AM5" s="54" t="s">
        <v>201</v>
      </c>
      <c r="AN5" s="54" t="s">
        <v>199</v>
      </c>
      <c r="AO5" s="54" t="s">
        <v>200</v>
      </c>
      <c r="AP5" s="54" t="s">
        <v>57</v>
      </c>
      <c r="AQ5" s="53" t="s">
        <v>79</v>
      </c>
      <c r="AR5" s="53" t="s">
        <v>71</v>
      </c>
      <c r="AS5" s="53" t="s">
        <v>58</v>
      </c>
      <c r="AT5" s="53" t="s">
        <v>61</v>
      </c>
      <c r="AU5" s="53" t="s">
        <v>59</v>
      </c>
      <c r="AW5" s="55" t="s">
        <v>13</v>
      </c>
      <c r="AX5" s="55" t="s">
        <v>54</v>
      </c>
      <c r="AY5" s="55" t="s">
        <v>2</v>
      </c>
      <c r="AZ5" s="55" t="s">
        <v>363</v>
      </c>
      <c r="BA5" s="55" t="s">
        <v>362</v>
      </c>
      <c r="BB5" s="55" t="s">
        <v>29</v>
      </c>
      <c r="BC5" s="55" t="s">
        <v>36</v>
      </c>
      <c r="BD5" s="55" t="s">
        <v>213</v>
      </c>
      <c r="BE5" s="55" t="s">
        <v>137</v>
      </c>
      <c r="BF5" s="55" t="s">
        <v>105</v>
      </c>
      <c r="BG5" s="53" t="s">
        <v>54</v>
      </c>
      <c r="BH5" s="53" t="s">
        <v>2</v>
      </c>
      <c r="BI5" s="53" t="s">
        <v>76</v>
      </c>
      <c r="BJ5" s="229" t="s">
        <v>305</v>
      </c>
      <c r="BK5" s="53" t="s">
        <v>29</v>
      </c>
      <c r="BL5" s="53" t="s">
        <v>315</v>
      </c>
      <c r="BM5" s="53" t="s">
        <v>80</v>
      </c>
      <c r="BN5" s="53" t="s">
        <v>141</v>
      </c>
      <c r="BO5" s="53" t="s">
        <v>81</v>
      </c>
      <c r="BP5" s="53" t="s">
        <v>215</v>
      </c>
      <c r="BT5" s="31"/>
      <c r="BV5" s="31"/>
      <c r="BW5" s="53" t="s">
        <v>135</v>
      </c>
      <c r="BX5" s="53" t="s">
        <v>136</v>
      </c>
      <c r="BY5" s="53" t="s">
        <v>138</v>
      </c>
      <c r="BZ5" s="2"/>
      <c r="CA5" s="2"/>
      <c r="CC5" s="53" t="s">
        <v>180</v>
      </c>
      <c r="CD5" s="53" t="s">
        <v>182</v>
      </c>
      <c r="CE5" s="53" t="s">
        <v>181</v>
      </c>
      <c r="CF5" s="53" t="s">
        <v>183</v>
      </c>
    </row>
    <row r="6" spans="1:84" x14ac:dyDescent="0.2">
      <c r="D6" s="2"/>
      <c r="N6" s="46"/>
      <c r="O6" s="116">
        <f ca="1">SUM(O7:O367)</f>
        <v>0</v>
      </c>
      <c r="Q6" s="16"/>
      <c r="S6" s="16"/>
      <c r="T6" s="16"/>
      <c r="U6" s="16"/>
      <c r="Y6" s="19"/>
      <c r="AE6" s="7"/>
      <c r="AG6" s="44"/>
      <c r="AH6" s="44"/>
      <c r="AJ6" s="44"/>
      <c r="AK6" s="44"/>
      <c r="AL6" s="44"/>
      <c r="AM6" s="44"/>
      <c r="AN6" s="44"/>
      <c r="AO6" s="44"/>
      <c r="AP6" s="45"/>
      <c r="AQ6" s="45"/>
      <c r="AR6" s="45"/>
      <c r="AS6" s="44"/>
      <c r="AT6" s="44"/>
      <c r="AU6" s="46"/>
    </row>
    <row r="7" spans="1:84" s="7" customFormat="1" x14ac:dyDescent="0.2">
      <c r="A7" s="149"/>
      <c r="B7" s="14">
        <f t="shared" ref="B7:B70" si="0">IF(H7&lt;=pt,1,0)</f>
        <v>1</v>
      </c>
      <c r="C7" s="12">
        <f t="shared" ref="C7:C70" si="1">IF(H7&lt;=ppt,1,0)</f>
        <v>1</v>
      </c>
      <c r="D7" s="17">
        <f>F7+1</f>
        <v>1</v>
      </c>
      <c r="E7" s="17">
        <f t="shared" ref="E7:E70" ca="1" si="2">(age+(H7-1))</f>
        <v>60</v>
      </c>
      <c r="F7" s="12">
        <v>0</v>
      </c>
      <c r="G7" s="12">
        <v>1</v>
      </c>
      <c r="H7" s="17">
        <v>1</v>
      </c>
      <c r="I7" s="29">
        <f t="shared" ref="I7:I70" si="3">IF(AND(H7&lt;=pt,H7&lt;=ppt,F7=0,fq=1),pr,IF(AND(H7&lt;=pt,H7&lt;=ppt,fq=2,MOD(F7,6)=0),pr/fq,IF(AND(H7&lt;=pt,H7&lt;=ppt,fq=12),pr/fq,0)))</f>
        <v>300000</v>
      </c>
      <c r="J7" s="211">
        <f>IFERROR(VLOOKUP(H7,Charges!$T$6:$U$35,2,0)*C7,0)</f>
        <v>0.94499999999999995</v>
      </c>
      <c r="K7" s="29">
        <f t="shared" ref="K7:K70" si="4">ROUND((100%-J7)*I7,Round)</f>
        <v>16500</v>
      </c>
      <c r="L7" s="29">
        <f t="shared" ref="L7:L70" si="5">(I7-(K7+BG7*IF(Model_Type="Pricing_Unit",1,0)))*C7</f>
        <v>283500</v>
      </c>
      <c r="M7" s="147">
        <f t="shared" ref="M7:M70" ca="1" si="6">IF(AND(OR(Option_PW="Y",Option_SPW="Y"),H7&gt;Lock_In_Period,H7&lt;=pt,(W7-IF(option="Single",1/5*pr,2*pr))&gt;0,(age+H7)&gt;=Legal_Age),(W6+L7-IF(option="Single",1/5*pr,2*pr)),0)</f>
        <v>0</v>
      </c>
      <c r="N7" s="148">
        <f ca="1">IF(AND(Option_SPW="Y",Z6&gt;=SPW_Start_Min_FV,H7&gt;=Lock_In_Period,Z6&gt;SPW_Amount_pa+IF(option="Single",1/5*pr,2*pr),H7&gt;=SPW_Start_Year,H7&lt;=SPW_Start_Year+SPW_Duration-1,F7=0,age+H7&gt;=Legal_Age),SPW_Amount_pa,0)+IFERROR(VLOOKUP(H7,Input!$B$68:$C$74,2,0),0)*(F7=0)*(Option_PW="Y")*(Option_SPW="N")*(age+H7&gt;=Legal_Age)</f>
        <v>0</v>
      </c>
      <c r="O7" s="148">
        <f ca="1">IF(N7&lt;=M7,0,1)</f>
        <v>0</v>
      </c>
      <c r="P7" s="14">
        <f ca="1">(MAX(MAX(sa-CF6*Flag_UL_Type,105%*SUM($I$7:I7))-(AD6+L7-N7)*Flag_UL_Type,0)*B7)</f>
        <v>2716500</v>
      </c>
      <c r="Q7" s="213">
        <f t="shared" ref="Q7:Q70" ca="1" si="7">IF(B7=0,0,ROUND(P7*(_rpm1+(1+_emr1)*VLOOKUP(E7,Tab_Mort_Charge,IF(Gender="M",2,3),0))*Flag_Mort_Rider_Charge*(P7&gt;0),Round))*(0.001*IF(Model_Type="LA_PQIS",0.0833,(1/12)))</f>
        <v>0</v>
      </c>
      <c r="R7" s="248">
        <f t="shared" ref="R7:R70" ca="1" si="8">IF(AND(B7,ADB_Flag="Y",age&lt;=ADB_MAX_AGE,age&gt;=ADB_MIN_AGE,E7&lt;=age+pt),sa_adb,0)</f>
        <v>0</v>
      </c>
      <c r="S7" s="14">
        <f t="shared" ref="S7:S70" ca="1" si="9">ROUND((adb_rate*(1+adb_emr)+adb_rpm)*R7*(0.001*IF(Model_Type="LA_PQIS",0.0833,(1/12)))*Flag_Mort_Rider_Charge*IF(age+H7-1&lt;Max_Maturity_Age,1,0),Round)</f>
        <v>0</v>
      </c>
      <c r="T7" s="14">
        <f>IFERROR(IF(WoP_Flag="Y",IF(fq=1,VLOOKUP(ppt*fq-H7,Charges!$AN$41:$AO$59,2,FALSE),IF(fq=2,VLOOKUP(ppt*fq-G7,Charges!$AP$41:$AQ$79,2,FALSE),VLOOKUP(ppt*fq-D7,Charges!$AR$41:$AS$279,2,FALSE)))*pr/fq,0),0)</f>
        <v>0</v>
      </c>
      <c r="U7" s="14">
        <f ca="1">IFERROR(((T7*(VLOOKUP(Input!$D$18+H7-1,Tab_Mort_Charge,IF(Gender_2="M",2,3),FALSE)*(1+_emr2)+_rpm2)/IF(Model_Type="LA_PQIS",1000/0.0833,(12*1000))))*Flag_Mort_Rider_Charge*(T7&gt;0),0)</f>
        <v>0</v>
      </c>
      <c r="V7" s="34">
        <f>ROUND(MIN(IF(H7&gt;=7,Charges!$C$12*(1+Charges!$C$14)^((H7-7+1)),VLOOKUP(H7,Charges!$B$7:$C$12,2,0))*pr,Charges!$C$13)*B7,Round)</f>
        <v>450</v>
      </c>
      <c r="W7" s="14">
        <f t="shared" ref="W7:W70" ca="1" si="10">+(AD6+L7-(N7+Q7+S7+U7+V7+BG7*IF(Model_Type="La_PQIS",1,0)+BH7+BK7+BI7+BJ7+BM7*IF(Model_Type="La_PQIS",1,0)))*B7</f>
        <v>283050</v>
      </c>
      <c r="X7" s="14">
        <f t="shared" ref="X7:X70" ca="1" si="11">W7*(1+$F$3)</f>
        <v>284871.15222263645</v>
      </c>
      <c r="Y7" s="213">
        <f ca="1">X7*$Y$2</f>
        <v>320.65445474747122</v>
      </c>
      <c r="Z7" s="14">
        <f t="shared" ref="Z7:Z70" ca="1" si="12">X7-(Y7+BL7)</f>
        <v>284550.497767889</v>
      </c>
      <c r="AA7" s="14">
        <f>IF(AND($H7=pt,$F7=11),SUM($K$7:K7)*VLOOKUP(pt,ROC,2,FALSE),0)</f>
        <v>0</v>
      </c>
      <c r="AB7" s="14">
        <f>IF(AND($H7=pt,$F7=11),SUM($V$7:V7)*VLOOKUP(pt,ROC,2,FALSE),0)</f>
        <v>0</v>
      </c>
      <c r="AC7" s="14">
        <f>IF(AND($H7=pt,$F7=11),SUM($Q$7:Q7)*VLOOKUP(pt,ROC,2,FALSE),0)</f>
        <v>0</v>
      </c>
      <c r="AD7" s="14">
        <f ca="1">Z7+AA7+AB7+AC7</f>
        <v>284550.497767889</v>
      </c>
      <c r="AE7" s="14">
        <f ca="1">(MAX(sa-CF6*Flag_UL_Type,105%*SUM($I$7:I7),Z7)+AU7)*B7</f>
        <v>3000000</v>
      </c>
      <c r="AF7" s="136"/>
      <c r="AG7" s="18">
        <v>1</v>
      </c>
      <c r="AH7" s="30">
        <f t="shared" ref="AH7:AH70" ca="1" si="13">(I7+AJ7)-IF(AG7=pt*12+1,AD6,0)-IF(AG7=pt*12+1,AR6,0)-N7</f>
        <v>300000</v>
      </c>
      <c r="AI7" s="138"/>
      <c r="AJ7" s="50">
        <f>IF(AND(Option_Sys_TopUp&gt;="Y",H7&gt;=sytp,H7&lt;=(dtp+sytp-1),F7=0,H7&lt;=ppt+1),atp,0)+IFERROR(VLOOKUP(H7,Input!$B$55:$C$61,2,0),0)*(F7=0)*(Option_TopUP="Y")*(Option_Sys_TopUp="N")*B7*(pt&gt;=H7+5)</f>
        <v>0</v>
      </c>
      <c r="AK7" s="50">
        <f t="shared" ref="AK7:AK70" si="14">ROUND(allctp*AJ7,0)</f>
        <v>0</v>
      </c>
      <c r="AL7" s="50">
        <f>AJ7-(AK7+BM7*0)</f>
        <v>0</v>
      </c>
      <c r="AM7" s="50">
        <f t="shared" ref="AM7:AM70" si="15">AR6+AL7</f>
        <v>0</v>
      </c>
      <c r="AN7" s="50">
        <f ca="1">IF(B7=0,0,AT7*(_rpm1+(1+_emr1)*VLOOKUP(E7,Tab_Mort_Charge,IF(Input!$C$12="M",2,3),0))*(0.001*0.0833)*Flag_Mort_Rider_Charge*(AT7&gt;0))</f>
        <v>0</v>
      </c>
      <c r="AO7" s="50">
        <f ca="1">AM7-AN7-BM7*1-BN7*1</f>
        <v>0</v>
      </c>
      <c r="AP7" s="50">
        <f ca="1">(AO7)*(1+$F$3)*B7</f>
        <v>0</v>
      </c>
      <c r="AQ7" s="50">
        <f t="shared" ref="AQ7:AQ70" ca="1" si="16">AP7*$Y$2</f>
        <v>0</v>
      </c>
      <c r="AR7" s="50">
        <f t="shared" ref="AR7:AR70" ca="1" si="17">AP7-(AQ7+BO7)</f>
        <v>0</v>
      </c>
      <c r="AS7" s="50">
        <f t="shared" ref="AS7:AS70" si="18">(AJ7*TOPUP_Cover_Level+AS6)*B7</f>
        <v>0</v>
      </c>
      <c r="AT7" s="155">
        <f>(MAX((MAX(AS7,105%*SUM($AJ$7:AJ7))-AM7*Flag_UL_Type),0)*B7)</f>
        <v>0</v>
      </c>
      <c r="AU7" s="50">
        <f ca="1">(MAX(AS7,AR7,105%*SUM($AJ$7:AJ7))*B7)</f>
        <v>0</v>
      </c>
      <c r="AV7" s="125"/>
      <c r="AW7" s="12">
        <v>1</v>
      </c>
      <c r="AX7" s="14">
        <f>SUMIF($H$7:$H$367,"="&amp;AW7,$K$7:$K$367)+SUMIF($H$7:$H$367,"="&amp;AW7,$AK$7:$AK$367)</f>
        <v>16500</v>
      </c>
      <c r="AY7" s="14">
        <f ca="1">SUMIF($H$7:$H$367,"="&amp;AW7,$Q$7:$Q$367)+SUMIF($H$7:$H$367,"="&amp;AW7,$AN$7:$AN$367)</f>
        <v>0</v>
      </c>
      <c r="AZ7" s="14">
        <f ca="1">SUMIF($H$7:$H$367,"="&amp;AW7,$S$7:$S$367)</f>
        <v>0</v>
      </c>
      <c r="BA7" s="14">
        <f ca="1">SUMIF($H$7:$H$367,"="&amp;AW7,$U$7:$U$367)</f>
        <v>0</v>
      </c>
      <c r="BB7" s="14">
        <f>SUMIF($H$7:$H$367,"="&amp;AW7,$V$7:$V$367)</f>
        <v>5400</v>
      </c>
      <c r="BC7" s="14">
        <f t="shared" ref="BC7:BC36" ca="1" si="19">SUMIF($H$7:$H$367,"="&amp;AW7,$Y$7:$Y$367)+SUMIF($H$7:$H$367,"="&amp;AW7,$AQ$7:$AQ$367)</f>
        <v>3927.8021032291863</v>
      </c>
      <c r="BD7" s="14">
        <f t="shared" ref="BD7:BD36" ca="1" si="20">SUMIF($H$7:$H$367,"="&amp;AW7,$BP$7:$BP$367)</f>
        <v>0</v>
      </c>
      <c r="BE7" s="14">
        <f>SUMIF($H$7:$H$367,"="&amp;AW7,$BY$7:$BY$367)</f>
        <v>9000</v>
      </c>
      <c r="BF7" s="14">
        <f ca="1">SUMIF($H$7:$H$367,"="&amp;AW7,$N$7:$N$367)</f>
        <v>0</v>
      </c>
      <c r="BG7" s="51">
        <f t="shared" ref="BG7:BG70" si="21">ROUND(K7*Service_Tax_Rate*Flag_Service_Tax,Round)+ROUND(K7*Cess1_Rate*Flag_Service_Tax,Round)+ROUND(K7*Cess2_Rate*Flag_Service_Tax,Round)</f>
        <v>0</v>
      </c>
      <c r="BH7" s="51">
        <f t="shared" ref="BH7:BH70" ca="1" si="22">ROUND(Q7*Service_Tax_Rate*Flag_Service_Tax,Round)+ROUND(Q7*Cess1_Rate*Flag_Service_Tax,Round)+ROUND(Q7*Cess2_Rate*Flag_Service_Tax,Round)</f>
        <v>0</v>
      </c>
      <c r="BI7" s="51">
        <f ca="1">ROUND(S7*Service_Tax_Rate*Flag_Service_Tax,Round)+ROUND(S7*Cess1_Rate*Flag_Service_Tax,Round)+ROUND(S7*Cess2_Rate*Flag_Service_Tax,Round)</f>
        <v>0</v>
      </c>
      <c r="BJ7" s="51">
        <f t="shared" ref="BJ7:BJ70" ca="1" si="23">ROUND(U7*Service_Tax_Rate*Flag_Service_Tax,Round)+ROUND(U7*Cess1_Rate*Flag_Service_Tax,Round)+ROUND(U7*Cess2_Rate*Flag_Service_Tax,Round)</f>
        <v>0</v>
      </c>
      <c r="BK7" s="51">
        <f t="shared" ref="BK7:BK70" si="24">ROUND(V7*Service_Tax_Rate*Flag_Service_Tax,Round)+ROUND(V7*Cess1_Rate*Flag_Service_Tax,Round)+ROUND(V7*Cess2_Rate*Flag_Service_Tax,Round)</f>
        <v>0</v>
      </c>
      <c r="BL7" s="51">
        <f t="shared" ref="BL7:BL70" ca="1" si="25">Y7*Service_Tax_Rate*Flag_Service_Tax+Y7*Cess1_Rate*Flag_Service_Tax+Y7*Cess2_Rate*Flag_Service_Tax</f>
        <v>0</v>
      </c>
      <c r="BM7" s="51">
        <f t="shared" ref="BM7:BM70" si="26">ROUND(AK7*Service_Tax_Rate*Flag_Service_Tax,Round)+ROUND(AK7*Cess1_Rate*Flag_Service_Tax,Round)+ROUND(AK7*Cess2_Rate*Flag_Service_Tax,Round)</f>
        <v>0</v>
      </c>
      <c r="BN7" s="51">
        <f t="shared" ref="BN7:BN70" ca="1" si="27">ROUND(AN7*Service_Tax_Rate*Flag_Service_Tax,Round)+ROUND(AN7*Cess1_Rate*Flag_Service_Tax,Round)+ROUND(AN7*Cess2_Rate*Flag_Service_Tax,Round)</f>
        <v>0</v>
      </c>
      <c r="BO7" s="51">
        <f t="shared" ref="BO7:BO70" ca="1" si="28">AQ7*Service_Tax_Rate*Flag_Service_Tax+AQ7*Cess1_Rate*Flag_Service_Tax+AQ7*Cess2_Rate*Flag_Service_Tax</f>
        <v>0</v>
      </c>
      <c r="BP7" s="51">
        <f t="shared" ref="BP7:BP70" ca="1" si="29">SUM(BG7:BO7)</f>
        <v>0</v>
      </c>
      <c r="BR7" s="32"/>
      <c r="BS7" s="126"/>
      <c r="BT7" s="16"/>
      <c r="BU7" s="58"/>
      <c r="BW7" s="51">
        <f>VLOOKUP(H7,Charges!$AT$4:$AU$33,2,FALSE)*I7</f>
        <v>9000</v>
      </c>
      <c r="BX7" s="51">
        <f t="shared" ref="BX7:BX70" si="30">AJ7*Commission_TOPUP</f>
        <v>0</v>
      </c>
      <c r="BY7" s="51">
        <f>SUM(BW7:BX7)</f>
        <v>9000</v>
      </c>
      <c r="BZ7" s="151"/>
      <c r="CA7" s="151"/>
      <c r="CB7" s="32"/>
      <c r="CC7" s="16">
        <f ca="1">SUM($N$7:$N7)</f>
        <v>0</v>
      </c>
      <c r="CD7" s="16">
        <f t="shared" ref="CD7:CD70" ca="1" si="31">IF(AND((B7=1)*(H7&gt;Lock_In_Period)),CC7-INDEX($CC$7:$CC$367,D7-24,1),0)*(E7&lt;60)</f>
        <v>0</v>
      </c>
      <c r="CE7" s="16">
        <f t="shared" ref="CE7:CE70" ca="1" si="32">(B7=1)*(H7&gt;Lock_In_Period)*(E7&gt;=60)*IFERROR((CC7-INDEX($CC$7:$CC$367,D7-24,1)),0)</f>
        <v>0</v>
      </c>
      <c r="CF7" s="7">
        <f ca="1">IF(E7&lt;60,CD7,CE7)</f>
        <v>0</v>
      </c>
    </row>
    <row r="8" spans="1:84" s="7" customFormat="1" x14ac:dyDescent="0.2">
      <c r="A8" s="149"/>
      <c r="B8" s="14">
        <f t="shared" si="0"/>
        <v>1</v>
      </c>
      <c r="C8" s="12">
        <f t="shared" si="1"/>
        <v>1</v>
      </c>
      <c r="D8" s="17">
        <f>D7+1</f>
        <v>2</v>
      </c>
      <c r="E8" s="17">
        <f t="shared" ca="1" si="2"/>
        <v>60</v>
      </c>
      <c r="F8" s="12">
        <f>F7+1</f>
        <v>1</v>
      </c>
      <c r="G8" s="12">
        <v>1</v>
      </c>
      <c r="H8" s="17">
        <v>1</v>
      </c>
      <c r="I8" s="29">
        <f t="shared" si="3"/>
        <v>0</v>
      </c>
      <c r="J8" s="211">
        <f>IFERROR(VLOOKUP(H8,Charges!$T$6:$U$35,2,0)*C8,0)</f>
        <v>0.94499999999999995</v>
      </c>
      <c r="K8" s="29">
        <f t="shared" si="4"/>
        <v>0</v>
      </c>
      <c r="L8" s="29">
        <f t="shared" si="5"/>
        <v>0</v>
      </c>
      <c r="M8" s="147">
        <f t="shared" ca="1" si="6"/>
        <v>0</v>
      </c>
      <c r="N8" s="148">
        <f ca="1">IF(AND(Option_SPW="Y",Z7&gt;=SPW_Start_Min_FV,H8&gt;=Lock_In_Period,Z7&gt;SPW_Amount_pa+IF(option="Single",1/5*pr,2*pr),H8&gt;=SPW_Start_Year,H8&lt;=SPW_Start_Year+SPW_Duration-1,F8=0,age+H8&gt;=Legal_Age),SPW_Amount_pa,0)+IFERROR(VLOOKUP(H8,Input!$B$68:$C$74,2,0),0)*(F8=0)*(Option_PW="Y")*(Option_SPW="N")*(age+H8&gt;=Legal_Age)</f>
        <v>0</v>
      </c>
      <c r="O8" s="148">
        <f t="shared" ref="O8:O71" ca="1" si="33">IF(N8&lt;=M8,0,1)</f>
        <v>0</v>
      </c>
      <c r="P8" s="14">
        <f ca="1">(MAX(MAX(sa-CF7*Flag_UL_Type,105%*SUM($I$7:I8))-(AD7+L8-N8)*Flag_UL_Type,0)*B8)</f>
        <v>2715449.5022321111</v>
      </c>
      <c r="Q8" s="213">
        <f t="shared" ca="1" si="7"/>
        <v>0</v>
      </c>
      <c r="R8" s="14">
        <f t="shared" ca="1" si="8"/>
        <v>0</v>
      </c>
      <c r="S8" s="14">
        <f t="shared" ca="1" si="9"/>
        <v>0</v>
      </c>
      <c r="T8" s="14">
        <f>IFERROR(IF(WoP_Flag="Y",IF(fq=1,VLOOKUP(ppt*fq-H8,Charges!$AN$41:$AO$59,2,FALSE),IF(fq=2,VLOOKUP(ppt*fq-G8,Charges!$AP$41:$AQ$79,2,FALSE),VLOOKUP(ppt*fq-D8,Charges!$AR$41:$AS$279,2,FALSE)))*pr/fq,0),0)</f>
        <v>0</v>
      </c>
      <c r="U8" s="14">
        <f ca="1">IFERROR(((T8*(VLOOKUP(Input!$D$18+H8-1,Tab_Mort_Charge,IF(Gender_2="M",2,3),FALSE)*(1+_emr2)+_rpm2)/IF(Model_Type="LA_PQIS",1000/0.0833,(12*1000))))*Flag_Mort_Rider_Charge*(T8&gt;0),0)</f>
        <v>0</v>
      </c>
      <c r="V8" s="34">
        <f>ROUND(MIN(IF(H8&gt;=7,Charges!$C$12*(1+Charges!$C$14)^((H8-7+1)),VLOOKUP(H8,Charges!$B$7:$C$12,2,0))*pr,Charges!$C$13)*B8,Round)</f>
        <v>450</v>
      </c>
      <c r="W8" s="14">
        <f t="shared" ca="1" si="10"/>
        <v>284100.497767889</v>
      </c>
      <c r="X8" s="14">
        <f t="shared" ca="1" si="11"/>
        <v>285928.40892479458</v>
      </c>
      <c r="Y8" s="213">
        <f t="shared" ref="Y8:Y71" ca="1" si="34">X8*$Y$2</f>
        <v>321.84451582846714</v>
      </c>
      <c r="Z8" s="14">
        <f t="shared" ca="1" si="12"/>
        <v>285606.56440896611</v>
      </c>
      <c r="AA8" s="14">
        <f>IF(AND($H8=pt,$F8=11),SUM($K$7:K8)*VLOOKUP(pt,ROC,2,FALSE),0)</f>
        <v>0</v>
      </c>
      <c r="AB8" s="14">
        <f>IF(AND($H8=pt,$F8=11),SUM($V$7:V8)*VLOOKUP(pt,ROC,2,FALSE),0)</f>
        <v>0</v>
      </c>
      <c r="AC8" s="14">
        <f>IF(AND($H8=pt,$F8=11),SUM($Q$7:Q8)*VLOOKUP(pt,ROC,2,FALSE),0)</f>
        <v>0</v>
      </c>
      <c r="AD8" s="14">
        <f t="shared" ref="AD8:AD71" ca="1" si="35">Z8+AA8+AB8+AC8</f>
        <v>285606.56440896611</v>
      </c>
      <c r="AE8" s="14">
        <f ca="1">(MAX(sa-CF7*Flag_UL_Type,105%*SUM($I$7:I8),Z8)+AU8)*B8</f>
        <v>3000000</v>
      </c>
      <c r="AF8" s="136"/>
      <c r="AG8" s="18">
        <v>2</v>
      </c>
      <c r="AH8" s="30">
        <f t="shared" ca="1" si="13"/>
        <v>0</v>
      </c>
      <c r="AI8" s="138"/>
      <c r="AJ8" s="50">
        <f>IF(AND(Option_Sys_TopUp&gt;="Y",H8&gt;=sytp,H8&lt;=(dtp+sytp-1),F8=0,H8&lt;=ppt+1),atp,0)+IFERROR(VLOOKUP(H8,Input!$B$55:$C$61,2,0),0)*(F8=0)*(Option_TopUP="Y")*(Option_Sys_TopUp="N")*B8*(pt&gt;=H8+5)</f>
        <v>0</v>
      </c>
      <c r="AK8" s="50">
        <f t="shared" si="14"/>
        <v>0</v>
      </c>
      <c r="AL8" s="50">
        <f t="shared" ref="AL8:AL71" si="36">AJ8-(AK8+BM8*0)</f>
        <v>0</v>
      </c>
      <c r="AM8" s="50">
        <f t="shared" ca="1" si="15"/>
        <v>0</v>
      </c>
      <c r="AN8" s="50">
        <f ca="1">IF(B8=0,0,AT8*(_rpm1+(1+_emr1)*VLOOKUP(E8,Tab_Mort_Charge,IF(Input!$C$12="M",2,3),0))*(0.001*0.0833)*Flag_Mort_Rider_Charge*(AT8&gt;0))</f>
        <v>0</v>
      </c>
      <c r="AO8" s="50">
        <f t="shared" ref="AO8:AO71" ca="1" si="37">AM8-AN8-BM8*1-BN8*1</f>
        <v>0</v>
      </c>
      <c r="AP8" s="50">
        <f t="shared" ref="AP8:AP71" ca="1" si="38">(AL8+AR7)*(1+$F$3)*B8</f>
        <v>0</v>
      </c>
      <c r="AQ8" s="50">
        <f t="shared" ca="1" si="16"/>
        <v>0</v>
      </c>
      <c r="AR8" s="50">
        <f t="shared" ca="1" si="17"/>
        <v>0</v>
      </c>
      <c r="AS8" s="50">
        <f t="shared" si="18"/>
        <v>0</v>
      </c>
      <c r="AT8" s="50">
        <f ca="1">(MAX((MAX(AS8,105%*SUM($AJ$7:AJ8))-AM8*Flag_UL_Type),0)*B8)</f>
        <v>0</v>
      </c>
      <c r="AU8" s="50">
        <f ca="1">(MAX(AS8,AR8,105%*SUM($AJ$7:AJ8))*B8)</f>
        <v>0</v>
      </c>
      <c r="AV8" s="125"/>
      <c r="AW8" s="12">
        <f>AW7+1</f>
        <v>2</v>
      </c>
      <c r="AX8" s="14">
        <f t="shared" ref="AX8:AX36" si="39">SUMIF($H$7:$H$367,"="&amp;AW8,$K$7:$K$367)+SUMIF($H$7:$H$367,"="&amp;AW8,$AK$7:$AK$367)</f>
        <v>15000</v>
      </c>
      <c r="AY8" s="14">
        <f t="shared" ref="AY8:AY36" ca="1" si="40">SUMIF($H$7:$H$367,"="&amp;AW8,$Q$7:$Q$367)+SUMIF($H$7:$H$367,"="&amp;AW8,$AN$7:$AN$367)</f>
        <v>0</v>
      </c>
      <c r="AZ8" s="14">
        <f t="shared" ref="AZ8:AZ36" ca="1" si="41">SUMIF($H$7:$H$367,"="&amp;AW8,$S$7:$S$367)</f>
        <v>0</v>
      </c>
      <c r="BA8" s="14">
        <f t="shared" ref="BA8:BA36" ca="1" si="42">SUMIF($H$7:$H$367,"="&amp;AW8,$U$7:$U$367)</f>
        <v>0</v>
      </c>
      <c r="BB8" s="14">
        <f t="shared" ref="BB8:BB36" si="43">SUMIF($H$7:$H$367,"="&amp;AW8,$V$7:$V$367)</f>
        <v>5400</v>
      </c>
      <c r="BC8" s="14">
        <f t="shared" ca="1" si="19"/>
        <v>8098.8386523773606</v>
      </c>
      <c r="BD8" s="14">
        <f t="shared" ca="1" si="20"/>
        <v>0</v>
      </c>
      <c r="BE8" s="14">
        <f t="shared" ref="BE8:BE36" si="44">SUMIF($H$7:$H$367,"="&amp;AW8,$BY$7:$BY$367)</f>
        <v>3000</v>
      </c>
      <c r="BF8" s="14">
        <f t="shared" ref="BF8:BF36" ca="1" si="45">SUMIF($H$7:$H$367,"="&amp;AW8,$N$7:$N$367)</f>
        <v>0</v>
      </c>
      <c r="BG8" s="51">
        <f t="shared" si="21"/>
        <v>0</v>
      </c>
      <c r="BH8" s="51">
        <f t="shared" ca="1" si="22"/>
        <v>0</v>
      </c>
      <c r="BI8" s="51">
        <f t="shared" ref="BI8:BI70" ca="1" si="46">ROUND(S8*Service_Tax_Rate*Flag_Service_Tax,Round)+ROUND(S8*Cess1_Rate*Flag_Service_Tax,Round)+ROUND(S8*Cess2_Rate*Flag_Service_Tax,Round)</f>
        <v>0</v>
      </c>
      <c r="BJ8" s="51">
        <f t="shared" ca="1" si="23"/>
        <v>0</v>
      </c>
      <c r="BK8" s="51">
        <f t="shared" si="24"/>
        <v>0</v>
      </c>
      <c r="BL8" s="51">
        <f t="shared" ca="1" si="25"/>
        <v>0</v>
      </c>
      <c r="BM8" s="51">
        <f t="shared" si="26"/>
        <v>0</v>
      </c>
      <c r="BN8" s="51">
        <f t="shared" ca="1" si="27"/>
        <v>0</v>
      </c>
      <c r="BO8" s="51">
        <f t="shared" ca="1" si="28"/>
        <v>0</v>
      </c>
      <c r="BP8" s="51">
        <f t="shared" ca="1" si="29"/>
        <v>0</v>
      </c>
      <c r="BR8" s="32"/>
      <c r="BS8" s="126"/>
      <c r="BT8" s="16"/>
      <c r="BU8" s="58"/>
      <c r="BW8" s="51">
        <f>VLOOKUP(H8,Charges!$AT$4:$AU$33,2,FALSE)*I8</f>
        <v>0</v>
      </c>
      <c r="BX8" s="51">
        <f t="shared" si="30"/>
        <v>0</v>
      </c>
      <c r="BY8" s="51">
        <f t="shared" ref="BY8:BY71" si="47">SUM(BW8:BX8)</f>
        <v>0</v>
      </c>
      <c r="BZ8" s="151"/>
      <c r="CA8" s="151"/>
      <c r="CB8" s="32"/>
      <c r="CC8" s="16">
        <f ca="1">SUM($N$7:$N8)</f>
        <v>0</v>
      </c>
      <c r="CD8" s="16">
        <f t="shared" ca="1" si="31"/>
        <v>0</v>
      </c>
      <c r="CE8" s="16">
        <f t="shared" ca="1" si="32"/>
        <v>0</v>
      </c>
      <c r="CF8" s="7">
        <f t="shared" ref="CF8:CF71" ca="1" si="48">IF(E8&lt;60,CD8,CE8)</f>
        <v>0</v>
      </c>
    </row>
    <row r="9" spans="1:84" s="7" customFormat="1" x14ac:dyDescent="0.2">
      <c r="A9" s="149"/>
      <c r="B9" s="14">
        <f t="shared" si="0"/>
        <v>1</v>
      </c>
      <c r="C9" s="12">
        <f t="shared" si="1"/>
        <v>1</v>
      </c>
      <c r="D9" s="17">
        <f t="shared" ref="D9:D72" si="49">D8+1</f>
        <v>3</v>
      </c>
      <c r="E9" s="17">
        <f t="shared" ca="1" si="2"/>
        <v>60</v>
      </c>
      <c r="F9" s="12">
        <f t="shared" ref="F9:F18" si="50">F8+1</f>
        <v>2</v>
      </c>
      <c r="G9" s="12">
        <v>1</v>
      </c>
      <c r="H9" s="17">
        <v>1</v>
      </c>
      <c r="I9" s="29">
        <f t="shared" si="3"/>
        <v>0</v>
      </c>
      <c r="J9" s="211">
        <f>IFERROR(VLOOKUP(H9,Charges!$T$6:$U$35,2,0)*C9,0)</f>
        <v>0.94499999999999995</v>
      </c>
      <c r="K9" s="29">
        <f t="shared" si="4"/>
        <v>0</v>
      </c>
      <c r="L9" s="29">
        <f t="shared" si="5"/>
        <v>0</v>
      </c>
      <c r="M9" s="147">
        <f t="shared" ca="1" si="6"/>
        <v>0</v>
      </c>
      <c r="N9" s="148">
        <f ca="1">IF(AND(Option_SPW="Y",Z8&gt;=SPW_Start_Min_FV,H9&gt;=Lock_In_Period,Z8&gt;SPW_Amount_pa+IF(option="Single",1/5*pr,2*pr),H9&gt;=SPW_Start_Year,H9&lt;=SPW_Start_Year+SPW_Duration-1,F9=0,age+H9&gt;=Legal_Age),SPW_Amount_pa,0)+IFERROR(VLOOKUP(H9,Input!$B$68:$C$74,2,0),0)*(F9=0)*(Option_PW="Y")*(Option_SPW="N")*(age+H9&gt;=Legal_Age)</f>
        <v>0</v>
      </c>
      <c r="O9" s="148">
        <f t="shared" ca="1" si="33"/>
        <v>0</v>
      </c>
      <c r="P9" s="14">
        <f ca="1">(MAX(MAX(sa-CF8*Flag_UL_Type,105%*SUM($I$7:I9))-(AD8+L9-N9)*Flag_UL_Type,0)*B9)</f>
        <v>2714393.4355910337</v>
      </c>
      <c r="Q9" s="213">
        <f t="shared" ca="1" si="7"/>
        <v>0</v>
      </c>
      <c r="R9" s="14">
        <f t="shared" ca="1" si="8"/>
        <v>0</v>
      </c>
      <c r="S9" s="14">
        <f t="shared" ca="1" si="9"/>
        <v>0</v>
      </c>
      <c r="T9" s="14">
        <f>IFERROR(IF(WoP_Flag="Y",IF(fq=1,VLOOKUP(ppt*fq-H9,Charges!$AN$41:$AO$59,2,FALSE),IF(fq=2,VLOOKUP(ppt*fq-G9,Charges!$AP$41:$AQ$79,2,FALSE),VLOOKUP(ppt*fq-D9,Charges!$AR$41:$AS$279,2,FALSE)))*pr/fq,0),0)</f>
        <v>0</v>
      </c>
      <c r="U9" s="14">
        <f ca="1">IFERROR(((T9*(VLOOKUP(Input!$D$18+H9-1,Tab_Mort_Charge,IF(Gender_2="M",2,3),FALSE)*(1+_emr2)+_rpm2)/IF(Model_Type="LA_PQIS",1000/0.0833,(12*1000))))*Flag_Mort_Rider_Charge*(T9&gt;0),0)</f>
        <v>0</v>
      </c>
      <c r="V9" s="34">
        <f>ROUND(MIN(IF(H9&gt;=7,Charges!$C$12*(1+Charges!$C$14)^((H9-7+1)),VLOOKUP(H9,Charges!$B$7:$C$12,2,0))*pr,Charges!$C$13)*B9,Round)</f>
        <v>450</v>
      </c>
      <c r="W9" s="14">
        <f t="shared" ca="1" si="10"/>
        <v>285156.56440896611</v>
      </c>
      <c r="X9" s="14">
        <f t="shared" ca="1" si="11"/>
        <v>286991.27033043851</v>
      </c>
      <c r="Y9" s="213">
        <f t="shared" ca="1" si="34"/>
        <v>323.04088563228822</v>
      </c>
      <c r="Z9" s="14">
        <f t="shared" ca="1" si="12"/>
        <v>286668.22944480623</v>
      </c>
      <c r="AA9" s="14">
        <f>IF(AND($H9=pt,$F9=11),SUM($K$7:K9)*VLOOKUP(pt,ROC,2,FALSE),0)</f>
        <v>0</v>
      </c>
      <c r="AB9" s="14">
        <f>IF(AND($H9=pt,$F9=11),SUM($V$7:V9)*VLOOKUP(pt,ROC,2,FALSE),0)</f>
        <v>0</v>
      </c>
      <c r="AC9" s="14">
        <f>IF(AND($H9=pt,$F9=11),SUM($Q$7:Q9)*VLOOKUP(pt,ROC,2,FALSE),0)</f>
        <v>0</v>
      </c>
      <c r="AD9" s="14">
        <f t="shared" ca="1" si="35"/>
        <v>286668.22944480623</v>
      </c>
      <c r="AE9" s="14">
        <f ca="1">(MAX(sa-CF8*Flag_UL_Type,105%*SUM($I$7:I9),Z9)+AU9)*B9</f>
        <v>3000000</v>
      </c>
      <c r="AF9" s="136"/>
      <c r="AG9" s="18">
        <v>3</v>
      </c>
      <c r="AH9" s="30">
        <f t="shared" ca="1" si="13"/>
        <v>0</v>
      </c>
      <c r="AI9" s="138"/>
      <c r="AJ9" s="50">
        <f>IF(AND(Option_Sys_TopUp&gt;="Y",H9&gt;=sytp,H9&lt;=(dtp+sytp-1),F9=0,H9&lt;=ppt+1),atp,0)+IFERROR(VLOOKUP(H9,Input!$B$55:$C$61,2,0),0)*(F9=0)*(Option_TopUP="Y")*(Option_Sys_TopUp="N")*B9*(pt&gt;=H9+5)</f>
        <v>0</v>
      </c>
      <c r="AK9" s="50">
        <f t="shared" si="14"/>
        <v>0</v>
      </c>
      <c r="AL9" s="50">
        <f t="shared" si="36"/>
        <v>0</v>
      </c>
      <c r="AM9" s="50">
        <f t="shared" ca="1" si="15"/>
        <v>0</v>
      </c>
      <c r="AN9" s="50">
        <f ca="1">IF(B9=0,0,AT9*(_rpm1+(1+_emr1)*VLOOKUP(E9,Tab_Mort_Charge,IF(Input!$C$12="M",2,3),0))*(0.001*0.0833)*Flag_Mort_Rider_Charge*(AT9&gt;0))</f>
        <v>0</v>
      </c>
      <c r="AO9" s="50">
        <f t="shared" ca="1" si="37"/>
        <v>0</v>
      </c>
      <c r="AP9" s="50">
        <f t="shared" ca="1" si="38"/>
        <v>0</v>
      </c>
      <c r="AQ9" s="50">
        <f t="shared" ca="1" si="16"/>
        <v>0</v>
      </c>
      <c r="AR9" s="50">
        <f t="shared" ca="1" si="17"/>
        <v>0</v>
      </c>
      <c r="AS9" s="50">
        <f t="shared" si="18"/>
        <v>0</v>
      </c>
      <c r="AT9" s="50">
        <f ca="1">(MAX((MAX(AS9,105%*SUM($AJ$7:AJ9))-AM9*Flag_UL_Type),0)*B9)</f>
        <v>0</v>
      </c>
      <c r="AU9" s="50">
        <f ca="1">(MAX(AS9,AR9,105%*SUM($AJ$7:AJ9))*B9)</f>
        <v>0</v>
      </c>
      <c r="AV9" s="125"/>
      <c r="AW9" s="12">
        <f t="shared" ref="AW9:AW36" si="51">AW8+1</f>
        <v>3</v>
      </c>
      <c r="AX9" s="14">
        <f t="shared" si="39"/>
        <v>10500</v>
      </c>
      <c r="AY9" s="14">
        <f t="shared" ca="1" si="40"/>
        <v>0</v>
      </c>
      <c r="AZ9" s="14">
        <f t="shared" ca="1" si="41"/>
        <v>0</v>
      </c>
      <c r="BA9" s="14">
        <f t="shared" ca="1" si="42"/>
        <v>0</v>
      </c>
      <c r="BB9" s="14">
        <f t="shared" si="43"/>
        <v>5400</v>
      </c>
      <c r="BC9" s="14">
        <f t="shared" ca="1" si="19"/>
        <v>12606.076261198563</v>
      </c>
      <c r="BD9" s="14">
        <f t="shared" ca="1" si="20"/>
        <v>0</v>
      </c>
      <c r="BE9" s="14">
        <f t="shared" si="44"/>
        <v>3000</v>
      </c>
      <c r="BF9" s="14">
        <f t="shared" ca="1" si="45"/>
        <v>0</v>
      </c>
      <c r="BG9" s="51">
        <f t="shared" si="21"/>
        <v>0</v>
      </c>
      <c r="BH9" s="51">
        <f t="shared" ca="1" si="22"/>
        <v>0</v>
      </c>
      <c r="BI9" s="51">
        <f t="shared" ca="1" si="46"/>
        <v>0</v>
      </c>
      <c r="BJ9" s="51">
        <f t="shared" ca="1" si="23"/>
        <v>0</v>
      </c>
      <c r="BK9" s="51">
        <f t="shared" si="24"/>
        <v>0</v>
      </c>
      <c r="BL9" s="51">
        <f t="shared" ca="1" si="25"/>
        <v>0</v>
      </c>
      <c r="BM9" s="51">
        <f t="shared" si="26"/>
        <v>0</v>
      </c>
      <c r="BN9" s="51">
        <f t="shared" ca="1" si="27"/>
        <v>0</v>
      </c>
      <c r="BO9" s="51">
        <f t="shared" ca="1" si="28"/>
        <v>0</v>
      </c>
      <c r="BP9" s="51">
        <f t="shared" ca="1" si="29"/>
        <v>0</v>
      </c>
      <c r="BR9" s="32"/>
      <c r="BS9" s="126"/>
      <c r="BT9" s="16"/>
      <c r="BU9" s="58"/>
      <c r="BW9" s="51">
        <f>VLOOKUP(H9,Charges!$AT$4:$AU$33,2,FALSE)*I9</f>
        <v>0</v>
      </c>
      <c r="BX9" s="51">
        <f t="shared" si="30"/>
        <v>0</v>
      </c>
      <c r="BY9" s="51">
        <f t="shared" si="47"/>
        <v>0</v>
      </c>
      <c r="BZ9" s="151"/>
      <c r="CA9" s="151"/>
      <c r="CB9" s="32"/>
      <c r="CC9" s="16">
        <f ca="1">SUM($N$7:$N9)</f>
        <v>0</v>
      </c>
      <c r="CD9" s="16">
        <f t="shared" ca="1" si="31"/>
        <v>0</v>
      </c>
      <c r="CE9" s="16">
        <f t="shared" ca="1" si="32"/>
        <v>0</v>
      </c>
      <c r="CF9" s="7">
        <f t="shared" ca="1" si="48"/>
        <v>0</v>
      </c>
    </row>
    <row r="10" spans="1:84" s="7" customFormat="1" x14ac:dyDescent="0.2">
      <c r="A10" s="149"/>
      <c r="B10" s="14">
        <f t="shared" si="0"/>
        <v>1</v>
      </c>
      <c r="C10" s="12">
        <f t="shared" si="1"/>
        <v>1</v>
      </c>
      <c r="D10" s="17">
        <f t="shared" si="49"/>
        <v>4</v>
      </c>
      <c r="E10" s="17">
        <f t="shared" ca="1" si="2"/>
        <v>60</v>
      </c>
      <c r="F10" s="12">
        <f t="shared" si="50"/>
        <v>3</v>
      </c>
      <c r="G10" s="12">
        <v>1</v>
      </c>
      <c r="H10" s="17">
        <v>1</v>
      </c>
      <c r="I10" s="29">
        <f t="shared" si="3"/>
        <v>0</v>
      </c>
      <c r="J10" s="211">
        <f>IFERROR(VLOOKUP(H10,Charges!$T$6:$U$35,2,0)*C10,0)</f>
        <v>0.94499999999999995</v>
      </c>
      <c r="K10" s="29">
        <f t="shared" si="4"/>
        <v>0</v>
      </c>
      <c r="L10" s="29">
        <f t="shared" si="5"/>
        <v>0</v>
      </c>
      <c r="M10" s="147">
        <f t="shared" ca="1" si="6"/>
        <v>0</v>
      </c>
      <c r="N10" s="148">
        <f ca="1">IF(AND(Option_SPW="Y",Z9&gt;=SPW_Start_Min_FV,H10&gt;=Lock_In_Period,Z9&gt;SPW_Amount_pa+IF(option="Single",1/5*pr,2*pr),H10&gt;=SPW_Start_Year,H10&lt;=SPW_Start_Year+SPW_Duration-1,F10=0,age+H10&gt;=Legal_Age),SPW_Amount_pa,0)+IFERROR(VLOOKUP(H10,Input!$B$68:$C$74,2,0),0)*(F10=0)*(Option_PW="Y")*(Option_SPW="N")*(age+H10&gt;=Legal_Age)</f>
        <v>0</v>
      </c>
      <c r="O10" s="148">
        <f t="shared" ca="1" si="33"/>
        <v>0</v>
      </c>
      <c r="P10" s="14">
        <f ca="1">(MAX(MAX(sa-CF9*Flag_UL_Type,105%*SUM($I$7:I10))-(AD9+L10-N10)*Flag_UL_Type,0)*B10)</f>
        <v>2713331.7705551935</v>
      </c>
      <c r="Q10" s="213">
        <f t="shared" ca="1" si="7"/>
        <v>0</v>
      </c>
      <c r="R10" s="14">
        <f t="shared" ca="1" si="8"/>
        <v>0</v>
      </c>
      <c r="S10" s="14">
        <f t="shared" ca="1" si="9"/>
        <v>0</v>
      </c>
      <c r="T10" s="14">
        <f>IFERROR(IF(WoP_Flag="Y",IF(fq=1,VLOOKUP(ppt*fq-H10,Charges!$AN$41:$AO$59,2,FALSE),IF(fq=2,VLOOKUP(ppt*fq-G10,Charges!$AP$41:$AQ$79,2,FALSE),VLOOKUP(ppt*fq-D10,Charges!$AR$41:$AS$279,2,FALSE)))*pr/fq,0),0)</f>
        <v>0</v>
      </c>
      <c r="U10" s="14">
        <f ca="1">IFERROR(((T10*(VLOOKUP(Input!$D$18+H10-1,Tab_Mort_Charge,IF(Gender_2="M",2,3),FALSE)*(1+_emr2)+_rpm2)/IF(Model_Type="LA_PQIS",1000/0.0833,(12*1000))))*Flag_Mort_Rider_Charge*(T10&gt;0),0)</f>
        <v>0</v>
      </c>
      <c r="V10" s="34">
        <f>ROUND(MIN(IF(H10&gt;=7,Charges!$C$12*(1+Charges!$C$14)^((H10-7+1)),VLOOKUP(H10,Charges!$B$7:$C$12,2,0))*pr,Charges!$C$13)*B10,Round)</f>
        <v>450</v>
      </c>
      <c r="W10" s="14">
        <f t="shared" ca="1" si="10"/>
        <v>286218.22944480623</v>
      </c>
      <c r="X10" s="14">
        <f t="shared" ca="1" si="11"/>
        <v>288059.76615108596</v>
      </c>
      <c r="Y10" s="213">
        <f t="shared" ca="1" si="34"/>
        <v>324.24359760258244</v>
      </c>
      <c r="Z10" s="14">
        <f t="shared" ca="1" si="12"/>
        <v>287735.52255348337</v>
      </c>
      <c r="AA10" s="14">
        <f>IF(AND($H10=pt,$F10=11),SUM($K$7:K10)*VLOOKUP(pt,ROC,2,FALSE),0)</f>
        <v>0</v>
      </c>
      <c r="AB10" s="14">
        <f>IF(AND($H10=pt,$F10=11),SUM($V$7:V10)*VLOOKUP(pt,ROC,2,FALSE),0)</f>
        <v>0</v>
      </c>
      <c r="AC10" s="14">
        <f>IF(AND($H10=pt,$F10=11),SUM($Q$7:Q10)*VLOOKUP(pt,ROC,2,FALSE),0)</f>
        <v>0</v>
      </c>
      <c r="AD10" s="14">
        <f t="shared" ca="1" si="35"/>
        <v>287735.52255348337</v>
      </c>
      <c r="AE10" s="14">
        <f ca="1">(MAX(sa-CF9*Flag_UL_Type,105%*SUM($I$7:I10),Z10)+AU10)*B10</f>
        <v>3000000</v>
      </c>
      <c r="AF10" s="136"/>
      <c r="AG10" s="18">
        <v>4</v>
      </c>
      <c r="AH10" s="30">
        <f t="shared" ca="1" si="13"/>
        <v>0</v>
      </c>
      <c r="AI10" s="138"/>
      <c r="AJ10" s="50">
        <f>IF(AND(Option_Sys_TopUp&gt;="Y",H10&gt;=sytp,H10&lt;=(dtp+sytp-1),F10=0,H10&lt;=ppt+1),atp,0)+IFERROR(VLOOKUP(H10,Input!$B$55:$C$61,2,0),0)*(F10=0)*(Option_TopUP="Y")*(Option_Sys_TopUp="N")*B10*(pt&gt;=H10+5)</f>
        <v>0</v>
      </c>
      <c r="AK10" s="50">
        <f t="shared" si="14"/>
        <v>0</v>
      </c>
      <c r="AL10" s="50">
        <f t="shared" si="36"/>
        <v>0</v>
      </c>
      <c r="AM10" s="50">
        <f t="shared" ca="1" si="15"/>
        <v>0</v>
      </c>
      <c r="AN10" s="50">
        <f ca="1">IF(B10=0,0,AT10*(_rpm1+(1+_emr1)*VLOOKUP(E10,Tab_Mort_Charge,IF(Input!$C$12="M",2,3),0))*(0.001*0.0833)*Flag_Mort_Rider_Charge*(AT10&gt;0))</f>
        <v>0</v>
      </c>
      <c r="AO10" s="50">
        <f t="shared" ca="1" si="37"/>
        <v>0</v>
      </c>
      <c r="AP10" s="50">
        <f t="shared" ca="1" si="38"/>
        <v>0</v>
      </c>
      <c r="AQ10" s="50">
        <f t="shared" ca="1" si="16"/>
        <v>0</v>
      </c>
      <c r="AR10" s="50">
        <f t="shared" ca="1" si="17"/>
        <v>0</v>
      </c>
      <c r="AS10" s="50">
        <f t="shared" si="18"/>
        <v>0</v>
      </c>
      <c r="AT10" s="50">
        <f ca="1">(MAX((MAX(AS10,105%*SUM($AJ$7:AJ10))-AM10*Flag_UL_Type),0)*B10)</f>
        <v>0</v>
      </c>
      <c r="AU10" s="50">
        <f ca="1">(MAX(AS10,AR10,105%*SUM($AJ$7:AJ10))*B10)</f>
        <v>0</v>
      </c>
      <c r="AV10" s="125"/>
      <c r="AW10" s="12">
        <f t="shared" si="51"/>
        <v>4</v>
      </c>
      <c r="AX10" s="14">
        <f t="shared" si="39"/>
        <v>10500</v>
      </c>
      <c r="AY10" s="14">
        <f t="shared" ca="1" si="40"/>
        <v>0</v>
      </c>
      <c r="AZ10" s="14">
        <f t="shared" ca="1" si="41"/>
        <v>0</v>
      </c>
      <c r="BA10" s="14">
        <f t="shared" ca="1" si="42"/>
        <v>0</v>
      </c>
      <c r="BB10" s="14">
        <f t="shared" si="43"/>
        <v>5400</v>
      </c>
      <c r="BC10" s="14">
        <f t="shared" ca="1" si="19"/>
        <v>17408.54712539275</v>
      </c>
      <c r="BD10" s="14">
        <f t="shared" ca="1" si="20"/>
        <v>0</v>
      </c>
      <c r="BE10" s="14">
        <f t="shared" si="44"/>
        <v>3000</v>
      </c>
      <c r="BF10" s="14">
        <f t="shared" ca="1" si="45"/>
        <v>0</v>
      </c>
      <c r="BG10" s="51">
        <f t="shared" si="21"/>
        <v>0</v>
      </c>
      <c r="BH10" s="51">
        <f t="shared" ca="1" si="22"/>
        <v>0</v>
      </c>
      <c r="BI10" s="51">
        <f t="shared" ca="1" si="46"/>
        <v>0</v>
      </c>
      <c r="BJ10" s="51">
        <f t="shared" ca="1" si="23"/>
        <v>0</v>
      </c>
      <c r="BK10" s="51">
        <f t="shared" si="24"/>
        <v>0</v>
      </c>
      <c r="BL10" s="51">
        <f t="shared" ca="1" si="25"/>
        <v>0</v>
      </c>
      <c r="BM10" s="51">
        <f t="shared" si="26"/>
        <v>0</v>
      </c>
      <c r="BN10" s="51">
        <f t="shared" ca="1" si="27"/>
        <v>0</v>
      </c>
      <c r="BO10" s="51">
        <f t="shared" ca="1" si="28"/>
        <v>0</v>
      </c>
      <c r="BP10" s="51">
        <f t="shared" ca="1" si="29"/>
        <v>0</v>
      </c>
      <c r="BR10" s="32"/>
      <c r="BS10" s="126"/>
      <c r="BT10" s="16"/>
      <c r="BU10" s="58"/>
      <c r="BW10" s="51">
        <f>VLOOKUP(H10,Charges!$AT$4:$AU$33,2,FALSE)*I10</f>
        <v>0</v>
      </c>
      <c r="BX10" s="51">
        <f t="shared" si="30"/>
        <v>0</v>
      </c>
      <c r="BY10" s="51">
        <f t="shared" si="47"/>
        <v>0</v>
      </c>
      <c r="BZ10" s="151"/>
      <c r="CA10" s="151"/>
      <c r="CB10" s="32"/>
      <c r="CC10" s="16">
        <f ca="1">SUM($N$7:$N10)</f>
        <v>0</v>
      </c>
      <c r="CD10" s="16">
        <f t="shared" ca="1" si="31"/>
        <v>0</v>
      </c>
      <c r="CE10" s="16">
        <f t="shared" ca="1" si="32"/>
        <v>0</v>
      </c>
      <c r="CF10" s="7">
        <f t="shared" ca="1" si="48"/>
        <v>0</v>
      </c>
    </row>
    <row r="11" spans="1:84" s="7" customFormat="1" x14ac:dyDescent="0.2">
      <c r="A11" s="149"/>
      <c r="B11" s="14">
        <f t="shared" si="0"/>
        <v>1</v>
      </c>
      <c r="C11" s="12">
        <f t="shared" si="1"/>
        <v>1</v>
      </c>
      <c r="D11" s="17">
        <f t="shared" si="49"/>
        <v>5</v>
      </c>
      <c r="E11" s="17">
        <f t="shared" ca="1" si="2"/>
        <v>60</v>
      </c>
      <c r="F11" s="12">
        <f t="shared" si="50"/>
        <v>4</v>
      </c>
      <c r="G11" s="12">
        <v>1</v>
      </c>
      <c r="H11" s="17">
        <v>1</v>
      </c>
      <c r="I11" s="29">
        <f t="shared" si="3"/>
        <v>0</v>
      </c>
      <c r="J11" s="211">
        <f>IFERROR(VLOOKUP(H11,Charges!$T$6:$U$35,2,0)*C11,0)</f>
        <v>0.94499999999999995</v>
      </c>
      <c r="K11" s="29">
        <f t="shared" si="4"/>
        <v>0</v>
      </c>
      <c r="L11" s="29">
        <f t="shared" si="5"/>
        <v>0</v>
      </c>
      <c r="M11" s="147">
        <f t="shared" ca="1" si="6"/>
        <v>0</v>
      </c>
      <c r="N11" s="148">
        <f ca="1">IF(AND(Option_SPW="Y",Z10&gt;=SPW_Start_Min_FV,H11&gt;=Lock_In_Period,Z10&gt;SPW_Amount_pa+IF(option="Single",1/5*pr,2*pr),H11&gt;=SPW_Start_Year,H11&lt;=SPW_Start_Year+SPW_Duration-1,F11=0,age+H11&gt;=Legal_Age),SPW_Amount_pa,0)+IFERROR(VLOOKUP(H11,Input!$B$68:$C$74,2,0),0)*(F11=0)*(Option_PW="Y")*(Option_SPW="N")*(age+H11&gt;=Legal_Age)</f>
        <v>0</v>
      </c>
      <c r="O11" s="148">
        <f t="shared" ca="1" si="33"/>
        <v>0</v>
      </c>
      <c r="P11" s="14">
        <f ca="1">(MAX(MAX(sa-CF10*Flag_UL_Type,105%*SUM($I$7:I11))-(AD10+L11-N11)*Flag_UL_Type,0)*B11)</f>
        <v>2712264.4774465165</v>
      </c>
      <c r="Q11" s="213">
        <f t="shared" ca="1" si="7"/>
        <v>0</v>
      </c>
      <c r="R11" s="14">
        <f t="shared" ca="1" si="8"/>
        <v>0</v>
      </c>
      <c r="S11" s="14">
        <f t="shared" ca="1" si="9"/>
        <v>0</v>
      </c>
      <c r="T11" s="14">
        <f>IFERROR(IF(WoP_Flag="Y",IF(fq=1,VLOOKUP(ppt*fq-H11,Charges!$AN$41:$AO$59,2,FALSE),IF(fq=2,VLOOKUP(ppt*fq-G11,Charges!$AP$41:$AQ$79,2,FALSE),VLOOKUP(ppt*fq-D11,Charges!$AR$41:$AS$279,2,FALSE)))*pr/fq,0),0)</f>
        <v>0</v>
      </c>
      <c r="U11" s="14">
        <f ca="1">IFERROR(((T11*(VLOOKUP(Input!$D$18+H11-1,Tab_Mort_Charge,IF(Gender_2="M",2,3),FALSE)*(1+_emr2)+_rpm2)/IF(Model_Type="LA_PQIS",1000/0.0833,(12*1000))))*Flag_Mort_Rider_Charge*(T11&gt;0),0)</f>
        <v>0</v>
      </c>
      <c r="V11" s="34">
        <f>ROUND(MIN(IF(H11&gt;=7,Charges!$C$12*(1+Charges!$C$14)^((H11-7+1)),VLOOKUP(H11,Charges!$B$7:$C$12,2,0))*pr,Charges!$C$13)*B11,Round)</f>
        <v>450</v>
      </c>
      <c r="W11" s="14">
        <f t="shared" ca="1" si="10"/>
        <v>287285.52255348337</v>
      </c>
      <c r="X11" s="14">
        <f t="shared" ca="1" si="11"/>
        <v>289133.92625576054</v>
      </c>
      <c r="Y11" s="213">
        <f t="shared" ca="1" si="34"/>
        <v>325.45268536028817</v>
      </c>
      <c r="Z11" s="14">
        <f t="shared" ca="1" si="12"/>
        <v>288808.47357040027</v>
      </c>
      <c r="AA11" s="14">
        <f>IF(AND($H11=pt,$F11=11),SUM($K$7:K11)*VLOOKUP(pt,ROC,2,FALSE),0)</f>
        <v>0</v>
      </c>
      <c r="AB11" s="14">
        <f>IF(AND($H11=pt,$F11=11),SUM($V$7:V11)*VLOOKUP(pt,ROC,2,FALSE),0)</f>
        <v>0</v>
      </c>
      <c r="AC11" s="14">
        <f>IF(AND($H11=pt,$F11=11),SUM($Q$7:Q11)*VLOOKUP(pt,ROC,2,FALSE),0)</f>
        <v>0</v>
      </c>
      <c r="AD11" s="14">
        <f t="shared" ca="1" si="35"/>
        <v>288808.47357040027</v>
      </c>
      <c r="AE11" s="14">
        <f ca="1">(MAX(sa-CF10*Flag_UL_Type,105%*SUM($I$7:I11),Z11)+AU11)*B11</f>
        <v>3000000</v>
      </c>
      <c r="AF11" s="136"/>
      <c r="AG11" s="18">
        <v>5</v>
      </c>
      <c r="AH11" s="30">
        <f t="shared" ca="1" si="13"/>
        <v>0</v>
      </c>
      <c r="AI11" s="138"/>
      <c r="AJ11" s="50">
        <f>IF(AND(Option_Sys_TopUp&gt;="Y",H11&gt;=sytp,H11&lt;=(dtp+sytp-1),F11=0,H11&lt;=ppt+1),atp,0)+IFERROR(VLOOKUP(H11,Input!$B$55:$C$61,2,0),0)*(F11=0)*(Option_TopUP="Y")*(Option_Sys_TopUp="N")*B11*(pt&gt;=H11+5)</f>
        <v>0</v>
      </c>
      <c r="AK11" s="50">
        <f t="shared" si="14"/>
        <v>0</v>
      </c>
      <c r="AL11" s="50">
        <f t="shared" si="36"/>
        <v>0</v>
      </c>
      <c r="AM11" s="50">
        <f t="shared" ca="1" si="15"/>
        <v>0</v>
      </c>
      <c r="AN11" s="50">
        <f ca="1">IF(B11=0,0,AT11*(_rpm1+(1+_emr1)*VLOOKUP(E11,Tab_Mort_Charge,IF(Input!$C$12="M",2,3),0))*(0.001*0.0833)*Flag_Mort_Rider_Charge*(AT11&gt;0))</f>
        <v>0</v>
      </c>
      <c r="AO11" s="50">
        <f t="shared" ca="1" si="37"/>
        <v>0</v>
      </c>
      <c r="AP11" s="50">
        <f t="shared" ca="1" si="38"/>
        <v>0</v>
      </c>
      <c r="AQ11" s="50">
        <f t="shared" ca="1" si="16"/>
        <v>0</v>
      </c>
      <c r="AR11" s="50">
        <f t="shared" ca="1" si="17"/>
        <v>0</v>
      </c>
      <c r="AS11" s="50">
        <f t="shared" si="18"/>
        <v>0</v>
      </c>
      <c r="AT11" s="50">
        <f ca="1">(MAX((MAX(AS11,105%*SUM($AJ$7:AJ11))-AM11*Flag_UL_Type),0)*B11)</f>
        <v>0</v>
      </c>
      <c r="AU11" s="50">
        <f ca="1">(MAX(AS11,AR11,105%*SUM($AJ$7:AJ11))*B11)</f>
        <v>0</v>
      </c>
      <c r="AV11" s="125"/>
      <c r="AW11" s="12">
        <f t="shared" si="51"/>
        <v>5</v>
      </c>
      <c r="AX11" s="14">
        <f t="shared" si="39"/>
        <v>9000.0000000000091</v>
      </c>
      <c r="AY11" s="14">
        <f t="shared" ca="1" si="40"/>
        <v>0</v>
      </c>
      <c r="AZ11" s="14">
        <f t="shared" ca="1" si="41"/>
        <v>0</v>
      </c>
      <c r="BA11" s="14">
        <f t="shared" ca="1" si="42"/>
        <v>0</v>
      </c>
      <c r="BB11" s="14">
        <f t="shared" si="43"/>
        <v>5400</v>
      </c>
      <c r="BC11" s="14">
        <f t="shared" ca="1" si="19"/>
        <v>22546.586178398687</v>
      </c>
      <c r="BD11" s="14">
        <f t="shared" ca="1" si="20"/>
        <v>0</v>
      </c>
      <c r="BE11" s="14">
        <f t="shared" si="44"/>
        <v>3000</v>
      </c>
      <c r="BF11" s="14">
        <f t="shared" ca="1" si="45"/>
        <v>0</v>
      </c>
      <c r="BG11" s="51">
        <f t="shared" si="21"/>
        <v>0</v>
      </c>
      <c r="BH11" s="51">
        <f t="shared" ca="1" si="22"/>
        <v>0</v>
      </c>
      <c r="BI11" s="51">
        <f t="shared" ca="1" si="46"/>
        <v>0</v>
      </c>
      <c r="BJ11" s="51">
        <f t="shared" ca="1" si="23"/>
        <v>0</v>
      </c>
      <c r="BK11" s="51">
        <f t="shared" si="24"/>
        <v>0</v>
      </c>
      <c r="BL11" s="51">
        <f t="shared" ca="1" si="25"/>
        <v>0</v>
      </c>
      <c r="BM11" s="51">
        <f t="shared" si="26"/>
        <v>0</v>
      </c>
      <c r="BN11" s="51">
        <f t="shared" ca="1" si="27"/>
        <v>0</v>
      </c>
      <c r="BO11" s="51">
        <f t="shared" ca="1" si="28"/>
        <v>0</v>
      </c>
      <c r="BP11" s="51">
        <f t="shared" ca="1" si="29"/>
        <v>0</v>
      </c>
      <c r="BR11" s="32"/>
      <c r="BS11" s="126"/>
      <c r="BT11" s="16"/>
      <c r="BU11" s="58"/>
      <c r="BW11" s="51">
        <f>VLOOKUP(H11,Charges!$AT$4:$AU$33,2,FALSE)*I11</f>
        <v>0</v>
      </c>
      <c r="BX11" s="51">
        <f t="shared" si="30"/>
        <v>0</v>
      </c>
      <c r="BY11" s="51">
        <f t="shared" si="47"/>
        <v>0</v>
      </c>
      <c r="BZ11" s="151"/>
      <c r="CA11" s="151"/>
      <c r="CB11" s="32"/>
      <c r="CC11" s="16">
        <f ca="1">SUM($N$7:$N11)</f>
        <v>0</v>
      </c>
      <c r="CD11" s="16">
        <f t="shared" ca="1" si="31"/>
        <v>0</v>
      </c>
      <c r="CE11" s="16">
        <f t="shared" ca="1" si="32"/>
        <v>0</v>
      </c>
      <c r="CF11" s="7">
        <f t="shared" ca="1" si="48"/>
        <v>0</v>
      </c>
    </row>
    <row r="12" spans="1:84" s="7" customFormat="1" x14ac:dyDescent="0.2">
      <c r="A12" s="149"/>
      <c r="B12" s="14">
        <f t="shared" si="0"/>
        <v>1</v>
      </c>
      <c r="C12" s="12">
        <f t="shared" si="1"/>
        <v>1</v>
      </c>
      <c r="D12" s="17">
        <f t="shared" si="49"/>
        <v>6</v>
      </c>
      <c r="E12" s="17">
        <f t="shared" ca="1" si="2"/>
        <v>60</v>
      </c>
      <c r="F12" s="12">
        <f t="shared" si="50"/>
        <v>5</v>
      </c>
      <c r="G12" s="12">
        <v>1</v>
      </c>
      <c r="H12" s="17">
        <v>1</v>
      </c>
      <c r="I12" s="29">
        <f t="shared" si="3"/>
        <v>0</v>
      </c>
      <c r="J12" s="211">
        <f>IFERROR(VLOOKUP(H12,Charges!$T$6:$U$35,2,0)*C12,0)</f>
        <v>0.94499999999999995</v>
      </c>
      <c r="K12" s="29">
        <f t="shared" si="4"/>
        <v>0</v>
      </c>
      <c r="L12" s="29">
        <f t="shared" si="5"/>
        <v>0</v>
      </c>
      <c r="M12" s="147">
        <f t="shared" ca="1" si="6"/>
        <v>0</v>
      </c>
      <c r="N12" s="148">
        <f ca="1">IF(AND(Option_SPW="Y",Z11&gt;=SPW_Start_Min_FV,H12&gt;=Lock_In_Period,Z11&gt;SPW_Amount_pa+IF(option="Single",1/5*pr,2*pr),H12&gt;=SPW_Start_Year,H12&lt;=SPW_Start_Year+SPW_Duration-1,F12=0,age+H12&gt;=Legal_Age),SPW_Amount_pa,0)+IFERROR(VLOOKUP(H12,Input!$B$68:$C$74,2,0),0)*(F12=0)*(Option_PW="Y")*(Option_SPW="N")*(age+H12&gt;=Legal_Age)</f>
        <v>0</v>
      </c>
      <c r="O12" s="148">
        <f t="shared" ca="1" si="33"/>
        <v>0</v>
      </c>
      <c r="P12" s="14">
        <f ca="1">(MAX(MAX(sa-CF11*Flag_UL_Type,105%*SUM($I$7:I12))-(AD11+L12-N12)*Flag_UL_Type,0)*B12)</f>
        <v>2711191.5264295996</v>
      </c>
      <c r="Q12" s="213">
        <f t="shared" ca="1" si="7"/>
        <v>0</v>
      </c>
      <c r="R12" s="14">
        <f t="shared" ca="1" si="8"/>
        <v>0</v>
      </c>
      <c r="S12" s="14">
        <f t="shared" ca="1" si="9"/>
        <v>0</v>
      </c>
      <c r="T12" s="14">
        <f>IFERROR(IF(WoP_Flag="Y",IF(fq=1,VLOOKUP(ppt*fq-H12,Charges!$AN$41:$AO$59,2,FALSE),IF(fq=2,VLOOKUP(ppt*fq-G12,Charges!$AP$41:$AQ$79,2,FALSE),VLOOKUP(ppt*fq-D12,Charges!$AR$41:$AS$279,2,FALSE)))*pr/fq,0),0)</f>
        <v>0</v>
      </c>
      <c r="U12" s="14">
        <f ca="1">IFERROR(((T12*(VLOOKUP(Input!$D$18+H12-1,Tab_Mort_Charge,IF(Gender_2="M",2,3),FALSE)*(1+_emr2)+_rpm2)/IF(Model_Type="LA_PQIS",1000/0.0833,(12*1000))))*Flag_Mort_Rider_Charge*(T12&gt;0),0)</f>
        <v>0</v>
      </c>
      <c r="V12" s="34">
        <f>ROUND(MIN(IF(H12&gt;=7,Charges!$C$12*(1+Charges!$C$14)^((H12-7+1)),VLOOKUP(H12,Charges!$B$7:$C$12,2,0))*pr,Charges!$C$13)*B12,Round)</f>
        <v>450</v>
      </c>
      <c r="W12" s="14">
        <f t="shared" ca="1" si="10"/>
        <v>288358.47357040027</v>
      </c>
      <c r="X12" s="14">
        <f t="shared" ca="1" si="11"/>
        <v>290213.78067182685</v>
      </c>
      <c r="Y12" s="213">
        <f t="shared" ca="1" si="34"/>
        <v>326.66818270457446</v>
      </c>
      <c r="Z12" s="14">
        <f t="shared" ca="1" si="12"/>
        <v>289887.11248912226</v>
      </c>
      <c r="AA12" s="14">
        <f>IF(AND($H12=pt,$F12=11),SUM($K$7:K12)*VLOOKUP(pt,ROC,2,FALSE),0)</f>
        <v>0</v>
      </c>
      <c r="AB12" s="14">
        <f>IF(AND($H12=pt,$F12=11),SUM($V$7:V12)*VLOOKUP(pt,ROC,2,FALSE),0)</f>
        <v>0</v>
      </c>
      <c r="AC12" s="14">
        <f>IF(AND($H12=pt,$F12=11),SUM($Q$7:Q12)*VLOOKUP(pt,ROC,2,FALSE),0)</f>
        <v>0</v>
      </c>
      <c r="AD12" s="14">
        <f t="shared" ca="1" si="35"/>
        <v>289887.11248912226</v>
      </c>
      <c r="AE12" s="14">
        <f ca="1">(MAX(sa-CF11*Flag_UL_Type,105%*SUM($I$7:I12),Z12)+AU12)*B12</f>
        <v>3000000</v>
      </c>
      <c r="AF12" s="136"/>
      <c r="AG12" s="18">
        <v>6</v>
      </c>
      <c r="AH12" s="30">
        <f t="shared" ca="1" si="13"/>
        <v>0</v>
      </c>
      <c r="AI12" s="138"/>
      <c r="AJ12" s="50">
        <f>IF(AND(Option_Sys_TopUp&gt;="Y",H12&gt;=sytp,H12&lt;=(dtp+sytp-1),F12=0,H12&lt;=ppt+1),atp,0)+IFERROR(VLOOKUP(H12,Input!$B$55:$C$61,2,0),0)*(F12=0)*(Option_TopUP="Y")*(Option_Sys_TopUp="N")*B12*(pt&gt;=H12+5)</f>
        <v>0</v>
      </c>
      <c r="AK12" s="50">
        <f t="shared" si="14"/>
        <v>0</v>
      </c>
      <c r="AL12" s="50">
        <f t="shared" si="36"/>
        <v>0</v>
      </c>
      <c r="AM12" s="50">
        <f t="shared" ca="1" si="15"/>
        <v>0</v>
      </c>
      <c r="AN12" s="50">
        <f ca="1">IF(B12=0,0,AT12*(_rpm1+(1+_emr1)*VLOOKUP(E12,Tab_Mort_Charge,IF(Input!$C$12="M",2,3),0))*(0.001*0.0833)*Flag_Mort_Rider_Charge*(AT12&gt;0))</f>
        <v>0</v>
      </c>
      <c r="AO12" s="50">
        <f t="shared" ca="1" si="37"/>
        <v>0</v>
      </c>
      <c r="AP12" s="50">
        <f t="shared" ca="1" si="38"/>
        <v>0</v>
      </c>
      <c r="AQ12" s="50">
        <f t="shared" ca="1" si="16"/>
        <v>0</v>
      </c>
      <c r="AR12" s="50">
        <f t="shared" ca="1" si="17"/>
        <v>0</v>
      </c>
      <c r="AS12" s="50">
        <f t="shared" si="18"/>
        <v>0</v>
      </c>
      <c r="AT12" s="50">
        <f ca="1">(MAX((MAX(AS12,105%*SUM($AJ$7:AJ12))-AM12*Flag_UL_Type),0)*B12)</f>
        <v>0</v>
      </c>
      <c r="AU12" s="50">
        <f ca="1">(MAX(AS12,AR12,105%*SUM($AJ$7:AJ12))*B12)</f>
        <v>0</v>
      </c>
      <c r="AV12" s="125"/>
      <c r="AW12" s="12">
        <f t="shared" si="51"/>
        <v>6</v>
      </c>
      <c r="AX12" s="14">
        <f t="shared" si="39"/>
        <v>6000.00000000001</v>
      </c>
      <c r="AY12" s="14">
        <f t="shared" ca="1" si="40"/>
        <v>0</v>
      </c>
      <c r="AZ12" s="14">
        <f t="shared" ca="1" si="41"/>
        <v>0</v>
      </c>
      <c r="BA12" s="14">
        <f t="shared" ca="1" si="42"/>
        <v>0</v>
      </c>
      <c r="BB12" s="14">
        <f t="shared" si="43"/>
        <v>6000</v>
      </c>
      <c r="BC12" s="14">
        <f t="shared" ca="1" si="19"/>
        <v>28058.665214502758</v>
      </c>
      <c r="BD12" s="14">
        <f t="shared" ca="1" si="20"/>
        <v>0</v>
      </c>
      <c r="BE12" s="14">
        <f t="shared" si="44"/>
        <v>3000</v>
      </c>
      <c r="BF12" s="14">
        <f t="shared" ca="1" si="45"/>
        <v>0</v>
      </c>
      <c r="BG12" s="51">
        <f t="shared" si="21"/>
        <v>0</v>
      </c>
      <c r="BH12" s="51">
        <f t="shared" ca="1" si="22"/>
        <v>0</v>
      </c>
      <c r="BI12" s="51">
        <f t="shared" ca="1" si="46"/>
        <v>0</v>
      </c>
      <c r="BJ12" s="51">
        <f t="shared" ca="1" si="23"/>
        <v>0</v>
      </c>
      <c r="BK12" s="51">
        <f t="shared" si="24"/>
        <v>0</v>
      </c>
      <c r="BL12" s="51">
        <f t="shared" ca="1" si="25"/>
        <v>0</v>
      </c>
      <c r="BM12" s="51">
        <f t="shared" si="26"/>
        <v>0</v>
      </c>
      <c r="BN12" s="51">
        <f t="shared" ca="1" si="27"/>
        <v>0</v>
      </c>
      <c r="BO12" s="51">
        <f t="shared" ca="1" si="28"/>
        <v>0</v>
      </c>
      <c r="BP12" s="51">
        <f t="shared" ca="1" si="29"/>
        <v>0</v>
      </c>
      <c r="BR12" s="32"/>
      <c r="BS12" s="126"/>
      <c r="BT12" s="16"/>
      <c r="BU12" s="58"/>
      <c r="BW12" s="51">
        <f>VLOOKUP(H12,Charges!$AT$4:$AU$33,2,FALSE)*I12</f>
        <v>0</v>
      </c>
      <c r="BX12" s="51">
        <f t="shared" si="30"/>
        <v>0</v>
      </c>
      <c r="BY12" s="51">
        <f t="shared" si="47"/>
        <v>0</v>
      </c>
      <c r="BZ12" s="151"/>
      <c r="CA12" s="151"/>
      <c r="CB12" s="32"/>
      <c r="CC12" s="16">
        <f ca="1">SUM($N$7:$N12)</f>
        <v>0</v>
      </c>
      <c r="CD12" s="16">
        <f t="shared" ca="1" si="31"/>
        <v>0</v>
      </c>
      <c r="CE12" s="16">
        <f t="shared" ca="1" si="32"/>
        <v>0</v>
      </c>
      <c r="CF12" s="7">
        <f t="shared" ca="1" si="48"/>
        <v>0</v>
      </c>
    </row>
    <row r="13" spans="1:84" s="7" customFormat="1" x14ac:dyDescent="0.2">
      <c r="A13" s="149"/>
      <c r="B13" s="14">
        <f t="shared" si="0"/>
        <v>1</v>
      </c>
      <c r="C13" s="12">
        <f t="shared" si="1"/>
        <v>1</v>
      </c>
      <c r="D13" s="17">
        <f t="shared" si="49"/>
        <v>7</v>
      </c>
      <c r="E13" s="17">
        <f t="shared" ca="1" si="2"/>
        <v>60</v>
      </c>
      <c r="F13" s="12">
        <f t="shared" si="50"/>
        <v>6</v>
      </c>
      <c r="G13" s="12">
        <f>G7+1</f>
        <v>2</v>
      </c>
      <c r="H13" s="17">
        <v>1</v>
      </c>
      <c r="I13" s="29">
        <f t="shared" si="3"/>
        <v>0</v>
      </c>
      <c r="J13" s="211">
        <f>IFERROR(VLOOKUP(H13,Charges!$T$6:$U$35,2,0)*C13,0)</f>
        <v>0.94499999999999995</v>
      </c>
      <c r="K13" s="29">
        <f t="shared" si="4"/>
        <v>0</v>
      </c>
      <c r="L13" s="29">
        <f t="shared" si="5"/>
        <v>0</v>
      </c>
      <c r="M13" s="147">
        <f t="shared" ca="1" si="6"/>
        <v>0</v>
      </c>
      <c r="N13" s="148">
        <f ca="1">IF(AND(Option_SPW="Y",Z12&gt;=SPW_Start_Min_FV,H13&gt;=Lock_In_Period,Z12&gt;SPW_Amount_pa+IF(option="Single",1/5*pr,2*pr),H13&gt;=SPW_Start_Year,H13&lt;=SPW_Start_Year+SPW_Duration-1,F13=0,age+H13&gt;=Legal_Age),SPW_Amount_pa,0)+IFERROR(VLOOKUP(H13,Input!$B$68:$C$74,2,0),0)*(F13=0)*(Option_PW="Y")*(Option_SPW="N")*(age+H13&gt;=Legal_Age)</f>
        <v>0</v>
      </c>
      <c r="O13" s="148">
        <f t="shared" ca="1" si="33"/>
        <v>0</v>
      </c>
      <c r="P13" s="14">
        <f ca="1">(MAX(MAX(sa-CF12*Flag_UL_Type,105%*SUM($I$7:I13))-(AD12+L13-N13)*Flag_UL_Type,0)*B13)</f>
        <v>2710112.8875108776</v>
      </c>
      <c r="Q13" s="213">
        <f t="shared" ca="1" si="7"/>
        <v>0</v>
      </c>
      <c r="R13" s="14">
        <f t="shared" ca="1" si="8"/>
        <v>0</v>
      </c>
      <c r="S13" s="14">
        <f t="shared" ca="1" si="9"/>
        <v>0</v>
      </c>
      <c r="T13" s="14">
        <f>IFERROR(IF(WoP_Flag="Y",IF(fq=1,VLOOKUP(ppt*fq-H13,Charges!$AN$41:$AO$59,2,FALSE),IF(fq=2,VLOOKUP(ppt*fq-G13,Charges!$AP$41:$AQ$79,2,FALSE),VLOOKUP(ppt*fq-D13,Charges!$AR$41:$AS$279,2,FALSE)))*pr/fq,0),0)</f>
        <v>0</v>
      </c>
      <c r="U13" s="14">
        <f ca="1">IFERROR(((T13*(VLOOKUP(Input!$D$18+H13-1,Tab_Mort_Charge,IF(Gender_2="M",2,3),FALSE)*(1+_emr2)+_rpm2)/IF(Model_Type="LA_PQIS",1000/0.0833,(12*1000))))*Flag_Mort_Rider_Charge*(T13&gt;0),0)</f>
        <v>0</v>
      </c>
      <c r="V13" s="34">
        <f>ROUND(MIN(IF(H13&gt;=7,Charges!$C$12*(1+Charges!$C$14)^((H13-7+1)),VLOOKUP(H13,Charges!$B$7:$C$12,2,0))*pr,Charges!$C$13)*B13,Round)</f>
        <v>450</v>
      </c>
      <c r="W13" s="14">
        <f t="shared" ca="1" si="10"/>
        <v>289437.11248912226</v>
      </c>
      <c r="X13" s="14">
        <f t="shared" ca="1" si="11"/>
        <v>291299.35958582972</v>
      </c>
      <c r="Y13" s="213">
        <f t="shared" ca="1" si="34"/>
        <v>327.89012361378553</v>
      </c>
      <c r="Z13" s="14">
        <f t="shared" ca="1" si="12"/>
        <v>290971.46946221596</v>
      </c>
      <c r="AA13" s="14">
        <f>IF(AND($H13=pt,$F13=11),SUM($K$7:K13)*VLOOKUP(pt,ROC,2,FALSE),0)</f>
        <v>0</v>
      </c>
      <c r="AB13" s="14">
        <f>IF(AND($H13=pt,$F13=11),SUM($V$7:V13)*VLOOKUP(pt,ROC,2,FALSE),0)</f>
        <v>0</v>
      </c>
      <c r="AC13" s="14">
        <f>IF(AND($H13=pt,$F13=11),SUM($Q$7:Q13)*VLOOKUP(pt,ROC,2,FALSE),0)</f>
        <v>0</v>
      </c>
      <c r="AD13" s="14">
        <f t="shared" ca="1" si="35"/>
        <v>290971.46946221596</v>
      </c>
      <c r="AE13" s="14">
        <f ca="1">(MAX(sa-CF12*Flag_UL_Type,105%*SUM($I$7:I13),Z13)+AU13)*B13</f>
        <v>3000000</v>
      </c>
      <c r="AF13" s="136"/>
      <c r="AG13" s="18">
        <v>7</v>
      </c>
      <c r="AH13" s="30">
        <f t="shared" ca="1" si="13"/>
        <v>0</v>
      </c>
      <c r="AI13" s="138"/>
      <c r="AJ13" s="50">
        <f>IF(AND(Option_Sys_TopUp&gt;="Y",H13&gt;=sytp,H13&lt;=(dtp+sytp-1),F13=0,H13&lt;=ppt+1),atp,0)+IFERROR(VLOOKUP(H13,Input!$B$55:$C$61,2,0),0)*(F13=0)*(Option_TopUP="Y")*(Option_Sys_TopUp="N")*B13*(pt&gt;=H13+5)</f>
        <v>0</v>
      </c>
      <c r="AK13" s="50">
        <f t="shared" si="14"/>
        <v>0</v>
      </c>
      <c r="AL13" s="50">
        <f t="shared" si="36"/>
        <v>0</v>
      </c>
      <c r="AM13" s="50">
        <f t="shared" ca="1" si="15"/>
        <v>0</v>
      </c>
      <c r="AN13" s="50">
        <f ca="1">IF(B13=0,0,AT13*(_rpm1+(1+_emr1)*VLOOKUP(E13,Tab_Mort_Charge,IF(Input!$C$12="M",2,3),0))*(0.001*0.0833)*Flag_Mort_Rider_Charge*(AT13&gt;0))</f>
        <v>0</v>
      </c>
      <c r="AO13" s="50">
        <f t="shared" ca="1" si="37"/>
        <v>0</v>
      </c>
      <c r="AP13" s="50">
        <f t="shared" ca="1" si="38"/>
        <v>0</v>
      </c>
      <c r="AQ13" s="50">
        <f t="shared" ca="1" si="16"/>
        <v>0</v>
      </c>
      <c r="AR13" s="50">
        <f t="shared" ca="1" si="17"/>
        <v>0</v>
      </c>
      <c r="AS13" s="50">
        <f t="shared" si="18"/>
        <v>0</v>
      </c>
      <c r="AT13" s="50">
        <f ca="1">(MAX((MAX(AS13,105%*SUM($AJ$7:AJ13))-AM13*Flag_UL_Type),0)*B13)</f>
        <v>0</v>
      </c>
      <c r="AU13" s="50">
        <f ca="1">(MAX(AS13,AR13,105%*SUM($AJ$7:AJ13))*B13)</f>
        <v>0</v>
      </c>
      <c r="AV13" s="125"/>
      <c r="AW13" s="12">
        <f t="shared" si="51"/>
        <v>7</v>
      </c>
      <c r="AX13" s="14">
        <f t="shared" si="39"/>
        <v>6000.00000000001</v>
      </c>
      <c r="AY13" s="14">
        <f t="shared" ca="1" si="40"/>
        <v>0</v>
      </c>
      <c r="AZ13" s="14">
        <f t="shared" ca="1" si="41"/>
        <v>0</v>
      </c>
      <c r="BA13" s="14">
        <f t="shared" ca="1" si="42"/>
        <v>0</v>
      </c>
      <c r="BB13" s="14">
        <f t="shared" si="43"/>
        <v>6000</v>
      </c>
      <c r="BC13" s="14">
        <f t="shared" ca="1" si="19"/>
        <v>33927.903207030045</v>
      </c>
      <c r="BD13" s="14">
        <f t="shared" ca="1" si="20"/>
        <v>0</v>
      </c>
      <c r="BE13" s="14">
        <f t="shared" si="44"/>
        <v>1500</v>
      </c>
      <c r="BF13" s="14">
        <f t="shared" ca="1" si="45"/>
        <v>0</v>
      </c>
      <c r="BG13" s="51">
        <f t="shared" si="21"/>
        <v>0</v>
      </c>
      <c r="BH13" s="51">
        <f t="shared" ca="1" si="22"/>
        <v>0</v>
      </c>
      <c r="BI13" s="51">
        <f t="shared" ca="1" si="46"/>
        <v>0</v>
      </c>
      <c r="BJ13" s="51">
        <f t="shared" ca="1" si="23"/>
        <v>0</v>
      </c>
      <c r="BK13" s="51">
        <f t="shared" si="24"/>
        <v>0</v>
      </c>
      <c r="BL13" s="51">
        <f t="shared" ca="1" si="25"/>
        <v>0</v>
      </c>
      <c r="BM13" s="51">
        <f t="shared" si="26"/>
        <v>0</v>
      </c>
      <c r="BN13" s="51">
        <f t="shared" ca="1" si="27"/>
        <v>0</v>
      </c>
      <c r="BO13" s="51">
        <f t="shared" ca="1" si="28"/>
        <v>0</v>
      </c>
      <c r="BP13" s="51">
        <f t="shared" ca="1" si="29"/>
        <v>0</v>
      </c>
      <c r="BR13" s="32"/>
      <c r="BS13" s="126"/>
      <c r="BT13" s="16"/>
      <c r="BU13" s="58"/>
      <c r="BW13" s="51">
        <f>VLOOKUP(H13,Charges!$AT$4:$AU$33,2,FALSE)*I13</f>
        <v>0</v>
      </c>
      <c r="BX13" s="51">
        <f t="shared" si="30"/>
        <v>0</v>
      </c>
      <c r="BY13" s="51">
        <f t="shared" si="47"/>
        <v>0</v>
      </c>
      <c r="BZ13" s="151"/>
      <c r="CA13" s="151"/>
      <c r="CB13" s="32"/>
      <c r="CC13" s="16">
        <f ca="1">SUM($N$7:$N13)</f>
        <v>0</v>
      </c>
      <c r="CD13" s="16">
        <f t="shared" ca="1" si="31"/>
        <v>0</v>
      </c>
      <c r="CE13" s="16">
        <f t="shared" ca="1" si="32"/>
        <v>0</v>
      </c>
      <c r="CF13" s="7">
        <f t="shared" ca="1" si="48"/>
        <v>0</v>
      </c>
    </row>
    <row r="14" spans="1:84" s="7" customFormat="1" x14ac:dyDescent="0.2">
      <c r="A14" s="149"/>
      <c r="B14" s="14">
        <f t="shared" si="0"/>
        <v>1</v>
      </c>
      <c r="C14" s="12">
        <f t="shared" si="1"/>
        <v>1</v>
      </c>
      <c r="D14" s="17">
        <f t="shared" si="49"/>
        <v>8</v>
      </c>
      <c r="E14" s="17">
        <f t="shared" ca="1" si="2"/>
        <v>60</v>
      </c>
      <c r="F14" s="12">
        <f t="shared" si="50"/>
        <v>7</v>
      </c>
      <c r="G14" s="12">
        <f t="shared" ref="G14:G77" si="52">G8+1</f>
        <v>2</v>
      </c>
      <c r="H14" s="17">
        <v>1</v>
      </c>
      <c r="I14" s="29">
        <f t="shared" si="3"/>
        <v>0</v>
      </c>
      <c r="J14" s="211">
        <f>IFERROR(VLOOKUP(H14,Charges!$T$6:$U$35,2,0)*C14,0)</f>
        <v>0.94499999999999995</v>
      </c>
      <c r="K14" s="29">
        <f t="shared" si="4"/>
        <v>0</v>
      </c>
      <c r="L14" s="29">
        <f t="shared" si="5"/>
        <v>0</v>
      </c>
      <c r="M14" s="147">
        <f t="shared" ca="1" si="6"/>
        <v>0</v>
      </c>
      <c r="N14" s="148">
        <f ca="1">IF(AND(Option_SPW="Y",Z13&gt;=SPW_Start_Min_FV,H14&gt;=Lock_In_Period,Z13&gt;SPW_Amount_pa+IF(option="Single",1/5*pr,2*pr),H14&gt;=SPW_Start_Year,H14&lt;=SPW_Start_Year+SPW_Duration-1,F14=0,age+H14&gt;=Legal_Age),SPW_Amount_pa,0)+IFERROR(VLOOKUP(H14,Input!$B$68:$C$74,2,0),0)*(F14=0)*(Option_PW="Y")*(Option_SPW="N")*(age+H14&gt;=Legal_Age)</f>
        <v>0</v>
      </c>
      <c r="O14" s="148">
        <f t="shared" ca="1" si="33"/>
        <v>0</v>
      </c>
      <c r="P14" s="14">
        <f ca="1">(MAX(MAX(sa-CF13*Flag_UL_Type,105%*SUM($I$7:I14))-(AD13+L14-N14)*Flag_UL_Type,0)*B14)</f>
        <v>2709028.5305377841</v>
      </c>
      <c r="Q14" s="213">
        <f t="shared" ca="1" si="7"/>
        <v>0</v>
      </c>
      <c r="R14" s="14">
        <f t="shared" ca="1" si="8"/>
        <v>0</v>
      </c>
      <c r="S14" s="14">
        <f t="shared" ca="1" si="9"/>
        <v>0</v>
      </c>
      <c r="T14" s="14">
        <f>IFERROR(IF(WoP_Flag="Y",IF(fq=1,VLOOKUP(ppt*fq-H14,Charges!$AN$41:$AO$59,2,FALSE),IF(fq=2,VLOOKUP(ppt*fq-G14,Charges!$AP$41:$AQ$79,2,FALSE),VLOOKUP(ppt*fq-D14,Charges!$AR$41:$AS$279,2,FALSE)))*pr/fq,0),0)</f>
        <v>0</v>
      </c>
      <c r="U14" s="14">
        <f ca="1">IFERROR(((T14*(VLOOKUP(Input!$D$18+H14-1,Tab_Mort_Charge,IF(Gender_2="M",2,3),FALSE)*(1+_emr2)+_rpm2)/IF(Model_Type="LA_PQIS",1000/0.0833,(12*1000))))*Flag_Mort_Rider_Charge*(T14&gt;0),0)</f>
        <v>0</v>
      </c>
      <c r="V14" s="34">
        <f>ROUND(MIN(IF(H14&gt;=7,Charges!$C$12*(1+Charges!$C$14)^((H14-7+1)),VLOOKUP(H14,Charges!$B$7:$C$12,2,0))*pr,Charges!$C$13)*B14,Round)</f>
        <v>450</v>
      </c>
      <c r="W14" s="14">
        <f t="shared" ca="1" si="10"/>
        <v>290521.46946221596</v>
      </c>
      <c r="X14" s="14">
        <f t="shared" ca="1" si="11"/>
        <v>292390.69334433827</v>
      </c>
      <c r="Y14" s="213">
        <f t="shared" ca="1" si="34"/>
        <v>329.11854224639097</v>
      </c>
      <c r="Z14" s="14">
        <f t="shared" ca="1" si="12"/>
        <v>292061.57480209187</v>
      </c>
      <c r="AA14" s="14">
        <f>IF(AND($H14=pt,$F14=11),SUM($K$7:K14)*VLOOKUP(pt,ROC,2,FALSE),0)</f>
        <v>0</v>
      </c>
      <c r="AB14" s="14">
        <f>IF(AND($H14=pt,$F14=11),SUM($V$7:V14)*VLOOKUP(pt,ROC,2,FALSE),0)</f>
        <v>0</v>
      </c>
      <c r="AC14" s="14">
        <f>IF(AND($H14=pt,$F14=11),SUM($Q$7:Q14)*VLOOKUP(pt,ROC,2,FALSE),0)</f>
        <v>0</v>
      </c>
      <c r="AD14" s="14">
        <f t="shared" ca="1" si="35"/>
        <v>292061.57480209187</v>
      </c>
      <c r="AE14" s="14">
        <f ca="1">(MAX(sa-CF13*Flag_UL_Type,105%*SUM($I$7:I14),Z14)+AU14)*B14</f>
        <v>3000000</v>
      </c>
      <c r="AF14" s="136"/>
      <c r="AG14" s="18">
        <v>8</v>
      </c>
      <c r="AH14" s="30">
        <f t="shared" ca="1" si="13"/>
        <v>0</v>
      </c>
      <c r="AI14" s="138"/>
      <c r="AJ14" s="50">
        <f>IF(AND(Option_Sys_TopUp&gt;="Y",H14&gt;=sytp,H14&lt;=(dtp+sytp-1),F14=0,H14&lt;=ppt+1),atp,0)+IFERROR(VLOOKUP(H14,Input!$B$55:$C$61,2,0),0)*(F14=0)*(Option_TopUP="Y")*(Option_Sys_TopUp="N")*B14*(pt&gt;=H14+5)</f>
        <v>0</v>
      </c>
      <c r="AK14" s="50">
        <f t="shared" si="14"/>
        <v>0</v>
      </c>
      <c r="AL14" s="50">
        <f t="shared" si="36"/>
        <v>0</v>
      </c>
      <c r="AM14" s="50">
        <f t="shared" ca="1" si="15"/>
        <v>0</v>
      </c>
      <c r="AN14" s="50">
        <f ca="1">IF(B14=0,0,AT14*(_rpm1+(1+_emr1)*VLOOKUP(E14,Tab_Mort_Charge,IF(Input!$C$12="M",2,3),0))*(0.001*0.0833)*Flag_Mort_Rider_Charge*(AT14&gt;0))</f>
        <v>0</v>
      </c>
      <c r="AO14" s="50">
        <f t="shared" ca="1" si="37"/>
        <v>0</v>
      </c>
      <c r="AP14" s="50">
        <f t="shared" ca="1" si="38"/>
        <v>0</v>
      </c>
      <c r="AQ14" s="50">
        <f t="shared" ca="1" si="16"/>
        <v>0</v>
      </c>
      <c r="AR14" s="50">
        <f t="shared" ca="1" si="17"/>
        <v>0</v>
      </c>
      <c r="AS14" s="50">
        <f t="shared" si="18"/>
        <v>0</v>
      </c>
      <c r="AT14" s="50">
        <f ca="1">(MAX((MAX(AS14,105%*SUM($AJ$7:AJ14))-AM14*Flag_UL_Type),0)*B14)</f>
        <v>0</v>
      </c>
      <c r="AU14" s="50">
        <f ca="1">(MAX(AS14,AR14,105%*SUM($AJ$7:AJ14))*B14)</f>
        <v>0</v>
      </c>
      <c r="AV14" s="125"/>
      <c r="AW14" s="12">
        <f t="shared" si="51"/>
        <v>8</v>
      </c>
      <c r="AX14" s="14">
        <f t="shared" si="39"/>
        <v>6000.00000000001</v>
      </c>
      <c r="AY14" s="14">
        <f t="shared" ca="1" si="40"/>
        <v>0</v>
      </c>
      <c r="AZ14" s="14">
        <f t="shared" ca="1" si="41"/>
        <v>0</v>
      </c>
      <c r="BA14" s="14">
        <f t="shared" ca="1" si="42"/>
        <v>0</v>
      </c>
      <c r="BB14" s="14">
        <f t="shared" si="43"/>
        <v>6000</v>
      </c>
      <c r="BC14" s="14">
        <f t="shared" ca="1" si="19"/>
        <v>40181.588257706935</v>
      </c>
      <c r="BD14" s="14">
        <f t="shared" ca="1" si="20"/>
        <v>0</v>
      </c>
      <c r="BE14" s="14">
        <f t="shared" si="44"/>
        <v>1500</v>
      </c>
      <c r="BF14" s="14">
        <f t="shared" ca="1" si="45"/>
        <v>0</v>
      </c>
      <c r="BG14" s="51">
        <f t="shared" si="21"/>
        <v>0</v>
      </c>
      <c r="BH14" s="51">
        <f t="shared" ca="1" si="22"/>
        <v>0</v>
      </c>
      <c r="BI14" s="51">
        <f t="shared" ca="1" si="46"/>
        <v>0</v>
      </c>
      <c r="BJ14" s="51">
        <f t="shared" ca="1" si="23"/>
        <v>0</v>
      </c>
      <c r="BK14" s="51">
        <f t="shared" si="24"/>
        <v>0</v>
      </c>
      <c r="BL14" s="51">
        <f t="shared" ca="1" si="25"/>
        <v>0</v>
      </c>
      <c r="BM14" s="51">
        <f t="shared" si="26"/>
        <v>0</v>
      </c>
      <c r="BN14" s="51">
        <f t="shared" ca="1" si="27"/>
        <v>0</v>
      </c>
      <c r="BO14" s="51">
        <f t="shared" ca="1" si="28"/>
        <v>0</v>
      </c>
      <c r="BP14" s="51">
        <f t="shared" ca="1" si="29"/>
        <v>0</v>
      </c>
      <c r="BR14" s="32"/>
      <c r="BS14" s="126"/>
      <c r="BT14" s="16"/>
      <c r="BU14" s="58"/>
      <c r="BW14" s="51">
        <f>VLOOKUP(H14,Charges!$AT$4:$AU$33,2,FALSE)*I14</f>
        <v>0</v>
      </c>
      <c r="BX14" s="51">
        <f t="shared" si="30"/>
        <v>0</v>
      </c>
      <c r="BY14" s="51">
        <f t="shared" si="47"/>
        <v>0</v>
      </c>
      <c r="BZ14" s="151"/>
      <c r="CA14" s="151"/>
      <c r="CB14" s="32"/>
      <c r="CC14" s="16">
        <f ca="1">SUM($N$7:$N14)</f>
        <v>0</v>
      </c>
      <c r="CD14" s="16">
        <f t="shared" ca="1" si="31"/>
        <v>0</v>
      </c>
      <c r="CE14" s="16">
        <f t="shared" ca="1" si="32"/>
        <v>0</v>
      </c>
      <c r="CF14" s="7">
        <f t="shared" ca="1" si="48"/>
        <v>0</v>
      </c>
    </row>
    <row r="15" spans="1:84" s="7" customFormat="1" x14ac:dyDescent="0.2">
      <c r="A15" s="149"/>
      <c r="B15" s="14">
        <f t="shared" si="0"/>
        <v>1</v>
      </c>
      <c r="C15" s="12">
        <f t="shared" si="1"/>
        <v>1</v>
      </c>
      <c r="D15" s="17">
        <f t="shared" si="49"/>
        <v>9</v>
      </c>
      <c r="E15" s="17">
        <f t="shared" ca="1" si="2"/>
        <v>60</v>
      </c>
      <c r="F15" s="12">
        <f t="shared" si="50"/>
        <v>8</v>
      </c>
      <c r="G15" s="12">
        <f t="shared" si="52"/>
        <v>2</v>
      </c>
      <c r="H15" s="17">
        <v>1</v>
      </c>
      <c r="I15" s="29">
        <f t="shared" si="3"/>
        <v>0</v>
      </c>
      <c r="J15" s="211">
        <f>IFERROR(VLOOKUP(H15,Charges!$T$6:$U$35,2,0)*C15,0)</f>
        <v>0.94499999999999995</v>
      </c>
      <c r="K15" s="29">
        <f t="shared" si="4"/>
        <v>0</v>
      </c>
      <c r="L15" s="29">
        <f t="shared" si="5"/>
        <v>0</v>
      </c>
      <c r="M15" s="147">
        <f t="shared" ca="1" si="6"/>
        <v>0</v>
      </c>
      <c r="N15" s="148">
        <f ca="1">IF(AND(Option_SPW="Y",Z14&gt;=SPW_Start_Min_FV,H15&gt;=Lock_In_Period,Z14&gt;SPW_Amount_pa+IF(option="Single",1/5*pr,2*pr),H15&gt;=SPW_Start_Year,H15&lt;=SPW_Start_Year+SPW_Duration-1,F15=0,age+H15&gt;=Legal_Age),SPW_Amount_pa,0)+IFERROR(VLOOKUP(H15,Input!$B$68:$C$74,2,0),0)*(F15=0)*(Option_PW="Y")*(Option_SPW="N")*(age+H15&gt;=Legal_Age)</f>
        <v>0</v>
      </c>
      <c r="O15" s="148">
        <f t="shared" ca="1" si="33"/>
        <v>0</v>
      </c>
      <c r="P15" s="14">
        <f ca="1">(MAX(MAX(sa-CF14*Flag_UL_Type,105%*SUM($I$7:I15))-(AD14+L15-N15)*Flag_UL_Type,0)*B15)</f>
        <v>2707938.4251979082</v>
      </c>
      <c r="Q15" s="213">
        <f t="shared" ca="1" si="7"/>
        <v>0</v>
      </c>
      <c r="R15" s="14">
        <f t="shared" ca="1" si="8"/>
        <v>0</v>
      </c>
      <c r="S15" s="14">
        <f t="shared" ca="1" si="9"/>
        <v>0</v>
      </c>
      <c r="T15" s="14">
        <f>IFERROR(IF(WoP_Flag="Y",IF(fq=1,VLOOKUP(ppt*fq-H15,Charges!$AN$41:$AO$59,2,FALSE),IF(fq=2,VLOOKUP(ppt*fq-G15,Charges!$AP$41:$AQ$79,2,FALSE),VLOOKUP(ppt*fq-D15,Charges!$AR$41:$AS$279,2,FALSE)))*pr/fq,0),0)</f>
        <v>0</v>
      </c>
      <c r="U15" s="14">
        <f ca="1">IFERROR(((T15*(VLOOKUP(Input!$D$18+H15-1,Tab_Mort_Charge,IF(Gender_2="M",2,3),FALSE)*(1+_emr2)+_rpm2)/IF(Model_Type="LA_PQIS",1000/0.0833,(12*1000))))*Flag_Mort_Rider_Charge*(T15&gt;0),0)</f>
        <v>0</v>
      </c>
      <c r="V15" s="34">
        <f>ROUND(MIN(IF(H15&gt;=7,Charges!$C$12*(1+Charges!$C$14)^((H15-7+1)),VLOOKUP(H15,Charges!$B$7:$C$12,2,0))*pr,Charges!$C$13)*B15,Round)</f>
        <v>450</v>
      </c>
      <c r="W15" s="14">
        <f t="shared" ca="1" si="10"/>
        <v>291611.57480209187</v>
      </c>
      <c r="X15" s="14">
        <f t="shared" ca="1" si="11"/>
        <v>293487.81245479407</v>
      </c>
      <c r="Y15" s="213">
        <f t="shared" ca="1" si="34"/>
        <v>330.35347294194031</v>
      </c>
      <c r="Z15" s="14">
        <f t="shared" ca="1" si="12"/>
        <v>293157.45898185211</v>
      </c>
      <c r="AA15" s="14">
        <f>IF(AND($H15=pt,$F15=11),SUM($K$7:K15)*VLOOKUP(pt,ROC,2,FALSE),0)</f>
        <v>0</v>
      </c>
      <c r="AB15" s="14">
        <f>IF(AND($H15=pt,$F15=11),SUM($V$7:V15)*VLOOKUP(pt,ROC,2,FALSE),0)</f>
        <v>0</v>
      </c>
      <c r="AC15" s="14">
        <f>IF(AND($H15=pt,$F15=11),SUM($Q$7:Q15)*VLOOKUP(pt,ROC,2,FALSE),0)</f>
        <v>0</v>
      </c>
      <c r="AD15" s="14">
        <f t="shared" ca="1" si="35"/>
        <v>293157.45898185211</v>
      </c>
      <c r="AE15" s="14">
        <f ca="1">(MAX(sa-CF14*Flag_UL_Type,105%*SUM($I$7:I15),Z15)+AU15)*B15</f>
        <v>3000000</v>
      </c>
      <c r="AF15" s="136"/>
      <c r="AG15" s="18">
        <v>9</v>
      </c>
      <c r="AH15" s="30">
        <f t="shared" ca="1" si="13"/>
        <v>0</v>
      </c>
      <c r="AI15" s="138"/>
      <c r="AJ15" s="50">
        <f>IF(AND(Option_Sys_TopUp&gt;="Y",H15&gt;=sytp,H15&lt;=(dtp+sytp-1),F15=0,H15&lt;=ppt+1),atp,0)+IFERROR(VLOOKUP(H15,Input!$B$55:$C$61,2,0),0)*(F15=0)*(Option_TopUP="Y")*(Option_Sys_TopUp="N")*B15*(pt&gt;=H15+5)</f>
        <v>0</v>
      </c>
      <c r="AK15" s="50">
        <f t="shared" si="14"/>
        <v>0</v>
      </c>
      <c r="AL15" s="50">
        <f t="shared" si="36"/>
        <v>0</v>
      </c>
      <c r="AM15" s="50">
        <f t="shared" ca="1" si="15"/>
        <v>0</v>
      </c>
      <c r="AN15" s="50">
        <f ca="1">IF(B15=0,0,AT15*(_rpm1+(1+_emr1)*VLOOKUP(E15,Tab_Mort_Charge,IF(Input!$C$12="M",2,3),0))*(0.001*0.0833)*Flag_Mort_Rider_Charge*(AT15&gt;0))</f>
        <v>0</v>
      </c>
      <c r="AO15" s="50">
        <f t="shared" ca="1" si="37"/>
        <v>0</v>
      </c>
      <c r="AP15" s="50">
        <f t="shared" ca="1" si="38"/>
        <v>0</v>
      </c>
      <c r="AQ15" s="50">
        <f t="shared" ca="1" si="16"/>
        <v>0</v>
      </c>
      <c r="AR15" s="50">
        <f t="shared" ca="1" si="17"/>
        <v>0</v>
      </c>
      <c r="AS15" s="50">
        <f t="shared" si="18"/>
        <v>0</v>
      </c>
      <c r="AT15" s="50">
        <f ca="1">(MAX((MAX(AS15,105%*SUM($AJ$7:AJ15))-AM15*Flag_UL_Type),0)*B15)</f>
        <v>0</v>
      </c>
      <c r="AU15" s="50">
        <f ca="1">(MAX(AS15,AR15,105%*SUM($AJ$7:AJ15))*B15)</f>
        <v>0</v>
      </c>
      <c r="AV15" s="125"/>
      <c r="AW15" s="12">
        <f t="shared" si="51"/>
        <v>9</v>
      </c>
      <c r="AX15" s="14">
        <f t="shared" si="39"/>
        <v>6000.00000000001</v>
      </c>
      <c r="AY15" s="14">
        <f t="shared" ca="1" si="40"/>
        <v>0</v>
      </c>
      <c r="AZ15" s="14">
        <f t="shared" ca="1" si="41"/>
        <v>0</v>
      </c>
      <c r="BA15" s="14">
        <f t="shared" ca="1" si="42"/>
        <v>0</v>
      </c>
      <c r="BB15" s="14">
        <f t="shared" si="43"/>
        <v>6000</v>
      </c>
      <c r="BC15" s="14">
        <f t="shared" ca="1" si="19"/>
        <v>46844.902432878029</v>
      </c>
      <c r="BD15" s="14">
        <f t="shared" ca="1" si="20"/>
        <v>0</v>
      </c>
      <c r="BE15" s="14">
        <f t="shared" si="44"/>
        <v>1500</v>
      </c>
      <c r="BF15" s="14">
        <f t="shared" ca="1" si="45"/>
        <v>0</v>
      </c>
      <c r="BG15" s="51">
        <f t="shared" si="21"/>
        <v>0</v>
      </c>
      <c r="BH15" s="51">
        <f t="shared" ca="1" si="22"/>
        <v>0</v>
      </c>
      <c r="BI15" s="51">
        <f t="shared" ca="1" si="46"/>
        <v>0</v>
      </c>
      <c r="BJ15" s="51">
        <f t="shared" ca="1" si="23"/>
        <v>0</v>
      </c>
      <c r="BK15" s="51">
        <f t="shared" si="24"/>
        <v>0</v>
      </c>
      <c r="BL15" s="51">
        <f t="shared" ca="1" si="25"/>
        <v>0</v>
      </c>
      <c r="BM15" s="51">
        <f t="shared" si="26"/>
        <v>0</v>
      </c>
      <c r="BN15" s="51">
        <f t="shared" ca="1" si="27"/>
        <v>0</v>
      </c>
      <c r="BO15" s="51">
        <f t="shared" ca="1" si="28"/>
        <v>0</v>
      </c>
      <c r="BP15" s="51">
        <f t="shared" ca="1" si="29"/>
        <v>0</v>
      </c>
      <c r="BR15" s="32"/>
      <c r="BS15" s="126"/>
      <c r="BT15" s="16"/>
      <c r="BU15" s="58"/>
      <c r="BW15" s="51">
        <f>VLOOKUP(H15,Charges!$AT$4:$AU$33,2,FALSE)*I15</f>
        <v>0</v>
      </c>
      <c r="BX15" s="51">
        <f t="shared" si="30"/>
        <v>0</v>
      </c>
      <c r="BY15" s="51">
        <f t="shared" si="47"/>
        <v>0</v>
      </c>
      <c r="BZ15" s="151"/>
      <c r="CA15" s="151"/>
      <c r="CB15" s="32"/>
      <c r="CC15" s="16">
        <f ca="1">SUM($N$7:$N15)</f>
        <v>0</v>
      </c>
      <c r="CD15" s="16">
        <f t="shared" ca="1" si="31"/>
        <v>0</v>
      </c>
      <c r="CE15" s="16">
        <f t="shared" ca="1" si="32"/>
        <v>0</v>
      </c>
      <c r="CF15" s="7">
        <f t="shared" ca="1" si="48"/>
        <v>0</v>
      </c>
    </row>
    <row r="16" spans="1:84" s="7" customFormat="1" x14ac:dyDescent="0.2">
      <c r="A16" s="149"/>
      <c r="B16" s="14">
        <f t="shared" si="0"/>
        <v>1</v>
      </c>
      <c r="C16" s="12">
        <f t="shared" si="1"/>
        <v>1</v>
      </c>
      <c r="D16" s="17">
        <f t="shared" si="49"/>
        <v>10</v>
      </c>
      <c r="E16" s="17">
        <f t="shared" ca="1" si="2"/>
        <v>60</v>
      </c>
      <c r="F16" s="12">
        <f t="shared" si="50"/>
        <v>9</v>
      </c>
      <c r="G16" s="12">
        <f t="shared" si="52"/>
        <v>2</v>
      </c>
      <c r="H16" s="17">
        <v>1</v>
      </c>
      <c r="I16" s="29">
        <f t="shared" si="3"/>
        <v>0</v>
      </c>
      <c r="J16" s="211">
        <f>IFERROR(VLOOKUP(H16,Charges!$T$6:$U$35,2,0)*C16,0)</f>
        <v>0.94499999999999995</v>
      </c>
      <c r="K16" s="29">
        <f t="shared" si="4"/>
        <v>0</v>
      </c>
      <c r="L16" s="29">
        <f t="shared" si="5"/>
        <v>0</v>
      </c>
      <c r="M16" s="147">
        <f t="shared" ca="1" si="6"/>
        <v>0</v>
      </c>
      <c r="N16" s="148">
        <f ca="1">IF(AND(Option_SPW="Y",Z15&gt;=SPW_Start_Min_FV,H16&gt;=Lock_In_Period,Z15&gt;SPW_Amount_pa+IF(option="Single",1/5*pr,2*pr),H16&gt;=SPW_Start_Year,H16&lt;=SPW_Start_Year+SPW_Duration-1,F16=0,age+H16&gt;=Legal_Age),SPW_Amount_pa,0)+IFERROR(VLOOKUP(H16,Input!$B$68:$C$74,2,0),0)*(F16=0)*(Option_PW="Y")*(Option_SPW="N")*(age+H16&gt;=Legal_Age)</f>
        <v>0</v>
      </c>
      <c r="O16" s="148">
        <f t="shared" ca="1" si="33"/>
        <v>0</v>
      </c>
      <c r="P16" s="14">
        <f ca="1">(MAX(MAX(sa-CF15*Flag_UL_Type,105%*SUM($I$7:I16))-(AD15+L16-N16)*Flag_UL_Type,0)*B16)</f>
        <v>2706842.541018148</v>
      </c>
      <c r="Q16" s="213">
        <f t="shared" ca="1" si="7"/>
        <v>0</v>
      </c>
      <c r="R16" s="14">
        <f t="shared" ca="1" si="8"/>
        <v>0</v>
      </c>
      <c r="S16" s="14">
        <f t="shared" ca="1" si="9"/>
        <v>0</v>
      </c>
      <c r="T16" s="14">
        <f>IFERROR(IF(WoP_Flag="Y",IF(fq=1,VLOOKUP(ppt*fq-H16,Charges!$AN$41:$AO$59,2,FALSE),IF(fq=2,VLOOKUP(ppt*fq-G16,Charges!$AP$41:$AQ$79,2,FALSE),VLOOKUP(ppt*fq-D16,Charges!$AR$41:$AS$279,2,FALSE)))*pr/fq,0),0)</f>
        <v>0</v>
      </c>
      <c r="U16" s="14">
        <f ca="1">IFERROR(((T16*(VLOOKUP(Input!$D$18+H16-1,Tab_Mort_Charge,IF(Gender_2="M",2,3),FALSE)*(1+_emr2)+_rpm2)/IF(Model_Type="LA_PQIS",1000/0.0833,(12*1000))))*Flag_Mort_Rider_Charge*(T16&gt;0),0)</f>
        <v>0</v>
      </c>
      <c r="V16" s="34">
        <f>ROUND(MIN(IF(H16&gt;=7,Charges!$C$12*(1+Charges!$C$14)^((H16-7+1)),VLOOKUP(H16,Charges!$B$7:$C$12,2,0))*pr,Charges!$C$13)*B16,Round)</f>
        <v>450</v>
      </c>
      <c r="W16" s="14">
        <f t="shared" ca="1" si="10"/>
        <v>292707.45898185211</v>
      </c>
      <c r="X16" s="14">
        <f t="shared" ca="1" si="11"/>
        <v>294590.74758636393</v>
      </c>
      <c r="Y16" s="213">
        <f t="shared" ca="1" si="34"/>
        <v>331.59495022202293</v>
      </c>
      <c r="Z16" s="14">
        <f t="shared" ca="1" si="12"/>
        <v>294259.15263614192</v>
      </c>
      <c r="AA16" s="14">
        <f>IF(AND($H16=pt,$F16=11),SUM($K$7:K16)*VLOOKUP(pt,ROC,2,FALSE),0)</f>
        <v>0</v>
      </c>
      <c r="AB16" s="14">
        <f>IF(AND($H16=pt,$F16=11),SUM($V$7:V16)*VLOOKUP(pt,ROC,2,FALSE),0)</f>
        <v>0</v>
      </c>
      <c r="AC16" s="14">
        <f>IF(AND($H16=pt,$F16=11),SUM($Q$7:Q16)*VLOOKUP(pt,ROC,2,FALSE),0)</f>
        <v>0</v>
      </c>
      <c r="AD16" s="14">
        <f t="shared" ca="1" si="35"/>
        <v>294259.15263614192</v>
      </c>
      <c r="AE16" s="14">
        <f ca="1">(MAX(sa-CF15*Flag_UL_Type,105%*SUM($I$7:I16),Z16)+AU16)*B16</f>
        <v>3000000</v>
      </c>
      <c r="AF16" s="136"/>
      <c r="AG16" s="18">
        <v>10</v>
      </c>
      <c r="AH16" s="30">
        <f t="shared" ca="1" si="13"/>
        <v>0</v>
      </c>
      <c r="AI16" s="138"/>
      <c r="AJ16" s="50">
        <f>IF(AND(Option_Sys_TopUp&gt;="Y",H16&gt;=sytp,H16&lt;=(dtp+sytp-1),F16=0,H16&lt;=ppt+1),atp,0)+IFERROR(VLOOKUP(H16,Input!$B$55:$C$61,2,0),0)*(F16=0)*(Option_TopUP="Y")*(Option_Sys_TopUp="N")*B16*(pt&gt;=H16+5)</f>
        <v>0</v>
      </c>
      <c r="AK16" s="50">
        <f t="shared" si="14"/>
        <v>0</v>
      </c>
      <c r="AL16" s="50">
        <f t="shared" si="36"/>
        <v>0</v>
      </c>
      <c r="AM16" s="50">
        <f t="shared" ca="1" si="15"/>
        <v>0</v>
      </c>
      <c r="AN16" s="50">
        <f ca="1">IF(B16=0,0,AT16*(_rpm1+(1+_emr1)*VLOOKUP(E16,Tab_Mort_Charge,IF(Input!$C$12="M",2,3),0))*(0.001*0.0833)*Flag_Mort_Rider_Charge*(AT16&gt;0))</f>
        <v>0</v>
      </c>
      <c r="AO16" s="50">
        <f t="shared" ca="1" si="37"/>
        <v>0</v>
      </c>
      <c r="AP16" s="50">
        <f t="shared" ca="1" si="38"/>
        <v>0</v>
      </c>
      <c r="AQ16" s="50">
        <f t="shared" ca="1" si="16"/>
        <v>0</v>
      </c>
      <c r="AR16" s="50">
        <f t="shared" ca="1" si="17"/>
        <v>0</v>
      </c>
      <c r="AS16" s="50">
        <f t="shared" si="18"/>
        <v>0</v>
      </c>
      <c r="AT16" s="50">
        <f ca="1">(MAX((MAX(AS16,105%*SUM($AJ$7:AJ16))-AM16*Flag_UL_Type),0)*B16)</f>
        <v>0</v>
      </c>
      <c r="AU16" s="50">
        <f ca="1">(MAX(AS16,AR16,105%*SUM($AJ$7:AJ16))*B16)</f>
        <v>0</v>
      </c>
      <c r="AV16" s="125"/>
      <c r="AW16" s="12">
        <f t="shared" si="51"/>
        <v>10</v>
      </c>
      <c r="AX16" s="14">
        <f t="shared" si="39"/>
        <v>6000.00000000001</v>
      </c>
      <c r="AY16" s="14">
        <f t="shared" ca="1" si="40"/>
        <v>0</v>
      </c>
      <c r="AZ16" s="14">
        <f t="shared" ca="1" si="41"/>
        <v>0</v>
      </c>
      <c r="BA16" s="14">
        <f t="shared" ca="1" si="42"/>
        <v>0</v>
      </c>
      <c r="BB16" s="14">
        <f t="shared" si="43"/>
        <v>6000</v>
      </c>
      <c r="BC16" s="14">
        <f t="shared" ca="1" si="19"/>
        <v>53944.677275589398</v>
      </c>
      <c r="BD16" s="14">
        <f t="shared" ca="1" si="20"/>
        <v>0</v>
      </c>
      <c r="BE16" s="14">
        <f t="shared" si="44"/>
        <v>1500</v>
      </c>
      <c r="BF16" s="14">
        <f t="shared" ca="1" si="45"/>
        <v>0</v>
      </c>
      <c r="BG16" s="51">
        <f t="shared" si="21"/>
        <v>0</v>
      </c>
      <c r="BH16" s="51">
        <f t="shared" ca="1" si="22"/>
        <v>0</v>
      </c>
      <c r="BI16" s="51">
        <f t="shared" ca="1" si="46"/>
        <v>0</v>
      </c>
      <c r="BJ16" s="51">
        <f t="shared" ca="1" si="23"/>
        <v>0</v>
      </c>
      <c r="BK16" s="51">
        <f t="shared" si="24"/>
        <v>0</v>
      </c>
      <c r="BL16" s="51">
        <f t="shared" ca="1" si="25"/>
        <v>0</v>
      </c>
      <c r="BM16" s="51">
        <f t="shared" si="26"/>
        <v>0</v>
      </c>
      <c r="BN16" s="51">
        <f t="shared" ca="1" si="27"/>
        <v>0</v>
      </c>
      <c r="BO16" s="51">
        <f t="shared" ca="1" si="28"/>
        <v>0</v>
      </c>
      <c r="BP16" s="51">
        <f t="shared" ca="1" si="29"/>
        <v>0</v>
      </c>
      <c r="BR16" s="32"/>
      <c r="BS16" s="126"/>
      <c r="BT16" s="16"/>
      <c r="BU16" s="58"/>
      <c r="BW16" s="51">
        <f>VLOOKUP(H16,Charges!$AT$4:$AU$33,2,FALSE)*I16</f>
        <v>0</v>
      </c>
      <c r="BX16" s="51">
        <f t="shared" si="30"/>
        <v>0</v>
      </c>
      <c r="BY16" s="51">
        <f t="shared" si="47"/>
        <v>0</v>
      </c>
      <c r="BZ16" s="151"/>
      <c r="CA16" s="151"/>
      <c r="CB16" s="32"/>
      <c r="CC16" s="16">
        <f ca="1">SUM($N$7:$N16)</f>
        <v>0</v>
      </c>
      <c r="CD16" s="16">
        <f t="shared" ca="1" si="31"/>
        <v>0</v>
      </c>
      <c r="CE16" s="16">
        <f t="shared" ca="1" si="32"/>
        <v>0</v>
      </c>
      <c r="CF16" s="7">
        <f t="shared" ca="1" si="48"/>
        <v>0</v>
      </c>
    </row>
    <row r="17" spans="1:84" s="7" customFormat="1" x14ac:dyDescent="0.2">
      <c r="A17" s="149"/>
      <c r="B17" s="14">
        <f t="shared" si="0"/>
        <v>1</v>
      </c>
      <c r="C17" s="12">
        <f t="shared" si="1"/>
        <v>1</v>
      </c>
      <c r="D17" s="17">
        <f t="shared" si="49"/>
        <v>11</v>
      </c>
      <c r="E17" s="17">
        <f t="shared" ca="1" si="2"/>
        <v>60</v>
      </c>
      <c r="F17" s="12">
        <f>F16+1</f>
        <v>10</v>
      </c>
      <c r="G17" s="12">
        <f t="shared" si="52"/>
        <v>2</v>
      </c>
      <c r="H17" s="17">
        <v>1</v>
      </c>
      <c r="I17" s="29">
        <f t="shared" si="3"/>
        <v>0</v>
      </c>
      <c r="J17" s="211">
        <f>IFERROR(VLOOKUP(H17,Charges!$T$6:$U$35,2,0)*C17,0)</f>
        <v>0.94499999999999995</v>
      </c>
      <c r="K17" s="29">
        <f t="shared" si="4"/>
        <v>0</v>
      </c>
      <c r="L17" s="29">
        <f t="shared" si="5"/>
        <v>0</v>
      </c>
      <c r="M17" s="147">
        <f t="shared" ca="1" si="6"/>
        <v>0</v>
      </c>
      <c r="N17" s="148">
        <f ca="1">IF(AND(Option_SPW="Y",Z16&gt;=SPW_Start_Min_FV,H17&gt;=Lock_In_Period,Z16&gt;SPW_Amount_pa+IF(option="Single",1/5*pr,2*pr),H17&gt;=SPW_Start_Year,H17&lt;=SPW_Start_Year+SPW_Duration-1,F17=0,age+H17&gt;=Legal_Age),SPW_Amount_pa,0)+IFERROR(VLOOKUP(H17,Input!$B$68:$C$74,2,0),0)*(F17=0)*(Option_PW="Y")*(Option_SPW="N")*(age+H17&gt;=Legal_Age)</f>
        <v>0</v>
      </c>
      <c r="O17" s="148">
        <f t="shared" ca="1" si="33"/>
        <v>0</v>
      </c>
      <c r="P17" s="14">
        <f ca="1">(MAX(MAX(sa-CF16*Flag_UL_Type,105%*SUM($I$7:I17))-(AD16+L17-N17)*Flag_UL_Type,0)*B17)</f>
        <v>2705740.847363858</v>
      </c>
      <c r="Q17" s="213">
        <f t="shared" ca="1" si="7"/>
        <v>0</v>
      </c>
      <c r="R17" s="14">
        <f t="shared" ca="1" si="8"/>
        <v>0</v>
      </c>
      <c r="S17" s="14">
        <f t="shared" ca="1" si="9"/>
        <v>0</v>
      </c>
      <c r="T17" s="14">
        <f>IFERROR(IF(WoP_Flag="Y",IF(fq=1,VLOOKUP(ppt*fq-H17,Charges!$AN$41:$AO$59,2,FALSE),IF(fq=2,VLOOKUP(ppt*fq-G17,Charges!$AP$41:$AQ$79,2,FALSE),VLOOKUP(ppt*fq-D17,Charges!$AR$41:$AS$279,2,FALSE)))*pr/fq,0),0)</f>
        <v>0</v>
      </c>
      <c r="U17" s="14">
        <f ca="1">IFERROR(((T17*(VLOOKUP(Input!$D$18+H17-1,Tab_Mort_Charge,IF(Gender_2="M",2,3),FALSE)*(1+_emr2)+_rpm2)/IF(Model_Type="LA_PQIS",1000/0.0833,(12*1000))))*Flag_Mort_Rider_Charge*(T17&gt;0),0)</f>
        <v>0</v>
      </c>
      <c r="V17" s="34">
        <f>ROUND(MIN(IF(H17&gt;=7,Charges!$C$12*(1+Charges!$C$14)^((H17-7+1)),VLOOKUP(H17,Charges!$B$7:$C$12,2,0))*pr,Charges!$C$13)*B17,Round)</f>
        <v>450</v>
      </c>
      <c r="W17" s="14">
        <f t="shared" ca="1" si="10"/>
        <v>293809.15263614192</v>
      </c>
      <c r="X17" s="14">
        <f t="shared" ca="1" si="11"/>
        <v>295699.52957079746</v>
      </c>
      <c r="Y17" s="213">
        <f t="shared" ca="1" si="34"/>
        <v>332.8430087912335</v>
      </c>
      <c r="Z17" s="14">
        <f t="shared" ca="1" si="12"/>
        <v>295366.68656200625</v>
      </c>
      <c r="AA17" s="14">
        <f>IF(AND($H17=pt,$F17=11),SUM($K$7:K17)*VLOOKUP(pt,ROC,2,FALSE),0)</f>
        <v>0</v>
      </c>
      <c r="AB17" s="14">
        <f>IF(AND($H17=pt,$F17=11),SUM($V$7:V17)*VLOOKUP(pt,ROC,2,FALSE),0)</f>
        <v>0</v>
      </c>
      <c r="AC17" s="14">
        <f>IF(AND($H17=pt,$F17=11),SUM($Q$7:Q17)*VLOOKUP(pt,ROC,2,FALSE),0)</f>
        <v>0</v>
      </c>
      <c r="AD17" s="14">
        <f t="shared" ca="1" si="35"/>
        <v>295366.68656200625</v>
      </c>
      <c r="AE17" s="14">
        <f ca="1">(MAX(sa-CF16*Flag_UL_Type,105%*SUM($I$7:I17),Z17)+AU17)*B17</f>
        <v>3000000</v>
      </c>
      <c r="AF17" s="136"/>
      <c r="AG17" s="18">
        <v>11</v>
      </c>
      <c r="AH17" s="30">
        <f t="shared" ca="1" si="13"/>
        <v>0</v>
      </c>
      <c r="AI17" s="138"/>
      <c r="AJ17" s="50">
        <f>IF(AND(Option_Sys_TopUp&gt;="Y",H17&gt;=sytp,H17&lt;=(dtp+sytp-1),F17=0,H17&lt;=ppt+1),atp,0)+IFERROR(VLOOKUP(H17,Input!$B$55:$C$61,2,0),0)*(F17=0)*(Option_TopUP="Y")*(Option_Sys_TopUp="N")*B17*(pt&gt;=H17+5)</f>
        <v>0</v>
      </c>
      <c r="AK17" s="50">
        <f t="shared" si="14"/>
        <v>0</v>
      </c>
      <c r="AL17" s="50">
        <f t="shared" si="36"/>
        <v>0</v>
      </c>
      <c r="AM17" s="50">
        <f t="shared" ca="1" si="15"/>
        <v>0</v>
      </c>
      <c r="AN17" s="50">
        <f ca="1">IF(B17=0,0,AT17*(_rpm1+(1+_emr1)*VLOOKUP(E17,Tab_Mort_Charge,IF(Input!$C$12="M",2,3),0))*(0.001*0.0833)*Flag_Mort_Rider_Charge*(AT17&gt;0))</f>
        <v>0</v>
      </c>
      <c r="AO17" s="50">
        <f t="shared" ca="1" si="37"/>
        <v>0</v>
      </c>
      <c r="AP17" s="50">
        <f t="shared" ca="1" si="38"/>
        <v>0</v>
      </c>
      <c r="AQ17" s="50">
        <f t="shared" ca="1" si="16"/>
        <v>0</v>
      </c>
      <c r="AR17" s="50">
        <f t="shared" ca="1" si="17"/>
        <v>0</v>
      </c>
      <c r="AS17" s="50">
        <f t="shared" si="18"/>
        <v>0</v>
      </c>
      <c r="AT17" s="50">
        <f ca="1">(MAX((MAX(AS17,105%*SUM($AJ$7:AJ17))-AM17*Flag_UL_Type),0)*B17)</f>
        <v>0</v>
      </c>
      <c r="AU17" s="50">
        <f ca="1">(MAX(AS17,AR17,105%*SUM($AJ$7:AJ17))*B17)</f>
        <v>0</v>
      </c>
      <c r="AV17" s="125"/>
      <c r="AW17" s="12">
        <f t="shared" si="51"/>
        <v>11</v>
      </c>
      <c r="AX17" s="14">
        <f t="shared" si="39"/>
        <v>0</v>
      </c>
      <c r="AY17" s="14">
        <f t="shared" ca="1" si="40"/>
        <v>0</v>
      </c>
      <c r="AZ17" s="14">
        <f t="shared" ca="1" si="41"/>
        <v>0</v>
      </c>
      <c r="BA17" s="14">
        <f t="shared" ca="1" si="42"/>
        <v>0</v>
      </c>
      <c r="BB17" s="14">
        <f t="shared" si="43"/>
        <v>6000</v>
      </c>
      <c r="BC17" s="14">
        <f t="shared" ca="1" si="19"/>
        <v>61593.48806214612</v>
      </c>
      <c r="BD17" s="14">
        <f t="shared" ca="1" si="20"/>
        <v>0</v>
      </c>
      <c r="BE17" s="14">
        <f t="shared" si="44"/>
        <v>0</v>
      </c>
      <c r="BF17" s="14">
        <f t="shared" ca="1" si="45"/>
        <v>0</v>
      </c>
      <c r="BG17" s="51">
        <f t="shared" si="21"/>
        <v>0</v>
      </c>
      <c r="BH17" s="51">
        <f t="shared" ca="1" si="22"/>
        <v>0</v>
      </c>
      <c r="BI17" s="51">
        <f t="shared" ca="1" si="46"/>
        <v>0</v>
      </c>
      <c r="BJ17" s="51">
        <f t="shared" ca="1" si="23"/>
        <v>0</v>
      </c>
      <c r="BK17" s="51">
        <f t="shared" si="24"/>
        <v>0</v>
      </c>
      <c r="BL17" s="51">
        <f t="shared" ca="1" si="25"/>
        <v>0</v>
      </c>
      <c r="BM17" s="51">
        <f t="shared" si="26"/>
        <v>0</v>
      </c>
      <c r="BN17" s="51">
        <f t="shared" ca="1" si="27"/>
        <v>0</v>
      </c>
      <c r="BO17" s="51">
        <f t="shared" ca="1" si="28"/>
        <v>0</v>
      </c>
      <c r="BP17" s="51">
        <f t="shared" ca="1" si="29"/>
        <v>0</v>
      </c>
      <c r="BR17" s="32"/>
      <c r="BS17" s="126"/>
      <c r="BT17" s="16"/>
      <c r="BU17" s="58"/>
      <c r="BW17" s="51">
        <f>VLOOKUP(H17,Charges!$AT$4:$AU$33,2,FALSE)*I17</f>
        <v>0</v>
      </c>
      <c r="BX17" s="51">
        <f t="shared" si="30"/>
        <v>0</v>
      </c>
      <c r="BY17" s="51">
        <f t="shared" si="47"/>
        <v>0</v>
      </c>
      <c r="BZ17" s="151"/>
      <c r="CA17" s="151"/>
      <c r="CB17" s="32"/>
      <c r="CC17" s="16">
        <f ca="1">SUM($N$7:$N17)</f>
        <v>0</v>
      </c>
      <c r="CD17" s="16">
        <f t="shared" ca="1" si="31"/>
        <v>0</v>
      </c>
      <c r="CE17" s="16">
        <f t="shared" ca="1" si="32"/>
        <v>0</v>
      </c>
      <c r="CF17" s="7">
        <f t="shared" ca="1" si="48"/>
        <v>0</v>
      </c>
    </row>
    <row r="18" spans="1:84" s="7" customFormat="1" x14ac:dyDescent="0.2">
      <c r="A18" s="149"/>
      <c r="B18" s="14">
        <f t="shared" si="0"/>
        <v>1</v>
      </c>
      <c r="C18" s="12">
        <f t="shared" si="1"/>
        <v>1</v>
      </c>
      <c r="D18" s="17">
        <f t="shared" si="49"/>
        <v>12</v>
      </c>
      <c r="E18" s="17">
        <f t="shared" ca="1" si="2"/>
        <v>60</v>
      </c>
      <c r="F18" s="12">
        <f t="shared" si="50"/>
        <v>11</v>
      </c>
      <c r="G18" s="12">
        <f t="shared" si="52"/>
        <v>2</v>
      </c>
      <c r="H18" s="17">
        <v>1</v>
      </c>
      <c r="I18" s="29">
        <f t="shared" si="3"/>
        <v>0</v>
      </c>
      <c r="J18" s="211">
        <f>IFERROR(VLOOKUP(H18,Charges!$T$6:$U$35,2,0)*C18,0)</f>
        <v>0.94499999999999995</v>
      </c>
      <c r="K18" s="29">
        <f t="shared" si="4"/>
        <v>0</v>
      </c>
      <c r="L18" s="29">
        <f t="shared" si="5"/>
        <v>0</v>
      </c>
      <c r="M18" s="147">
        <f t="shared" ca="1" si="6"/>
        <v>0</v>
      </c>
      <c r="N18" s="148">
        <f ca="1">IF(AND(Option_SPW="Y",Z17&gt;=SPW_Start_Min_FV,H18&gt;=Lock_In_Period,Z17&gt;SPW_Amount_pa+IF(option="Single",1/5*pr,2*pr),H18&gt;=SPW_Start_Year,H18&lt;=SPW_Start_Year+SPW_Duration-1,F18=0,age+H18&gt;=Legal_Age),SPW_Amount_pa,0)+IFERROR(VLOOKUP(H18,Input!$B$68:$C$74,2,0),0)*(F18=0)*(Option_PW="Y")*(Option_SPW="N")*(age+H18&gt;=Legal_Age)</f>
        <v>0</v>
      </c>
      <c r="O18" s="148">
        <f t="shared" ca="1" si="33"/>
        <v>0</v>
      </c>
      <c r="P18" s="14">
        <f ca="1">(MAX(MAX(sa-CF17*Flag_UL_Type,105%*SUM($I$7:I18))-(AD17+L18-N18)*Flag_UL_Type,0)*B18)</f>
        <v>2704633.3134379936</v>
      </c>
      <c r="Q18" s="213">
        <f t="shared" ca="1" si="7"/>
        <v>0</v>
      </c>
      <c r="R18" s="14">
        <f t="shared" ca="1" si="8"/>
        <v>0</v>
      </c>
      <c r="S18" s="14">
        <f t="shared" ca="1" si="9"/>
        <v>0</v>
      </c>
      <c r="T18" s="14">
        <f>IFERROR(IF(WoP_Flag="Y",IF(fq=1,VLOOKUP(ppt*fq-H18,Charges!$AN$41:$AO$59,2,FALSE),IF(fq=2,VLOOKUP(ppt*fq-G18,Charges!$AP$41:$AQ$79,2,FALSE),VLOOKUP(ppt*fq-D18,Charges!$AR$41:$AS$279,2,FALSE)))*pr/fq,0),0)</f>
        <v>0</v>
      </c>
      <c r="U18" s="14">
        <f ca="1">IFERROR(((T18*(VLOOKUP(Input!$D$18+H18-1,Tab_Mort_Charge,IF(Gender_2="M",2,3),FALSE)*(1+_emr2)+_rpm2)/IF(Model_Type="LA_PQIS",1000/0.0833,(12*1000))))*Flag_Mort_Rider_Charge*(T18&gt;0),0)</f>
        <v>0</v>
      </c>
      <c r="V18" s="34">
        <f>ROUND(MIN(IF(H18&gt;=7,Charges!$C$12*(1+Charges!$C$14)^((H18-7+1)),VLOOKUP(H18,Charges!$B$7:$C$12,2,0))*pr,Charges!$C$13)*B18,Round)</f>
        <v>450</v>
      </c>
      <c r="W18" s="14">
        <f t="shared" ca="1" si="10"/>
        <v>294916.68656200625</v>
      </c>
      <c r="X18" s="14">
        <f t="shared" ca="1" si="11"/>
        <v>296814.18940328865</v>
      </c>
      <c r="Y18" s="213">
        <f t="shared" ca="1" si="34"/>
        <v>334.09768353814167</v>
      </c>
      <c r="Z18" s="14">
        <f t="shared" ca="1" si="12"/>
        <v>296480.09171975049</v>
      </c>
      <c r="AA18" s="14">
        <f>IF(AND($H18=pt,$F18=11),SUM($K$7:K18)*VLOOKUP(pt,ROC,2,FALSE),0)</f>
        <v>0</v>
      </c>
      <c r="AB18" s="14">
        <f>IF(AND($H18=pt,$F18=11),SUM($V$7:V18)*VLOOKUP(pt,ROC,2,FALSE),0)</f>
        <v>0</v>
      </c>
      <c r="AC18" s="14">
        <f>IF(AND($H18=pt,$F18=11),SUM($Q$7:Q18)*VLOOKUP(pt,ROC,2,FALSE),0)</f>
        <v>0</v>
      </c>
      <c r="AD18" s="14">
        <f t="shared" ca="1" si="35"/>
        <v>296480.09171975049</v>
      </c>
      <c r="AE18" s="14">
        <f ca="1">(MAX(sa-CF17*Flag_UL_Type,105%*SUM($I$7:I18),Z18)+AU18)*B18</f>
        <v>3000000</v>
      </c>
      <c r="AF18" s="136"/>
      <c r="AG18" s="18">
        <v>12</v>
      </c>
      <c r="AH18" s="30">
        <f t="shared" ca="1" si="13"/>
        <v>0</v>
      </c>
      <c r="AI18" s="138"/>
      <c r="AJ18" s="50">
        <f>IF(AND(Option_Sys_TopUp&gt;="Y",H18&gt;=sytp,H18&lt;=(dtp+sytp-1),F18=0,H18&lt;=ppt+1),atp,0)+IFERROR(VLOOKUP(H18,Input!$B$55:$C$61,2,0),0)*(F18=0)*(Option_TopUP="Y")*(Option_Sys_TopUp="N")*B18*(pt&gt;=H18+5)</f>
        <v>0</v>
      </c>
      <c r="AK18" s="50">
        <f t="shared" si="14"/>
        <v>0</v>
      </c>
      <c r="AL18" s="50">
        <f t="shared" si="36"/>
        <v>0</v>
      </c>
      <c r="AM18" s="50">
        <f t="shared" ca="1" si="15"/>
        <v>0</v>
      </c>
      <c r="AN18" s="50">
        <f ca="1">IF(B18=0,0,AT18*(_rpm1+(1+_emr1)*VLOOKUP(E18,Tab_Mort_Charge,IF(Input!$C$12="M",2,3),0))*(0.001*0.0833)*Flag_Mort_Rider_Charge*(AT18&gt;0))</f>
        <v>0</v>
      </c>
      <c r="AO18" s="50">
        <f t="shared" ca="1" si="37"/>
        <v>0</v>
      </c>
      <c r="AP18" s="50">
        <f t="shared" ca="1" si="38"/>
        <v>0</v>
      </c>
      <c r="AQ18" s="50">
        <f t="shared" ca="1" si="16"/>
        <v>0</v>
      </c>
      <c r="AR18" s="50">
        <f t="shared" ca="1" si="17"/>
        <v>0</v>
      </c>
      <c r="AS18" s="50">
        <f t="shared" si="18"/>
        <v>0</v>
      </c>
      <c r="AT18" s="50">
        <f ca="1">(MAX((MAX(AS18,105%*SUM($AJ$7:AJ18))-AM18*Flag_UL_Type),0)*B18)</f>
        <v>0</v>
      </c>
      <c r="AU18" s="50">
        <f ca="1">(MAX(AS18,AR18,105%*SUM($AJ$7:AJ18))*B18)</f>
        <v>0</v>
      </c>
      <c r="AV18" s="125"/>
      <c r="AW18" s="12">
        <f t="shared" si="51"/>
        <v>12</v>
      </c>
      <c r="AX18" s="14">
        <f t="shared" si="39"/>
        <v>0</v>
      </c>
      <c r="AY18" s="14">
        <f t="shared" ca="1" si="40"/>
        <v>0</v>
      </c>
      <c r="AZ18" s="14">
        <f t="shared" ca="1" si="41"/>
        <v>0</v>
      </c>
      <c r="BA18" s="14">
        <f t="shared" ca="1" si="42"/>
        <v>0</v>
      </c>
      <c r="BB18" s="14">
        <f t="shared" si="43"/>
        <v>6000</v>
      </c>
      <c r="BC18" s="14">
        <f t="shared" ca="1" si="19"/>
        <v>69743.311554096406</v>
      </c>
      <c r="BD18" s="14">
        <f t="shared" ca="1" si="20"/>
        <v>0</v>
      </c>
      <c r="BE18" s="14">
        <f t="shared" si="44"/>
        <v>0</v>
      </c>
      <c r="BF18" s="14">
        <f t="shared" ca="1" si="45"/>
        <v>0</v>
      </c>
      <c r="BG18" s="51">
        <f t="shared" si="21"/>
        <v>0</v>
      </c>
      <c r="BH18" s="51">
        <f t="shared" ca="1" si="22"/>
        <v>0</v>
      </c>
      <c r="BI18" s="51">
        <f t="shared" ca="1" si="46"/>
        <v>0</v>
      </c>
      <c r="BJ18" s="51">
        <f t="shared" ca="1" si="23"/>
        <v>0</v>
      </c>
      <c r="BK18" s="51">
        <f t="shared" si="24"/>
        <v>0</v>
      </c>
      <c r="BL18" s="51">
        <f t="shared" ca="1" si="25"/>
        <v>0</v>
      </c>
      <c r="BM18" s="51">
        <f t="shared" si="26"/>
        <v>0</v>
      </c>
      <c r="BN18" s="51">
        <f t="shared" ca="1" si="27"/>
        <v>0</v>
      </c>
      <c r="BO18" s="51">
        <f t="shared" ca="1" si="28"/>
        <v>0</v>
      </c>
      <c r="BP18" s="51">
        <f t="shared" ca="1" si="29"/>
        <v>0</v>
      </c>
      <c r="BR18" s="32"/>
      <c r="BS18" s="126"/>
      <c r="BT18" s="16"/>
      <c r="BU18" s="58"/>
      <c r="BW18" s="51">
        <f>VLOOKUP(H18,Charges!$AT$4:$AU$33,2,FALSE)*I18</f>
        <v>0</v>
      </c>
      <c r="BX18" s="51">
        <f t="shared" si="30"/>
        <v>0</v>
      </c>
      <c r="BY18" s="51">
        <f t="shared" si="47"/>
        <v>0</v>
      </c>
      <c r="BZ18" s="151"/>
      <c r="CA18" s="151"/>
      <c r="CB18" s="32"/>
      <c r="CC18" s="16">
        <f ca="1">SUM($N$7:$N18)</f>
        <v>0</v>
      </c>
      <c r="CD18" s="16">
        <f t="shared" ca="1" si="31"/>
        <v>0</v>
      </c>
      <c r="CE18" s="16">
        <f t="shared" ca="1" si="32"/>
        <v>0</v>
      </c>
      <c r="CF18" s="7">
        <f t="shared" ca="1" si="48"/>
        <v>0</v>
      </c>
    </row>
    <row r="19" spans="1:84" s="7" customFormat="1" x14ac:dyDescent="0.2">
      <c r="A19" s="149"/>
      <c r="B19" s="14">
        <f t="shared" si="0"/>
        <v>1</v>
      </c>
      <c r="C19" s="12">
        <f t="shared" si="1"/>
        <v>1</v>
      </c>
      <c r="D19" s="17">
        <f t="shared" si="49"/>
        <v>13</v>
      </c>
      <c r="E19" s="17">
        <f t="shared" ca="1" si="2"/>
        <v>61</v>
      </c>
      <c r="F19" s="12">
        <f>F7</f>
        <v>0</v>
      </c>
      <c r="G19" s="12">
        <f t="shared" si="52"/>
        <v>3</v>
      </c>
      <c r="H19" s="17">
        <f>+H7+1</f>
        <v>2</v>
      </c>
      <c r="I19" s="29">
        <f t="shared" si="3"/>
        <v>300000</v>
      </c>
      <c r="J19" s="211">
        <f>IFERROR(VLOOKUP(H19,Charges!$T$6:$U$35,2,0)*C19,0)</f>
        <v>0.95</v>
      </c>
      <c r="K19" s="29">
        <f t="shared" si="4"/>
        <v>15000</v>
      </c>
      <c r="L19" s="29">
        <f t="shared" si="5"/>
        <v>285000</v>
      </c>
      <c r="M19" s="147">
        <f t="shared" ca="1" si="6"/>
        <v>0</v>
      </c>
      <c r="N19" s="148">
        <f ca="1">IF(AND(Option_SPW="Y",Z18&gt;=SPW_Start_Min_FV,H19&gt;=Lock_In_Period,Z18&gt;SPW_Amount_pa+IF(option="Single",1/5*pr,2*pr),H19&gt;=SPW_Start_Year,H19&lt;=SPW_Start_Year+SPW_Duration-1,F19=0,age+H19&gt;=Legal_Age),SPW_Amount_pa,0)+IFERROR(VLOOKUP(H19,Input!$B$68:$C$74,2,0),0)*(F19=0)*(Option_PW="Y")*(Option_SPW="N")*(age+H19&gt;=Legal_Age)</f>
        <v>0</v>
      </c>
      <c r="O19" s="148">
        <f t="shared" ca="1" si="33"/>
        <v>0</v>
      </c>
      <c r="P19" s="14">
        <f ca="1">(MAX(MAX(sa-CF18*Flag_UL_Type,105%*SUM($I$7:I19))-(AD18+L19-N19)*Flag_UL_Type,0)*B19)</f>
        <v>2418519.9082802497</v>
      </c>
      <c r="Q19" s="213">
        <f t="shared" ca="1" si="7"/>
        <v>0</v>
      </c>
      <c r="R19" s="14">
        <f t="shared" ca="1" si="8"/>
        <v>0</v>
      </c>
      <c r="S19" s="14">
        <f t="shared" ca="1" si="9"/>
        <v>0</v>
      </c>
      <c r="T19" s="14">
        <f>IFERROR(IF(WoP_Flag="Y",IF(fq=1,VLOOKUP(ppt*fq-H19,Charges!$AN$41:$AO$59,2,FALSE),IF(fq=2,VLOOKUP(ppt*fq-G19,Charges!$AP$41:$AQ$79,2,FALSE),VLOOKUP(ppt*fq-D19,Charges!$AR$41:$AS$279,2,FALSE)))*pr/fq,0),0)</f>
        <v>0</v>
      </c>
      <c r="U19" s="14">
        <f ca="1">IFERROR(((T19*(VLOOKUP(Input!$D$18+H19-1,Tab_Mort_Charge,IF(Gender_2="M",2,3),FALSE)*(1+_emr2)+_rpm2)/IF(Model_Type="LA_PQIS",1000/0.0833,(12*1000))))*Flag_Mort_Rider_Charge*(T19&gt;0),0)</f>
        <v>0</v>
      </c>
      <c r="V19" s="34">
        <f>ROUND(MIN(IF(H19&gt;=7,Charges!$C$12*(1+Charges!$C$14)^((H19-7+1)),VLOOKUP(H19,Charges!$B$7:$C$12,2,0))*pr,Charges!$C$13)*B19,Round)</f>
        <v>450</v>
      </c>
      <c r="W19" s="14">
        <f t="shared" ca="1" si="10"/>
        <v>581030.09171975055</v>
      </c>
      <c r="X19" s="14">
        <f t="shared" ca="1" si="11"/>
        <v>584768.45682469348</v>
      </c>
      <c r="Y19" s="213">
        <f t="shared" ca="1" si="34"/>
        <v>658.22253047966728</v>
      </c>
      <c r="Z19" s="14">
        <f t="shared" ca="1" si="12"/>
        <v>584110.23429421382</v>
      </c>
      <c r="AA19" s="14">
        <f>IF(AND($H19=pt,$F19=11),SUM($K$7:K19)*VLOOKUP(pt,ROC,2,FALSE),0)</f>
        <v>0</v>
      </c>
      <c r="AB19" s="14">
        <f>IF(AND($H19=pt,$F19=11),SUM($V$7:V19)*VLOOKUP(pt,ROC,2,FALSE),0)</f>
        <v>0</v>
      </c>
      <c r="AC19" s="14">
        <f>IF(AND($H19=pt,$F19=11),SUM($Q$7:Q19)*VLOOKUP(pt,ROC,2,FALSE),0)</f>
        <v>0</v>
      </c>
      <c r="AD19" s="14">
        <f t="shared" ca="1" si="35"/>
        <v>584110.23429421382</v>
      </c>
      <c r="AE19" s="14">
        <f ca="1">(MAX(sa-CF18*Flag_UL_Type,105%*SUM($I$7:I19),Z19)+AU19)*B19</f>
        <v>3000000</v>
      </c>
      <c r="AF19" s="136"/>
      <c r="AG19" s="18">
        <v>13</v>
      </c>
      <c r="AH19" s="30">
        <f t="shared" ca="1" si="13"/>
        <v>300000</v>
      </c>
      <c r="AI19" s="138"/>
      <c r="AJ19" s="50">
        <f>IF(AND(Option_Sys_TopUp&gt;="Y",H19&gt;=sytp,H19&lt;=(dtp+sytp-1),F19=0,H19&lt;=ppt+1),atp,0)+IFERROR(VLOOKUP(H19,Input!$B$55:$C$61,2,0),0)*(F19=0)*(Option_TopUP="Y")*(Option_Sys_TopUp="N")*B19*(pt&gt;=H19+5)</f>
        <v>0</v>
      </c>
      <c r="AK19" s="50">
        <f t="shared" si="14"/>
        <v>0</v>
      </c>
      <c r="AL19" s="50">
        <f t="shared" si="36"/>
        <v>0</v>
      </c>
      <c r="AM19" s="50">
        <f t="shared" ca="1" si="15"/>
        <v>0</v>
      </c>
      <c r="AN19" s="50">
        <f ca="1">IF(B19=0,0,AT19*(_rpm1+(1+_emr1)*VLOOKUP(E19,Tab_Mort_Charge,IF(Input!$C$12="M",2,3),0))*(0.001*0.0833)*Flag_Mort_Rider_Charge*(AT19&gt;0))</f>
        <v>0</v>
      </c>
      <c r="AO19" s="50">
        <f t="shared" ca="1" si="37"/>
        <v>0</v>
      </c>
      <c r="AP19" s="50">
        <f t="shared" ca="1" si="38"/>
        <v>0</v>
      </c>
      <c r="AQ19" s="50">
        <f t="shared" ca="1" si="16"/>
        <v>0</v>
      </c>
      <c r="AR19" s="50">
        <f t="shared" ca="1" si="17"/>
        <v>0</v>
      </c>
      <c r="AS19" s="50">
        <f t="shared" si="18"/>
        <v>0</v>
      </c>
      <c r="AT19" s="50">
        <f ca="1">(MAX((MAX(AS19,105%*SUM($AJ$7:AJ19))-AM19*Flag_UL_Type),0)*B19)</f>
        <v>0</v>
      </c>
      <c r="AU19" s="50">
        <f ca="1">(MAX(AS19,AR19,105%*SUM($AJ$7:AJ19))*B19)</f>
        <v>0</v>
      </c>
      <c r="AV19" s="125"/>
      <c r="AW19" s="12">
        <f t="shared" si="51"/>
        <v>13</v>
      </c>
      <c r="AX19" s="14">
        <f t="shared" si="39"/>
        <v>0</v>
      </c>
      <c r="AY19" s="14">
        <f t="shared" ca="1" si="40"/>
        <v>0</v>
      </c>
      <c r="AZ19" s="14">
        <f t="shared" ca="1" si="41"/>
        <v>0</v>
      </c>
      <c r="BA19" s="14">
        <f t="shared" ca="1" si="42"/>
        <v>0</v>
      </c>
      <c r="BB19" s="14">
        <f t="shared" si="43"/>
        <v>6000</v>
      </c>
      <c r="BC19" s="14">
        <f t="shared" ca="1" si="19"/>
        <v>78426.965105401585</v>
      </c>
      <c r="BD19" s="14">
        <f t="shared" ca="1" si="20"/>
        <v>0</v>
      </c>
      <c r="BE19" s="14">
        <f t="shared" si="44"/>
        <v>0</v>
      </c>
      <c r="BF19" s="14">
        <f t="shared" ca="1" si="45"/>
        <v>0</v>
      </c>
      <c r="BG19" s="51">
        <f t="shared" si="21"/>
        <v>0</v>
      </c>
      <c r="BH19" s="51">
        <f t="shared" ca="1" si="22"/>
        <v>0</v>
      </c>
      <c r="BI19" s="51">
        <f t="shared" ca="1" si="46"/>
        <v>0</v>
      </c>
      <c r="BJ19" s="51">
        <f t="shared" ca="1" si="23"/>
        <v>0</v>
      </c>
      <c r="BK19" s="51">
        <f t="shared" si="24"/>
        <v>0</v>
      </c>
      <c r="BL19" s="51">
        <f t="shared" ca="1" si="25"/>
        <v>0</v>
      </c>
      <c r="BM19" s="51">
        <f t="shared" si="26"/>
        <v>0</v>
      </c>
      <c r="BN19" s="51">
        <f t="shared" ca="1" si="27"/>
        <v>0</v>
      </c>
      <c r="BO19" s="51">
        <f t="shared" ca="1" si="28"/>
        <v>0</v>
      </c>
      <c r="BP19" s="51">
        <f t="shared" ca="1" si="29"/>
        <v>0</v>
      </c>
      <c r="BR19" s="32"/>
      <c r="BS19" s="126"/>
      <c r="BT19" s="16"/>
      <c r="BU19" s="58"/>
      <c r="BW19" s="51">
        <f>VLOOKUP(H19,Charges!$AT$4:$AU$33,2,FALSE)*I19</f>
        <v>3000</v>
      </c>
      <c r="BX19" s="51">
        <f t="shared" si="30"/>
        <v>0</v>
      </c>
      <c r="BY19" s="51">
        <f t="shared" si="47"/>
        <v>3000</v>
      </c>
      <c r="BZ19" s="151"/>
      <c r="CA19" s="151"/>
      <c r="CB19" s="32"/>
      <c r="CC19" s="16">
        <f ca="1">SUM($N$7:$N19)</f>
        <v>0</v>
      </c>
      <c r="CD19" s="16">
        <f t="shared" ca="1" si="31"/>
        <v>0</v>
      </c>
      <c r="CE19" s="16">
        <f t="shared" ca="1" si="32"/>
        <v>0</v>
      </c>
      <c r="CF19" s="7">
        <f t="shared" ca="1" si="48"/>
        <v>0</v>
      </c>
    </row>
    <row r="20" spans="1:84" s="7" customFormat="1" x14ac:dyDescent="0.2">
      <c r="A20" s="149"/>
      <c r="B20" s="14">
        <f t="shared" si="0"/>
        <v>1</v>
      </c>
      <c r="C20" s="12">
        <f t="shared" si="1"/>
        <v>1</v>
      </c>
      <c r="D20" s="17">
        <f t="shared" si="49"/>
        <v>14</v>
      </c>
      <c r="E20" s="17">
        <f t="shared" ca="1" si="2"/>
        <v>61</v>
      </c>
      <c r="F20" s="12">
        <f t="shared" ref="F20:F83" si="53">F8</f>
        <v>1</v>
      </c>
      <c r="G20" s="12">
        <f t="shared" si="52"/>
        <v>3</v>
      </c>
      <c r="H20" s="17">
        <f t="shared" ref="H20:H83" si="54">+H8+1</f>
        <v>2</v>
      </c>
      <c r="I20" s="29">
        <f t="shared" si="3"/>
        <v>0</v>
      </c>
      <c r="J20" s="211">
        <f>IFERROR(VLOOKUP(H20,Charges!$T$6:$U$35,2,0)*C20,0)</f>
        <v>0.95</v>
      </c>
      <c r="K20" s="29">
        <f t="shared" si="4"/>
        <v>0</v>
      </c>
      <c r="L20" s="29">
        <f t="shared" si="5"/>
        <v>0</v>
      </c>
      <c r="M20" s="147">
        <f t="shared" ca="1" si="6"/>
        <v>0</v>
      </c>
      <c r="N20" s="148">
        <f ca="1">IF(AND(Option_SPW="Y",Z19&gt;=SPW_Start_Min_FV,H20&gt;=Lock_In_Period,Z19&gt;SPW_Amount_pa+IF(option="Single",1/5*pr,2*pr),H20&gt;=SPW_Start_Year,H20&lt;=SPW_Start_Year+SPW_Duration-1,F20=0,age+H20&gt;=Legal_Age),SPW_Amount_pa,0)+IFERROR(VLOOKUP(H20,Input!$B$68:$C$74,2,0),0)*(F20=0)*(Option_PW="Y")*(Option_SPW="N")*(age+H20&gt;=Legal_Age)</f>
        <v>0</v>
      </c>
      <c r="O20" s="148">
        <f t="shared" ca="1" si="33"/>
        <v>0</v>
      </c>
      <c r="P20" s="14">
        <f ca="1">(MAX(MAX(sa-CF19*Flag_UL_Type,105%*SUM($I$7:I20))-(AD19+L20-N20)*Flag_UL_Type,0)*B20)</f>
        <v>2415889.7657057862</v>
      </c>
      <c r="Q20" s="213">
        <f t="shared" ca="1" si="7"/>
        <v>0</v>
      </c>
      <c r="R20" s="14">
        <f t="shared" ca="1" si="8"/>
        <v>0</v>
      </c>
      <c r="S20" s="14">
        <f t="shared" ca="1" si="9"/>
        <v>0</v>
      </c>
      <c r="T20" s="14">
        <f>IFERROR(IF(WoP_Flag="Y",IF(fq=1,VLOOKUP(ppt*fq-H20,Charges!$AN$41:$AO$59,2,FALSE),IF(fq=2,VLOOKUP(ppt*fq-G20,Charges!$AP$41:$AQ$79,2,FALSE),VLOOKUP(ppt*fq-D20,Charges!$AR$41:$AS$279,2,FALSE)))*pr/fq,0),0)</f>
        <v>0</v>
      </c>
      <c r="U20" s="14">
        <f ca="1">IFERROR(((T20*(VLOOKUP(Input!$D$18+H20-1,Tab_Mort_Charge,IF(Gender_2="M",2,3),FALSE)*(1+_emr2)+_rpm2)/IF(Model_Type="LA_PQIS",1000/0.0833,(12*1000))))*Flag_Mort_Rider_Charge*(T20&gt;0),0)</f>
        <v>0</v>
      </c>
      <c r="V20" s="34">
        <f>ROUND(MIN(IF(H20&gt;=7,Charges!$C$12*(1+Charges!$C$14)^((H20-7+1)),VLOOKUP(H20,Charges!$B$7:$C$12,2,0))*pr,Charges!$C$13)*B20,Round)</f>
        <v>450</v>
      </c>
      <c r="W20" s="14">
        <f t="shared" ca="1" si="10"/>
        <v>583660.23429421382</v>
      </c>
      <c r="X20" s="14">
        <f t="shared" ca="1" si="11"/>
        <v>587415.5218156745</v>
      </c>
      <c r="Y20" s="213">
        <f t="shared" ca="1" si="34"/>
        <v>661.20209922413869</v>
      </c>
      <c r="Z20" s="14">
        <f t="shared" ca="1" si="12"/>
        <v>586754.31971645041</v>
      </c>
      <c r="AA20" s="14">
        <f>IF(AND($H20=pt,$F20=11),SUM($K$7:K20)*VLOOKUP(pt,ROC,2,FALSE),0)</f>
        <v>0</v>
      </c>
      <c r="AB20" s="14">
        <f>IF(AND($H20=pt,$F20=11),SUM($V$7:V20)*VLOOKUP(pt,ROC,2,FALSE),0)</f>
        <v>0</v>
      </c>
      <c r="AC20" s="14">
        <f>IF(AND($H20=pt,$F20=11),SUM($Q$7:Q20)*VLOOKUP(pt,ROC,2,FALSE),0)</f>
        <v>0</v>
      </c>
      <c r="AD20" s="14">
        <f t="shared" ca="1" si="35"/>
        <v>586754.31971645041</v>
      </c>
      <c r="AE20" s="14">
        <f ca="1">(MAX(sa-CF19*Flag_UL_Type,105%*SUM($I$7:I20),Z20)+AU20)*B20</f>
        <v>3000000</v>
      </c>
      <c r="AF20" s="136"/>
      <c r="AG20" s="18">
        <v>14</v>
      </c>
      <c r="AH20" s="30">
        <f t="shared" ca="1" si="13"/>
        <v>0</v>
      </c>
      <c r="AI20" s="138"/>
      <c r="AJ20" s="50">
        <f>IF(AND(Option_Sys_TopUp&gt;="Y",H20&gt;=sytp,H20&lt;=(dtp+sytp-1),F20=0,H20&lt;=ppt+1),atp,0)+IFERROR(VLOOKUP(H20,Input!$B$55:$C$61,2,0),0)*(F20=0)*(Option_TopUP="Y")*(Option_Sys_TopUp="N")*B20*(pt&gt;=H20+5)</f>
        <v>0</v>
      </c>
      <c r="AK20" s="50">
        <f t="shared" si="14"/>
        <v>0</v>
      </c>
      <c r="AL20" s="50">
        <f t="shared" si="36"/>
        <v>0</v>
      </c>
      <c r="AM20" s="50">
        <f t="shared" ca="1" si="15"/>
        <v>0</v>
      </c>
      <c r="AN20" s="50">
        <f ca="1">IF(B20=0,0,AT20*(_rpm1+(1+_emr1)*VLOOKUP(E20,Tab_Mort_Charge,IF(Input!$C$12="M",2,3),0))*(0.001*0.0833)*Flag_Mort_Rider_Charge*(AT20&gt;0))</f>
        <v>0</v>
      </c>
      <c r="AO20" s="50">
        <f t="shared" ca="1" si="37"/>
        <v>0</v>
      </c>
      <c r="AP20" s="50">
        <f t="shared" ca="1" si="38"/>
        <v>0</v>
      </c>
      <c r="AQ20" s="50">
        <f t="shared" ca="1" si="16"/>
        <v>0</v>
      </c>
      <c r="AR20" s="50">
        <f t="shared" ca="1" si="17"/>
        <v>0</v>
      </c>
      <c r="AS20" s="50">
        <f t="shared" si="18"/>
        <v>0</v>
      </c>
      <c r="AT20" s="50">
        <f ca="1">(MAX((MAX(AS20,105%*SUM($AJ$7:AJ20))-AM20*Flag_UL_Type),0)*B20)</f>
        <v>0</v>
      </c>
      <c r="AU20" s="50">
        <f ca="1">(MAX(AS20,AR20,105%*SUM($AJ$7:AJ20))*B20)</f>
        <v>0</v>
      </c>
      <c r="AV20" s="125"/>
      <c r="AW20" s="12">
        <f t="shared" si="51"/>
        <v>14</v>
      </c>
      <c r="AX20" s="14">
        <f t="shared" si="39"/>
        <v>0</v>
      </c>
      <c r="AY20" s="14">
        <f t="shared" ca="1" si="40"/>
        <v>0</v>
      </c>
      <c r="AZ20" s="14">
        <f t="shared" ca="1" si="41"/>
        <v>0</v>
      </c>
      <c r="BA20" s="14">
        <f t="shared" ca="1" si="42"/>
        <v>0</v>
      </c>
      <c r="BB20" s="14">
        <f t="shared" si="43"/>
        <v>6000</v>
      </c>
      <c r="BC20" s="14">
        <f t="shared" ca="1" si="19"/>
        <v>87679.415673634765</v>
      </c>
      <c r="BD20" s="14">
        <f t="shared" ca="1" si="20"/>
        <v>0</v>
      </c>
      <c r="BE20" s="14">
        <f t="shared" si="44"/>
        <v>0</v>
      </c>
      <c r="BF20" s="14">
        <f t="shared" ca="1" si="45"/>
        <v>0</v>
      </c>
      <c r="BG20" s="51">
        <f t="shared" si="21"/>
        <v>0</v>
      </c>
      <c r="BH20" s="51">
        <f t="shared" ca="1" si="22"/>
        <v>0</v>
      </c>
      <c r="BI20" s="51">
        <f t="shared" ca="1" si="46"/>
        <v>0</v>
      </c>
      <c r="BJ20" s="51">
        <f t="shared" ca="1" si="23"/>
        <v>0</v>
      </c>
      <c r="BK20" s="51">
        <f t="shared" si="24"/>
        <v>0</v>
      </c>
      <c r="BL20" s="51">
        <f t="shared" ca="1" si="25"/>
        <v>0</v>
      </c>
      <c r="BM20" s="51">
        <f t="shared" si="26"/>
        <v>0</v>
      </c>
      <c r="BN20" s="51">
        <f t="shared" ca="1" si="27"/>
        <v>0</v>
      </c>
      <c r="BO20" s="51">
        <f t="shared" ca="1" si="28"/>
        <v>0</v>
      </c>
      <c r="BP20" s="51">
        <f t="shared" ca="1" si="29"/>
        <v>0</v>
      </c>
      <c r="BR20" s="32"/>
      <c r="BS20" s="126"/>
      <c r="BT20" s="16"/>
      <c r="BU20" s="58"/>
      <c r="BW20" s="51">
        <f>VLOOKUP(H20,Charges!$AT$4:$AU$33,2,FALSE)*I20</f>
        <v>0</v>
      </c>
      <c r="BX20" s="51">
        <f t="shared" si="30"/>
        <v>0</v>
      </c>
      <c r="BY20" s="51">
        <f t="shared" si="47"/>
        <v>0</v>
      </c>
      <c r="BZ20" s="151"/>
      <c r="CA20" s="151"/>
      <c r="CB20" s="32"/>
      <c r="CC20" s="16">
        <f ca="1">SUM($N$7:$N20)</f>
        <v>0</v>
      </c>
      <c r="CD20" s="16">
        <f t="shared" ca="1" si="31"/>
        <v>0</v>
      </c>
      <c r="CE20" s="16">
        <f t="shared" ca="1" si="32"/>
        <v>0</v>
      </c>
      <c r="CF20" s="7">
        <f t="shared" ca="1" si="48"/>
        <v>0</v>
      </c>
    </row>
    <row r="21" spans="1:84" s="7" customFormat="1" x14ac:dyDescent="0.2">
      <c r="A21" s="149"/>
      <c r="B21" s="14">
        <f t="shared" si="0"/>
        <v>1</v>
      </c>
      <c r="C21" s="12">
        <f t="shared" si="1"/>
        <v>1</v>
      </c>
      <c r="D21" s="17">
        <f t="shared" si="49"/>
        <v>15</v>
      </c>
      <c r="E21" s="17">
        <f t="shared" ca="1" si="2"/>
        <v>61</v>
      </c>
      <c r="F21" s="12">
        <f t="shared" si="53"/>
        <v>2</v>
      </c>
      <c r="G21" s="12">
        <f t="shared" si="52"/>
        <v>3</v>
      </c>
      <c r="H21" s="17">
        <f t="shared" si="54"/>
        <v>2</v>
      </c>
      <c r="I21" s="29">
        <f t="shared" si="3"/>
        <v>0</v>
      </c>
      <c r="J21" s="211">
        <f>IFERROR(VLOOKUP(H21,Charges!$T$6:$U$35,2,0)*C21,0)</f>
        <v>0.95</v>
      </c>
      <c r="K21" s="29">
        <f t="shared" si="4"/>
        <v>0</v>
      </c>
      <c r="L21" s="29">
        <f t="shared" si="5"/>
        <v>0</v>
      </c>
      <c r="M21" s="147">
        <f t="shared" ca="1" si="6"/>
        <v>0</v>
      </c>
      <c r="N21" s="148">
        <f ca="1">IF(AND(Option_SPW="Y",Z20&gt;=SPW_Start_Min_FV,H21&gt;=Lock_In_Period,Z20&gt;SPW_Amount_pa+IF(option="Single",1/5*pr,2*pr),H21&gt;=SPW_Start_Year,H21&lt;=SPW_Start_Year+SPW_Duration-1,F21=0,age+H21&gt;=Legal_Age),SPW_Amount_pa,0)+IFERROR(VLOOKUP(H21,Input!$B$68:$C$74,2,0),0)*(F21=0)*(Option_PW="Y")*(Option_SPW="N")*(age+H21&gt;=Legal_Age)</f>
        <v>0</v>
      </c>
      <c r="O21" s="148">
        <f t="shared" ca="1" si="33"/>
        <v>0</v>
      </c>
      <c r="P21" s="14">
        <f ca="1">(MAX(MAX(sa-CF20*Flag_UL_Type,105%*SUM($I$7:I21))-(AD20+L21-N21)*Flag_UL_Type,0)*B21)</f>
        <v>2413245.6802835497</v>
      </c>
      <c r="Q21" s="213">
        <f t="shared" ca="1" si="7"/>
        <v>0</v>
      </c>
      <c r="R21" s="14">
        <f t="shared" ca="1" si="8"/>
        <v>0</v>
      </c>
      <c r="S21" s="14">
        <f t="shared" ca="1" si="9"/>
        <v>0</v>
      </c>
      <c r="T21" s="14">
        <f>IFERROR(IF(WoP_Flag="Y",IF(fq=1,VLOOKUP(ppt*fq-H21,Charges!$AN$41:$AO$59,2,FALSE),IF(fq=2,VLOOKUP(ppt*fq-G21,Charges!$AP$41:$AQ$79,2,FALSE),VLOOKUP(ppt*fq-D21,Charges!$AR$41:$AS$279,2,FALSE)))*pr/fq,0),0)</f>
        <v>0</v>
      </c>
      <c r="U21" s="14">
        <f ca="1">IFERROR(((T21*(VLOOKUP(Input!$D$18+H21-1,Tab_Mort_Charge,IF(Gender_2="M",2,3),FALSE)*(1+_emr2)+_rpm2)/IF(Model_Type="LA_PQIS",1000/0.0833,(12*1000))))*Flag_Mort_Rider_Charge*(T21&gt;0),0)</f>
        <v>0</v>
      </c>
      <c r="V21" s="34">
        <f>ROUND(MIN(IF(H21&gt;=7,Charges!$C$12*(1+Charges!$C$14)^((H21-7+1)),VLOOKUP(H21,Charges!$B$7:$C$12,2,0))*pr,Charges!$C$13)*B21,Round)</f>
        <v>450</v>
      </c>
      <c r="W21" s="14">
        <f t="shared" ca="1" si="10"/>
        <v>586304.31971645041</v>
      </c>
      <c r="X21" s="14">
        <f t="shared" ca="1" si="11"/>
        <v>590076.61936313112</v>
      </c>
      <c r="Y21" s="213">
        <f t="shared" ca="1" si="34"/>
        <v>664.1974631858875</v>
      </c>
      <c r="Z21" s="14">
        <f t="shared" ca="1" si="12"/>
        <v>589412.42189994524</v>
      </c>
      <c r="AA21" s="14">
        <f>IF(AND($H21=pt,$F21=11),SUM($K$7:K21)*VLOOKUP(pt,ROC,2,FALSE),0)</f>
        <v>0</v>
      </c>
      <c r="AB21" s="14">
        <f>IF(AND($H21=pt,$F21=11),SUM($V$7:V21)*VLOOKUP(pt,ROC,2,FALSE),0)</f>
        <v>0</v>
      </c>
      <c r="AC21" s="14">
        <f>IF(AND($H21=pt,$F21=11),SUM($Q$7:Q21)*VLOOKUP(pt,ROC,2,FALSE),0)</f>
        <v>0</v>
      </c>
      <c r="AD21" s="14">
        <f t="shared" ca="1" si="35"/>
        <v>589412.42189994524</v>
      </c>
      <c r="AE21" s="14">
        <f ca="1">(MAX(sa-CF20*Flag_UL_Type,105%*SUM($I$7:I21),Z21)+AU21)*B21</f>
        <v>3000000</v>
      </c>
      <c r="AF21" s="136"/>
      <c r="AG21" s="18">
        <v>15</v>
      </c>
      <c r="AH21" s="30">
        <f t="shared" ca="1" si="13"/>
        <v>0</v>
      </c>
      <c r="AI21" s="138"/>
      <c r="AJ21" s="50">
        <f>IF(AND(Option_Sys_TopUp&gt;="Y",H21&gt;=sytp,H21&lt;=(dtp+sytp-1),F21=0,H21&lt;=ppt+1),atp,0)+IFERROR(VLOOKUP(H21,Input!$B$55:$C$61,2,0),0)*(F21=0)*(Option_TopUP="Y")*(Option_Sys_TopUp="N")*B21*(pt&gt;=H21+5)</f>
        <v>0</v>
      </c>
      <c r="AK21" s="50">
        <f t="shared" si="14"/>
        <v>0</v>
      </c>
      <c r="AL21" s="50">
        <f t="shared" si="36"/>
        <v>0</v>
      </c>
      <c r="AM21" s="50">
        <f t="shared" ca="1" si="15"/>
        <v>0</v>
      </c>
      <c r="AN21" s="50">
        <f ca="1">IF(B21=0,0,AT21*(_rpm1+(1+_emr1)*VLOOKUP(E21,Tab_Mort_Charge,IF(Input!$C$12="M",2,3),0))*(0.001*0.0833)*Flag_Mort_Rider_Charge*(AT21&gt;0))</f>
        <v>0</v>
      </c>
      <c r="AO21" s="50">
        <f t="shared" ca="1" si="37"/>
        <v>0</v>
      </c>
      <c r="AP21" s="50">
        <f t="shared" ca="1" si="38"/>
        <v>0</v>
      </c>
      <c r="AQ21" s="50">
        <f t="shared" ca="1" si="16"/>
        <v>0</v>
      </c>
      <c r="AR21" s="50">
        <f t="shared" ca="1" si="17"/>
        <v>0</v>
      </c>
      <c r="AS21" s="50">
        <f t="shared" si="18"/>
        <v>0</v>
      </c>
      <c r="AT21" s="50">
        <f ca="1">(MAX((MAX(AS21,105%*SUM($AJ$7:AJ21))-AM21*Flag_UL_Type),0)*B21)</f>
        <v>0</v>
      </c>
      <c r="AU21" s="50">
        <f ca="1">(MAX(AS21,AR21,105%*SUM($AJ$7:AJ21))*B21)</f>
        <v>0</v>
      </c>
      <c r="AV21" s="125"/>
      <c r="AW21" s="12">
        <f t="shared" si="51"/>
        <v>15</v>
      </c>
      <c r="AX21" s="14">
        <f t="shared" si="39"/>
        <v>0</v>
      </c>
      <c r="AY21" s="14">
        <f t="shared" ca="1" si="40"/>
        <v>0</v>
      </c>
      <c r="AZ21" s="14">
        <f t="shared" ca="1" si="41"/>
        <v>0</v>
      </c>
      <c r="BA21" s="14">
        <f t="shared" ca="1" si="42"/>
        <v>0</v>
      </c>
      <c r="BB21" s="14">
        <f t="shared" si="43"/>
        <v>6000</v>
      </c>
      <c r="BC21" s="14">
        <f t="shared" ca="1" si="19"/>
        <v>97537.920623401034</v>
      </c>
      <c r="BD21" s="14">
        <f t="shared" ca="1" si="20"/>
        <v>0</v>
      </c>
      <c r="BE21" s="14">
        <f t="shared" si="44"/>
        <v>0</v>
      </c>
      <c r="BF21" s="14">
        <f t="shared" ca="1" si="45"/>
        <v>0</v>
      </c>
      <c r="BG21" s="51">
        <f t="shared" si="21"/>
        <v>0</v>
      </c>
      <c r="BH21" s="51">
        <f t="shared" ca="1" si="22"/>
        <v>0</v>
      </c>
      <c r="BI21" s="51">
        <f t="shared" ca="1" si="46"/>
        <v>0</v>
      </c>
      <c r="BJ21" s="51">
        <f t="shared" ca="1" si="23"/>
        <v>0</v>
      </c>
      <c r="BK21" s="51">
        <f t="shared" si="24"/>
        <v>0</v>
      </c>
      <c r="BL21" s="51">
        <f t="shared" ca="1" si="25"/>
        <v>0</v>
      </c>
      <c r="BM21" s="51">
        <f t="shared" si="26"/>
        <v>0</v>
      </c>
      <c r="BN21" s="51">
        <f t="shared" ca="1" si="27"/>
        <v>0</v>
      </c>
      <c r="BO21" s="51">
        <f t="shared" ca="1" si="28"/>
        <v>0</v>
      </c>
      <c r="BP21" s="51">
        <f t="shared" ca="1" si="29"/>
        <v>0</v>
      </c>
      <c r="BR21" s="32"/>
      <c r="BS21" s="126"/>
      <c r="BT21" s="16"/>
      <c r="BU21" s="58"/>
      <c r="BW21" s="51">
        <f>VLOOKUP(H21,Charges!$AT$4:$AU$33,2,FALSE)*I21</f>
        <v>0</v>
      </c>
      <c r="BX21" s="51">
        <f t="shared" si="30"/>
        <v>0</v>
      </c>
      <c r="BY21" s="51">
        <f t="shared" si="47"/>
        <v>0</v>
      </c>
      <c r="BZ21" s="151"/>
      <c r="CA21" s="151"/>
      <c r="CB21" s="32"/>
      <c r="CC21" s="16">
        <f ca="1">SUM($N$7:$N21)</f>
        <v>0</v>
      </c>
      <c r="CD21" s="16">
        <f t="shared" ca="1" si="31"/>
        <v>0</v>
      </c>
      <c r="CE21" s="16">
        <f t="shared" ca="1" si="32"/>
        <v>0</v>
      </c>
      <c r="CF21" s="7">
        <f t="shared" ca="1" si="48"/>
        <v>0</v>
      </c>
    </row>
    <row r="22" spans="1:84" s="7" customFormat="1" x14ac:dyDescent="0.2">
      <c r="A22" s="149"/>
      <c r="B22" s="14">
        <f t="shared" si="0"/>
        <v>1</v>
      </c>
      <c r="C22" s="12">
        <f t="shared" si="1"/>
        <v>1</v>
      </c>
      <c r="D22" s="17">
        <f t="shared" si="49"/>
        <v>16</v>
      </c>
      <c r="E22" s="17">
        <f t="shared" ca="1" si="2"/>
        <v>61</v>
      </c>
      <c r="F22" s="12">
        <f t="shared" si="53"/>
        <v>3</v>
      </c>
      <c r="G22" s="12">
        <f t="shared" si="52"/>
        <v>3</v>
      </c>
      <c r="H22" s="17">
        <f t="shared" si="54"/>
        <v>2</v>
      </c>
      <c r="I22" s="29">
        <f t="shared" si="3"/>
        <v>0</v>
      </c>
      <c r="J22" s="211">
        <f>IFERROR(VLOOKUP(H22,Charges!$T$6:$U$35,2,0)*C22,0)</f>
        <v>0.95</v>
      </c>
      <c r="K22" s="29">
        <f t="shared" si="4"/>
        <v>0</v>
      </c>
      <c r="L22" s="29">
        <f t="shared" si="5"/>
        <v>0</v>
      </c>
      <c r="M22" s="147">
        <f t="shared" ca="1" si="6"/>
        <v>0</v>
      </c>
      <c r="N22" s="148">
        <f ca="1">IF(AND(Option_SPW="Y",Z21&gt;=SPW_Start_Min_FV,H22&gt;=Lock_In_Period,Z21&gt;SPW_Amount_pa+IF(option="Single",1/5*pr,2*pr),H22&gt;=SPW_Start_Year,H22&lt;=SPW_Start_Year+SPW_Duration-1,F22=0,age+H22&gt;=Legal_Age),SPW_Amount_pa,0)+IFERROR(VLOOKUP(H22,Input!$B$68:$C$74,2,0),0)*(F22=0)*(Option_PW="Y")*(Option_SPW="N")*(age+H22&gt;=Legal_Age)</f>
        <v>0</v>
      </c>
      <c r="O22" s="148">
        <f t="shared" ca="1" si="33"/>
        <v>0</v>
      </c>
      <c r="P22" s="14">
        <f ca="1">(MAX(MAX(sa-CF21*Flag_UL_Type,105%*SUM($I$7:I22))-(AD21+L22-N22)*Flag_UL_Type,0)*B22)</f>
        <v>2410587.5781000545</v>
      </c>
      <c r="Q22" s="213">
        <f t="shared" ca="1" si="7"/>
        <v>0</v>
      </c>
      <c r="R22" s="14">
        <f t="shared" ca="1" si="8"/>
        <v>0</v>
      </c>
      <c r="S22" s="14">
        <f t="shared" ca="1" si="9"/>
        <v>0</v>
      </c>
      <c r="T22" s="14">
        <f>IFERROR(IF(WoP_Flag="Y",IF(fq=1,VLOOKUP(ppt*fq-H22,Charges!$AN$41:$AO$59,2,FALSE),IF(fq=2,VLOOKUP(ppt*fq-G22,Charges!$AP$41:$AQ$79,2,FALSE),VLOOKUP(ppt*fq-D22,Charges!$AR$41:$AS$279,2,FALSE)))*pr/fq,0),0)</f>
        <v>0</v>
      </c>
      <c r="U22" s="14">
        <f ca="1">IFERROR(((T22*(VLOOKUP(Input!$D$18+H22-1,Tab_Mort_Charge,IF(Gender_2="M",2,3),FALSE)*(1+_emr2)+_rpm2)/IF(Model_Type="LA_PQIS",1000/0.0833,(12*1000))))*Flag_Mort_Rider_Charge*(T22&gt;0),0)</f>
        <v>0</v>
      </c>
      <c r="V22" s="34">
        <f>ROUND(MIN(IF(H22&gt;=7,Charges!$C$12*(1+Charges!$C$14)^((H22-7+1)),VLOOKUP(H22,Charges!$B$7:$C$12,2,0))*pr,Charges!$C$13)*B22,Round)</f>
        <v>450</v>
      </c>
      <c r="W22" s="14">
        <f t="shared" ca="1" si="10"/>
        <v>588962.42189994524</v>
      </c>
      <c r="X22" s="14">
        <f t="shared" ca="1" si="11"/>
        <v>592751.82385610999</v>
      </c>
      <c r="Y22" s="213">
        <f t="shared" ca="1" si="34"/>
        <v>667.20870609813483</v>
      </c>
      <c r="Z22" s="14">
        <f t="shared" ca="1" si="12"/>
        <v>592084.61515001184</v>
      </c>
      <c r="AA22" s="14">
        <f>IF(AND($H22=pt,$F22=11),SUM($K$7:K22)*VLOOKUP(pt,ROC,2,FALSE),0)</f>
        <v>0</v>
      </c>
      <c r="AB22" s="14">
        <f>IF(AND($H22=pt,$F22=11),SUM($V$7:V22)*VLOOKUP(pt,ROC,2,FALSE),0)</f>
        <v>0</v>
      </c>
      <c r="AC22" s="14">
        <f>IF(AND($H22=pt,$F22=11),SUM($Q$7:Q22)*VLOOKUP(pt,ROC,2,FALSE),0)</f>
        <v>0</v>
      </c>
      <c r="AD22" s="14">
        <f t="shared" ca="1" si="35"/>
        <v>592084.61515001184</v>
      </c>
      <c r="AE22" s="14">
        <f ca="1">(MAX(sa-CF21*Flag_UL_Type,105%*SUM($I$7:I22),Z22)+AU22)*B22</f>
        <v>3000000</v>
      </c>
      <c r="AF22" s="136"/>
      <c r="AG22" s="18">
        <v>16</v>
      </c>
      <c r="AH22" s="30">
        <f t="shared" ca="1" si="13"/>
        <v>0</v>
      </c>
      <c r="AI22" s="138"/>
      <c r="AJ22" s="50">
        <f>IF(AND(Option_Sys_TopUp&gt;="Y",H22&gt;=sytp,H22&lt;=(dtp+sytp-1),F22=0,H22&lt;=ppt+1),atp,0)+IFERROR(VLOOKUP(H22,Input!$B$55:$C$61,2,0),0)*(F22=0)*(Option_TopUP="Y")*(Option_Sys_TopUp="N")*B22*(pt&gt;=H22+5)</f>
        <v>0</v>
      </c>
      <c r="AK22" s="50">
        <f t="shared" si="14"/>
        <v>0</v>
      </c>
      <c r="AL22" s="50">
        <f t="shared" si="36"/>
        <v>0</v>
      </c>
      <c r="AM22" s="50">
        <f t="shared" ca="1" si="15"/>
        <v>0</v>
      </c>
      <c r="AN22" s="50">
        <f ca="1">IF(B22=0,0,AT22*(_rpm1+(1+_emr1)*VLOOKUP(E22,Tab_Mort_Charge,IF(Input!$C$12="M",2,3),0))*(0.001*0.0833)*Flag_Mort_Rider_Charge*(AT22&gt;0))</f>
        <v>0</v>
      </c>
      <c r="AO22" s="50">
        <f t="shared" ca="1" si="37"/>
        <v>0</v>
      </c>
      <c r="AP22" s="50">
        <f t="shared" ca="1" si="38"/>
        <v>0</v>
      </c>
      <c r="AQ22" s="50">
        <f t="shared" ca="1" si="16"/>
        <v>0</v>
      </c>
      <c r="AR22" s="50">
        <f t="shared" ca="1" si="17"/>
        <v>0</v>
      </c>
      <c r="AS22" s="50">
        <f t="shared" si="18"/>
        <v>0</v>
      </c>
      <c r="AT22" s="50">
        <f ca="1">(MAX((MAX(AS22,105%*SUM($AJ$7:AJ22))-AM22*Flag_UL_Type),0)*B22)</f>
        <v>0</v>
      </c>
      <c r="AU22" s="50">
        <f ca="1">(MAX(AS22,AR22,105%*SUM($AJ$7:AJ22))*B22)</f>
        <v>0</v>
      </c>
      <c r="AV22" s="125"/>
      <c r="AW22" s="12">
        <f t="shared" si="51"/>
        <v>16</v>
      </c>
      <c r="AX22" s="14">
        <f t="shared" si="39"/>
        <v>0</v>
      </c>
      <c r="AY22" s="14">
        <f t="shared" si="40"/>
        <v>0</v>
      </c>
      <c r="AZ22" s="14">
        <f t="shared" ca="1" si="41"/>
        <v>0</v>
      </c>
      <c r="BA22" s="14">
        <f t="shared" ca="1" si="42"/>
        <v>0</v>
      </c>
      <c r="BB22" s="14">
        <f t="shared" si="43"/>
        <v>0</v>
      </c>
      <c r="BC22" s="14">
        <f t="shared" ca="1" si="19"/>
        <v>0</v>
      </c>
      <c r="BD22" s="14">
        <f t="shared" ca="1" si="20"/>
        <v>0</v>
      </c>
      <c r="BE22" s="14">
        <f t="shared" si="44"/>
        <v>0</v>
      </c>
      <c r="BF22" s="14">
        <f t="shared" ca="1" si="45"/>
        <v>0</v>
      </c>
      <c r="BG22" s="51">
        <f t="shared" si="21"/>
        <v>0</v>
      </c>
      <c r="BH22" s="51">
        <f t="shared" ca="1" si="22"/>
        <v>0</v>
      </c>
      <c r="BI22" s="51">
        <f t="shared" ca="1" si="46"/>
        <v>0</v>
      </c>
      <c r="BJ22" s="51">
        <f t="shared" ca="1" si="23"/>
        <v>0</v>
      </c>
      <c r="BK22" s="51">
        <f t="shared" si="24"/>
        <v>0</v>
      </c>
      <c r="BL22" s="51">
        <f t="shared" ca="1" si="25"/>
        <v>0</v>
      </c>
      <c r="BM22" s="51">
        <f t="shared" si="26"/>
        <v>0</v>
      </c>
      <c r="BN22" s="51">
        <f t="shared" ca="1" si="27"/>
        <v>0</v>
      </c>
      <c r="BO22" s="51">
        <f t="shared" ca="1" si="28"/>
        <v>0</v>
      </c>
      <c r="BP22" s="51">
        <f t="shared" ca="1" si="29"/>
        <v>0</v>
      </c>
      <c r="BR22" s="32"/>
      <c r="BS22" s="126"/>
      <c r="BT22" s="16"/>
      <c r="BU22" s="58"/>
      <c r="BW22" s="51">
        <f>VLOOKUP(H22,Charges!$AT$4:$AU$33,2,FALSE)*I22</f>
        <v>0</v>
      </c>
      <c r="BX22" s="51">
        <f t="shared" si="30"/>
        <v>0</v>
      </c>
      <c r="BY22" s="51">
        <f t="shared" si="47"/>
        <v>0</v>
      </c>
      <c r="BZ22" s="151"/>
      <c r="CA22" s="151"/>
      <c r="CB22" s="32"/>
      <c r="CC22" s="16">
        <f ca="1">SUM($N$7:$N22)</f>
        <v>0</v>
      </c>
      <c r="CD22" s="16">
        <f t="shared" ca="1" si="31"/>
        <v>0</v>
      </c>
      <c r="CE22" s="16">
        <f t="shared" ca="1" si="32"/>
        <v>0</v>
      </c>
      <c r="CF22" s="7">
        <f t="shared" ca="1" si="48"/>
        <v>0</v>
      </c>
    </row>
    <row r="23" spans="1:84" s="7" customFormat="1" x14ac:dyDescent="0.2">
      <c r="A23" s="149"/>
      <c r="B23" s="14">
        <f t="shared" si="0"/>
        <v>1</v>
      </c>
      <c r="C23" s="12">
        <f t="shared" si="1"/>
        <v>1</v>
      </c>
      <c r="D23" s="17">
        <f t="shared" si="49"/>
        <v>17</v>
      </c>
      <c r="E23" s="17">
        <f t="shared" ca="1" si="2"/>
        <v>61</v>
      </c>
      <c r="F23" s="12">
        <f t="shared" si="53"/>
        <v>4</v>
      </c>
      <c r="G23" s="12">
        <f t="shared" si="52"/>
        <v>3</v>
      </c>
      <c r="H23" s="17">
        <f t="shared" si="54"/>
        <v>2</v>
      </c>
      <c r="I23" s="29">
        <f t="shared" si="3"/>
        <v>0</v>
      </c>
      <c r="J23" s="211">
        <f>IFERROR(VLOOKUP(H23,Charges!$T$6:$U$35,2,0)*C23,0)</f>
        <v>0.95</v>
      </c>
      <c r="K23" s="29">
        <f t="shared" si="4"/>
        <v>0</v>
      </c>
      <c r="L23" s="29">
        <f t="shared" si="5"/>
        <v>0</v>
      </c>
      <c r="M23" s="147">
        <f t="shared" ca="1" si="6"/>
        <v>0</v>
      </c>
      <c r="N23" s="148">
        <f ca="1">IF(AND(Option_SPW="Y",Z22&gt;=SPW_Start_Min_FV,H23&gt;=Lock_In_Period,Z22&gt;SPW_Amount_pa+IF(option="Single",1/5*pr,2*pr),H23&gt;=SPW_Start_Year,H23&lt;=SPW_Start_Year+SPW_Duration-1,F23=0,age+H23&gt;=Legal_Age),SPW_Amount_pa,0)+IFERROR(VLOOKUP(H23,Input!$B$68:$C$74,2,0),0)*(F23=0)*(Option_PW="Y")*(Option_SPW="N")*(age+H23&gt;=Legal_Age)</f>
        <v>0</v>
      </c>
      <c r="O23" s="148">
        <f t="shared" ca="1" si="33"/>
        <v>0</v>
      </c>
      <c r="P23" s="14">
        <f ca="1">(MAX(MAX(sa-CF22*Flag_UL_Type,105%*SUM($I$7:I23))-(AD22+L23-N23)*Flag_UL_Type,0)*B23)</f>
        <v>2407915.3848499879</v>
      </c>
      <c r="Q23" s="213">
        <f t="shared" ca="1" si="7"/>
        <v>0</v>
      </c>
      <c r="R23" s="14">
        <f t="shared" ca="1" si="8"/>
        <v>0</v>
      </c>
      <c r="S23" s="14">
        <f t="shared" ca="1" si="9"/>
        <v>0</v>
      </c>
      <c r="T23" s="14">
        <f>IFERROR(IF(WoP_Flag="Y",IF(fq=1,VLOOKUP(ppt*fq-H23,Charges!$AN$41:$AO$59,2,FALSE),IF(fq=2,VLOOKUP(ppt*fq-G23,Charges!$AP$41:$AQ$79,2,FALSE),VLOOKUP(ppt*fq-D23,Charges!$AR$41:$AS$279,2,FALSE)))*pr/fq,0),0)</f>
        <v>0</v>
      </c>
      <c r="U23" s="14">
        <f ca="1">IFERROR(((T23*(VLOOKUP(Input!$D$18+H23-1,Tab_Mort_Charge,IF(Gender_2="M",2,3),FALSE)*(1+_emr2)+_rpm2)/IF(Model_Type="LA_PQIS",1000/0.0833,(12*1000))))*Flag_Mort_Rider_Charge*(T23&gt;0),0)</f>
        <v>0</v>
      </c>
      <c r="V23" s="34">
        <f>ROUND(MIN(IF(H23&gt;=7,Charges!$C$12*(1+Charges!$C$14)^((H23-7+1)),VLOOKUP(H23,Charges!$B$7:$C$12,2,0))*pr,Charges!$C$13)*B23,Round)</f>
        <v>450</v>
      </c>
      <c r="W23" s="14">
        <f t="shared" ca="1" si="10"/>
        <v>591634.61515001184</v>
      </c>
      <c r="X23" s="14">
        <f t="shared" ca="1" si="11"/>
        <v>595441.21007800731</v>
      </c>
      <c r="Y23" s="213">
        <f t="shared" ca="1" si="34"/>
        <v>670.23591213798636</v>
      </c>
      <c r="Z23" s="14">
        <f t="shared" ca="1" si="12"/>
        <v>594770.97416586929</v>
      </c>
      <c r="AA23" s="14">
        <f>IF(AND($H23=pt,$F23=11),SUM($K$7:K23)*VLOOKUP(pt,ROC,2,FALSE),0)</f>
        <v>0</v>
      </c>
      <c r="AB23" s="14">
        <f>IF(AND($H23=pt,$F23=11),SUM($V$7:V23)*VLOOKUP(pt,ROC,2,FALSE),0)</f>
        <v>0</v>
      </c>
      <c r="AC23" s="14">
        <f>IF(AND($H23=pt,$F23=11),SUM($Q$7:Q23)*VLOOKUP(pt,ROC,2,FALSE),0)</f>
        <v>0</v>
      </c>
      <c r="AD23" s="14">
        <f t="shared" ca="1" si="35"/>
        <v>594770.97416586929</v>
      </c>
      <c r="AE23" s="14">
        <f ca="1">(MAX(sa-CF22*Flag_UL_Type,105%*SUM($I$7:I23),Z23)+AU23)*B23</f>
        <v>3000000</v>
      </c>
      <c r="AF23" s="136"/>
      <c r="AG23" s="18">
        <v>17</v>
      </c>
      <c r="AH23" s="30">
        <f t="shared" ca="1" si="13"/>
        <v>0</v>
      </c>
      <c r="AI23" s="138"/>
      <c r="AJ23" s="50">
        <f>IF(AND(Option_Sys_TopUp&gt;="Y",H23&gt;=sytp,H23&lt;=(dtp+sytp-1),F23=0,H23&lt;=ppt+1),atp,0)+IFERROR(VLOOKUP(H23,Input!$B$55:$C$61,2,0),0)*(F23=0)*(Option_TopUP="Y")*(Option_Sys_TopUp="N")*B23*(pt&gt;=H23+5)</f>
        <v>0</v>
      </c>
      <c r="AK23" s="50">
        <f t="shared" si="14"/>
        <v>0</v>
      </c>
      <c r="AL23" s="50">
        <f t="shared" si="36"/>
        <v>0</v>
      </c>
      <c r="AM23" s="50">
        <f t="shared" ca="1" si="15"/>
        <v>0</v>
      </c>
      <c r="AN23" s="50">
        <f ca="1">IF(B23=0,0,AT23*(_rpm1+(1+_emr1)*VLOOKUP(E23,Tab_Mort_Charge,IF(Input!$C$12="M",2,3),0))*(0.001*0.0833)*Flag_Mort_Rider_Charge*(AT23&gt;0))</f>
        <v>0</v>
      </c>
      <c r="AO23" s="50">
        <f t="shared" ca="1" si="37"/>
        <v>0</v>
      </c>
      <c r="AP23" s="50">
        <f t="shared" ca="1" si="38"/>
        <v>0</v>
      </c>
      <c r="AQ23" s="50">
        <f t="shared" ca="1" si="16"/>
        <v>0</v>
      </c>
      <c r="AR23" s="50">
        <f t="shared" ca="1" si="17"/>
        <v>0</v>
      </c>
      <c r="AS23" s="50">
        <f t="shared" si="18"/>
        <v>0</v>
      </c>
      <c r="AT23" s="50">
        <f ca="1">(MAX((MAX(AS23,105%*SUM($AJ$7:AJ23))-AM23*Flag_UL_Type),0)*B23)</f>
        <v>0</v>
      </c>
      <c r="AU23" s="50">
        <f ca="1">(MAX(AS23,AR23,105%*SUM($AJ$7:AJ23))*B23)</f>
        <v>0</v>
      </c>
      <c r="AV23" s="125"/>
      <c r="AW23" s="12">
        <f t="shared" si="51"/>
        <v>17</v>
      </c>
      <c r="AX23" s="14">
        <f t="shared" si="39"/>
        <v>0</v>
      </c>
      <c r="AY23" s="14">
        <f t="shared" si="40"/>
        <v>0</v>
      </c>
      <c r="AZ23" s="14">
        <f t="shared" ca="1" si="41"/>
        <v>0</v>
      </c>
      <c r="BA23" s="14">
        <f t="shared" ca="1" si="42"/>
        <v>0</v>
      </c>
      <c r="BB23" s="14">
        <f t="shared" si="43"/>
        <v>0</v>
      </c>
      <c r="BC23" s="14">
        <f t="shared" ca="1" si="19"/>
        <v>0</v>
      </c>
      <c r="BD23" s="14">
        <f t="shared" ca="1" si="20"/>
        <v>0</v>
      </c>
      <c r="BE23" s="14">
        <f t="shared" si="44"/>
        <v>0</v>
      </c>
      <c r="BF23" s="14">
        <f t="shared" ca="1" si="45"/>
        <v>0</v>
      </c>
      <c r="BG23" s="51">
        <f t="shared" si="21"/>
        <v>0</v>
      </c>
      <c r="BH23" s="51">
        <f t="shared" ca="1" si="22"/>
        <v>0</v>
      </c>
      <c r="BI23" s="51">
        <f t="shared" ca="1" si="46"/>
        <v>0</v>
      </c>
      <c r="BJ23" s="51">
        <f t="shared" ca="1" si="23"/>
        <v>0</v>
      </c>
      <c r="BK23" s="51">
        <f t="shared" si="24"/>
        <v>0</v>
      </c>
      <c r="BL23" s="51">
        <f t="shared" ca="1" si="25"/>
        <v>0</v>
      </c>
      <c r="BM23" s="51">
        <f t="shared" si="26"/>
        <v>0</v>
      </c>
      <c r="BN23" s="51">
        <f t="shared" ca="1" si="27"/>
        <v>0</v>
      </c>
      <c r="BO23" s="51">
        <f t="shared" ca="1" si="28"/>
        <v>0</v>
      </c>
      <c r="BP23" s="51">
        <f t="shared" ca="1" si="29"/>
        <v>0</v>
      </c>
      <c r="BR23" s="32"/>
      <c r="BS23" s="126"/>
      <c r="BT23" s="16"/>
      <c r="BU23" s="58"/>
      <c r="BW23" s="51">
        <f>VLOOKUP(H23,Charges!$AT$4:$AU$33,2,FALSE)*I23</f>
        <v>0</v>
      </c>
      <c r="BX23" s="51">
        <f t="shared" si="30"/>
        <v>0</v>
      </c>
      <c r="BY23" s="51">
        <f t="shared" si="47"/>
        <v>0</v>
      </c>
      <c r="BZ23" s="151"/>
      <c r="CA23" s="151"/>
      <c r="CB23" s="32"/>
      <c r="CC23" s="16">
        <f ca="1">SUM($N$7:$N23)</f>
        <v>0</v>
      </c>
      <c r="CD23" s="16">
        <f t="shared" ca="1" si="31"/>
        <v>0</v>
      </c>
      <c r="CE23" s="16">
        <f t="shared" ca="1" si="32"/>
        <v>0</v>
      </c>
      <c r="CF23" s="7">
        <f t="shared" ca="1" si="48"/>
        <v>0</v>
      </c>
    </row>
    <row r="24" spans="1:84" s="7" customFormat="1" x14ac:dyDescent="0.2">
      <c r="A24" s="149"/>
      <c r="B24" s="14">
        <f t="shared" si="0"/>
        <v>1</v>
      </c>
      <c r="C24" s="12">
        <f t="shared" si="1"/>
        <v>1</v>
      </c>
      <c r="D24" s="17">
        <f t="shared" si="49"/>
        <v>18</v>
      </c>
      <c r="E24" s="17">
        <f t="shared" ca="1" si="2"/>
        <v>61</v>
      </c>
      <c r="F24" s="12">
        <f t="shared" si="53"/>
        <v>5</v>
      </c>
      <c r="G24" s="12">
        <f t="shared" si="52"/>
        <v>3</v>
      </c>
      <c r="H24" s="17">
        <f t="shared" si="54"/>
        <v>2</v>
      </c>
      <c r="I24" s="29">
        <f t="shared" si="3"/>
        <v>0</v>
      </c>
      <c r="J24" s="211">
        <f>IFERROR(VLOOKUP(H24,Charges!$T$6:$U$35,2,0)*C24,0)</f>
        <v>0.95</v>
      </c>
      <c r="K24" s="29">
        <f t="shared" si="4"/>
        <v>0</v>
      </c>
      <c r="L24" s="29">
        <f t="shared" si="5"/>
        <v>0</v>
      </c>
      <c r="M24" s="147">
        <f t="shared" ca="1" si="6"/>
        <v>0</v>
      </c>
      <c r="N24" s="148">
        <f ca="1">IF(AND(Option_SPW="Y",Z23&gt;=SPW_Start_Min_FV,H24&gt;=Lock_In_Period,Z23&gt;SPW_Amount_pa+IF(option="Single",1/5*pr,2*pr),H24&gt;=SPW_Start_Year,H24&lt;=SPW_Start_Year+SPW_Duration-1,F24=0,age+H24&gt;=Legal_Age),SPW_Amount_pa,0)+IFERROR(VLOOKUP(H24,Input!$B$68:$C$74,2,0),0)*(F24=0)*(Option_PW="Y")*(Option_SPW="N")*(age+H24&gt;=Legal_Age)</f>
        <v>0</v>
      </c>
      <c r="O24" s="148">
        <f t="shared" ca="1" si="33"/>
        <v>0</v>
      </c>
      <c r="P24" s="14">
        <f ca="1">(MAX(MAX(sa-CF23*Flag_UL_Type,105%*SUM($I$7:I24))-(AD23+L24-N24)*Flag_UL_Type,0)*B24)</f>
        <v>2405229.0258341306</v>
      </c>
      <c r="Q24" s="213">
        <f t="shared" ca="1" si="7"/>
        <v>0</v>
      </c>
      <c r="R24" s="14">
        <f t="shared" ca="1" si="8"/>
        <v>0</v>
      </c>
      <c r="S24" s="14">
        <f t="shared" ca="1" si="9"/>
        <v>0</v>
      </c>
      <c r="T24" s="14">
        <f>IFERROR(IF(WoP_Flag="Y",IF(fq=1,VLOOKUP(ppt*fq-H24,Charges!$AN$41:$AO$59,2,FALSE),IF(fq=2,VLOOKUP(ppt*fq-G24,Charges!$AP$41:$AQ$79,2,FALSE),VLOOKUP(ppt*fq-D24,Charges!$AR$41:$AS$279,2,FALSE)))*pr/fq,0),0)</f>
        <v>0</v>
      </c>
      <c r="U24" s="14">
        <f ca="1">IFERROR(((T24*(VLOOKUP(Input!$D$18+H24-1,Tab_Mort_Charge,IF(Gender_2="M",2,3),FALSE)*(1+_emr2)+_rpm2)/IF(Model_Type="LA_PQIS",1000/0.0833,(12*1000))))*Flag_Mort_Rider_Charge*(T24&gt;0),0)</f>
        <v>0</v>
      </c>
      <c r="V24" s="34">
        <f>ROUND(MIN(IF(H24&gt;=7,Charges!$C$12*(1+Charges!$C$14)^((H24-7+1)),VLOOKUP(H24,Charges!$B$7:$C$12,2,0))*pr,Charges!$C$13)*B24,Round)</f>
        <v>450</v>
      </c>
      <c r="W24" s="14">
        <f t="shared" ca="1" si="10"/>
        <v>594320.97416586929</v>
      </c>
      <c r="X24" s="14">
        <f t="shared" ca="1" si="11"/>
        <v>598144.8532086591</v>
      </c>
      <c r="Y24" s="213">
        <f t="shared" ca="1" si="34"/>
        <v>673.27916592878569</v>
      </c>
      <c r="Z24" s="14">
        <f t="shared" ca="1" si="12"/>
        <v>597471.57404273027</v>
      </c>
      <c r="AA24" s="14">
        <f>IF(AND($H24=pt,$F24=11),SUM($K$7:K24)*VLOOKUP(pt,ROC,2,FALSE),0)</f>
        <v>0</v>
      </c>
      <c r="AB24" s="14">
        <f>IF(AND($H24=pt,$F24=11),SUM($V$7:V24)*VLOOKUP(pt,ROC,2,FALSE),0)</f>
        <v>0</v>
      </c>
      <c r="AC24" s="14">
        <f>IF(AND($H24=pt,$F24=11),SUM($Q$7:Q24)*VLOOKUP(pt,ROC,2,FALSE),0)</f>
        <v>0</v>
      </c>
      <c r="AD24" s="14">
        <f t="shared" ca="1" si="35"/>
        <v>597471.57404273027</v>
      </c>
      <c r="AE24" s="14">
        <f ca="1">(MAX(sa-CF23*Flag_UL_Type,105%*SUM($I$7:I24),Z24)+AU24)*B24</f>
        <v>3000000</v>
      </c>
      <c r="AF24" s="136"/>
      <c r="AG24" s="18">
        <v>18</v>
      </c>
      <c r="AH24" s="30">
        <f t="shared" ca="1" si="13"/>
        <v>0</v>
      </c>
      <c r="AI24" s="138"/>
      <c r="AJ24" s="50">
        <f>IF(AND(Option_Sys_TopUp&gt;="Y",H24&gt;=sytp,H24&lt;=(dtp+sytp-1),F24=0,H24&lt;=ppt+1),atp,0)+IFERROR(VLOOKUP(H24,Input!$B$55:$C$61,2,0),0)*(F24=0)*(Option_TopUP="Y")*(Option_Sys_TopUp="N")*B24*(pt&gt;=H24+5)</f>
        <v>0</v>
      </c>
      <c r="AK24" s="50">
        <f t="shared" si="14"/>
        <v>0</v>
      </c>
      <c r="AL24" s="50">
        <f t="shared" si="36"/>
        <v>0</v>
      </c>
      <c r="AM24" s="50">
        <f t="shared" ca="1" si="15"/>
        <v>0</v>
      </c>
      <c r="AN24" s="50">
        <f ca="1">IF(B24=0,0,AT24*(_rpm1+(1+_emr1)*VLOOKUP(E24,Tab_Mort_Charge,IF(Input!$C$12="M",2,3),0))*(0.001*0.0833)*Flag_Mort_Rider_Charge*(AT24&gt;0))</f>
        <v>0</v>
      </c>
      <c r="AO24" s="50">
        <f t="shared" ca="1" si="37"/>
        <v>0</v>
      </c>
      <c r="AP24" s="50">
        <f t="shared" ca="1" si="38"/>
        <v>0</v>
      </c>
      <c r="AQ24" s="50">
        <f t="shared" ca="1" si="16"/>
        <v>0</v>
      </c>
      <c r="AR24" s="50">
        <f t="shared" ca="1" si="17"/>
        <v>0</v>
      </c>
      <c r="AS24" s="50">
        <f t="shared" si="18"/>
        <v>0</v>
      </c>
      <c r="AT24" s="50">
        <f ca="1">(MAX((MAX(AS24,105%*SUM($AJ$7:AJ24))-AM24*Flag_UL_Type),0)*B24)</f>
        <v>0</v>
      </c>
      <c r="AU24" s="50">
        <f ca="1">(MAX(AS24,AR24,105%*SUM($AJ$7:AJ24))*B24)</f>
        <v>0</v>
      </c>
      <c r="AV24" s="125"/>
      <c r="AW24" s="12">
        <f t="shared" si="51"/>
        <v>18</v>
      </c>
      <c r="AX24" s="14">
        <f t="shared" si="39"/>
        <v>0</v>
      </c>
      <c r="AY24" s="14">
        <f t="shared" si="40"/>
        <v>0</v>
      </c>
      <c r="AZ24" s="14">
        <f t="shared" ca="1" si="41"/>
        <v>0</v>
      </c>
      <c r="BA24" s="14">
        <f t="shared" ca="1" si="42"/>
        <v>0</v>
      </c>
      <c r="BB24" s="14">
        <f t="shared" si="43"/>
        <v>0</v>
      </c>
      <c r="BC24" s="14">
        <f t="shared" ca="1" si="19"/>
        <v>0</v>
      </c>
      <c r="BD24" s="14">
        <f t="shared" ca="1" si="20"/>
        <v>0</v>
      </c>
      <c r="BE24" s="14">
        <f t="shared" si="44"/>
        <v>0</v>
      </c>
      <c r="BF24" s="14">
        <f t="shared" ca="1" si="45"/>
        <v>0</v>
      </c>
      <c r="BG24" s="51">
        <f t="shared" si="21"/>
        <v>0</v>
      </c>
      <c r="BH24" s="51">
        <f t="shared" ca="1" si="22"/>
        <v>0</v>
      </c>
      <c r="BI24" s="51">
        <f t="shared" ca="1" si="46"/>
        <v>0</v>
      </c>
      <c r="BJ24" s="51">
        <f t="shared" ca="1" si="23"/>
        <v>0</v>
      </c>
      <c r="BK24" s="51">
        <f t="shared" si="24"/>
        <v>0</v>
      </c>
      <c r="BL24" s="51">
        <f t="shared" ca="1" si="25"/>
        <v>0</v>
      </c>
      <c r="BM24" s="51">
        <f t="shared" si="26"/>
        <v>0</v>
      </c>
      <c r="BN24" s="51">
        <f t="shared" ca="1" si="27"/>
        <v>0</v>
      </c>
      <c r="BO24" s="51">
        <f t="shared" ca="1" si="28"/>
        <v>0</v>
      </c>
      <c r="BP24" s="51">
        <f t="shared" ca="1" si="29"/>
        <v>0</v>
      </c>
      <c r="BR24" s="32"/>
      <c r="BS24" s="126"/>
      <c r="BT24" s="16"/>
      <c r="BU24" s="58"/>
      <c r="BW24" s="51">
        <f>VLOOKUP(H24,Charges!$AT$4:$AU$33,2,FALSE)*I24</f>
        <v>0</v>
      </c>
      <c r="BX24" s="51">
        <f t="shared" si="30"/>
        <v>0</v>
      </c>
      <c r="BY24" s="51">
        <f t="shared" si="47"/>
        <v>0</v>
      </c>
      <c r="BZ24" s="151"/>
      <c r="CA24" s="151"/>
      <c r="CB24" s="32"/>
      <c r="CC24" s="16">
        <f ca="1">SUM($N$7:$N24)</f>
        <v>0</v>
      </c>
      <c r="CD24" s="16">
        <f t="shared" ca="1" si="31"/>
        <v>0</v>
      </c>
      <c r="CE24" s="16">
        <f t="shared" ca="1" si="32"/>
        <v>0</v>
      </c>
      <c r="CF24" s="7">
        <f t="shared" ca="1" si="48"/>
        <v>0</v>
      </c>
    </row>
    <row r="25" spans="1:84" s="7" customFormat="1" x14ac:dyDescent="0.2">
      <c r="A25" s="149"/>
      <c r="B25" s="14">
        <f t="shared" si="0"/>
        <v>1</v>
      </c>
      <c r="C25" s="12">
        <f t="shared" si="1"/>
        <v>1</v>
      </c>
      <c r="D25" s="17">
        <f t="shared" si="49"/>
        <v>19</v>
      </c>
      <c r="E25" s="17">
        <f t="shared" ca="1" si="2"/>
        <v>61</v>
      </c>
      <c r="F25" s="12">
        <f t="shared" si="53"/>
        <v>6</v>
      </c>
      <c r="G25" s="12">
        <f t="shared" si="52"/>
        <v>4</v>
      </c>
      <c r="H25" s="17">
        <f t="shared" si="54"/>
        <v>2</v>
      </c>
      <c r="I25" s="29">
        <f t="shared" si="3"/>
        <v>0</v>
      </c>
      <c r="J25" s="211">
        <f>IFERROR(VLOOKUP(H25,Charges!$T$6:$U$35,2,0)*C25,0)</f>
        <v>0.95</v>
      </c>
      <c r="K25" s="29">
        <f t="shared" si="4"/>
        <v>0</v>
      </c>
      <c r="L25" s="29">
        <f t="shared" si="5"/>
        <v>0</v>
      </c>
      <c r="M25" s="147">
        <f t="shared" ca="1" si="6"/>
        <v>0</v>
      </c>
      <c r="N25" s="148">
        <f ca="1">IF(AND(Option_SPW="Y",Z24&gt;=SPW_Start_Min_FV,H25&gt;=Lock_In_Period,Z24&gt;SPW_Amount_pa+IF(option="Single",1/5*pr,2*pr),H25&gt;=SPW_Start_Year,H25&lt;=SPW_Start_Year+SPW_Duration-1,F25=0,age+H25&gt;=Legal_Age),SPW_Amount_pa,0)+IFERROR(VLOOKUP(H25,Input!$B$68:$C$74,2,0),0)*(F25=0)*(Option_PW="Y")*(Option_SPW="N")*(age+H25&gt;=Legal_Age)</f>
        <v>0</v>
      </c>
      <c r="O25" s="148">
        <f t="shared" ca="1" si="33"/>
        <v>0</v>
      </c>
      <c r="P25" s="14">
        <f ca="1">(MAX(MAX(sa-CF24*Flag_UL_Type,105%*SUM($I$7:I25))-(AD24+L25-N25)*Flag_UL_Type,0)*B25)</f>
        <v>2402528.42595727</v>
      </c>
      <c r="Q25" s="213">
        <f t="shared" ca="1" si="7"/>
        <v>0</v>
      </c>
      <c r="R25" s="14">
        <f t="shared" ca="1" si="8"/>
        <v>0</v>
      </c>
      <c r="S25" s="14">
        <f t="shared" ca="1" si="9"/>
        <v>0</v>
      </c>
      <c r="T25" s="14">
        <f>IFERROR(IF(WoP_Flag="Y",IF(fq=1,VLOOKUP(ppt*fq-H25,Charges!$AN$41:$AO$59,2,FALSE),IF(fq=2,VLOOKUP(ppt*fq-G25,Charges!$AP$41:$AQ$79,2,FALSE),VLOOKUP(ppt*fq-D25,Charges!$AR$41:$AS$279,2,FALSE)))*pr/fq,0),0)</f>
        <v>0</v>
      </c>
      <c r="U25" s="14">
        <f ca="1">IFERROR(((T25*(VLOOKUP(Input!$D$18+H25-1,Tab_Mort_Charge,IF(Gender_2="M",2,3),FALSE)*(1+_emr2)+_rpm2)/IF(Model_Type="LA_PQIS",1000/0.0833,(12*1000))))*Flag_Mort_Rider_Charge*(T25&gt;0),0)</f>
        <v>0</v>
      </c>
      <c r="V25" s="34">
        <f>ROUND(MIN(IF(H25&gt;=7,Charges!$C$12*(1+Charges!$C$14)^((H25-7+1)),VLOOKUP(H25,Charges!$B$7:$C$12,2,0))*pr,Charges!$C$13)*B25,Round)</f>
        <v>450</v>
      </c>
      <c r="W25" s="14">
        <f t="shared" ca="1" si="10"/>
        <v>597021.57404273027</v>
      </c>
      <c r="X25" s="14">
        <f t="shared" ca="1" si="11"/>
        <v>600862.82882644283</v>
      </c>
      <c r="Y25" s="213">
        <f t="shared" ca="1" si="34"/>
        <v>676.33855254247908</v>
      </c>
      <c r="Z25" s="14">
        <f t="shared" ca="1" si="12"/>
        <v>600186.49027390033</v>
      </c>
      <c r="AA25" s="14">
        <f>IF(AND($H25=pt,$F25=11),SUM($K$7:K25)*VLOOKUP(pt,ROC,2,FALSE),0)</f>
        <v>0</v>
      </c>
      <c r="AB25" s="14">
        <f>IF(AND($H25=pt,$F25=11),SUM($V$7:V25)*VLOOKUP(pt,ROC,2,FALSE),0)</f>
        <v>0</v>
      </c>
      <c r="AC25" s="14">
        <f>IF(AND($H25=pt,$F25=11),SUM($Q$7:Q25)*VLOOKUP(pt,ROC,2,FALSE),0)</f>
        <v>0</v>
      </c>
      <c r="AD25" s="14">
        <f t="shared" ca="1" si="35"/>
        <v>600186.49027390033</v>
      </c>
      <c r="AE25" s="14">
        <f ca="1">(MAX(sa-CF24*Flag_UL_Type,105%*SUM($I$7:I25),Z25)+AU25)*B25</f>
        <v>3000000</v>
      </c>
      <c r="AF25" s="136"/>
      <c r="AG25" s="18">
        <v>19</v>
      </c>
      <c r="AH25" s="30">
        <f t="shared" ca="1" si="13"/>
        <v>0</v>
      </c>
      <c r="AI25" s="138"/>
      <c r="AJ25" s="50">
        <f>IF(AND(Option_Sys_TopUp&gt;="Y",H25&gt;=sytp,H25&lt;=(dtp+sytp-1),F25=0,H25&lt;=ppt+1),atp,0)+IFERROR(VLOOKUP(H25,Input!$B$55:$C$61,2,0),0)*(F25=0)*(Option_TopUP="Y")*(Option_Sys_TopUp="N")*B25*(pt&gt;=H25+5)</f>
        <v>0</v>
      </c>
      <c r="AK25" s="50">
        <f t="shared" si="14"/>
        <v>0</v>
      </c>
      <c r="AL25" s="50">
        <f t="shared" si="36"/>
        <v>0</v>
      </c>
      <c r="AM25" s="50">
        <f t="shared" ca="1" si="15"/>
        <v>0</v>
      </c>
      <c r="AN25" s="50">
        <f ca="1">IF(B25=0,0,AT25*(_rpm1+(1+_emr1)*VLOOKUP(E25,Tab_Mort_Charge,IF(Input!$C$12="M",2,3),0))*(0.001*0.0833)*Flag_Mort_Rider_Charge*(AT25&gt;0))</f>
        <v>0</v>
      </c>
      <c r="AO25" s="50">
        <f t="shared" ca="1" si="37"/>
        <v>0</v>
      </c>
      <c r="AP25" s="50">
        <f t="shared" ca="1" si="38"/>
        <v>0</v>
      </c>
      <c r="AQ25" s="50">
        <f t="shared" ca="1" si="16"/>
        <v>0</v>
      </c>
      <c r="AR25" s="50">
        <f t="shared" ca="1" si="17"/>
        <v>0</v>
      </c>
      <c r="AS25" s="50">
        <f t="shared" si="18"/>
        <v>0</v>
      </c>
      <c r="AT25" s="50">
        <f ca="1">(MAX((MAX(AS25,105%*SUM($AJ$7:AJ25))-AM25*Flag_UL_Type),0)*B25)</f>
        <v>0</v>
      </c>
      <c r="AU25" s="50">
        <f ca="1">(MAX(AS25,AR25,105%*SUM($AJ$7:AJ25))*B25)</f>
        <v>0</v>
      </c>
      <c r="AV25" s="125"/>
      <c r="AW25" s="12">
        <f t="shared" si="51"/>
        <v>19</v>
      </c>
      <c r="AX25" s="14">
        <f t="shared" si="39"/>
        <v>0</v>
      </c>
      <c r="AY25" s="14">
        <f t="shared" si="40"/>
        <v>0</v>
      </c>
      <c r="AZ25" s="14">
        <f t="shared" ca="1" si="41"/>
        <v>0</v>
      </c>
      <c r="BA25" s="14">
        <f t="shared" ca="1" si="42"/>
        <v>0</v>
      </c>
      <c r="BB25" s="14">
        <f t="shared" si="43"/>
        <v>0</v>
      </c>
      <c r="BC25" s="14">
        <f t="shared" ca="1" si="19"/>
        <v>0</v>
      </c>
      <c r="BD25" s="14">
        <f t="shared" ca="1" si="20"/>
        <v>0</v>
      </c>
      <c r="BE25" s="14">
        <f t="shared" si="44"/>
        <v>0</v>
      </c>
      <c r="BF25" s="14">
        <f t="shared" ca="1" si="45"/>
        <v>0</v>
      </c>
      <c r="BG25" s="51">
        <f t="shared" si="21"/>
        <v>0</v>
      </c>
      <c r="BH25" s="51">
        <f t="shared" ca="1" si="22"/>
        <v>0</v>
      </c>
      <c r="BI25" s="51">
        <f t="shared" ca="1" si="46"/>
        <v>0</v>
      </c>
      <c r="BJ25" s="51">
        <f t="shared" ca="1" si="23"/>
        <v>0</v>
      </c>
      <c r="BK25" s="51">
        <f t="shared" si="24"/>
        <v>0</v>
      </c>
      <c r="BL25" s="51">
        <f t="shared" ca="1" si="25"/>
        <v>0</v>
      </c>
      <c r="BM25" s="51">
        <f t="shared" si="26"/>
        <v>0</v>
      </c>
      <c r="BN25" s="51">
        <f t="shared" ca="1" si="27"/>
        <v>0</v>
      </c>
      <c r="BO25" s="51">
        <f t="shared" ca="1" si="28"/>
        <v>0</v>
      </c>
      <c r="BP25" s="51">
        <f t="shared" ca="1" si="29"/>
        <v>0</v>
      </c>
      <c r="BR25" s="32"/>
      <c r="BS25" s="126"/>
      <c r="BT25" s="16"/>
      <c r="BU25" s="58"/>
      <c r="BW25" s="51">
        <f>VLOOKUP(H25,Charges!$AT$4:$AU$33,2,FALSE)*I25</f>
        <v>0</v>
      </c>
      <c r="BX25" s="51">
        <f t="shared" si="30"/>
        <v>0</v>
      </c>
      <c r="BY25" s="51">
        <f t="shared" si="47"/>
        <v>0</v>
      </c>
      <c r="BZ25" s="151"/>
      <c r="CA25" s="151"/>
      <c r="CB25" s="32"/>
      <c r="CC25" s="16">
        <f ca="1">SUM($N$7:$N25)</f>
        <v>0</v>
      </c>
      <c r="CD25" s="16">
        <f t="shared" ca="1" si="31"/>
        <v>0</v>
      </c>
      <c r="CE25" s="16">
        <f t="shared" ca="1" si="32"/>
        <v>0</v>
      </c>
      <c r="CF25" s="7">
        <f t="shared" ca="1" si="48"/>
        <v>0</v>
      </c>
    </row>
    <row r="26" spans="1:84" s="7" customFormat="1" x14ac:dyDescent="0.2">
      <c r="A26" s="149"/>
      <c r="B26" s="14">
        <f t="shared" si="0"/>
        <v>1</v>
      </c>
      <c r="C26" s="12">
        <f t="shared" si="1"/>
        <v>1</v>
      </c>
      <c r="D26" s="17">
        <f t="shared" si="49"/>
        <v>20</v>
      </c>
      <c r="E26" s="17">
        <f t="shared" ca="1" si="2"/>
        <v>61</v>
      </c>
      <c r="F26" s="12">
        <f t="shared" si="53"/>
        <v>7</v>
      </c>
      <c r="G26" s="12">
        <f t="shared" si="52"/>
        <v>4</v>
      </c>
      <c r="H26" s="17">
        <f t="shared" si="54"/>
        <v>2</v>
      </c>
      <c r="I26" s="29">
        <f t="shared" si="3"/>
        <v>0</v>
      </c>
      <c r="J26" s="211">
        <f>IFERROR(VLOOKUP(H26,Charges!$T$6:$U$35,2,0)*C26,0)</f>
        <v>0.95</v>
      </c>
      <c r="K26" s="29">
        <f t="shared" si="4"/>
        <v>0</v>
      </c>
      <c r="L26" s="29">
        <f t="shared" si="5"/>
        <v>0</v>
      </c>
      <c r="M26" s="147">
        <f t="shared" ca="1" si="6"/>
        <v>0</v>
      </c>
      <c r="N26" s="148">
        <f ca="1">IF(AND(Option_SPW="Y",Z25&gt;=SPW_Start_Min_FV,H26&gt;=Lock_In_Period,Z25&gt;SPW_Amount_pa+IF(option="Single",1/5*pr,2*pr),H26&gt;=SPW_Start_Year,H26&lt;=SPW_Start_Year+SPW_Duration-1,F26=0,age+H26&gt;=Legal_Age),SPW_Amount_pa,0)+IFERROR(VLOOKUP(H26,Input!$B$68:$C$74,2,0),0)*(F26=0)*(Option_PW="Y")*(Option_SPW="N")*(age+H26&gt;=Legal_Age)</f>
        <v>0</v>
      </c>
      <c r="O26" s="148">
        <f t="shared" ca="1" si="33"/>
        <v>0</v>
      </c>
      <c r="P26" s="14">
        <f ca="1">(MAX(MAX(sa-CF25*Flag_UL_Type,105%*SUM($I$7:I26))-(AD25+L26-N26)*Flag_UL_Type,0)*B26)</f>
        <v>2399813.5097260997</v>
      </c>
      <c r="Q26" s="213">
        <f t="shared" ca="1" si="7"/>
        <v>0</v>
      </c>
      <c r="R26" s="14">
        <f t="shared" ca="1" si="8"/>
        <v>0</v>
      </c>
      <c r="S26" s="14">
        <f t="shared" ca="1" si="9"/>
        <v>0</v>
      </c>
      <c r="T26" s="14">
        <f>IFERROR(IF(WoP_Flag="Y",IF(fq=1,VLOOKUP(ppt*fq-H26,Charges!$AN$41:$AO$59,2,FALSE),IF(fq=2,VLOOKUP(ppt*fq-G26,Charges!$AP$41:$AQ$79,2,FALSE),VLOOKUP(ppt*fq-D26,Charges!$AR$41:$AS$279,2,FALSE)))*pr/fq,0),0)</f>
        <v>0</v>
      </c>
      <c r="U26" s="14">
        <f ca="1">IFERROR(((T26*(VLOOKUP(Input!$D$18+H26-1,Tab_Mort_Charge,IF(Gender_2="M",2,3),FALSE)*(1+_emr2)+_rpm2)/IF(Model_Type="LA_PQIS",1000/0.0833,(12*1000))))*Flag_Mort_Rider_Charge*(T26&gt;0),0)</f>
        <v>0</v>
      </c>
      <c r="V26" s="34">
        <f>ROUND(MIN(IF(H26&gt;=7,Charges!$C$12*(1+Charges!$C$14)^((H26-7+1)),VLOOKUP(H26,Charges!$B$7:$C$12,2,0))*pr,Charges!$C$13)*B26,Round)</f>
        <v>450</v>
      </c>
      <c r="W26" s="14">
        <f t="shared" ca="1" si="10"/>
        <v>599736.49027390033</v>
      </c>
      <c r="X26" s="14">
        <f t="shared" ca="1" si="11"/>
        <v>603595.21291039034</v>
      </c>
      <c r="Y26" s="213">
        <f t="shared" ca="1" si="34"/>
        <v>679.41415750199474</v>
      </c>
      <c r="Z26" s="14">
        <f t="shared" ca="1" si="12"/>
        <v>602915.79875288834</v>
      </c>
      <c r="AA26" s="14">
        <f>IF(AND($H26=pt,$F26=11),SUM($K$7:K26)*VLOOKUP(pt,ROC,2,FALSE),0)</f>
        <v>0</v>
      </c>
      <c r="AB26" s="14">
        <f>IF(AND($H26=pt,$F26=11),SUM($V$7:V26)*VLOOKUP(pt,ROC,2,FALSE),0)</f>
        <v>0</v>
      </c>
      <c r="AC26" s="14">
        <f>IF(AND($H26=pt,$F26=11),SUM($Q$7:Q26)*VLOOKUP(pt,ROC,2,FALSE),0)</f>
        <v>0</v>
      </c>
      <c r="AD26" s="14">
        <f t="shared" ca="1" si="35"/>
        <v>602915.79875288834</v>
      </c>
      <c r="AE26" s="14">
        <f ca="1">(MAX(sa-CF25*Flag_UL_Type,105%*SUM($I$7:I26),Z26)+AU26)*B26</f>
        <v>3000000</v>
      </c>
      <c r="AF26" s="136"/>
      <c r="AG26" s="18">
        <v>20</v>
      </c>
      <c r="AH26" s="30">
        <f t="shared" ca="1" si="13"/>
        <v>0</v>
      </c>
      <c r="AI26" s="138"/>
      <c r="AJ26" s="50">
        <f>IF(AND(Option_Sys_TopUp&gt;="Y",H26&gt;=sytp,H26&lt;=(dtp+sytp-1),F26=0,H26&lt;=ppt+1),atp,0)+IFERROR(VLOOKUP(H26,Input!$B$55:$C$61,2,0),0)*(F26=0)*(Option_TopUP="Y")*(Option_Sys_TopUp="N")*B26*(pt&gt;=H26+5)</f>
        <v>0</v>
      </c>
      <c r="AK26" s="50">
        <f t="shared" si="14"/>
        <v>0</v>
      </c>
      <c r="AL26" s="50">
        <f t="shared" si="36"/>
        <v>0</v>
      </c>
      <c r="AM26" s="50">
        <f t="shared" ca="1" si="15"/>
        <v>0</v>
      </c>
      <c r="AN26" s="50">
        <f ca="1">IF(B26=0,0,AT26*(_rpm1+(1+_emr1)*VLOOKUP(E26,Tab_Mort_Charge,IF(Input!$C$12="M",2,3),0))*(0.001*0.0833)*Flag_Mort_Rider_Charge*(AT26&gt;0))</f>
        <v>0</v>
      </c>
      <c r="AO26" s="50">
        <f t="shared" ca="1" si="37"/>
        <v>0</v>
      </c>
      <c r="AP26" s="50">
        <f t="shared" ca="1" si="38"/>
        <v>0</v>
      </c>
      <c r="AQ26" s="50">
        <f t="shared" ca="1" si="16"/>
        <v>0</v>
      </c>
      <c r="AR26" s="50">
        <f t="shared" ca="1" si="17"/>
        <v>0</v>
      </c>
      <c r="AS26" s="50">
        <f t="shared" si="18"/>
        <v>0</v>
      </c>
      <c r="AT26" s="50">
        <f ca="1">(MAX((MAX(AS26,105%*SUM($AJ$7:AJ26))-AM26*Flag_UL_Type),0)*B26)</f>
        <v>0</v>
      </c>
      <c r="AU26" s="50">
        <f ca="1">(MAX(AS26,AR26,105%*SUM($AJ$7:AJ26))*B26)</f>
        <v>0</v>
      </c>
      <c r="AV26" s="125"/>
      <c r="AW26" s="12">
        <f t="shared" si="51"/>
        <v>20</v>
      </c>
      <c r="AX26" s="14">
        <f t="shared" si="39"/>
        <v>0</v>
      </c>
      <c r="AY26" s="14">
        <f t="shared" si="40"/>
        <v>0</v>
      </c>
      <c r="AZ26" s="14">
        <f t="shared" ca="1" si="41"/>
        <v>0</v>
      </c>
      <c r="BA26" s="14">
        <f t="shared" ca="1" si="42"/>
        <v>0</v>
      </c>
      <c r="BB26" s="14">
        <f t="shared" si="43"/>
        <v>0</v>
      </c>
      <c r="BC26" s="14">
        <f t="shared" ca="1" si="19"/>
        <v>0</v>
      </c>
      <c r="BD26" s="14">
        <f t="shared" ca="1" si="20"/>
        <v>0</v>
      </c>
      <c r="BE26" s="14">
        <f t="shared" si="44"/>
        <v>0</v>
      </c>
      <c r="BF26" s="14">
        <f t="shared" ca="1" si="45"/>
        <v>0</v>
      </c>
      <c r="BG26" s="51">
        <f t="shared" si="21"/>
        <v>0</v>
      </c>
      <c r="BH26" s="51">
        <f t="shared" ca="1" si="22"/>
        <v>0</v>
      </c>
      <c r="BI26" s="51">
        <f t="shared" ca="1" si="46"/>
        <v>0</v>
      </c>
      <c r="BJ26" s="51">
        <f t="shared" ca="1" si="23"/>
        <v>0</v>
      </c>
      <c r="BK26" s="51">
        <f t="shared" si="24"/>
        <v>0</v>
      </c>
      <c r="BL26" s="51">
        <f t="shared" ca="1" si="25"/>
        <v>0</v>
      </c>
      <c r="BM26" s="51">
        <f t="shared" si="26"/>
        <v>0</v>
      </c>
      <c r="BN26" s="51">
        <f t="shared" ca="1" si="27"/>
        <v>0</v>
      </c>
      <c r="BO26" s="51">
        <f t="shared" ca="1" si="28"/>
        <v>0</v>
      </c>
      <c r="BP26" s="51">
        <f t="shared" ca="1" si="29"/>
        <v>0</v>
      </c>
      <c r="BR26" s="32"/>
      <c r="BS26" s="126"/>
      <c r="BT26" s="16"/>
      <c r="BU26" s="58"/>
      <c r="BW26" s="51">
        <f>VLOOKUP(H26,Charges!$AT$4:$AU$33,2,FALSE)*I26</f>
        <v>0</v>
      </c>
      <c r="BX26" s="51">
        <f t="shared" si="30"/>
        <v>0</v>
      </c>
      <c r="BY26" s="51">
        <f t="shared" si="47"/>
        <v>0</v>
      </c>
      <c r="BZ26" s="151"/>
      <c r="CA26" s="151"/>
      <c r="CB26" s="32"/>
      <c r="CC26" s="16">
        <f ca="1">SUM($N$7:$N26)</f>
        <v>0</v>
      </c>
      <c r="CD26" s="16">
        <f t="shared" ca="1" si="31"/>
        <v>0</v>
      </c>
      <c r="CE26" s="16">
        <f t="shared" ca="1" si="32"/>
        <v>0</v>
      </c>
      <c r="CF26" s="7">
        <f t="shared" ca="1" si="48"/>
        <v>0</v>
      </c>
    </row>
    <row r="27" spans="1:84" s="7" customFormat="1" x14ac:dyDescent="0.2">
      <c r="A27" s="149"/>
      <c r="B27" s="14">
        <f t="shared" si="0"/>
        <v>1</v>
      </c>
      <c r="C27" s="12">
        <f t="shared" si="1"/>
        <v>1</v>
      </c>
      <c r="D27" s="17">
        <f t="shared" si="49"/>
        <v>21</v>
      </c>
      <c r="E27" s="17">
        <f t="shared" ca="1" si="2"/>
        <v>61</v>
      </c>
      <c r="F27" s="12">
        <f t="shared" si="53"/>
        <v>8</v>
      </c>
      <c r="G27" s="12">
        <f t="shared" si="52"/>
        <v>4</v>
      </c>
      <c r="H27" s="17">
        <f t="shared" si="54"/>
        <v>2</v>
      </c>
      <c r="I27" s="29">
        <f t="shared" si="3"/>
        <v>0</v>
      </c>
      <c r="J27" s="211">
        <f>IFERROR(VLOOKUP(H27,Charges!$T$6:$U$35,2,0)*C27,0)</f>
        <v>0.95</v>
      </c>
      <c r="K27" s="29">
        <f t="shared" si="4"/>
        <v>0</v>
      </c>
      <c r="L27" s="29">
        <f t="shared" si="5"/>
        <v>0</v>
      </c>
      <c r="M27" s="147">
        <f t="shared" ca="1" si="6"/>
        <v>0</v>
      </c>
      <c r="N27" s="148">
        <f ca="1">IF(AND(Option_SPW="Y",Z26&gt;=SPW_Start_Min_FV,H27&gt;=Lock_In_Period,Z26&gt;SPW_Amount_pa+IF(option="Single",1/5*pr,2*pr),H27&gt;=SPW_Start_Year,H27&lt;=SPW_Start_Year+SPW_Duration-1,F27=0,age+H27&gt;=Legal_Age),SPW_Amount_pa,0)+IFERROR(VLOOKUP(H27,Input!$B$68:$C$74,2,0),0)*(F27=0)*(Option_PW="Y")*(Option_SPW="N")*(age+H27&gt;=Legal_Age)</f>
        <v>0</v>
      </c>
      <c r="O27" s="148">
        <f t="shared" ca="1" si="33"/>
        <v>0</v>
      </c>
      <c r="P27" s="14">
        <f ca="1">(MAX(MAX(sa-CF26*Flag_UL_Type,105%*SUM($I$7:I27))-(AD26+L27-N27)*Flag_UL_Type,0)*B27)</f>
        <v>2397084.2012471119</v>
      </c>
      <c r="Q27" s="213">
        <f t="shared" ca="1" si="7"/>
        <v>0</v>
      </c>
      <c r="R27" s="14">
        <f t="shared" ca="1" si="8"/>
        <v>0</v>
      </c>
      <c r="S27" s="14">
        <f t="shared" ca="1" si="9"/>
        <v>0</v>
      </c>
      <c r="T27" s="14">
        <f>IFERROR(IF(WoP_Flag="Y",IF(fq=1,VLOOKUP(ppt*fq-H27,Charges!$AN$41:$AO$59,2,FALSE),IF(fq=2,VLOOKUP(ppt*fq-G27,Charges!$AP$41:$AQ$79,2,FALSE),VLOOKUP(ppt*fq-D27,Charges!$AR$41:$AS$279,2,FALSE)))*pr/fq,0),0)</f>
        <v>0</v>
      </c>
      <c r="U27" s="14">
        <f ca="1">IFERROR(((T27*(VLOOKUP(Input!$D$18+H27-1,Tab_Mort_Charge,IF(Gender_2="M",2,3),FALSE)*(1+_emr2)+_rpm2)/IF(Model_Type="LA_PQIS",1000/0.0833,(12*1000))))*Flag_Mort_Rider_Charge*(T27&gt;0),0)</f>
        <v>0</v>
      </c>
      <c r="V27" s="34">
        <f>ROUND(MIN(IF(H27&gt;=7,Charges!$C$12*(1+Charges!$C$14)^((H27-7+1)),VLOOKUP(H27,Charges!$B$7:$C$12,2,0))*pr,Charges!$C$13)*B27,Round)</f>
        <v>450</v>
      </c>
      <c r="W27" s="14">
        <f t="shared" ca="1" si="10"/>
        <v>602465.79875288834</v>
      </c>
      <c r="X27" s="14">
        <f t="shared" ca="1" si="11"/>
        <v>606342.08184231166</v>
      </c>
      <c r="Y27" s="213">
        <f t="shared" ca="1" si="34"/>
        <v>682.50606678363238</v>
      </c>
      <c r="Z27" s="14">
        <f t="shared" ca="1" si="12"/>
        <v>605659.57577552798</v>
      </c>
      <c r="AA27" s="14">
        <f>IF(AND($H27=pt,$F27=11),SUM($K$7:K27)*VLOOKUP(pt,ROC,2,FALSE),0)</f>
        <v>0</v>
      </c>
      <c r="AB27" s="14">
        <f>IF(AND($H27=pt,$F27=11),SUM($V$7:V27)*VLOOKUP(pt,ROC,2,FALSE),0)</f>
        <v>0</v>
      </c>
      <c r="AC27" s="14">
        <f>IF(AND($H27=pt,$F27=11),SUM($Q$7:Q27)*VLOOKUP(pt,ROC,2,FALSE),0)</f>
        <v>0</v>
      </c>
      <c r="AD27" s="14">
        <f t="shared" ca="1" si="35"/>
        <v>605659.57577552798</v>
      </c>
      <c r="AE27" s="14">
        <f ca="1">(MAX(sa-CF26*Flag_UL_Type,105%*SUM($I$7:I27),Z27)+AU27)*B27</f>
        <v>3000000</v>
      </c>
      <c r="AF27" s="136"/>
      <c r="AG27" s="18">
        <v>21</v>
      </c>
      <c r="AH27" s="30">
        <f t="shared" ca="1" si="13"/>
        <v>0</v>
      </c>
      <c r="AI27" s="138"/>
      <c r="AJ27" s="50">
        <f>IF(AND(Option_Sys_TopUp&gt;="Y",H27&gt;=sytp,H27&lt;=(dtp+sytp-1),F27=0,H27&lt;=ppt+1),atp,0)+IFERROR(VLOOKUP(H27,Input!$B$55:$C$61,2,0),0)*(F27=0)*(Option_TopUP="Y")*(Option_Sys_TopUp="N")*B27*(pt&gt;=H27+5)</f>
        <v>0</v>
      </c>
      <c r="AK27" s="50">
        <f t="shared" si="14"/>
        <v>0</v>
      </c>
      <c r="AL27" s="50">
        <f t="shared" si="36"/>
        <v>0</v>
      </c>
      <c r="AM27" s="50">
        <f t="shared" ca="1" si="15"/>
        <v>0</v>
      </c>
      <c r="AN27" s="50">
        <f ca="1">IF(B27=0,0,AT27*(_rpm1+(1+_emr1)*VLOOKUP(E27,Tab_Mort_Charge,IF(Input!$C$12="M",2,3),0))*(0.001*0.0833)*Flag_Mort_Rider_Charge*(AT27&gt;0))</f>
        <v>0</v>
      </c>
      <c r="AO27" s="50">
        <f t="shared" ca="1" si="37"/>
        <v>0</v>
      </c>
      <c r="AP27" s="50">
        <f t="shared" ca="1" si="38"/>
        <v>0</v>
      </c>
      <c r="AQ27" s="50">
        <f t="shared" ca="1" si="16"/>
        <v>0</v>
      </c>
      <c r="AR27" s="50">
        <f t="shared" ca="1" si="17"/>
        <v>0</v>
      </c>
      <c r="AS27" s="50">
        <f t="shared" si="18"/>
        <v>0</v>
      </c>
      <c r="AT27" s="50">
        <f ca="1">(MAX((MAX(AS27,105%*SUM($AJ$7:AJ27))-AM27*Flag_UL_Type),0)*B27)</f>
        <v>0</v>
      </c>
      <c r="AU27" s="50">
        <f ca="1">(MAX(AS27,AR27,105%*SUM($AJ$7:AJ27))*B27)</f>
        <v>0</v>
      </c>
      <c r="AV27" s="125"/>
      <c r="AW27" s="12">
        <f t="shared" si="51"/>
        <v>21</v>
      </c>
      <c r="AX27" s="14">
        <f t="shared" si="39"/>
        <v>0</v>
      </c>
      <c r="AY27" s="14">
        <f t="shared" si="40"/>
        <v>0</v>
      </c>
      <c r="AZ27" s="14">
        <f t="shared" ca="1" si="41"/>
        <v>0</v>
      </c>
      <c r="BA27" s="14">
        <f t="shared" ca="1" si="42"/>
        <v>0</v>
      </c>
      <c r="BB27" s="14">
        <f t="shared" si="43"/>
        <v>0</v>
      </c>
      <c r="BC27" s="14">
        <f t="shared" ca="1" si="19"/>
        <v>0</v>
      </c>
      <c r="BD27" s="14">
        <f t="shared" ca="1" si="20"/>
        <v>0</v>
      </c>
      <c r="BE27" s="14">
        <f t="shared" si="44"/>
        <v>0</v>
      </c>
      <c r="BF27" s="14">
        <f t="shared" ca="1" si="45"/>
        <v>0</v>
      </c>
      <c r="BG27" s="51">
        <f t="shared" si="21"/>
        <v>0</v>
      </c>
      <c r="BH27" s="51">
        <f t="shared" ca="1" si="22"/>
        <v>0</v>
      </c>
      <c r="BI27" s="51">
        <f t="shared" ca="1" si="46"/>
        <v>0</v>
      </c>
      <c r="BJ27" s="51">
        <f t="shared" ca="1" si="23"/>
        <v>0</v>
      </c>
      <c r="BK27" s="51">
        <f t="shared" si="24"/>
        <v>0</v>
      </c>
      <c r="BL27" s="51">
        <f t="shared" ca="1" si="25"/>
        <v>0</v>
      </c>
      <c r="BM27" s="51">
        <f t="shared" si="26"/>
        <v>0</v>
      </c>
      <c r="BN27" s="51">
        <f t="shared" ca="1" si="27"/>
        <v>0</v>
      </c>
      <c r="BO27" s="51">
        <f t="shared" ca="1" si="28"/>
        <v>0</v>
      </c>
      <c r="BP27" s="51">
        <f t="shared" ca="1" si="29"/>
        <v>0</v>
      </c>
      <c r="BR27" s="32"/>
      <c r="BS27" s="126"/>
      <c r="BT27" s="16"/>
      <c r="BU27" s="58"/>
      <c r="BW27" s="51">
        <f>VLOOKUP(H27,Charges!$AT$4:$AU$33,2,FALSE)*I27</f>
        <v>0</v>
      </c>
      <c r="BX27" s="51">
        <f t="shared" si="30"/>
        <v>0</v>
      </c>
      <c r="BY27" s="51">
        <f t="shared" si="47"/>
        <v>0</v>
      </c>
      <c r="BZ27" s="151"/>
      <c r="CA27" s="151"/>
      <c r="CB27" s="32"/>
      <c r="CC27" s="16">
        <f ca="1">SUM($N$7:$N27)</f>
        <v>0</v>
      </c>
      <c r="CD27" s="16">
        <f t="shared" ca="1" si="31"/>
        <v>0</v>
      </c>
      <c r="CE27" s="16">
        <f t="shared" ca="1" si="32"/>
        <v>0</v>
      </c>
      <c r="CF27" s="7">
        <f t="shared" ca="1" si="48"/>
        <v>0</v>
      </c>
    </row>
    <row r="28" spans="1:84" s="7" customFormat="1" x14ac:dyDescent="0.2">
      <c r="A28" s="149"/>
      <c r="B28" s="14">
        <f t="shared" si="0"/>
        <v>1</v>
      </c>
      <c r="C28" s="12">
        <f t="shared" si="1"/>
        <v>1</v>
      </c>
      <c r="D28" s="17">
        <f t="shared" si="49"/>
        <v>22</v>
      </c>
      <c r="E28" s="17">
        <f t="shared" ca="1" si="2"/>
        <v>61</v>
      </c>
      <c r="F28" s="12">
        <f t="shared" si="53"/>
        <v>9</v>
      </c>
      <c r="G28" s="12">
        <f t="shared" si="52"/>
        <v>4</v>
      </c>
      <c r="H28" s="17">
        <f t="shared" si="54"/>
        <v>2</v>
      </c>
      <c r="I28" s="29">
        <f t="shared" si="3"/>
        <v>0</v>
      </c>
      <c r="J28" s="211">
        <f>IFERROR(VLOOKUP(H28,Charges!$T$6:$U$35,2,0)*C28,0)</f>
        <v>0.95</v>
      </c>
      <c r="K28" s="29">
        <f t="shared" si="4"/>
        <v>0</v>
      </c>
      <c r="L28" s="29">
        <f t="shared" si="5"/>
        <v>0</v>
      </c>
      <c r="M28" s="147">
        <f t="shared" ca="1" si="6"/>
        <v>0</v>
      </c>
      <c r="N28" s="148">
        <f ca="1">IF(AND(Option_SPW="Y",Z27&gt;=SPW_Start_Min_FV,H28&gt;=Lock_In_Period,Z27&gt;SPW_Amount_pa+IF(option="Single",1/5*pr,2*pr),H28&gt;=SPW_Start_Year,H28&lt;=SPW_Start_Year+SPW_Duration-1,F28=0,age+H28&gt;=Legal_Age),SPW_Amount_pa,0)+IFERROR(VLOOKUP(H28,Input!$B$68:$C$74,2,0),0)*(F28=0)*(Option_PW="Y")*(Option_SPW="N")*(age+H28&gt;=Legal_Age)</f>
        <v>0</v>
      </c>
      <c r="O28" s="148">
        <f t="shared" ca="1" si="33"/>
        <v>0</v>
      </c>
      <c r="P28" s="14">
        <f ca="1">(MAX(MAX(sa-CF27*Flag_UL_Type,105%*SUM($I$7:I28))-(AD27+L28-N28)*Flag_UL_Type,0)*B28)</f>
        <v>2394340.4242244721</v>
      </c>
      <c r="Q28" s="213">
        <f t="shared" ca="1" si="7"/>
        <v>0</v>
      </c>
      <c r="R28" s="14">
        <f t="shared" ca="1" si="8"/>
        <v>0</v>
      </c>
      <c r="S28" s="14">
        <f t="shared" ca="1" si="9"/>
        <v>0</v>
      </c>
      <c r="T28" s="14">
        <f>IFERROR(IF(WoP_Flag="Y",IF(fq=1,VLOOKUP(ppt*fq-H28,Charges!$AN$41:$AO$59,2,FALSE),IF(fq=2,VLOOKUP(ppt*fq-G28,Charges!$AP$41:$AQ$79,2,FALSE),VLOOKUP(ppt*fq-D28,Charges!$AR$41:$AS$279,2,FALSE)))*pr/fq,0),0)</f>
        <v>0</v>
      </c>
      <c r="U28" s="14">
        <f ca="1">IFERROR(((T28*(VLOOKUP(Input!$D$18+H28-1,Tab_Mort_Charge,IF(Gender_2="M",2,3),FALSE)*(1+_emr2)+_rpm2)/IF(Model_Type="LA_PQIS",1000/0.0833,(12*1000))))*Flag_Mort_Rider_Charge*(T28&gt;0),0)</f>
        <v>0</v>
      </c>
      <c r="V28" s="34">
        <f>ROUND(MIN(IF(H28&gt;=7,Charges!$C$12*(1+Charges!$C$14)^((H28-7+1)),VLOOKUP(H28,Charges!$B$7:$C$12,2,0))*pr,Charges!$C$13)*B28,Round)</f>
        <v>450</v>
      </c>
      <c r="W28" s="14">
        <f t="shared" ca="1" si="10"/>
        <v>605209.57577552798</v>
      </c>
      <c r="X28" s="14">
        <f t="shared" ca="1" si="11"/>
        <v>609103.51240893011</v>
      </c>
      <c r="Y28" s="213">
        <f t="shared" ca="1" si="34"/>
        <v>685.61436681946759</v>
      </c>
      <c r="Z28" s="14">
        <f t="shared" ca="1" si="12"/>
        <v>608417.89804211061</v>
      </c>
      <c r="AA28" s="14">
        <f>IF(AND($H28=pt,$F28=11),SUM($K$7:K28)*VLOOKUP(pt,ROC,2,FALSE),0)</f>
        <v>0</v>
      </c>
      <c r="AB28" s="14">
        <f>IF(AND($H28=pt,$F28=11),SUM($V$7:V28)*VLOOKUP(pt,ROC,2,FALSE),0)</f>
        <v>0</v>
      </c>
      <c r="AC28" s="14">
        <f>IF(AND($H28=pt,$F28=11),SUM($Q$7:Q28)*VLOOKUP(pt,ROC,2,FALSE),0)</f>
        <v>0</v>
      </c>
      <c r="AD28" s="14">
        <f t="shared" ca="1" si="35"/>
        <v>608417.89804211061</v>
      </c>
      <c r="AE28" s="14">
        <f ca="1">(MAX(sa-CF27*Flag_UL_Type,105%*SUM($I$7:I28),Z28)+AU28)*B28</f>
        <v>3000000</v>
      </c>
      <c r="AF28" s="136"/>
      <c r="AG28" s="18">
        <v>22</v>
      </c>
      <c r="AH28" s="30">
        <f t="shared" ca="1" si="13"/>
        <v>0</v>
      </c>
      <c r="AI28" s="138"/>
      <c r="AJ28" s="50">
        <f>IF(AND(Option_Sys_TopUp&gt;="Y",H28&gt;=sytp,H28&lt;=(dtp+sytp-1),F28=0,H28&lt;=ppt+1),atp,0)+IFERROR(VLOOKUP(H28,Input!$B$55:$C$61,2,0),0)*(F28=0)*(Option_TopUP="Y")*(Option_Sys_TopUp="N")*B28*(pt&gt;=H28+5)</f>
        <v>0</v>
      </c>
      <c r="AK28" s="50">
        <f t="shared" si="14"/>
        <v>0</v>
      </c>
      <c r="AL28" s="50">
        <f t="shared" si="36"/>
        <v>0</v>
      </c>
      <c r="AM28" s="50">
        <f t="shared" ca="1" si="15"/>
        <v>0</v>
      </c>
      <c r="AN28" s="50">
        <f ca="1">IF(B28=0,0,AT28*(_rpm1+(1+_emr1)*VLOOKUP(E28,Tab_Mort_Charge,IF(Input!$C$12="M",2,3),0))*(0.001*0.0833)*Flag_Mort_Rider_Charge*(AT28&gt;0))</f>
        <v>0</v>
      </c>
      <c r="AO28" s="50">
        <f t="shared" ca="1" si="37"/>
        <v>0</v>
      </c>
      <c r="AP28" s="50">
        <f t="shared" ca="1" si="38"/>
        <v>0</v>
      </c>
      <c r="AQ28" s="50">
        <f t="shared" ca="1" si="16"/>
        <v>0</v>
      </c>
      <c r="AR28" s="50">
        <f t="shared" ca="1" si="17"/>
        <v>0</v>
      </c>
      <c r="AS28" s="50">
        <f t="shared" si="18"/>
        <v>0</v>
      </c>
      <c r="AT28" s="50">
        <f ca="1">(MAX((MAX(AS28,105%*SUM($AJ$7:AJ28))-AM28*Flag_UL_Type),0)*B28)</f>
        <v>0</v>
      </c>
      <c r="AU28" s="50">
        <f ca="1">(MAX(AS28,AR28,105%*SUM($AJ$7:AJ28))*B28)</f>
        <v>0</v>
      </c>
      <c r="AV28" s="125"/>
      <c r="AW28" s="12">
        <f t="shared" si="51"/>
        <v>22</v>
      </c>
      <c r="AX28" s="14">
        <f t="shared" si="39"/>
        <v>0</v>
      </c>
      <c r="AY28" s="14">
        <f t="shared" si="40"/>
        <v>0</v>
      </c>
      <c r="AZ28" s="14">
        <f t="shared" ca="1" si="41"/>
        <v>0</v>
      </c>
      <c r="BA28" s="14">
        <f t="shared" ca="1" si="42"/>
        <v>0</v>
      </c>
      <c r="BB28" s="14">
        <f t="shared" si="43"/>
        <v>0</v>
      </c>
      <c r="BC28" s="14">
        <f t="shared" ca="1" si="19"/>
        <v>0</v>
      </c>
      <c r="BD28" s="14">
        <f t="shared" ca="1" si="20"/>
        <v>0</v>
      </c>
      <c r="BE28" s="14">
        <f t="shared" si="44"/>
        <v>0</v>
      </c>
      <c r="BF28" s="14">
        <f t="shared" ca="1" si="45"/>
        <v>0</v>
      </c>
      <c r="BG28" s="51">
        <f t="shared" si="21"/>
        <v>0</v>
      </c>
      <c r="BH28" s="51">
        <f t="shared" ca="1" si="22"/>
        <v>0</v>
      </c>
      <c r="BI28" s="51">
        <f t="shared" ca="1" si="46"/>
        <v>0</v>
      </c>
      <c r="BJ28" s="51">
        <f t="shared" ca="1" si="23"/>
        <v>0</v>
      </c>
      <c r="BK28" s="51">
        <f t="shared" si="24"/>
        <v>0</v>
      </c>
      <c r="BL28" s="51">
        <f t="shared" ca="1" si="25"/>
        <v>0</v>
      </c>
      <c r="BM28" s="51">
        <f t="shared" si="26"/>
        <v>0</v>
      </c>
      <c r="BN28" s="51">
        <f t="shared" ca="1" si="27"/>
        <v>0</v>
      </c>
      <c r="BO28" s="51">
        <f t="shared" ca="1" si="28"/>
        <v>0</v>
      </c>
      <c r="BP28" s="51">
        <f t="shared" ca="1" si="29"/>
        <v>0</v>
      </c>
      <c r="BR28" s="32"/>
      <c r="BS28" s="126"/>
      <c r="BT28" s="16"/>
      <c r="BU28" s="58"/>
      <c r="BW28" s="51">
        <f>VLOOKUP(H28,Charges!$AT$4:$AU$33,2,FALSE)*I28</f>
        <v>0</v>
      </c>
      <c r="BX28" s="51">
        <f t="shared" si="30"/>
        <v>0</v>
      </c>
      <c r="BY28" s="51">
        <f t="shared" si="47"/>
        <v>0</v>
      </c>
      <c r="BZ28" s="151"/>
      <c r="CA28" s="151"/>
      <c r="CB28" s="32"/>
      <c r="CC28" s="16">
        <f ca="1">SUM($N$7:$N28)</f>
        <v>0</v>
      </c>
      <c r="CD28" s="16">
        <f t="shared" ca="1" si="31"/>
        <v>0</v>
      </c>
      <c r="CE28" s="16">
        <f t="shared" ca="1" si="32"/>
        <v>0</v>
      </c>
      <c r="CF28" s="7">
        <f t="shared" ca="1" si="48"/>
        <v>0</v>
      </c>
    </row>
    <row r="29" spans="1:84" s="7" customFormat="1" x14ac:dyDescent="0.2">
      <c r="A29" s="149"/>
      <c r="B29" s="14">
        <f t="shared" si="0"/>
        <v>1</v>
      </c>
      <c r="C29" s="12">
        <f t="shared" si="1"/>
        <v>1</v>
      </c>
      <c r="D29" s="17">
        <f t="shared" si="49"/>
        <v>23</v>
      </c>
      <c r="E29" s="17">
        <f t="shared" ca="1" si="2"/>
        <v>61</v>
      </c>
      <c r="F29" s="12">
        <f t="shared" si="53"/>
        <v>10</v>
      </c>
      <c r="G29" s="12">
        <f t="shared" si="52"/>
        <v>4</v>
      </c>
      <c r="H29" s="17">
        <f t="shared" si="54"/>
        <v>2</v>
      </c>
      <c r="I29" s="29">
        <f t="shared" si="3"/>
        <v>0</v>
      </c>
      <c r="J29" s="211">
        <f>IFERROR(VLOOKUP(H29,Charges!$T$6:$U$35,2,0)*C29,0)</f>
        <v>0.95</v>
      </c>
      <c r="K29" s="29">
        <f t="shared" si="4"/>
        <v>0</v>
      </c>
      <c r="L29" s="29">
        <f t="shared" si="5"/>
        <v>0</v>
      </c>
      <c r="M29" s="147">
        <f t="shared" ca="1" si="6"/>
        <v>0</v>
      </c>
      <c r="N29" s="148">
        <f ca="1">IF(AND(Option_SPW="Y",Z28&gt;=SPW_Start_Min_FV,H29&gt;=Lock_In_Period,Z28&gt;SPW_Amount_pa+IF(option="Single",1/5*pr,2*pr),H29&gt;=SPW_Start_Year,H29&lt;=SPW_Start_Year+SPW_Duration-1,F29=0,age+H29&gt;=Legal_Age),SPW_Amount_pa,0)+IFERROR(VLOOKUP(H29,Input!$B$68:$C$74,2,0),0)*(F29=0)*(Option_PW="Y")*(Option_SPW="N")*(age+H29&gt;=Legal_Age)</f>
        <v>0</v>
      </c>
      <c r="O29" s="148">
        <f t="shared" ca="1" si="33"/>
        <v>0</v>
      </c>
      <c r="P29" s="14">
        <f ca="1">(MAX(MAX(sa-CF28*Flag_UL_Type,105%*SUM($I$7:I29))-(AD28+L29-N29)*Flag_UL_Type,0)*B29)</f>
        <v>2391582.1019578893</v>
      </c>
      <c r="Q29" s="213">
        <f t="shared" ca="1" si="7"/>
        <v>0</v>
      </c>
      <c r="R29" s="14">
        <f t="shared" ca="1" si="8"/>
        <v>0</v>
      </c>
      <c r="S29" s="14">
        <f t="shared" ca="1" si="9"/>
        <v>0</v>
      </c>
      <c r="T29" s="14">
        <f>IFERROR(IF(WoP_Flag="Y",IF(fq=1,VLOOKUP(ppt*fq-H29,Charges!$AN$41:$AO$59,2,FALSE),IF(fq=2,VLOOKUP(ppt*fq-G29,Charges!$AP$41:$AQ$79,2,FALSE),VLOOKUP(ppt*fq-D29,Charges!$AR$41:$AS$279,2,FALSE)))*pr/fq,0),0)</f>
        <v>0</v>
      </c>
      <c r="U29" s="14">
        <f ca="1">IFERROR(((T29*(VLOOKUP(Input!$D$18+H29-1,Tab_Mort_Charge,IF(Gender_2="M",2,3),FALSE)*(1+_emr2)+_rpm2)/IF(Model_Type="LA_PQIS",1000/0.0833,(12*1000))))*Flag_Mort_Rider_Charge*(T29&gt;0),0)</f>
        <v>0</v>
      </c>
      <c r="V29" s="34">
        <f>ROUND(MIN(IF(H29&gt;=7,Charges!$C$12*(1+Charges!$C$14)^((H29-7+1)),VLOOKUP(H29,Charges!$B$7:$C$12,2,0))*pr,Charges!$C$13)*B29,Round)</f>
        <v>450</v>
      </c>
      <c r="W29" s="14">
        <f t="shared" ca="1" si="10"/>
        <v>607967.89804211061</v>
      </c>
      <c r="X29" s="14">
        <f t="shared" ca="1" si="11"/>
        <v>611879.58180402906</v>
      </c>
      <c r="Y29" s="213">
        <f t="shared" ca="1" si="34"/>
        <v>688.73914449976746</v>
      </c>
      <c r="Z29" s="14">
        <f t="shared" ca="1" si="12"/>
        <v>611190.8426595293</v>
      </c>
      <c r="AA29" s="14">
        <f>IF(AND($H29=pt,$F29=11),SUM($K$7:K29)*VLOOKUP(pt,ROC,2,FALSE),0)</f>
        <v>0</v>
      </c>
      <c r="AB29" s="14">
        <f>IF(AND($H29=pt,$F29=11),SUM($V$7:V29)*VLOOKUP(pt,ROC,2,FALSE),0)</f>
        <v>0</v>
      </c>
      <c r="AC29" s="14">
        <f>IF(AND($H29=pt,$F29=11),SUM($Q$7:Q29)*VLOOKUP(pt,ROC,2,FALSE),0)</f>
        <v>0</v>
      </c>
      <c r="AD29" s="14">
        <f t="shared" ca="1" si="35"/>
        <v>611190.8426595293</v>
      </c>
      <c r="AE29" s="14">
        <f ca="1">(MAX(sa-CF28*Flag_UL_Type,105%*SUM($I$7:I29),Z29)+AU29)*B29</f>
        <v>3000000</v>
      </c>
      <c r="AF29" s="136"/>
      <c r="AG29" s="18">
        <v>23</v>
      </c>
      <c r="AH29" s="30">
        <f t="shared" ca="1" si="13"/>
        <v>0</v>
      </c>
      <c r="AI29" s="138"/>
      <c r="AJ29" s="50">
        <f>IF(AND(Option_Sys_TopUp&gt;="Y",H29&gt;=sytp,H29&lt;=(dtp+sytp-1),F29=0,H29&lt;=ppt+1),atp,0)+IFERROR(VLOOKUP(H29,Input!$B$55:$C$61,2,0),0)*(F29=0)*(Option_TopUP="Y")*(Option_Sys_TopUp="N")*B29*(pt&gt;=H29+5)</f>
        <v>0</v>
      </c>
      <c r="AK29" s="50">
        <f t="shared" si="14"/>
        <v>0</v>
      </c>
      <c r="AL29" s="50">
        <f t="shared" si="36"/>
        <v>0</v>
      </c>
      <c r="AM29" s="50">
        <f t="shared" ca="1" si="15"/>
        <v>0</v>
      </c>
      <c r="AN29" s="50">
        <f ca="1">IF(B29=0,0,AT29*(_rpm1+(1+_emr1)*VLOOKUP(E29,Tab_Mort_Charge,IF(Input!$C$12="M",2,3),0))*(0.001*0.0833)*Flag_Mort_Rider_Charge*(AT29&gt;0))</f>
        <v>0</v>
      </c>
      <c r="AO29" s="50">
        <f t="shared" ca="1" si="37"/>
        <v>0</v>
      </c>
      <c r="AP29" s="50">
        <f t="shared" ca="1" si="38"/>
        <v>0</v>
      </c>
      <c r="AQ29" s="50">
        <f t="shared" ca="1" si="16"/>
        <v>0</v>
      </c>
      <c r="AR29" s="50">
        <f t="shared" ca="1" si="17"/>
        <v>0</v>
      </c>
      <c r="AS29" s="50">
        <f t="shared" si="18"/>
        <v>0</v>
      </c>
      <c r="AT29" s="50">
        <f ca="1">(MAX((MAX(AS29,105%*SUM($AJ$7:AJ29))-AM29*Flag_UL_Type),0)*B29)</f>
        <v>0</v>
      </c>
      <c r="AU29" s="50">
        <f ca="1">(MAX(AS29,AR29,105%*SUM($AJ$7:AJ29))*B29)</f>
        <v>0</v>
      </c>
      <c r="AV29" s="125"/>
      <c r="AW29" s="12">
        <f t="shared" si="51"/>
        <v>23</v>
      </c>
      <c r="AX29" s="14">
        <f t="shared" si="39"/>
        <v>0</v>
      </c>
      <c r="AY29" s="14">
        <f t="shared" si="40"/>
        <v>0</v>
      </c>
      <c r="AZ29" s="14">
        <f t="shared" ca="1" si="41"/>
        <v>0</v>
      </c>
      <c r="BA29" s="14">
        <f t="shared" ca="1" si="42"/>
        <v>0</v>
      </c>
      <c r="BB29" s="14">
        <f t="shared" si="43"/>
        <v>0</v>
      </c>
      <c r="BC29" s="14">
        <f t="shared" ca="1" si="19"/>
        <v>0</v>
      </c>
      <c r="BD29" s="14">
        <f t="shared" ca="1" si="20"/>
        <v>0</v>
      </c>
      <c r="BE29" s="14">
        <f t="shared" si="44"/>
        <v>0</v>
      </c>
      <c r="BF29" s="14">
        <f t="shared" ca="1" si="45"/>
        <v>0</v>
      </c>
      <c r="BG29" s="51">
        <f t="shared" si="21"/>
        <v>0</v>
      </c>
      <c r="BH29" s="51">
        <f t="shared" ca="1" si="22"/>
        <v>0</v>
      </c>
      <c r="BI29" s="51">
        <f t="shared" ca="1" si="46"/>
        <v>0</v>
      </c>
      <c r="BJ29" s="51">
        <f t="shared" ca="1" si="23"/>
        <v>0</v>
      </c>
      <c r="BK29" s="51">
        <f t="shared" si="24"/>
        <v>0</v>
      </c>
      <c r="BL29" s="51">
        <f t="shared" ca="1" si="25"/>
        <v>0</v>
      </c>
      <c r="BM29" s="51">
        <f t="shared" si="26"/>
        <v>0</v>
      </c>
      <c r="BN29" s="51">
        <f t="shared" ca="1" si="27"/>
        <v>0</v>
      </c>
      <c r="BO29" s="51">
        <f t="shared" ca="1" si="28"/>
        <v>0</v>
      </c>
      <c r="BP29" s="51">
        <f t="shared" ca="1" si="29"/>
        <v>0</v>
      </c>
      <c r="BR29" s="32"/>
      <c r="BS29" s="126"/>
      <c r="BT29" s="16"/>
      <c r="BU29" s="58"/>
      <c r="BW29" s="51">
        <f>VLOOKUP(H29,Charges!$AT$4:$AU$33,2,FALSE)*I29</f>
        <v>0</v>
      </c>
      <c r="BX29" s="51">
        <f t="shared" si="30"/>
        <v>0</v>
      </c>
      <c r="BY29" s="51">
        <f t="shared" si="47"/>
        <v>0</v>
      </c>
      <c r="BZ29" s="151"/>
      <c r="CA29" s="151"/>
      <c r="CB29" s="32"/>
      <c r="CC29" s="16">
        <f ca="1">SUM($N$7:$N29)</f>
        <v>0</v>
      </c>
      <c r="CD29" s="16">
        <f t="shared" ca="1" si="31"/>
        <v>0</v>
      </c>
      <c r="CE29" s="16">
        <f t="shared" ca="1" si="32"/>
        <v>0</v>
      </c>
      <c r="CF29" s="7">
        <f t="shared" ca="1" si="48"/>
        <v>0</v>
      </c>
    </row>
    <row r="30" spans="1:84" s="7" customFormat="1" x14ac:dyDescent="0.2">
      <c r="A30" s="149"/>
      <c r="B30" s="14">
        <f t="shared" si="0"/>
        <v>1</v>
      </c>
      <c r="C30" s="12">
        <f t="shared" si="1"/>
        <v>1</v>
      </c>
      <c r="D30" s="17">
        <f t="shared" si="49"/>
        <v>24</v>
      </c>
      <c r="E30" s="17">
        <f t="shared" ca="1" si="2"/>
        <v>61</v>
      </c>
      <c r="F30" s="12">
        <f t="shared" si="53"/>
        <v>11</v>
      </c>
      <c r="G30" s="12">
        <f t="shared" si="52"/>
        <v>4</v>
      </c>
      <c r="H30" s="17">
        <f t="shared" si="54"/>
        <v>2</v>
      </c>
      <c r="I30" s="29">
        <f t="shared" si="3"/>
        <v>0</v>
      </c>
      <c r="J30" s="211">
        <f>IFERROR(VLOOKUP(H30,Charges!$T$6:$U$35,2,0)*C30,0)</f>
        <v>0.95</v>
      </c>
      <c r="K30" s="29">
        <f t="shared" si="4"/>
        <v>0</v>
      </c>
      <c r="L30" s="29">
        <f t="shared" si="5"/>
        <v>0</v>
      </c>
      <c r="M30" s="147">
        <f t="shared" ca="1" si="6"/>
        <v>0</v>
      </c>
      <c r="N30" s="148">
        <f ca="1">IF(AND(Option_SPW="Y",Z29&gt;=SPW_Start_Min_FV,H30&gt;=Lock_In_Period,Z29&gt;SPW_Amount_pa+IF(option="Single",1/5*pr,2*pr),H30&gt;=SPW_Start_Year,H30&lt;=SPW_Start_Year+SPW_Duration-1,F30=0,age+H30&gt;=Legal_Age),SPW_Amount_pa,0)+IFERROR(VLOOKUP(H30,Input!$B$68:$C$74,2,0),0)*(F30=0)*(Option_PW="Y")*(Option_SPW="N")*(age+H30&gt;=Legal_Age)</f>
        <v>0</v>
      </c>
      <c r="O30" s="148">
        <f t="shared" ca="1" si="33"/>
        <v>0</v>
      </c>
      <c r="P30" s="14">
        <f ca="1">(MAX(MAX(sa-CF29*Flag_UL_Type,105%*SUM($I$7:I30))-(AD29+L30-N30)*Flag_UL_Type,0)*B30)</f>
        <v>2388809.1573404707</v>
      </c>
      <c r="Q30" s="213">
        <f t="shared" ca="1" si="7"/>
        <v>0</v>
      </c>
      <c r="R30" s="14">
        <f t="shared" ca="1" si="8"/>
        <v>0</v>
      </c>
      <c r="S30" s="14">
        <f t="shared" ca="1" si="9"/>
        <v>0</v>
      </c>
      <c r="T30" s="14">
        <f>IFERROR(IF(WoP_Flag="Y",IF(fq=1,VLOOKUP(ppt*fq-H30,Charges!$AN$41:$AO$59,2,FALSE),IF(fq=2,VLOOKUP(ppt*fq-G30,Charges!$AP$41:$AQ$79,2,FALSE),VLOOKUP(ppt*fq-D30,Charges!$AR$41:$AS$279,2,FALSE)))*pr/fq,0),0)</f>
        <v>0</v>
      </c>
      <c r="U30" s="14">
        <f ca="1">IFERROR(((T30*(VLOOKUP(Input!$D$18+H30-1,Tab_Mort_Charge,IF(Gender_2="M",2,3),FALSE)*(1+_emr2)+_rpm2)/IF(Model_Type="LA_PQIS",1000/0.0833,(12*1000))))*Flag_Mort_Rider_Charge*(T30&gt;0),0)</f>
        <v>0</v>
      </c>
      <c r="V30" s="34">
        <f>ROUND(MIN(IF(H30&gt;=7,Charges!$C$12*(1+Charges!$C$14)^((H30-7+1)),VLOOKUP(H30,Charges!$B$7:$C$12,2,0))*pr,Charges!$C$13)*B30,Round)</f>
        <v>450</v>
      </c>
      <c r="W30" s="14">
        <f t="shared" ca="1" si="10"/>
        <v>610740.8426595293</v>
      </c>
      <c r="X30" s="14">
        <f t="shared" ca="1" si="11"/>
        <v>614670.36763060954</v>
      </c>
      <c r="Y30" s="213">
        <f t="shared" ca="1" si="34"/>
        <v>691.88048717541949</v>
      </c>
      <c r="Z30" s="14">
        <f t="shared" ca="1" si="12"/>
        <v>613978.48714343412</v>
      </c>
      <c r="AA30" s="14">
        <f>IF(AND($H30=pt,$F30=11),SUM($K$7:K30)*VLOOKUP(pt,ROC,2,FALSE),0)</f>
        <v>0</v>
      </c>
      <c r="AB30" s="14">
        <f>IF(AND($H30=pt,$F30=11),SUM($V$7:V30)*VLOOKUP(pt,ROC,2,FALSE),0)</f>
        <v>0</v>
      </c>
      <c r="AC30" s="14">
        <f>IF(AND($H30=pt,$F30=11),SUM($Q$7:Q30)*VLOOKUP(pt,ROC,2,FALSE),0)</f>
        <v>0</v>
      </c>
      <c r="AD30" s="14">
        <f t="shared" ca="1" si="35"/>
        <v>613978.48714343412</v>
      </c>
      <c r="AE30" s="14">
        <f ca="1">(MAX(sa-CF29*Flag_UL_Type,105%*SUM($I$7:I30),Z30)+AU30)*B30</f>
        <v>3000000</v>
      </c>
      <c r="AF30" s="136"/>
      <c r="AG30" s="18">
        <v>24</v>
      </c>
      <c r="AH30" s="30">
        <f t="shared" ca="1" si="13"/>
        <v>0</v>
      </c>
      <c r="AI30" s="138"/>
      <c r="AJ30" s="50">
        <f>IF(AND(Option_Sys_TopUp&gt;="Y",H30&gt;=sytp,H30&lt;=(dtp+sytp-1),F30=0,H30&lt;=ppt+1),atp,0)+IFERROR(VLOOKUP(H30,Input!$B$55:$C$61,2,0),0)*(F30=0)*(Option_TopUP="Y")*(Option_Sys_TopUp="N")*B30*(pt&gt;=H30+5)</f>
        <v>0</v>
      </c>
      <c r="AK30" s="50">
        <f t="shared" si="14"/>
        <v>0</v>
      </c>
      <c r="AL30" s="50">
        <f t="shared" si="36"/>
        <v>0</v>
      </c>
      <c r="AM30" s="50">
        <f t="shared" ca="1" si="15"/>
        <v>0</v>
      </c>
      <c r="AN30" s="50">
        <f ca="1">IF(B30=0,0,AT30*(_rpm1+(1+_emr1)*VLOOKUP(E30,Tab_Mort_Charge,IF(Input!$C$12="M",2,3),0))*(0.001*0.0833)*Flag_Mort_Rider_Charge*(AT30&gt;0))</f>
        <v>0</v>
      </c>
      <c r="AO30" s="50">
        <f t="shared" ca="1" si="37"/>
        <v>0</v>
      </c>
      <c r="AP30" s="50">
        <f t="shared" ca="1" si="38"/>
        <v>0</v>
      </c>
      <c r="AQ30" s="50">
        <f t="shared" ca="1" si="16"/>
        <v>0</v>
      </c>
      <c r="AR30" s="50">
        <f t="shared" ca="1" si="17"/>
        <v>0</v>
      </c>
      <c r="AS30" s="50">
        <f t="shared" si="18"/>
        <v>0</v>
      </c>
      <c r="AT30" s="50">
        <f ca="1">(MAX((MAX(AS30,105%*SUM($AJ$7:AJ30))-AM30*Flag_UL_Type),0)*B30)</f>
        <v>0</v>
      </c>
      <c r="AU30" s="50">
        <f ca="1">(MAX(AS30,AR30,105%*SUM($AJ$7:AJ30))*B30)</f>
        <v>0</v>
      </c>
      <c r="AV30" s="125"/>
      <c r="AW30" s="12">
        <f t="shared" si="51"/>
        <v>24</v>
      </c>
      <c r="AX30" s="14">
        <f t="shared" si="39"/>
        <v>0</v>
      </c>
      <c r="AY30" s="14">
        <f t="shared" si="40"/>
        <v>0</v>
      </c>
      <c r="AZ30" s="14">
        <f t="shared" ca="1" si="41"/>
        <v>0</v>
      </c>
      <c r="BA30" s="14">
        <f t="shared" ca="1" si="42"/>
        <v>0</v>
      </c>
      <c r="BB30" s="14">
        <f t="shared" si="43"/>
        <v>0</v>
      </c>
      <c r="BC30" s="14">
        <f t="shared" ca="1" si="19"/>
        <v>0</v>
      </c>
      <c r="BD30" s="14">
        <f t="shared" ca="1" si="20"/>
        <v>0</v>
      </c>
      <c r="BE30" s="14">
        <f t="shared" si="44"/>
        <v>0</v>
      </c>
      <c r="BF30" s="14">
        <f t="shared" ca="1" si="45"/>
        <v>0</v>
      </c>
      <c r="BG30" s="51">
        <f t="shared" si="21"/>
        <v>0</v>
      </c>
      <c r="BH30" s="51">
        <f t="shared" ca="1" si="22"/>
        <v>0</v>
      </c>
      <c r="BI30" s="51">
        <f t="shared" ca="1" si="46"/>
        <v>0</v>
      </c>
      <c r="BJ30" s="51">
        <f t="shared" ca="1" si="23"/>
        <v>0</v>
      </c>
      <c r="BK30" s="51">
        <f t="shared" si="24"/>
        <v>0</v>
      </c>
      <c r="BL30" s="51">
        <f t="shared" ca="1" si="25"/>
        <v>0</v>
      </c>
      <c r="BM30" s="51">
        <f t="shared" si="26"/>
        <v>0</v>
      </c>
      <c r="BN30" s="51">
        <f t="shared" ca="1" si="27"/>
        <v>0</v>
      </c>
      <c r="BO30" s="51">
        <f t="shared" ca="1" si="28"/>
        <v>0</v>
      </c>
      <c r="BP30" s="51">
        <f t="shared" ca="1" si="29"/>
        <v>0</v>
      </c>
      <c r="BR30" s="32"/>
      <c r="BS30" s="126"/>
      <c r="BT30" s="16"/>
      <c r="BU30" s="58"/>
      <c r="BW30" s="51">
        <f>VLOOKUP(H30,Charges!$AT$4:$AU$33,2,FALSE)*I30</f>
        <v>0</v>
      </c>
      <c r="BX30" s="51">
        <f t="shared" si="30"/>
        <v>0</v>
      </c>
      <c r="BY30" s="51">
        <f t="shared" si="47"/>
        <v>0</v>
      </c>
      <c r="BZ30" s="151"/>
      <c r="CA30" s="151"/>
      <c r="CB30" s="32"/>
      <c r="CC30" s="16">
        <f ca="1">SUM($N$7:$N30)</f>
        <v>0</v>
      </c>
      <c r="CD30" s="16">
        <f t="shared" ca="1" si="31"/>
        <v>0</v>
      </c>
      <c r="CE30" s="16">
        <f t="shared" ca="1" si="32"/>
        <v>0</v>
      </c>
      <c r="CF30" s="7">
        <f t="shared" ca="1" si="48"/>
        <v>0</v>
      </c>
    </row>
    <row r="31" spans="1:84" s="7" customFormat="1" x14ac:dyDescent="0.2">
      <c r="A31" s="149"/>
      <c r="B31" s="14">
        <f t="shared" si="0"/>
        <v>1</v>
      </c>
      <c r="C31" s="12">
        <f t="shared" si="1"/>
        <v>1</v>
      </c>
      <c r="D31" s="17">
        <f t="shared" si="49"/>
        <v>25</v>
      </c>
      <c r="E31" s="17">
        <f t="shared" ca="1" si="2"/>
        <v>62</v>
      </c>
      <c r="F31" s="12">
        <f t="shared" si="53"/>
        <v>0</v>
      </c>
      <c r="G31" s="12">
        <f t="shared" si="52"/>
        <v>5</v>
      </c>
      <c r="H31" s="17">
        <f t="shared" si="54"/>
        <v>3</v>
      </c>
      <c r="I31" s="29">
        <f t="shared" si="3"/>
        <v>300000</v>
      </c>
      <c r="J31" s="211">
        <f>IFERROR(VLOOKUP(H31,Charges!$T$6:$U$35,2,0)*C31,0)</f>
        <v>0.96499999999999997</v>
      </c>
      <c r="K31" s="29">
        <f t="shared" si="4"/>
        <v>10500</v>
      </c>
      <c r="L31" s="29">
        <f t="shared" si="5"/>
        <v>289500</v>
      </c>
      <c r="M31" s="147">
        <f t="shared" ca="1" si="6"/>
        <v>0</v>
      </c>
      <c r="N31" s="148">
        <f ca="1">IF(AND(Option_SPW="Y",Z30&gt;=SPW_Start_Min_FV,H31&gt;=Lock_In_Period,Z30&gt;SPW_Amount_pa+IF(option="Single",1/5*pr,2*pr),H31&gt;=SPW_Start_Year,H31&lt;=SPW_Start_Year+SPW_Duration-1,F31=0,age+H31&gt;=Legal_Age),SPW_Amount_pa,0)+IFERROR(VLOOKUP(H31,Input!$B$68:$C$74,2,0),0)*(F31=0)*(Option_PW="Y")*(Option_SPW="N")*(age+H31&gt;=Legal_Age)</f>
        <v>0</v>
      </c>
      <c r="O31" s="148">
        <f t="shared" ca="1" si="33"/>
        <v>0</v>
      </c>
      <c r="P31" s="14">
        <f ca="1">(MAX(MAX(sa-CF30*Flag_UL_Type,105%*SUM($I$7:I31))-(AD30+L31-N31)*Flag_UL_Type,0)*B31)</f>
        <v>2096521.5128565659</v>
      </c>
      <c r="Q31" s="213">
        <f t="shared" ca="1" si="7"/>
        <v>0</v>
      </c>
      <c r="R31" s="14">
        <f t="shared" ca="1" si="8"/>
        <v>0</v>
      </c>
      <c r="S31" s="14">
        <f t="shared" ca="1" si="9"/>
        <v>0</v>
      </c>
      <c r="T31" s="14">
        <f>IFERROR(IF(WoP_Flag="Y",IF(fq=1,VLOOKUP(ppt*fq-H31,Charges!$AN$41:$AO$59,2,FALSE),IF(fq=2,VLOOKUP(ppt*fq-G31,Charges!$AP$41:$AQ$79,2,FALSE),VLOOKUP(ppt*fq-D31,Charges!$AR$41:$AS$279,2,FALSE)))*pr/fq,0),0)</f>
        <v>0</v>
      </c>
      <c r="U31" s="14">
        <f ca="1">IFERROR(((T31*(VLOOKUP(Input!$D$18+H31-1,Tab_Mort_Charge,IF(Gender_2="M",2,3),FALSE)*(1+_emr2)+_rpm2)/IF(Model_Type="LA_PQIS",1000/0.0833,(12*1000))))*Flag_Mort_Rider_Charge*(T31&gt;0),0)</f>
        <v>0</v>
      </c>
      <c r="V31" s="34">
        <f>ROUND(MIN(IF(H31&gt;=7,Charges!$C$12*(1+Charges!$C$14)^((H31-7+1)),VLOOKUP(H31,Charges!$B$7:$C$12,2,0))*pr,Charges!$C$13)*B31,Round)</f>
        <v>450</v>
      </c>
      <c r="W31" s="14">
        <f t="shared" ca="1" si="10"/>
        <v>903028.48714343412</v>
      </c>
      <c r="X31" s="14">
        <f t="shared" ca="1" si="11"/>
        <v>908838.59961990581</v>
      </c>
      <c r="Y31" s="213">
        <f t="shared" ca="1" si="34"/>
        <v>1022.9998486713009</v>
      </c>
      <c r="Z31" s="14">
        <f t="shared" ca="1" si="12"/>
        <v>907815.59977123456</v>
      </c>
      <c r="AA31" s="14">
        <f>IF(AND($H31=pt,$F31=11),SUM($K$7:K31)*VLOOKUP(pt,ROC,2,FALSE),0)</f>
        <v>0</v>
      </c>
      <c r="AB31" s="14">
        <f>IF(AND($H31=pt,$F31=11),SUM($V$7:V31)*VLOOKUP(pt,ROC,2,FALSE),0)</f>
        <v>0</v>
      </c>
      <c r="AC31" s="14">
        <f>IF(AND($H31=pt,$F31=11),SUM($Q$7:Q31)*VLOOKUP(pt,ROC,2,FALSE),0)</f>
        <v>0</v>
      </c>
      <c r="AD31" s="14">
        <f t="shared" ca="1" si="35"/>
        <v>907815.59977123456</v>
      </c>
      <c r="AE31" s="14">
        <f ca="1">(MAX(sa-CF30*Flag_UL_Type,105%*SUM($I$7:I31),Z31)+AU31)*B31</f>
        <v>3000000</v>
      </c>
      <c r="AF31" s="136"/>
      <c r="AG31" s="18">
        <v>25</v>
      </c>
      <c r="AH31" s="30">
        <f t="shared" ca="1" si="13"/>
        <v>300000</v>
      </c>
      <c r="AI31" s="138"/>
      <c r="AJ31" s="50">
        <f>IF(AND(Option_Sys_TopUp&gt;="Y",H31&gt;=sytp,H31&lt;=(dtp+sytp-1),F31=0,H31&lt;=ppt+1),atp,0)+IFERROR(VLOOKUP(H31,Input!$B$55:$C$61,2,0),0)*(F31=0)*(Option_TopUP="Y")*(Option_Sys_TopUp="N")*B31*(pt&gt;=H31+5)</f>
        <v>0</v>
      </c>
      <c r="AK31" s="50">
        <f t="shared" si="14"/>
        <v>0</v>
      </c>
      <c r="AL31" s="50">
        <f t="shared" si="36"/>
        <v>0</v>
      </c>
      <c r="AM31" s="50">
        <f t="shared" ca="1" si="15"/>
        <v>0</v>
      </c>
      <c r="AN31" s="50">
        <f ca="1">IF(B31=0,0,AT31*(_rpm1+(1+_emr1)*VLOOKUP(E31,Tab_Mort_Charge,IF(Input!$C$12="M",2,3),0))*(0.001*0.0833)*Flag_Mort_Rider_Charge*(AT31&gt;0))</f>
        <v>0</v>
      </c>
      <c r="AO31" s="50">
        <f t="shared" ca="1" si="37"/>
        <v>0</v>
      </c>
      <c r="AP31" s="50">
        <f t="shared" ca="1" si="38"/>
        <v>0</v>
      </c>
      <c r="AQ31" s="50">
        <f t="shared" ca="1" si="16"/>
        <v>0</v>
      </c>
      <c r="AR31" s="50">
        <f t="shared" ca="1" si="17"/>
        <v>0</v>
      </c>
      <c r="AS31" s="50">
        <f t="shared" si="18"/>
        <v>0</v>
      </c>
      <c r="AT31" s="50">
        <f ca="1">(MAX((MAX(AS31,105%*SUM($AJ$7:AJ31))-AM31*Flag_UL_Type),0)*B31)</f>
        <v>0</v>
      </c>
      <c r="AU31" s="50">
        <f ca="1">(MAX(AS31,AR31,105%*SUM($AJ$7:AJ31))*B31)</f>
        <v>0</v>
      </c>
      <c r="AV31" s="125"/>
      <c r="AW31" s="12">
        <f t="shared" si="51"/>
        <v>25</v>
      </c>
      <c r="AX31" s="14">
        <f t="shared" si="39"/>
        <v>0</v>
      </c>
      <c r="AY31" s="14">
        <f t="shared" si="40"/>
        <v>0</v>
      </c>
      <c r="AZ31" s="14">
        <f t="shared" ca="1" si="41"/>
        <v>0</v>
      </c>
      <c r="BA31" s="14">
        <f t="shared" ca="1" si="42"/>
        <v>0</v>
      </c>
      <c r="BB31" s="14">
        <f t="shared" si="43"/>
        <v>0</v>
      </c>
      <c r="BC31" s="14">
        <f t="shared" ca="1" si="19"/>
        <v>0</v>
      </c>
      <c r="BD31" s="14">
        <f t="shared" ca="1" si="20"/>
        <v>0</v>
      </c>
      <c r="BE31" s="14">
        <f t="shared" si="44"/>
        <v>0</v>
      </c>
      <c r="BF31" s="14">
        <f t="shared" ca="1" si="45"/>
        <v>0</v>
      </c>
      <c r="BG31" s="51">
        <f t="shared" si="21"/>
        <v>0</v>
      </c>
      <c r="BH31" s="51">
        <f t="shared" ca="1" si="22"/>
        <v>0</v>
      </c>
      <c r="BI31" s="51">
        <f t="shared" ca="1" si="46"/>
        <v>0</v>
      </c>
      <c r="BJ31" s="51">
        <f t="shared" ca="1" si="23"/>
        <v>0</v>
      </c>
      <c r="BK31" s="51">
        <f t="shared" si="24"/>
        <v>0</v>
      </c>
      <c r="BL31" s="51">
        <f t="shared" ca="1" si="25"/>
        <v>0</v>
      </c>
      <c r="BM31" s="51">
        <f t="shared" si="26"/>
        <v>0</v>
      </c>
      <c r="BN31" s="51">
        <f t="shared" ca="1" si="27"/>
        <v>0</v>
      </c>
      <c r="BO31" s="51">
        <f t="shared" ca="1" si="28"/>
        <v>0</v>
      </c>
      <c r="BP31" s="51">
        <f t="shared" ca="1" si="29"/>
        <v>0</v>
      </c>
      <c r="BR31" s="32"/>
      <c r="BS31" s="126"/>
      <c r="BT31" s="16"/>
      <c r="BU31" s="58"/>
      <c r="BW31" s="51">
        <f>VLOOKUP(H31,Charges!$AT$4:$AU$33,2,FALSE)*I31</f>
        <v>3000</v>
      </c>
      <c r="BX31" s="51">
        <f t="shared" si="30"/>
        <v>0</v>
      </c>
      <c r="BY31" s="51">
        <f t="shared" si="47"/>
        <v>3000</v>
      </c>
      <c r="BZ31" s="151"/>
      <c r="CA31" s="151"/>
      <c r="CB31" s="32"/>
      <c r="CC31" s="16">
        <f ca="1">SUM($N$7:$N31)</f>
        <v>0</v>
      </c>
      <c r="CD31" s="16">
        <f t="shared" ca="1" si="31"/>
        <v>0</v>
      </c>
      <c r="CE31" s="16">
        <f t="shared" ca="1" si="32"/>
        <v>0</v>
      </c>
      <c r="CF31" s="7">
        <f t="shared" ca="1" si="48"/>
        <v>0</v>
      </c>
    </row>
    <row r="32" spans="1:84" s="7" customFormat="1" x14ac:dyDescent="0.2">
      <c r="A32" s="149"/>
      <c r="B32" s="14">
        <f t="shared" si="0"/>
        <v>1</v>
      </c>
      <c r="C32" s="12">
        <f t="shared" si="1"/>
        <v>1</v>
      </c>
      <c r="D32" s="17">
        <f t="shared" si="49"/>
        <v>26</v>
      </c>
      <c r="E32" s="17">
        <f t="shared" ca="1" si="2"/>
        <v>62</v>
      </c>
      <c r="F32" s="12">
        <f t="shared" si="53"/>
        <v>1</v>
      </c>
      <c r="G32" s="12">
        <f t="shared" si="52"/>
        <v>5</v>
      </c>
      <c r="H32" s="17">
        <f t="shared" si="54"/>
        <v>3</v>
      </c>
      <c r="I32" s="29">
        <f t="shared" si="3"/>
        <v>0</v>
      </c>
      <c r="J32" s="211">
        <f>IFERROR(VLOOKUP(H32,Charges!$T$6:$U$35,2,0)*C32,0)</f>
        <v>0.96499999999999997</v>
      </c>
      <c r="K32" s="29">
        <f t="shared" si="4"/>
        <v>0</v>
      </c>
      <c r="L32" s="29">
        <f t="shared" si="5"/>
        <v>0</v>
      </c>
      <c r="M32" s="147">
        <f t="shared" ca="1" si="6"/>
        <v>0</v>
      </c>
      <c r="N32" s="148">
        <f ca="1">IF(AND(Option_SPW="Y",Z31&gt;=SPW_Start_Min_FV,H32&gt;=Lock_In_Period,Z31&gt;SPW_Amount_pa+IF(option="Single",1/5*pr,2*pr),H32&gt;=SPW_Start_Year,H32&lt;=SPW_Start_Year+SPW_Duration-1,F32=0,age+H32&gt;=Legal_Age),SPW_Amount_pa,0)+IFERROR(VLOOKUP(H32,Input!$B$68:$C$74,2,0),0)*(F32=0)*(Option_PW="Y")*(Option_SPW="N")*(age+H32&gt;=Legal_Age)</f>
        <v>0</v>
      </c>
      <c r="O32" s="148">
        <f t="shared" ca="1" si="33"/>
        <v>0</v>
      </c>
      <c r="P32" s="14">
        <f ca="1">(MAX(MAX(sa-CF31*Flag_UL_Type,105%*SUM($I$7:I32))-(AD31+L32-N32)*Flag_UL_Type,0)*B32)</f>
        <v>2092184.4002287653</v>
      </c>
      <c r="Q32" s="213">
        <f t="shared" ca="1" si="7"/>
        <v>0</v>
      </c>
      <c r="R32" s="14">
        <f t="shared" ca="1" si="8"/>
        <v>0</v>
      </c>
      <c r="S32" s="14">
        <f t="shared" ca="1" si="9"/>
        <v>0</v>
      </c>
      <c r="T32" s="14">
        <f>IFERROR(IF(WoP_Flag="Y",IF(fq=1,VLOOKUP(ppt*fq-H32,Charges!$AN$41:$AO$59,2,FALSE),IF(fq=2,VLOOKUP(ppt*fq-G32,Charges!$AP$41:$AQ$79,2,FALSE),VLOOKUP(ppt*fq-D32,Charges!$AR$41:$AS$279,2,FALSE)))*pr/fq,0),0)</f>
        <v>0</v>
      </c>
      <c r="U32" s="14">
        <f ca="1">IFERROR(((T32*(VLOOKUP(Input!$D$18+H32-1,Tab_Mort_Charge,IF(Gender_2="M",2,3),FALSE)*(1+_emr2)+_rpm2)/IF(Model_Type="LA_PQIS",1000/0.0833,(12*1000))))*Flag_Mort_Rider_Charge*(T32&gt;0),0)</f>
        <v>0</v>
      </c>
      <c r="V32" s="34">
        <f>ROUND(MIN(IF(H32&gt;=7,Charges!$C$12*(1+Charges!$C$14)^((H32-7+1)),VLOOKUP(H32,Charges!$B$7:$C$12,2,0))*pr,Charges!$C$13)*B32,Round)</f>
        <v>450</v>
      </c>
      <c r="W32" s="14">
        <f t="shared" ca="1" si="10"/>
        <v>907365.59977123456</v>
      </c>
      <c r="X32" s="14">
        <f t="shared" ca="1" si="11"/>
        <v>913203.61736094404</v>
      </c>
      <c r="Y32" s="213">
        <f t="shared" ca="1" si="34"/>
        <v>1027.913166052844</v>
      </c>
      <c r="Z32" s="14">
        <f t="shared" ca="1" si="12"/>
        <v>912175.70419489115</v>
      </c>
      <c r="AA32" s="14">
        <f>IF(AND($H32=pt,$F32=11),SUM($K$7:K32)*VLOOKUP(pt,ROC,2,FALSE),0)</f>
        <v>0</v>
      </c>
      <c r="AB32" s="14">
        <f>IF(AND($H32=pt,$F32=11),SUM($V$7:V32)*VLOOKUP(pt,ROC,2,FALSE),0)</f>
        <v>0</v>
      </c>
      <c r="AC32" s="14">
        <f>IF(AND($H32=pt,$F32=11),SUM($Q$7:Q32)*VLOOKUP(pt,ROC,2,FALSE),0)</f>
        <v>0</v>
      </c>
      <c r="AD32" s="14">
        <f t="shared" ca="1" si="35"/>
        <v>912175.70419489115</v>
      </c>
      <c r="AE32" s="14">
        <f ca="1">(MAX(sa-CF31*Flag_UL_Type,105%*SUM($I$7:I32),Z32)+AU32)*B32</f>
        <v>3000000</v>
      </c>
      <c r="AF32" s="136"/>
      <c r="AG32" s="18">
        <v>26</v>
      </c>
      <c r="AH32" s="30">
        <f t="shared" ca="1" si="13"/>
        <v>0</v>
      </c>
      <c r="AI32" s="138"/>
      <c r="AJ32" s="50">
        <f>IF(AND(Option_Sys_TopUp&gt;="Y",H32&gt;=sytp,H32&lt;=(dtp+sytp-1),F32=0,H32&lt;=ppt+1),atp,0)+IFERROR(VLOOKUP(H32,Input!$B$55:$C$61,2,0),0)*(F32=0)*(Option_TopUP="Y")*(Option_Sys_TopUp="N")*B32*(pt&gt;=H32+5)</f>
        <v>0</v>
      </c>
      <c r="AK32" s="50">
        <f t="shared" si="14"/>
        <v>0</v>
      </c>
      <c r="AL32" s="50">
        <f t="shared" si="36"/>
        <v>0</v>
      </c>
      <c r="AM32" s="50">
        <f t="shared" ca="1" si="15"/>
        <v>0</v>
      </c>
      <c r="AN32" s="50">
        <f ca="1">IF(B32=0,0,AT32*(_rpm1+(1+_emr1)*VLOOKUP(E32,Tab_Mort_Charge,IF(Input!$C$12="M",2,3),0))*(0.001*0.0833)*Flag_Mort_Rider_Charge*(AT32&gt;0))</f>
        <v>0</v>
      </c>
      <c r="AO32" s="50">
        <f t="shared" ca="1" si="37"/>
        <v>0</v>
      </c>
      <c r="AP32" s="50">
        <f t="shared" ca="1" si="38"/>
        <v>0</v>
      </c>
      <c r="AQ32" s="50">
        <f t="shared" ca="1" si="16"/>
        <v>0</v>
      </c>
      <c r="AR32" s="50">
        <f t="shared" ca="1" si="17"/>
        <v>0</v>
      </c>
      <c r="AS32" s="50">
        <f t="shared" si="18"/>
        <v>0</v>
      </c>
      <c r="AT32" s="50">
        <f ca="1">(MAX((MAX(AS32,105%*SUM($AJ$7:AJ32))-AM32*Flag_UL_Type),0)*B32)</f>
        <v>0</v>
      </c>
      <c r="AU32" s="50">
        <f ca="1">(MAX(AS32,AR32,105%*SUM($AJ$7:AJ32))*B32)</f>
        <v>0</v>
      </c>
      <c r="AV32" s="125"/>
      <c r="AW32" s="12">
        <f t="shared" si="51"/>
        <v>26</v>
      </c>
      <c r="AX32" s="14">
        <f t="shared" si="39"/>
        <v>0</v>
      </c>
      <c r="AY32" s="14">
        <f t="shared" si="40"/>
        <v>0</v>
      </c>
      <c r="AZ32" s="14">
        <f t="shared" ca="1" si="41"/>
        <v>0</v>
      </c>
      <c r="BA32" s="14">
        <f t="shared" ca="1" si="42"/>
        <v>0</v>
      </c>
      <c r="BB32" s="14">
        <f t="shared" si="43"/>
        <v>0</v>
      </c>
      <c r="BC32" s="14">
        <f t="shared" ca="1" si="19"/>
        <v>0</v>
      </c>
      <c r="BD32" s="14">
        <f t="shared" ca="1" si="20"/>
        <v>0</v>
      </c>
      <c r="BE32" s="14">
        <f t="shared" si="44"/>
        <v>0</v>
      </c>
      <c r="BF32" s="14">
        <f t="shared" ca="1" si="45"/>
        <v>0</v>
      </c>
      <c r="BG32" s="51">
        <f t="shared" si="21"/>
        <v>0</v>
      </c>
      <c r="BH32" s="51">
        <f t="shared" ca="1" si="22"/>
        <v>0</v>
      </c>
      <c r="BI32" s="51">
        <f t="shared" ca="1" si="46"/>
        <v>0</v>
      </c>
      <c r="BJ32" s="51">
        <f t="shared" ca="1" si="23"/>
        <v>0</v>
      </c>
      <c r="BK32" s="51">
        <f t="shared" si="24"/>
        <v>0</v>
      </c>
      <c r="BL32" s="51">
        <f t="shared" ca="1" si="25"/>
        <v>0</v>
      </c>
      <c r="BM32" s="51">
        <f t="shared" si="26"/>
        <v>0</v>
      </c>
      <c r="BN32" s="51">
        <f t="shared" ca="1" si="27"/>
        <v>0</v>
      </c>
      <c r="BO32" s="51">
        <f t="shared" ca="1" si="28"/>
        <v>0</v>
      </c>
      <c r="BP32" s="51">
        <f t="shared" ca="1" si="29"/>
        <v>0</v>
      </c>
      <c r="BR32" s="32"/>
      <c r="BS32" s="126"/>
      <c r="BT32" s="16"/>
      <c r="BU32" s="58"/>
      <c r="BW32" s="51">
        <f>VLOOKUP(H32,Charges!$AT$4:$AU$33,2,FALSE)*I32</f>
        <v>0</v>
      </c>
      <c r="BX32" s="51">
        <f t="shared" si="30"/>
        <v>0</v>
      </c>
      <c r="BY32" s="51">
        <f t="shared" si="47"/>
        <v>0</v>
      </c>
      <c r="BZ32" s="151"/>
      <c r="CA32" s="151"/>
      <c r="CB32" s="32"/>
      <c r="CC32" s="16">
        <f ca="1">SUM($N$7:$N32)</f>
        <v>0</v>
      </c>
      <c r="CD32" s="16">
        <f t="shared" ca="1" si="31"/>
        <v>0</v>
      </c>
      <c r="CE32" s="16">
        <f t="shared" ca="1" si="32"/>
        <v>0</v>
      </c>
      <c r="CF32" s="7">
        <f t="shared" ca="1" si="48"/>
        <v>0</v>
      </c>
    </row>
    <row r="33" spans="1:84" s="7" customFormat="1" x14ac:dyDescent="0.2">
      <c r="A33" s="149"/>
      <c r="B33" s="14">
        <f t="shared" si="0"/>
        <v>1</v>
      </c>
      <c r="C33" s="12">
        <f t="shared" si="1"/>
        <v>1</v>
      </c>
      <c r="D33" s="17">
        <f t="shared" si="49"/>
        <v>27</v>
      </c>
      <c r="E33" s="17">
        <f t="shared" ca="1" si="2"/>
        <v>62</v>
      </c>
      <c r="F33" s="12">
        <f t="shared" si="53"/>
        <v>2</v>
      </c>
      <c r="G33" s="12">
        <f t="shared" si="52"/>
        <v>5</v>
      </c>
      <c r="H33" s="17">
        <f t="shared" si="54"/>
        <v>3</v>
      </c>
      <c r="I33" s="29">
        <f t="shared" si="3"/>
        <v>0</v>
      </c>
      <c r="J33" s="211">
        <f>IFERROR(VLOOKUP(H33,Charges!$T$6:$U$35,2,0)*C33,0)</f>
        <v>0.96499999999999997</v>
      </c>
      <c r="K33" s="29">
        <f t="shared" si="4"/>
        <v>0</v>
      </c>
      <c r="L33" s="29">
        <f t="shared" si="5"/>
        <v>0</v>
      </c>
      <c r="M33" s="147">
        <f t="shared" ca="1" si="6"/>
        <v>0</v>
      </c>
      <c r="N33" s="148">
        <f ca="1">IF(AND(Option_SPW="Y",Z32&gt;=SPW_Start_Min_FV,H33&gt;=Lock_In_Period,Z32&gt;SPW_Amount_pa+IF(option="Single",1/5*pr,2*pr),H33&gt;=SPW_Start_Year,H33&lt;=SPW_Start_Year+SPW_Duration-1,F33=0,age+H33&gt;=Legal_Age),SPW_Amount_pa,0)+IFERROR(VLOOKUP(H33,Input!$B$68:$C$74,2,0),0)*(F33=0)*(Option_PW="Y")*(Option_SPW="N")*(age+H33&gt;=Legal_Age)</f>
        <v>0</v>
      </c>
      <c r="O33" s="148">
        <f t="shared" ca="1" si="33"/>
        <v>0</v>
      </c>
      <c r="P33" s="14">
        <f ca="1">(MAX(MAX(sa-CF32*Flag_UL_Type,105%*SUM($I$7:I33))-(AD32+L33-N33)*Flag_UL_Type,0)*B33)</f>
        <v>2087824.2958051087</v>
      </c>
      <c r="Q33" s="213">
        <f t="shared" ca="1" si="7"/>
        <v>0</v>
      </c>
      <c r="R33" s="14">
        <f t="shared" ca="1" si="8"/>
        <v>0</v>
      </c>
      <c r="S33" s="14">
        <f t="shared" ca="1" si="9"/>
        <v>0</v>
      </c>
      <c r="T33" s="14">
        <f>IFERROR(IF(WoP_Flag="Y",IF(fq=1,VLOOKUP(ppt*fq-H33,Charges!$AN$41:$AO$59,2,FALSE),IF(fq=2,VLOOKUP(ppt*fq-G33,Charges!$AP$41:$AQ$79,2,FALSE),VLOOKUP(ppt*fq-D33,Charges!$AR$41:$AS$279,2,FALSE)))*pr/fq,0),0)</f>
        <v>0</v>
      </c>
      <c r="U33" s="14">
        <f ca="1">IFERROR(((T33*(VLOOKUP(Input!$D$18+H33-1,Tab_Mort_Charge,IF(Gender_2="M",2,3),FALSE)*(1+_emr2)+_rpm2)/IF(Model_Type="LA_PQIS",1000/0.0833,(12*1000))))*Flag_Mort_Rider_Charge*(T33&gt;0),0)</f>
        <v>0</v>
      </c>
      <c r="V33" s="34">
        <f>ROUND(MIN(IF(H33&gt;=7,Charges!$C$12*(1+Charges!$C$14)^((H33-7+1)),VLOOKUP(H33,Charges!$B$7:$C$12,2,0))*pr,Charges!$C$13)*B33,Round)</f>
        <v>450</v>
      </c>
      <c r="W33" s="14">
        <f t="shared" ca="1" si="10"/>
        <v>911725.70419489115</v>
      </c>
      <c r="X33" s="14">
        <f t="shared" ca="1" si="11"/>
        <v>917591.77482774516</v>
      </c>
      <c r="Y33" s="213">
        <f t="shared" ca="1" si="34"/>
        <v>1032.8525297928531</v>
      </c>
      <c r="Z33" s="14">
        <f t="shared" ca="1" si="12"/>
        <v>916558.92229795235</v>
      </c>
      <c r="AA33" s="14">
        <f>IF(AND($H33=pt,$F33=11),SUM($K$7:K33)*VLOOKUP(pt,ROC,2,FALSE),0)</f>
        <v>0</v>
      </c>
      <c r="AB33" s="14">
        <f>IF(AND($H33=pt,$F33=11),SUM($V$7:V33)*VLOOKUP(pt,ROC,2,FALSE),0)</f>
        <v>0</v>
      </c>
      <c r="AC33" s="14">
        <f>IF(AND($H33=pt,$F33=11),SUM($Q$7:Q33)*VLOOKUP(pt,ROC,2,FALSE),0)</f>
        <v>0</v>
      </c>
      <c r="AD33" s="14">
        <f t="shared" ca="1" si="35"/>
        <v>916558.92229795235</v>
      </c>
      <c r="AE33" s="14">
        <f ca="1">(MAX(sa-CF32*Flag_UL_Type,105%*SUM($I$7:I33),Z33)+AU33)*B33</f>
        <v>3000000</v>
      </c>
      <c r="AF33" s="136"/>
      <c r="AG33" s="18">
        <v>27</v>
      </c>
      <c r="AH33" s="30">
        <f t="shared" ca="1" si="13"/>
        <v>0</v>
      </c>
      <c r="AI33" s="138"/>
      <c r="AJ33" s="50">
        <f>IF(AND(Option_Sys_TopUp&gt;="Y",H33&gt;=sytp,H33&lt;=(dtp+sytp-1),F33=0,H33&lt;=ppt+1),atp,0)+IFERROR(VLOOKUP(H33,Input!$B$55:$C$61,2,0),0)*(F33=0)*(Option_TopUP="Y")*(Option_Sys_TopUp="N")*B33*(pt&gt;=H33+5)</f>
        <v>0</v>
      </c>
      <c r="AK33" s="50">
        <f t="shared" si="14"/>
        <v>0</v>
      </c>
      <c r="AL33" s="50">
        <f t="shared" si="36"/>
        <v>0</v>
      </c>
      <c r="AM33" s="50">
        <f t="shared" ca="1" si="15"/>
        <v>0</v>
      </c>
      <c r="AN33" s="50">
        <f ca="1">IF(B33=0,0,AT33*(_rpm1+(1+_emr1)*VLOOKUP(E33,Tab_Mort_Charge,IF(Input!$C$12="M",2,3),0))*(0.001*0.0833)*Flag_Mort_Rider_Charge*(AT33&gt;0))</f>
        <v>0</v>
      </c>
      <c r="AO33" s="50">
        <f t="shared" ca="1" si="37"/>
        <v>0</v>
      </c>
      <c r="AP33" s="50">
        <f t="shared" ca="1" si="38"/>
        <v>0</v>
      </c>
      <c r="AQ33" s="50">
        <f t="shared" ca="1" si="16"/>
        <v>0</v>
      </c>
      <c r="AR33" s="50">
        <f t="shared" ca="1" si="17"/>
        <v>0</v>
      </c>
      <c r="AS33" s="50">
        <f t="shared" si="18"/>
        <v>0</v>
      </c>
      <c r="AT33" s="50">
        <f ca="1">(MAX((MAX(AS33,105%*SUM($AJ$7:AJ33))-AM33*Flag_UL_Type),0)*B33)</f>
        <v>0</v>
      </c>
      <c r="AU33" s="50">
        <f ca="1">(MAX(AS33,AR33,105%*SUM($AJ$7:AJ33))*B33)</f>
        <v>0</v>
      </c>
      <c r="AV33" s="125"/>
      <c r="AW33" s="12">
        <f t="shared" si="51"/>
        <v>27</v>
      </c>
      <c r="AX33" s="14">
        <f t="shared" si="39"/>
        <v>0</v>
      </c>
      <c r="AY33" s="14">
        <f t="shared" si="40"/>
        <v>0</v>
      </c>
      <c r="AZ33" s="14">
        <f t="shared" ca="1" si="41"/>
        <v>0</v>
      </c>
      <c r="BA33" s="14">
        <f t="shared" ca="1" si="42"/>
        <v>0</v>
      </c>
      <c r="BB33" s="14">
        <f t="shared" si="43"/>
        <v>0</v>
      </c>
      <c r="BC33" s="14">
        <f t="shared" ca="1" si="19"/>
        <v>0</v>
      </c>
      <c r="BD33" s="14">
        <f t="shared" ca="1" si="20"/>
        <v>0</v>
      </c>
      <c r="BE33" s="14">
        <f t="shared" si="44"/>
        <v>0</v>
      </c>
      <c r="BF33" s="14">
        <f t="shared" ca="1" si="45"/>
        <v>0</v>
      </c>
      <c r="BG33" s="51">
        <f t="shared" si="21"/>
        <v>0</v>
      </c>
      <c r="BH33" s="51">
        <f t="shared" ca="1" si="22"/>
        <v>0</v>
      </c>
      <c r="BI33" s="51">
        <f t="shared" ca="1" si="46"/>
        <v>0</v>
      </c>
      <c r="BJ33" s="51">
        <f t="shared" ca="1" si="23"/>
        <v>0</v>
      </c>
      <c r="BK33" s="51">
        <f t="shared" si="24"/>
        <v>0</v>
      </c>
      <c r="BL33" s="51">
        <f t="shared" ca="1" si="25"/>
        <v>0</v>
      </c>
      <c r="BM33" s="51">
        <f t="shared" si="26"/>
        <v>0</v>
      </c>
      <c r="BN33" s="51">
        <f t="shared" ca="1" si="27"/>
        <v>0</v>
      </c>
      <c r="BO33" s="51">
        <f t="shared" ca="1" si="28"/>
        <v>0</v>
      </c>
      <c r="BP33" s="51">
        <f t="shared" ca="1" si="29"/>
        <v>0</v>
      </c>
      <c r="BR33" s="32"/>
      <c r="BS33" s="126"/>
      <c r="BT33" s="16"/>
      <c r="BU33" s="58"/>
      <c r="BW33" s="51">
        <f>VLOOKUP(H33,Charges!$AT$4:$AU$33,2,FALSE)*I33</f>
        <v>0</v>
      </c>
      <c r="BX33" s="51">
        <f t="shared" si="30"/>
        <v>0</v>
      </c>
      <c r="BY33" s="51">
        <f t="shared" si="47"/>
        <v>0</v>
      </c>
      <c r="BZ33" s="151"/>
      <c r="CA33" s="151"/>
      <c r="CB33" s="32"/>
      <c r="CC33" s="16">
        <f ca="1">SUM($N$7:$N33)</f>
        <v>0</v>
      </c>
      <c r="CD33" s="16">
        <f t="shared" ca="1" si="31"/>
        <v>0</v>
      </c>
      <c r="CE33" s="16">
        <f t="shared" ca="1" si="32"/>
        <v>0</v>
      </c>
      <c r="CF33" s="7">
        <f t="shared" ca="1" si="48"/>
        <v>0</v>
      </c>
    </row>
    <row r="34" spans="1:84" s="7" customFormat="1" x14ac:dyDescent="0.2">
      <c r="A34" s="149"/>
      <c r="B34" s="14">
        <f t="shared" si="0"/>
        <v>1</v>
      </c>
      <c r="C34" s="12">
        <f t="shared" si="1"/>
        <v>1</v>
      </c>
      <c r="D34" s="17">
        <f t="shared" si="49"/>
        <v>28</v>
      </c>
      <c r="E34" s="17">
        <f t="shared" ca="1" si="2"/>
        <v>62</v>
      </c>
      <c r="F34" s="12">
        <f t="shared" si="53"/>
        <v>3</v>
      </c>
      <c r="G34" s="12">
        <f t="shared" si="52"/>
        <v>5</v>
      </c>
      <c r="H34" s="17">
        <f t="shared" si="54"/>
        <v>3</v>
      </c>
      <c r="I34" s="29">
        <f t="shared" si="3"/>
        <v>0</v>
      </c>
      <c r="J34" s="211">
        <f>IFERROR(VLOOKUP(H34,Charges!$T$6:$U$35,2,0)*C34,0)</f>
        <v>0.96499999999999997</v>
      </c>
      <c r="K34" s="29">
        <f t="shared" si="4"/>
        <v>0</v>
      </c>
      <c r="L34" s="29">
        <f t="shared" si="5"/>
        <v>0</v>
      </c>
      <c r="M34" s="147">
        <f t="shared" ca="1" si="6"/>
        <v>0</v>
      </c>
      <c r="N34" s="148">
        <f ca="1">IF(AND(Option_SPW="Y",Z33&gt;=SPW_Start_Min_FV,H34&gt;=Lock_In_Period,Z33&gt;SPW_Amount_pa+IF(option="Single",1/5*pr,2*pr),H34&gt;=SPW_Start_Year,H34&lt;=SPW_Start_Year+SPW_Duration-1,F34=0,age+H34&gt;=Legal_Age),SPW_Amount_pa,0)+IFERROR(VLOOKUP(H34,Input!$B$68:$C$74,2,0),0)*(F34=0)*(Option_PW="Y")*(Option_SPW="N")*(age+H34&gt;=Legal_Age)</f>
        <v>0</v>
      </c>
      <c r="O34" s="148">
        <f t="shared" ca="1" si="33"/>
        <v>0</v>
      </c>
      <c r="P34" s="14">
        <f ca="1">(MAX(MAX(sa-CF33*Flag_UL_Type,105%*SUM($I$7:I34))-(AD33+L34-N34)*Flag_UL_Type,0)*B34)</f>
        <v>2083441.0777020478</v>
      </c>
      <c r="Q34" s="213">
        <f t="shared" ca="1" si="7"/>
        <v>0</v>
      </c>
      <c r="R34" s="14">
        <f t="shared" ca="1" si="8"/>
        <v>0</v>
      </c>
      <c r="S34" s="14">
        <f t="shared" ca="1" si="9"/>
        <v>0</v>
      </c>
      <c r="T34" s="14">
        <f>IFERROR(IF(WoP_Flag="Y",IF(fq=1,VLOOKUP(ppt*fq-H34,Charges!$AN$41:$AO$59,2,FALSE),IF(fq=2,VLOOKUP(ppt*fq-G34,Charges!$AP$41:$AQ$79,2,FALSE),VLOOKUP(ppt*fq-D34,Charges!$AR$41:$AS$279,2,FALSE)))*pr/fq,0),0)</f>
        <v>0</v>
      </c>
      <c r="U34" s="14">
        <f ca="1">IFERROR(((T34*(VLOOKUP(Input!$D$18+H34-1,Tab_Mort_Charge,IF(Gender_2="M",2,3),FALSE)*(1+_emr2)+_rpm2)/IF(Model_Type="LA_PQIS",1000/0.0833,(12*1000))))*Flag_Mort_Rider_Charge*(T34&gt;0),0)</f>
        <v>0</v>
      </c>
      <c r="V34" s="34">
        <f>ROUND(MIN(IF(H34&gt;=7,Charges!$C$12*(1+Charges!$C$14)^((H34-7+1)),VLOOKUP(H34,Charges!$B$7:$C$12,2,0))*pr,Charges!$C$13)*B34,Round)</f>
        <v>450</v>
      </c>
      <c r="W34" s="14">
        <f t="shared" ca="1" si="10"/>
        <v>916108.92229795235</v>
      </c>
      <c r="X34" s="14">
        <f t="shared" ca="1" si="11"/>
        <v>922003.1946880602</v>
      </c>
      <c r="Y34" s="213">
        <f t="shared" ca="1" si="34"/>
        <v>1037.8180779676504</v>
      </c>
      <c r="Z34" s="14">
        <f t="shared" ca="1" si="12"/>
        <v>920965.37661009259</v>
      </c>
      <c r="AA34" s="14">
        <f>IF(AND($H34=pt,$F34=11),SUM($K$7:K34)*VLOOKUP(pt,ROC,2,FALSE),0)</f>
        <v>0</v>
      </c>
      <c r="AB34" s="14">
        <f>IF(AND($H34=pt,$F34=11),SUM($V$7:V34)*VLOOKUP(pt,ROC,2,FALSE),0)</f>
        <v>0</v>
      </c>
      <c r="AC34" s="14">
        <f>IF(AND($H34=pt,$F34=11),SUM($Q$7:Q34)*VLOOKUP(pt,ROC,2,FALSE),0)</f>
        <v>0</v>
      </c>
      <c r="AD34" s="14">
        <f t="shared" ca="1" si="35"/>
        <v>920965.37661009259</v>
      </c>
      <c r="AE34" s="14">
        <f ca="1">(MAX(sa-CF33*Flag_UL_Type,105%*SUM($I$7:I34),Z34)+AU34)*B34</f>
        <v>3000000</v>
      </c>
      <c r="AF34" s="136"/>
      <c r="AG34" s="18">
        <v>28</v>
      </c>
      <c r="AH34" s="30">
        <f t="shared" ca="1" si="13"/>
        <v>0</v>
      </c>
      <c r="AI34" s="138"/>
      <c r="AJ34" s="50">
        <f>IF(AND(Option_Sys_TopUp&gt;="Y",H34&gt;=sytp,H34&lt;=(dtp+sytp-1),F34=0,H34&lt;=ppt+1),atp,0)+IFERROR(VLOOKUP(H34,Input!$B$55:$C$61,2,0),0)*(F34=0)*(Option_TopUP="Y")*(Option_Sys_TopUp="N")*B34*(pt&gt;=H34+5)</f>
        <v>0</v>
      </c>
      <c r="AK34" s="50">
        <f t="shared" si="14"/>
        <v>0</v>
      </c>
      <c r="AL34" s="50">
        <f t="shared" si="36"/>
        <v>0</v>
      </c>
      <c r="AM34" s="50">
        <f t="shared" ca="1" si="15"/>
        <v>0</v>
      </c>
      <c r="AN34" s="50">
        <f ca="1">IF(B34=0,0,AT34*(_rpm1+(1+_emr1)*VLOOKUP(E34,Tab_Mort_Charge,IF(Input!$C$12="M",2,3),0))*(0.001*0.0833)*Flag_Mort_Rider_Charge*(AT34&gt;0))</f>
        <v>0</v>
      </c>
      <c r="AO34" s="50">
        <f t="shared" ca="1" si="37"/>
        <v>0</v>
      </c>
      <c r="AP34" s="50">
        <f t="shared" ca="1" si="38"/>
        <v>0</v>
      </c>
      <c r="AQ34" s="50">
        <f t="shared" ca="1" si="16"/>
        <v>0</v>
      </c>
      <c r="AR34" s="50">
        <f t="shared" ca="1" si="17"/>
        <v>0</v>
      </c>
      <c r="AS34" s="50">
        <f t="shared" si="18"/>
        <v>0</v>
      </c>
      <c r="AT34" s="50">
        <f ca="1">(MAX((MAX(AS34,105%*SUM($AJ$7:AJ34))-AM34*Flag_UL_Type),0)*B34)</f>
        <v>0</v>
      </c>
      <c r="AU34" s="50">
        <f ca="1">(MAX(AS34,AR34,105%*SUM($AJ$7:AJ34))*B34)</f>
        <v>0</v>
      </c>
      <c r="AV34" s="125"/>
      <c r="AW34" s="12">
        <f t="shared" si="51"/>
        <v>28</v>
      </c>
      <c r="AX34" s="14">
        <f t="shared" si="39"/>
        <v>0</v>
      </c>
      <c r="AY34" s="14">
        <f t="shared" si="40"/>
        <v>0</v>
      </c>
      <c r="AZ34" s="14">
        <f t="shared" ca="1" si="41"/>
        <v>0</v>
      </c>
      <c r="BA34" s="14">
        <f t="shared" ca="1" si="42"/>
        <v>0</v>
      </c>
      <c r="BB34" s="14">
        <f t="shared" si="43"/>
        <v>0</v>
      </c>
      <c r="BC34" s="14">
        <f t="shared" ca="1" si="19"/>
        <v>0</v>
      </c>
      <c r="BD34" s="14">
        <f t="shared" ca="1" si="20"/>
        <v>0</v>
      </c>
      <c r="BE34" s="14">
        <f t="shared" si="44"/>
        <v>0</v>
      </c>
      <c r="BF34" s="14">
        <f t="shared" ca="1" si="45"/>
        <v>0</v>
      </c>
      <c r="BG34" s="51">
        <f t="shared" si="21"/>
        <v>0</v>
      </c>
      <c r="BH34" s="51">
        <f t="shared" ca="1" si="22"/>
        <v>0</v>
      </c>
      <c r="BI34" s="51">
        <f t="shared" ca="1" si="46"/>
        <v>0</v>
      </c>
      <c r="BJ34" s="51">
        <f t="shared" ca="1" si="23"/>
        <v>0</v>
      </c>
      <c r="BK34" s="51">
        <f t="shared" si="24"/>
        <v>0</v>
      </c>
      <c r="BL34" s="51">
        <f t="shared" ca="1" si="25"/>
        <v>0</v>
      </c>
      <c r="BM34" s="51">
        <f t="shared" si="26"/>
        <v>0</v>
      </c>
      <c r="BN34" s="51">
        <f t="shared" ca="1" si="27"/>
        <v>0</v>
      </c>
      <c r="BO34" s="51">
        <f t="shared" ca="1" si="28"/>
        <v>0</v>
      </c>
      <c r="BP34" s="51">
        <f t="shared" ca="1" si="29"/>
        <v>0</v>
      </c>
      <c r="BR34" s="32"/>
      <c r="BS34" s="126"/>
      <c r="BT34" s="16"/>
      <c r="BU34" s="58"/>
      <c r="BW34" s="51">
        <f>VLOOKUP(H34,Charges!$AT$4:$AU$33,2,FALSE)*I34</f>
        <v>0</v>
      </c>
      <c r="BX34" s="51">
        <f t="shared" si="30"/>
        <v>0</v>
      </c>
      <c r="BY34" s="51">
        <f t="shared" si="47"/>
        <v>0</v>
      </c>
      <c r="BZ34" s="151"/>
      <c r="CA34" s="151"/>
      <c r="CB34" s="32"/>
      <c r="CC34" s="16">
        <f ca="1">SUM($N$7:$N34)</f>
        <v>0</v>
      </c>
      <c r="CD34" s="16">
        <f t="shared" ca="1" si="31"/>
        <v>0</v>
      </c>
      <c r="CE34" s="16">
        <f t="shared" ca="1" si="32"/>
        <v>0</v>
      </c>
      <c r="CF34" s="7">
        <f t="shared" ca="1" si="48"/>
        <v>0</v>
      </c>
    </row>
    <row r="35" spans="1:84" s="7" customFormat="1" x14ac:dyDescent="0.2">
      <c r="A35" s="149"/>
      <c r="B35" s="14">
        <f t="shared" si="0"/>
        <v>1</v>
      </c>
      <c r="C35" s="12">
        <f t="shared" si="1"/>
        <v>1</v>
      </c>
      <c r="D35" s="17">
        <f t="shared" si="49"/>
        <v>29</v>
      </c>
      <c r="E35" s="17">
        <f t="shared" ca="1" si="2"/>
        <v>62</v>
      </c>
      <c r="F35" s="12">
        <f t="shared" si="53"/>
        <v>4</v>
      </c>
      <c r="G35" s="12">
        <f t="shared" si="52"/>
        <v>5</v>
      </c>
      <c r="H35" s="17">
        <f t="shared" si="54"/>
        <v>3</v>
      </c>
      <c r="I35" s="29">
        <f t="shared" si="3"/>
        <v>0</v>
      </c>
      <c r="J35" s="211">
        <f>IFERROR(VLOOKUP(H35,Charges!$T$6:$U$35,2,0)*C35,0)</f>
        <v>0.96499999999999997</v>
      </c>
      <c r="K35" s="29">
        <f t="shared" si="4"/>
        <v>0</v>
      </c>
      <c r="L35" s="29">
        <f t="shared" si="5"/>
        <v>0</v>
      </c>
      <c r="M35" s="147">
        <f t="shared" ca="1" si="6"/>
        <v>0</v>
      </c>
      <c r="N35" s="148">
        <f ca="1">IF(AND(Option_SPW="Y",Z34&gt;=SPW_Start_Min_FV,H35&gt;=Lock_In_Period,Z34&gt;SPW_Amount_pa+IF(option="Single",1/5*pr,2*pr),H35&gt;=SPW_Start_Year,H35&lt;=SPW_Start_Year+SPW_Duration-1,F35=0,age+H35&gt;=Legal_Age),SPW_Amount_pa,0)+IFERROR(VLOOKUP(H35,Input!$B$68:$C$74,2,0),0)*(F35=0)*(Option_PW="Y")*(Option_SPW="N")*(age+H35&gt;=Legal_Age)</f>
        <v>0</v>
      </c>
      <c r="O35" s="148">
        <f t="shared" ca="1" si="33"/>
        <v>0</v>
      </c>
      <c r="P35" s="14">
        <f ca="1">(MAX(MAX(sa-CF34*Flag_UL_Type,105%*SUM($I$7:I35))-(AD34+L35-N35)*Flag_UL_Type,0)*B35)</f>
        <v>2079034.6233899074</v>
      </c>
      <c r="Q35" s="213">
        <f t="shared" ca="1" si="7"/>
        <v>0</v>
      </c>
      <c r="R35" s="14">
        <f t="shared" ca="1" si="8"/>
        <v>0</v>
      </c>
      <c r="S35" s="14">
        <f t="shared" ca="1" si="9"/>
        <v>0</v>
      </c>
      <c r="T35" s="14">
        <f>IFERROR(IF(WoP_Flag="Y",IF(fq=1,VLOOKUP(ppt*fq-H35,Charges!$AN$41:$AO$59,2,FALSE),IF(fq=2,VLOOKUP(ppt*fq-G35,Charges!$AP$41:$AQ$79,2,FALSE),VLOOKUP(ppt*fq-D35,Charges!$AR$41:$AS$279,2,FALSE)))*pr/fq,0),0)</f>
        <v>0</v>
      </c>
      <c r="U35" s="14">
        <f ca="1">IFERROR(((T35*(VLOOKUP(Input!$D$18+H35-1,Tab_Mort_Charge,IF(Gender_2="M",2,3),FALSE)*(1+_emr2)+_rpm2)/IF(Model_Type="LA_PQIS",1000/0.0833,(12*1000))))*Flag_Mort_Rider_Charge*(T35&gt;0),0)</f>
        <v>0</v>
      </c>
      <c r="V35" s="34">
        <f>ROUND(MIN(IF(H35&gt;=7,Charges!$C$12*(1+Charges!$C$14)^((H35-7+1)),VLOOKUP(H35,Charges!$B$7:$C$12,2,0))*pr,Charges!$C$13)*B35,Round)</f>
        <v>450</v>
      </c>
      <c r="W35" s="14">
        <f t="shared" ca="1" si="10"/>
        <v>920515.37661009259</v>
      </c>
      <c r="X35" s="14">
        <f t="shared" ca="1" si="11"/>
        <v>926438.00025992305</v>
      </c>
      <c r="Y35" s="213">
        <f t="shared" ca="1" si="34"/>
        <v>1042.8099493855234</v>
      </c>
      <c r="Z35" s="14">
        <f t="shared" ca="1" si="12"/>
        <v>925395.19031053758</v>
      </c>
      <c r="AA35" s="14">
        <f>IF(AND($H35=pt,$F35=11),SUM($K$7:K35)*VLOOKUP(pt,ROC,2,FALSE),0)</f>
        <v>0</v>
      </c>
      <c r="AB35" s="14">
        <f>IF(AND($H35=pt,$F35=11),SUM($V$7:V35)*VLOOKUP(pt,ROC,2,FALSE),0)</f>
        <v>0</v>
      </c>
      <c r="AC35" s="14">
        <f>IF(AND($H35=pt,$F35=11),SUM($Q$7:Q35)*VLOOKUP(pt,ROC,2,FALSE),0)</f>
        <v>0</v>
      </c>
      <c r="AD35" s="14">
        <f t="shared" ca="1" si="35"/>
        <v>925395.19031053758</v>
      </c>
      <c r="AE35" s="14">
        <f ca="1">(MAX(sa-CF34*Flag_UL_Type,105%*SUM($I$7:I35),Z35)+AU35)*B35</f>
        <v>3000000</v>
      </c>
      <c r="AF35" s="136"/>
      <c r="AG35" s="18">
        <v>29</v>
      </c>
      <c r="AH35" s="30">
        <f t="shared" ca="1" si="13"/>
        <v>0</v>
      </c>
      <c r="AI35" s="138"/>
      <c r="AJ35" s="50">
        <f>IF(AND(Option_Sys_TopUp&gt;="Y",H35&gt;=sytp,H35&lt;=(dtp+sytp-1),F35=0,H35&lt;=ppt+1),atp,0)+IFERROR(VLOOKUP(H35,Input!$B$55:$C$61,2,0),0)*(F35=0)*(Option_TopUP="Y")*(Option_Sys_TopUp="N")*B35*(pt&gt;=H35+5)</f>
        <v>0</v>
      </c>
      <c r="AK35" s="50">
        <f t="shared" si="14"/>
        <v>0</v>
      </c>
      <c r="AL35" s="50">
        <f t="shared" si="36"/>
        <v>0</v>
      </c>
      <c r="AM35" s="50">
        <f t="shared" ca="1" si="15"/>
        <v>0</v>
      </c>
      <c r="AN35" s="50">
        <f ca="1">IF(B35=0,0,AT35*(_rpm1+(1+_emr1)*VLOOKUP(E35,Tab_Mort_Charge,IF(Input!$C$12="M",2,3),0))*(0.001*0.0833)*Flag_Mort_Rider_Charge*(AT35&gt;0))</f>
        <v>0</v>
      </c>
      <c r="AO35" s="50">
        <f t="shared" ca="1" si="37"/>
        <v>0</v>
      </c>
      <c r="AP35" s="50">
        <f t="shared" ca="1" si="38"/>
        <v>0</v>
      </c>
      <c r="AQ35" s="50">
        <f t="shared" ca="1" si="16"/>
        <v>0</v>
      </c>
      <c r="AR35" s="50">
        <f t="shared" ca="1" si="17"/>
        <v>0</v>
      </c>
      <c r="AS35" s="50">
        <f t="shared" si="18"/>
        <v>0</v>
      </c>
      <c r="AT35" s="50">
        <f ca="1">(MAX((MAX(AS35,105%*SUM($AJ$7:AJ35))-AM35*Flag_UL_Type),0)*B35)</f>
        <v>0</v>
      </c>
      <c r="AU35" s="50">
        <f ca="1">(MAX(AS35,AR35,105%*SUM($AJ$7:AJ35))*B35)</f>
        <v>0</v>
      </c>
      <c r="AV35" s="125"/>
      <c r="AW35" s="12">
        <f t="shared" si="51"/>
        <v>29</v>
      </c>
      <c r="AX35" s="14">
        <f t="shared" si="39"/>
        <v>0</v>
      </c>
      <c r="AY35" s="14">
        <f t="shared" si="40"/>
        <v>0</v>
      </c>
      <c r="AZ35" s="14">
        <f t="shared" ca="1" si="41"/>
        <v>0</v>
      </c>
      <c r="BA35" s="14">
        <f t="shared" ca="1" si="42"/>
        <v>0</v>
      </c>
      <c r="BB35" s="14">
        <f t="shared" si="43"/>
        <v>0</v>
      </c>
      <c r="BC35" s="14">
        <f t="shared" ca="1" si="19"/>
        <v>0</v>
      </c>
      <c r="BD35" s="14">
        <f t="shared" ca="1" si="20"/>
        <v>0</v>
      </c>
      <c r="BE35" s="14">
        <f t="shared" si="44"/>
        <v>0</v>
      </c>
      <c r="BF35" s="14">
        <f t="shared" ca="1" si="45"/>
        <v>0</v>
      </c>
      <c r="BG35" s="51">
        <f t="shared" si="21"/>
        <v>0</v>
      </c>
      <c r="BH35" s="51">
        <f t="shared" ca="1" si="22"/>
        <v>0</v>
      </c>
      <c r="BI35" s="51">
        <f t="shared" ca="1" si="46"/>
        <v>0</v>
      </c>
      <c r="BJ35" s="51">
        <f t="shared" ca="1" si="23"/>
        <v>0</v>
      </c>
      <c r="BK35" s="51">
        <f t="shared" si="24"/>
        <v>0</v>
      </c>
      <c r="BL35" s="51">
        <f t="shared" ca="1" si="25"/>
        <v>0</v>
      </c>
      <c r="BM35" s="51">
        <f t="shared" si="26"/>
        <v>0</v>
      </c>
      <c r="BN35" s="51">
        <f t="shared" ca="1" si="27"/>
        <v>0</v>
      </c>
      <c r="BO35" s="51">
        <f t="shared" ca="1" si="28"/>
        <v>0</v>
      </c>
      <c r="BP35" s="51">
        <f t="shared" ca="1" si="29"/>
        <v>0</v>
      </c>
      <c r="BR35" s="32"/>
      <c r="BS35" s="126"/>
      <c r="BT35" s="16"/>
      <c r="BU35" s="58"/>
      <c r="BW35" s="51">
        <f>VLOOKUP(H35,Charges!$AT$4:$AU$33,2,FALSE)*I35</f>
        <v>0</v>
      </c>
      <c r="BX35" s="51">
        <f t="shared" si="30"/>
        <v>0</v>
      </c>
      <c r="BY35" s="51">
        <f t="shared" si="47"/>
        <v>0</v>
      </c>
      <c r="BZ35" s="151"/>
      <c r="CA35" s="151"/>
      <c r="CB35" s="32"/>
      <c r="CC35" s="16">
        <f ca="1">SUM($N$7:$N35)</f>
        <v>0</v>
      </c>
      <c r="CD35" s="16">
        <f t="shared" ca="1" si="31"/>
        <v>0</v>
      </c>
      <c r="CE35" s="16">
        <f t="shared" ca="1" si="32"/>
        <v>0</v>
      </c>
      <c r="CF35" s="7">
        <f t="shared" ca="1" si="48"/>
        <v>0</v>
      </c>
    </row>
    <row r="36" spans="1:84" s="7" customFormat="1" x14ac:dyDescent="0.2">
      <c r="A36" s="149"/>
      <c r="B36" s="14">
        <f t="shared" si="0"/>
        <v>1</v>
      </c>
      <c r="C36" s="12">
        <f t="shared" si="1"/>
        <v>1</v>
      </c>
      <c r="D36" s="17">
        <f t="shared" si="49"/>
        <v>30</v>
      </c>
      <c r="E36" s="17">
        <f t="shared" ca="1" si="2"/>
        <v>62</v>
      </c>
      <c r="F36" s="12">
        <f t="shared" si="53"/>
        <v>5</v>
      </c>
      <c r="G36" s="12">
        <f t="shared" si="52"/>
        <v>5</v>
      </c>
      <c r="H36" s="17">
        <f t="shared" si="54"/>
        <v>3</v>
      </c>
      <c r="I36" s="29">
        <f t="shared" si="3"/>
        <v>0</v>
      </c>
      <c r="J36" s="211">
        <f>IFERROR(VLOOKUP(H36,Charges!$T$6:$U$35,2,0)*C36,0)</f>
        <v>0.96499999999999997</v>
      </c>
      <c r="K36" s="29">
        <f t="shared" si="4"/>
        <v>0</v>
      </c>
      <c r="L36" s="29">
        <f t="shared" si="5"/>
        <v>0</v>
      </c>
      <c r="M36" s="147">
        <f t="shared" ca="1" si="6"/>
        <v>0</v>
      </c>
      <c r="N36" s="148">
        <f ca="1">IF(AND(Option_SPW="Y",Z35&gt;=SPW_Start_Min_FV,H36&gt;=Lock_In_Period,Z35&gt;SPW_Amount_pa+IF(option="Single",1/5*pr,2*pr),H36&gt;=SPW_Start_Year,H36&lt;=SPW_Start_Year+SPW_Duration-1,F36=0,age+H36&gt;=Legal_Age),SPW_Amount_pa,0)+IFERROR(VLOOKUP(H36,Input!$B$68:$C$74,2,0),0)*(F36=0)*(Option_PW="Y")*(Option_SPW="N")*(age+H36&gt;=Legal_Age)</f>
        <v>0</v>
      </c>
      <c r="O36" s="148">
        <f t="shared" ca="1" si="33"/>
        <v>0</v>
      </c>
      <c r="P36" s="14">
        <f ca="1">(MAX(MAX(sa-CF35*Flag_UL_Type,105%*SUM($I$7:I36))-(AD35+L36-N36)*Flag_UL_Type,0)*B36)</f>
        <v>2074604.8096894624</v>
      </c>
      <c r="Q36" s="213">
        <f t="shared" ca="1" si="7"/>
        <v>0</v>
      </c>
      <c r="R36" s="14">
        <f t="shared" ca="1" si="8"/>
        <v>0</v>
      </c>
      <c r="S36" s="14">
        <f t="shared" ca="1" si="9"/>
        <v>0</v>
      </c>
      <c r="T36" s="14">
        <f>IFERROR(IF(WoP_Flag="Y",IF(fq=1,VLOOKUP(ppt*fq-H36,Charges!$AN$41:$AO$59,2,FALSE),IF(fq=2,VLOOKUP(ppt*fq-G36,Charges!$AP$41:$AQ$79,2,FALSE),VLOOKUP(ppt*fq-D36,Charges!$AR$41:$AS$279,2,FALSE)))*pr/fq,0),0)</f>
        <v>0</v>
      </c>
      <c r="U36" s="14">
        <f ca="1">IFERROR(((T36*(VLOOKUP(Input!$D$18+H36-1,Tab_Mort_Charge,IF(Gender_2="M",2,3),FALSE)*(1+_emr2)+_rpm2)/IF(Model_Type="LA_PQIS",1000/0.0833,(12*1000))))*Flag_Mort_Rider_Charge*(T36&gt;0),0)</f>
        <v>0</v>
      </c>
      <c r="V36" s="34">
        <f>ROUND(MIN(IF(H36&gt;=7,Charges!$C$12*(1+Charges!$C$14)^((H36-7+1)),VLOOKUP(H36,Charges!$B$7:$C$12,2,0))*pr,Charges!$C$13)*B36,Round)</f>
        <v>450</v>
      </c>
      <c r="W36" s="14">
        <f t="shared" ca="1" si="10"/>
        <v>924945.19031053758</v>
      </c>
      <c r="X36" s="14">
        <f t="shared" ca="1" si="11"/>
        <v>930896.31551509839</v>
      </c>
      <c r="Y36" s="213">
        <f t="shared" ca="1" si="34"/>
        <v>1047.8282835906075</v>
      </c>
      <c r="Z36" s="14">
        <f t="shared" ca="1" si="12"/>
        <v>929848.48723150778</v>
      </c>
      <c r="AA36" s="14">
        <f>IF(AND($H36=pt,$F36=11),SUM($K$7:K36)*VLOOKUP(pt,ROC,2,FALSE),0)</f>
        <v>0</v>
      </c>
      <c r="AB36" s="14">
        <f>IF(AND($H36=pt,$F36=11),SUM($V$7:V36)*VLOOKUP(pt,ROC,2,FALSE),0)</f>
        <v>0</v>
      </c>
      <c r="AC36" s="14">
        <f>IF(AND($H36=pt,$F36=11),SUM($Q$7:Q36)*VLOOKUP(pt,ROC,2,FALSE),0)</f>
        <v>0</v>
      </c>
      <c r="AD36" s="14">
        <f t="shared" ca="1" si="35"/>
        <v>929848.48723150778</v>
      </c>
      <c r="AE36" s="14">
        <f ca="1">(MAX(sa-CF35*Flag_UL_Type,105%*SUM($I$7:I36),Z36)+AU36)*B36</f>
        <v>3000000</v>
      </c>
      <c r="AF36" s="136"/>
      <c r="AG36" s="18">
        <v>30</v>
      </c>
      <c r="AH36" s="30">
        <f t="shared" ca="1" si="13"/>
        <v>0</v>
      </c>
      <c r="AI36" s="138"/>
      <c r="AJ36" s="50">
        <f>IF(AND(Option_Sys_TopUp&gt;="Y",H36&gt;=sytp,H36&lt;=(dtp+sytp-1),F36=0,H36&lt;=ppt+1),atp,0)+IFERROR(VLOOKUP(H36,Input!$B$55:$C$61,2,0),0)*(F36=0)*(Option_TopUP="Y")*(Option_Sys_TopUp="N")*B36*(pt&gt;=H36+5)</f>
        <v>0</v>
      </c>
      <c r="AK36" s="50">
        <f t="shared" si="14"/>
        <v>0</v>
      </c>
      <c r="AL36" s="50">
        <f t="shared" si="36"/>
        <v>0</v>
      </c>
      <c r="AM36" s="50">
        <f t="shared" ca="1" si="15"/>
        <v>0</v>
      </c>
      <c r="AN36" s="50">
        <f ca="1">IF(B36=0,0,AT36*(_rpm1+(1+_emr1)*VLOOKUP(E36,Tab_Mort_Charge,IF(Input!$C$12="M",2,3),0))*(0.001*0.0833)*Flag_Mort_Rider_Charge*(AT36&gt;0))</f>
        <v>0</v>
      </c>
      <c r="AO36" s="50">
        <f t="shared" ca="1" si="37"/>
        <v>0</v>
      </c>
      <c r="AP36" s="50">
        <f t="shared" ca="1" si="38"/>
        <v>0</v>
      </c>
      <c r="AQ36" s="50">
        <f t="shared" ca="1" si="16"/>
        <v>0</v>
      </c>
      <c r="AR36" s="50">
        <f t="shared" ca="1" si="17"/>
        <v>0</v>
      </c>
      <c r="AS36" s="50">
        <f t="shared" si="18"/>
        <v>0</v>
      </c>
      <c r="AT36" s="50">
        <f ca="1">(MAX((MAX(AS36,105%*SUM($AJ$7:AJ36))-AM36*Flag_UL_Type),0)*B36)</f>
        <v>0</v>
      </c>
      <c r="AU36" s="50">
        <f ca="1">(MAX(AS36,AR36,105%*SUM($AJ$7:AJ36))*B36)</f>
        <v>0</v>
      </c>
      <c r="AV36" s="125"/>
      <c r="AW36" s="12">
        <f t="shared" si="51"/>
        <v>30</v>
      </c>
      <c r="AX36" s="14">
        <f t="shared" si="39"/>
        <v>0</v>
      </c>
      <c r="AY36" s="14">
        <f t="shared" si="40"/>
        <v>0</v>
      </c>
      <c r="AZ36" s="14">
        <f t="shared" ca="1" si="41"/>
        <v>0</v>
      </c>
      <c r="BA36" s="14">
        <f t="shared" ca="1" si="42"/>
        <v>0</v>
      </c>
      <c r="BB36" s="14">
        <f t="shared" si="43"/>
        <v>0</v>
      </c>
      <c r="BC36" s="14">
        <f t="shared" ca="1" si="19"/>
        <v>0</v>
      </c>
      <c r="BD36" s="14">
        <f t="shared" ca="1" si="20"/>
        <v>0</v>
      </c>
      <c r="BE36" s="14">
        <f t="shared" si="44"/>
        <v>0</v>
      </c>
      <c r="BF36" s="14">
        <f t="shared" ca="1" si="45"/>
        <v>0</v>
      </c>
      <c r="BG36" s="51">
        <f t="shared" si="21"/>
        <v>0</v>
      </c>
      <c r="BH36" s="51">
        <f t="shared" ca="1" si="22"/>
        <v>0</v>
      </c>
      <c r="BI36" s="51">
        <f t="shared" ca="1" si="46"/>
        <v>0</v>
      </c>
      <c r="BJ36" s="51">
        <f t="shared" ca="1" si="23"/>
        <v>0</v>
      </c>
      <c r="BK36" s="51">
        <f t="shared" si="24"/>
        <v>0</v>
      </c>
      <c r="BL36" s="51">
        <f t="shared" ca="1" si="25"/>
        <v>0</v>
      </c>
      <c r="BM36" s="51">
        <f t="shared" si="26"/>
        <v>0</v>
      </c>
      <c r="BN36" s="51">
        <f t="shared" ca="1" si="27"/>
        <v>0</v>
      </c>
      <c r="BO36" s="51">
        <f t="shared" ca="1" si="28"/>
        <v>0</v>
      </c>
      <c r="BP36" s="51">
        <f t="shared" ca="1" si="29"/>
        <v>0</v>
      </c>
      <c r="BR36" s="32"/>
      <c r="BS36" s="126"/>
      <c r="BT36" s="16"/>
      <c r="BU36" s="58"/>
      <c r="BW36" s="51">
        <f>VLOOKUP(H36,Charges!$AT$4:$AU$33,2,FALSE)*I36</f>
        <v>0</v>
      </c>
      <c r="BX36" s="51">
        <f t="shared" si="30"/>
        <v>0</v>
      </c>
      <c r="BY36" s="51">
        <f t="shared" si="47"/>
        <v>0</v>
      </c>
      <c r="BZ36" s="151"/>
      <c r="CA36" s="151"/>
      <c r="CB36" s="32"/>
      <c r="CC36" s="16">
        <f ca="1">SUM($N$7:$N36)</f>
        <v>0</v>
      </c>
      <c r="CD36" s="16">
        <f t="shared" ca="1" si="31"/>
        <v>0</v>
      </c>
      <c r="CE36" s="16">
        <f t="shared" ca="1" si="32"/>
        <v>0</v>
      </c>
      <c r="CF36" s="7">
        <f t="shared" ca="1" si="48"/>
        <v>0</v>
      </c>
    </row>
    <row r="37" spans="1:84" s="7" customFormat="1" x14ac:dyDescent="0.2">
      <c r="A37" s="149"/>
      <c r="B37" s="14">
        <f t="shared" si="0"/>
        <v>1</v>
      </c>
      <c r="C37" s="12">
        <f t="shared" si="1"/>
        <v>1</v>
      </c>
      <c r="D37" s="17">
        <f t="shared" si="49"/>
        <v>31</v>
      </c>
      <c r="E37" s="17">
        <f t="shared" ca="1" si="2"/>
        <v>62</v>
      </c>
      <c r="F37" s="12">
        <f t="shared" si="53"/>
        <v>6</v>
      </c>
      <c r="G37" s="12">
        <f t="shared" si="52"/>
        <v>6</v>
      </c>
      <c r="H37" s="17">
        <f t="shared" si="54"/>
        <v>3</v>
      </c>
      <c r="I37" s="29">
        <f t="shared" si="3"/>
        <v>0</v>
      </c>
      <c r="J37" s="211">
        <f>IFERROR(VLOOKUP(H37,Charges!$T$6:$U$35,2,0)*C37,0)</f>
        <v>0.96499999999999997</v>
      </c>
      <c r="K37" s="29">
        <f t="shared" si="4"/>
        <v>0</v>
      </c>
      <c r="L37" s="29">
        <f t="shared" si="5"/>
        <v>0</v>
      </c>
      <c r="M37" s="147">
        <f t="shared" ca="1" si="6"/>
        <v>0</v>
      </c>
      <c r="N37" s="148">
        <f ca="1">IF(AND(Option_SPW="Y",Z36&gt;=SPW_Start_Min_FV,H37&gt;=Lock_In_Period,Z36&gt;SPW_Amount_pa+IF(option="Single",1/5*pr,2*pr),H37&gt;=SPW_Start_Year,H37&lt;=SPW_Start_Year+SPW_Duration-1,F37=0,age+H37&gt;=Legal_Age),SPW_Amount_pa,0)+IFERROR(VLOOKUP(H37,Input!$B$68:$C$74,2,0),0)*(F37=0)*(Option_PW="Y")*(Option_SPW="N")*(age+H37&gt;=Legal_Age)</f>
        <v>0</v>
      </c>
      <c r="O37" s="148">
        <f t="shared" ca="1" si="33"/>
        <v>0</v>
      </c>
      <c r="P37" s="14">
        <f ca="1">(MAX(MAX(sa-CF36*Flag_UL_Type,105%*SUM($I$7:I37))-(AD36+L37-N37)*Flag_UL_Type,0)*B37)</f>
        <v>2070151.5127684921</v>
      </c>
      <c r="Q37" s="213">
        <f t="shared" ca="1" si="7"/>
        <v>0</v>
      </c>
      <c r="R37" s="14">
        <f t="shared" ca="1" si="8"/>
        <v>0</v>
      </c>
      <c r="S37" s="14">
        <f t="shared" ca="1" si="9"/>
        <v>0</v>
      </c>
      <c r="T37" s="14">
        <f>IFERROR(IF(WoP_Flag="Y",IF(fq=1,VLOOKUP(ppt*fq-H37,Charges!$AN$41:$AO$59,2,FALSE),IF(fq=2,VLOOKUP(ppt*fq-G37,Charges!$AP$41:$AQ$79,2,FALSE),VLOOKUP(ppt*fq-D37,Charges!$AR$41:$AS$279,2,FALSE)))*pr/fq,0),0)</f>
        <v>0</v>
      </c>
      <c r="U37" s="14">
        <f ca="1">IFERROR(((T37*(VLOOKUP(Input!$D$18+H37-1,Tab_Mort_Charge,IF(Gender_2="M",2,3),FALSE)*(1+_emr2)+_rpm2)/IF(Model_Type="LA_PQIS",1000/0.0833,(12*1000))))*Flag_Mort_Rider_Charge*(T37&gt;0),0)</f>
        <v>0</v>
      </c>
      <c r="V37" s="34">
        <f>ROUND(MIN(IF(H37&gt;=7,Charges!$C$12*(1+Charges!$C$14)^((H37-7+1)),VLOOKUP(H37,Charges!$B$7:$C$12,2,0))*pr,Charges!$C$13)*B37,Round)</f>
        <v>450</v>
      </c>
      <c r="W37" s="14">
        <f t="shared" ca="1" si="10"/>
        <v>929398.48723150778</v>
      </c>
      <c r="X37" s="14">
        <f t="shared" ca="1" si="11"/>
        <v>935378.26508254698</v>
      </c>
      <c r="Y37" s="213">
        <f t="shared" ca="1" si="34"/>
        <v>1052.8732208667859</v>
      </c>
      <c r="Z37" s="14">
        <f t="shared" ca="1" si="12"/>
        <v>934325.3918616802</v>
      </c>
      <c r="AA37" s="14">
        <f>IF(AND($H37=pt,$F37=11),SUM($K$7:K37)*VLOOKUP(pt,ROC,2,FALSE),0)</f>
        <v>0</v>
      </c>
      <c r="AB37" s="14">
        <f>IF(AND($H37=pt,$F37=11),SUM($V$7:V37)*VLOOKUP(pt,ROC,2,FALSE),0)</f>
        <v>0</v>
      </c>
      <c r="AC37" s="14">
        <f>IF(AND($H37=pt,$F37=11),SUM($Q$7:Q37)*VLOOKUP(pt,ROC,2,FALSE),0)</f>
        <v>0</v>
      </c>
      <c r="AD37" s="14">
        <f t="shared" ca="1" si="35"/>
        <v>934325.3918616802</v>
      </c>
      <c r="AE37" s="14">
        <f ca="1">(MAX(sa-CF36*Flag_UL_Type,105%*SUM($I$7:I37),Z37)+AU37)*B37</f>
        <v>3000000</v>
      </c>
      <c r="AF37" s="136"/>
      <c r="AG37" s="18">
        <v>31</v>
      </c>
      <c r="AH37" s="30">
        <f t="shared" ca="1" si="13"/>
        <v>0</v>
      </c>
      <c r="AI37" s="138"/>
      <c r="AJ37" s="50">
        <f>IF(AND(Option_Sys_TopUp&gt;="Y",H37&gt;=sytp,H37&lt;=(dtp+sytp-1),F37=0,H37&lt;=ppt+1),atp,0)+IFERROR(VLOOKUP(H37,Input!$B$55:$C$61,2,0),0)*(F37=0)*(Option_TopUP="Y")*(Option_Sys_TopUp="N")*B37*(pt&gt;=H37+5)</f>
        <v>0</v>
      </c>
      <c r="AK37" s="50">
        <f t="shared" si="14"/>
        <v>0</v>
      </c>
      <c r="AL37" s="50">
        <f t="shared" si="36"/>
        <v>0</v>
      </c>
      <c r="AM37" s="50">
        <f t="shared" ca="1" si="15"/>
        <v>0</v>
      </c>
      <c r="AN37" s="50">
        <f ca="1">IF(B37=0,0,AT37*(_rpm1+(1+_emr1)*VLOOKUP(E37,Tab_Mort_Charge,IF(Input!$C$12="M",2,3),0))*(0.001*0.0833)*Flag_Mort_Rider_Charge*(AT37&gt;0))</f>
        <v>0</v>
      </c>
      <c r="AO37" s="50">
        <f t="shared" ca="1" si="37"/>
        <v>0</v>
      </c>
      <c r="AP37" s="50">
        <f t="shared" ca="1" si="38"/>
        <v>0</v>
      </c>
      <c r="AQ37" s="50">
        <f t="shared" ca="1" si="16"/>
        <v>0</v>
      </c>
      <c r="AR37" s="50">
        <f t="shared" ca="1" si="17"/>
        <v>0</v>
      </c>
      <c r="AS37" s="50">
        <f t="shared" si="18"/>
        <v>0</v>
      </c>
      <c r="AT37" s="50">
        <f ca="1">(MAX((MAX(AS37,105%*SUM($AJ$7:AJ37))-AM37*Flag_UL_Type),0)*B37)</f>
        <v>0</v>
      </c>
      <c r="AU37" s="50">
        <f ca="1">(MAX(AS37,AR37,105%*SUM($AJ$7:AJ37))*B37)</f>
        <v>0</v>
      </c>
      <c r="AV37" s="125"/>
      <c r="AW37" s="13"/>
      <c r="AX37" s="13"/>
      <c r="AY37" s="13"/>
      <c r="AZ37" s="13"/>
      <c r="BA37" s="13"/>
      <c r="BG37" s="51">
        <f t="shared" si="21"/>
        <v>0</v>
      </c>
      <c r="BH37" s="51">
        <f t="shared" ca="1" si="22"/>
        <v>0</v>
      </c>
      <c r="BI37" s="51">
        <f t="shared" ca="1" si="46"/>
        <v>0</v>
      </c>
      <c r="BJ37" s="51">
        <f t="shared" ca="1" si="23"/>
        <v>0</v>
      </c>
      <c r="BK37" s="51">
        <f t="shared" si="24"/>
        <v>0</v>
      </c>
      <c r="BL37" s="51">
        <f t="shared" ca="1" si="25"/>
        <v>0</v>
      </c>
      <c r="BM37" s="51">
        <f t="shared" si="26"/>
        <v>0</v>
      </c>
      <c r="BN37" s="51">
        <f t="shared" ca="1" si="27"/>
        <v>0</v>
      </c>
      <c r="BO37" s="51">
        <f t="shared" ca="1" si="28"/>
        <v>0</v>
      </c>
      <c r="BP37" s="51">
        <f t="shared" ca="1" si="29"/>
        <v>0</v>
      </c>
      <c r="BR37" s="32"/>
      <c r="BS37" s="126"/>
      <c r="BT37" s="16"/>
      <c r="BU37" s="58"/>
      <c r="BW37" s="51">
        <f>VLOOKUP(H37,Charges!$AT$4:$AU$33,2,FALSE)*I37</f>
        <v>0</v>
      </c>
      <c r="BX37" s="51">
        <f t="shared" si="30"/>
        <v>0</v>
      </c>
      <c r="BY37" s="51">
        <f t="shared" si="47"/>
        <v>0</v>
      </c>
      <c r="BZ37" s="151"/>
      <c r="CA37" s="151"/>
      <c r="CB37" s="32"/>
      <c r="CC37" s="16">
        <f ca="1">SUM($N$7:$N37)</f>
        <v>0</v>
      </c>
      <c r="CD37" s="16">
        <f t="shared" ca="1" si="31"/>
        <v>0</v>
      </c>
      <c r="CE37" s="16">
        <f t="shared" ca="1" si="32"/>
        <v>0</v>
      </c>
      <c r="CF37" s="7">
        <f t="shared" ca="1" si="48"/>
        <v>0</v>
      </c>
    </row>
    <row r="38" spans="1:84" s="7" customFormat="1" x14ac:dyDescent="0.2">
      <c r="A38" s="149"/>
      <c r="B38" s="14">
        <f t="shared" si="0"/>
        <v>1</v>
      </c>
      <c r="C38" s="12">
        <f t="shared" si="1"/>
        <v>1</v>
      </c>
      <c r="D38" s="17">
        <f t="shared" si="49"/>
        <v>32</v>
      </c>
      <c r="E38" s="17">
        <f t="shared" ca="1" si="2"/>
        <v>62</v>
      </c>
      <c r="F38" s="12">
        <f t="shared" si="53"/>
        <v>7</v>
      </c>
      <c r="G38" s="12">
        <f t="shared" si="52"/>
        <v>6</v>
      </c>
      <c r="H38" s="17">
        <f t="shared" si="54"/>
        <v>3</v>
      </c>
      <c r="I38" s="29">
        <f t="shared" si="3"/>
        <v>0</v>
      </c>
      <c r="J38" s="211">
        <f>IFERROR(VLOOKUP(H38,Charges!$T$6:$U$35,2,0)*C38,0)</f>
        <v>0.96499999999999997</v>
      </c>
      <c r="K38" s="29">
        <f t="shared" si="4"/>
        <v>0</v>
      </c>
      <c r="L38" s="29">
        <f t="shared" si="5"/>
        <v>0</v>
      </c>
      <c r="M38" s="147">
        <f t="shared" ca="1" si="6"/>
        <v>0</v>
      </c>
      <c r="N38" s="148">
        <f ca="1">IF(AND(Option_SPW="Y",Z37&gt;=SPW_Start_Min_FV,H38&gt;=Lock_In_Period,Z37&gt;SPW_Amount_pa+IF(option="Single",1/5*pr,2*pr),H38&gt;=SPW_Start_Year,H38&lt;=SPW_Start_Year+SPW_Duration-1,F38=0,age+H38&gt;=Legal_Age),SPW_Amount_pa,0)+IFERROR(VLOOKUP(H38,Input!$B$68:$C$74,2,0),0)*(F38=0)*(Option_PW="Y")*(Option_SPW="N")*(age+H38&gt;=Legal_Age)</f>
        <v>0</v>
      </c>
      <c r="O38" s="148">
        <f t="shared" ca="1" si="33"/>
        <v>0</v>
      </c>
      <c r="P38" s="14">
        <f ca="1">(MAX(MAX(sa-CF37*Flag_UL_Type,105%*SUM($I$7:I38))-(AD37+L38-N38)*Flag_UL_Type,0)*B38)</f>
        <v>2065674.6081383198</v>
      </c>
      <c r="Q38" s="213">
        <f t="shared" ca="1" si="7"/>
        <v>0</v>
      </c>
      <c r="R38" s="14">
        <f t="shared" ca="1" si="8"/>
        <v>0</v>
      </c>
      <c r="S38" s="14">
        <f t="shared" ca="1" si="9"/>
        <v>0</v>
      </c>
      <c r="T38" s="14">
        <f>IFERROR(IF(WoP_Flag="Y",IF(fq=1,VLOOKUP(ppt*fq-H38,Charges!$AN$41:$AO$59,2,FALSE),IF(fq=2,VLOOKUP(ppt*fq-G38,Charges!$AP$41:$AQ$79,2,FALSE),VLOOKUP(ppt*fq-D38,Charges!$AR$41:$AS$279,2,FALSE)))*pr/fq,0),0)</f>
        <v>0</v>
      </c>
      <c r="U38" s="14">
        <f ca="1">IFERROR(((T38*(VLOOKUP(Input!$D$18+H38-1,Tab_Mort_Charge,IF(Gender_2="M",2,3),FALSE)*(1+_emr2)+_rpm2)/IF(Model_Type="LA_PQIS",1000/0.0833,(12*1000))))*Flag_Mort_Rider_Charge*(T38&gt;0),0)</f>
        <v>0</v>
      </c>
      <c r="V38" s="34">
        <f>ROUND(MIN(IF(H38&gt;=7,Charges!$C$12*(1+Charges!$C$14)^((H38-7+1)),VLOOKUP(H38,Charges!$B$7:$C$12,2,0))*pr,Charges!$C$13)*B38,Round)</f>
        <v>450</v>
      </c>
      <c r="W38" s="14">
        <f t="shared" ca="1" si="10"/>
        <v>933875.3918616802</v>
      </c>
      <c r="X38" s="14">
        <f t="shared" ca="1" si="11"/>
        <v>939883.97425190953</v>
      </c>
      <c r="Y38" s="213">
        <f t="shared" ca="1" si="34"/>
        <v>1057.9449022416115</v>
      </c>
      <c r="Z38" s="14">
        <f t="shared" ca="1" si="12"/>
        <v>938826.02934966795</v>
      </c>
      <c r="AA38" s="14">
        <f>IF(AND($H38=pt,$F38=11),SUM($K$7:K38)*VLOOKUP(pt,ROC,2,FALSE),0)</f>
        <v>0</v>
      </c>
      <c r="AB38" s="14">
        <f>IF(AND($H38=pt,$F38=11),SUM($V$7:V38)*VLOOKUP(pt,ROC,2,FALSE),0)</f>
        <v>0</v>
      </c>
      <c r="AC38" s="14">
        <f>IF(AND($H38=pt,$F38=11),SUM($Q$7:Q38)*VLOOKUP(pt,ROC,2,FALSE),0)</f>
        <v>0</v>
      </c>
      <c r="AD38" s="14">
        <f t="shared" ca="1" si="35"/>
        <v>938826.02934966795</v>
      </c>
      <c r="AE38" s="14">
        <f ca="1">(MAX(sa-CF37*Flag_UL_Type,105%*SUM($I$7:I38),Z38)+AU38)*B38</f>
        <v>3000000</v>
      </c>
      <c r="AF38" s="136"/>
      <c r="AG38" s="18">
        <v>32</v>
      </c>
      <c r="AH38" s="30">
        <f t="shared" ca="1" si="13"/>
        <v>0</v>
      </c>
      <c r="AI38" s="138"/>
      <c r="AJ38" s="50">
        <f>IF(AND(Option_Sys_TopUp&gt;="Y",H38&gt;=sytp,H38&lt;=(dtp+sytp-1),F38=0,H38&lt;=ppt+1),atp,0)+IFERROR(VLOOKUP(H38,Input!$B$55:$C$61,2,0),0)*(F38=0)*(Option_TopUP="Y")*(Option_Sys_TopUp="N")*B38*(pt&gt;=H38+5)</f>
        <v>0</v>
      </c>
      <c r="AK38" s="50">
        <f t="shared" si="14"/>
        <v>0</v>
      </c>
      <c r="AL38" s="50">
        <f t="shared" si="36"/>
        <v>0</v>
      </c>
      <c r="AM38" s="50">
        <f t="shared" ca="1" si="15"/>
        <v>0</v>
      </c>
      <c r="AN38" s="50">
        <f ca="1">IF(B38=0,0,AT38*(_rpm1+(1+_emr1)*VLOOKUP(E38,Tab_Mort_Charge,IF(Input!$C$12="M",2,3),0))*(0.001*0.0833)*Flag_Mort_Rider_Charge*(AT38&gt;0))</f>
        <v>0</v>
      </c>
      <c r="AO38" s="50">
        <f t="shared" ca="1" si="37"/>
        <v>0</v>
      </c>
      <c r="AP38" s="50">
        <f t="shared" ca="1" si="38"/>
        <v>0</v>
      </c>
      <c r="AQ38" s="50">
        <f t="shared" ca="1" si="16"/>
        <v>0</v>
      </c>
      <c r="AR38" s="50">
        <f t="shared" ca="1" si="17"/>
        <v>0</v>
      </c>
      <c r="AS38" s="50">
        <f t="shared" si="18"/>
        <v>0</v>
      </c>
      <c r="AT38" s="50">
        <f ca="1">(MAX((MAX(AS38,105%*SUM($AJ$7:AJ38))-AM38*Flag_UL_Type),0)*B38)</f>
        <v>0</v>
      </c>
      <c r="AU38" s="50">
        <f ca="1">(MAX(AS38,AR38,105%*SUM($AJ$7:AJ38))*B38)</f>
        <v>0</v>
      </c>
      <c r="AV38" s="125"/>
      <c r="AW38" s="13"/>
      <c r="AX38" s="13"/>
      <c r="AY38" s="13"/>
      <c r="AZ38" s="13"/>
      <c r="BA38" s="13"/>
      <c r="BG38" s="51">
        <f t="shared" si="21"/>
        <v>0</v>
      </c>
      <c r="BH38" s="51">
        <f t="shared" ca="1" si="22"/>
        <v>0</v>
      </c>
      <c r="BI38" s="51">
        <f t="shared" ca="1" si="46"/>
        <v>0</v>
      </c>
      <c r="BJ38" s="51">
        <f t="shared" ca="1" si="23"/>
        <v>0</v>
      </c>
      <c r="BK38" s="51">
        <f t="shared" si="24"/>
        <v>0</v>
      </c>
      <c r="BL38" s="51">
        <f t="shared" ca="1" si="25"/>
        <v>0</v>
      </c>
      <c r="BM38" s="51">
        <f t="shared" si="26"/>
        <v>0</v>
      </c>
      <c r="BN38" s="51">
        <f t="shared" ca="1" si="27"/>
        <v>0</v>
      </c>
      <c r="BO38" s="51">
        <f t="shared" ca="1" si="28"/>
        <v>0</v>
      </c>
      <c r="BP38" s="51">
        <f t="shared" ca="1" si="29"/>
        <v>0</v>
      </c>
      <c r="BR38" s="32"/>
      <c r="BS38" s="126"/>
      <c r="BT38" s="16"/>
      <c r="BU38" s="58"/>
      <c r="BW38" s="51">
        <f>VLOOKUP(H38,Charges!$AT$4:$AU$33,2,FALSE)*I38</f>
        <v>0</v>
      </c>
      <c r="BX38" s="51">
        <f t="shared" si="30"/>
        <v>0</v>
      </c>
      <c r="BY38" s="51">
        <f t="shared" si="47"/>
        <v>0</v>
      </c>
      <c r="BZ38" s="151"/>
      <c r="CA38" s="151"/>
      <c r="CB38" s="32"/>
      <c r="CC38" s="16">
        <f ca="1">SUM($N$7:$N38)</f>
        <v>0</v>
      </c>
      <c r="CD38" s="16">
        <f t="shared" ca="1" si="31"/>
        <v>0</v>
      </c>
      <c r="CE38" s="16">
        <f t="shared" ca="1" si="32"/>
        <v>0</v>
      </c>
      <c r="CF38" s="7">
        <f t="shared" ca="1" si="48"/>
        <v>0</v>
      </c>
    </row>
    <row r="39" spans="1:84" s="7" customFormat="1" x14ac:dyDescent="0.2">
      <c r="A39" s="149"/>
      <c r="B39" s="14">
        <f t="shared" si="0"/>
        <v>1</v>
      </c>
      <c r="C39" s="12">
        <f t="shared" si="1"/>
        <v>1</v>
      </c>
      <c r="D39" s="17">
        <f t="shared" si="49"/>
        <v>33</v>
      </c>
      <c r="E39" s="17">
        <f t="shared" ca="1" si="2"/>
        <v>62</v>
      </c>
      <c r="F39" s="12">
        <f t="shared" si="53"/>
        <v>8</v>
      </c>
      <c r="G39" s="12">
        <f t="shared" si="52"/>
        <v>6</v>
      </c>
      <c r="H39" s="17">
        <f t="shared" si="54"/>
        <v>3</v>
      </c>
      <c r="I39" s="29">
        <f t="shared" si="3"/>
        <v>0</v>
      </c>
      <c r="J39" s="211">
        <f>IFERROR(VLOOKUP(H39,Charges!$T$6:$U$35,2,0)*C39,0)</f>
        <v>0.96499999999999997</v>
      </c>
      <c r="K39" s="29">
        <f t="shared" si="4"/>
        <v>0</v>
      </c>
      <c r="L39" s="29">
        <f t="shared" si="5"/>
        <v>0</v>
      </c>
      <c r="M39" s="147">
        <f t="shared" ca="1" si="6"/>
        <v>0</v>
      </c>
      <c r="N39" s="148">
        <f ca="1">IF(AND(Option_SPW="Y",Z38&gt;=SPW_Start_Min_FV,H39&gt;=Lock_In_Period,Z38&gt;SPW_Amount_pa+IF(option="Single",1/5*pr,2*pr),H39&gt;=SPW_Start_Year,H39&lt;=SPW_Start_Year+SPW_Duration-1,F39=0,age+H39&gt;=Legal_Age),SPW_Amount_pa,0)+IFERROR(VLOOKUP(H39,Input!$B$68:$C$74,2,0),0)*(F39=0)*(Option_PW="Y")*(Option_SPW="N")*(age+H39&gt;=Legal_Age)</f>
        <v>0</v>
      </c>
      <c r="O39" s="148">
        <f t="shared" ca="1" si="33"/>
        <v>0</v>
      </c>
      <c r="P39" s="14">
        <f ca="1">(MAX(MAX(sa-CF38*Flag_UL_Type,105%*SUM($I$7:I39))-(AD38+L39-N39)*Flag_UL_Type,0)*B39)</f>
        <v>2061173.970650332</v>
      </c>
      <c r="Q39" s="213">
        <f t="shared" ca="1" si="7"/>
        <v>0</v>
      </c>
      <c r="R39" s="14">
        <f t="shared" ca="1" si="8"/>
        <v>0</v>
      </c>
      <c r="S39" s="14">
        <f t="shared" ca="1" si="9"/>
        <v>0</v>
      </c>
      <c r="T39" s="14">
        <f>IFERROR(IF(WoP_Flag="Y",IF(fq=1,VLOOKUP(ppt*fq-H39,Charges!$AN$41:$AO$59,2,FALSE),IF(fq=2,VLOOKUP(ppt*fq-G39,Charges!$AP$41:$AQ$79,2,FALSE),VLOOKUP(ppt*fq-D39,Charges!$AR$41:$AS$279,2,FALSE)))*pr/fq,0),0)</f>
        <v>0</v>
      </c>
      <c r="U39" s="14">
        <f ca="1">IFERROR(((T39*(VLOOKUP(Input!$D$18+H39-1,Tab_Mort_Charge,IF(Gender_2="M",2,3),FALSE)*(1+_emr2)+_rpm2)/IF(Model_Type="LA_PQIS",1000/0.0833,(12*1000))))*Flag_Mort_Rider_Charge*(T39&gt;0),0)</f>
        <v>0</v>
      </c>
      <c r="V39" s="34">
        <f>ROUND(MIN(IF(H39&gt;=7,Charges!$C$12*(1+Charges!$C$14)^((H39-7+1)),VLOOKUP(H39,Charges!$B$7:$C$12,2,0))*pr,Charges!$C$13)*B39,Round)</f>
        <v>450</v>
      </c>
      <c r="W39" s="14">
        <f t="shared" ca="1" si="10"/>
        <v>938376.02934966795</v>
      </c>
      <c r="X39" s="14">
        <f t="shared" ca="1" si="11"/>
        <v>944413.56897700916</v>
      </c>
      <c r="Y39" s="213">
        <f t="shared" ca="1" si="34"/>
        <v>1063.0434694902485</v>
      </c>
      <c r="Z39" s="14">
        <f t="shared" ca="1" si="12"/>
        <v>943350.52550751891</v>
      </c>
      <c r="AA39" s="14">
        <f>IF(AND($H39=pt,$F39=11),SUM($K$7:K39)*VLOOKUP(pt,ROC,2,FALSE),0)</f>
        <v>0</v>
      </c>
      <c r="AB39" s="14">
        <f>IF(AND($H39=pt,$F39=11),SUM($V$7:V39)*VLOOKUP(pt,ROC,2,FALSE),0)</f>
        <v>0</v>
      </c>
      <c r="AC39" s="14">
        <f>IF(AND($H39=pt,$F39=11),SUM($Q$7:Q39)*VLOOKUP(pt,ROC,2,FALSE),0)</f>
        <v>0</v>
      </c>
      <c r="AD39" s="14">
        <f t="shared" ca="1" si="35"/>
        <v>943350.52550751891</v>
      </c>
      <c r="AE39" s="14">
        <f ca="1">(MAX(sa-CF38*Flag_UL_Type,105%*SUM($I$7:I39),Z39)+AU39)*B39</f>
        <v>3000000</v>
      </c>
      <c r="AF39" s="136"/>
      <c r="AG39" s="18">
        <v>33</v>
      </c>
      <c r="AH39" s="30">
        <f t="shared" ca="1" si="13"/>
        <v>0</v>
      </c>
      <c r="AI39" s="138"/>
      <c r="AJ39" s="50">
        <f>IF(AND(Option_Sys_TopUp&gt;="Y",H39&gt;=sytp,H39&lt;=(dtp+sytp-1),F39=0,H39&lt;=ppt+1),atp,0)+IFERROR(VLOOKUP(H39,Input!$B$55:$C$61,2,0),0)*(F39=0)*(Option_TopUP="Y")*(Option_Sys_TopUp="N")*B39*(pt&gt;=H39+5)</f>
        <v>0</v>
      </c>
      <c r="AK39" s="50">
        <f t="shared" si="14"/>
        <v>0</v>
      </c>
      <c r="AL39" s="50">
        <f t="shared" si="36"/>
        <v>0</v>
      </c>
      <c r="AM39" s="50">
        <f t="shared" ca="1" si="15"/>
        <v>0</v>
      </c>
      <c r="AN39" s="50">
        <f ca="1">IF(B39=0,0,AT39*(_rpm1+(1+_emr1)*VLOOKUP(E39,Tab_Mort_Charge,IF(Input!$C$12="M",2,3),0))*(0.001*0.0833)*Flag_Mort_Rider_Charge*(AT39&gt;0))</f>
        <v>0</v>
      </c>
      <c r="AO39" s="50">
        <f t="shared" ca="1" si="37"/>
        <v>0</v>
      </c>
      <c r="AP39" s="50">
        <f t="shared" ca="1" si="38"/>
        <v>0</v>
      </c>
      <c r="AQ39" s="50">
        <f t="shared" ca="1" si="16"/>
        <v>0</v>
      </c>
      <c r="AR39" s="50">
        <f t="shared" ca="1" si="17"/>
        <v>0</v>
      </c>
      <c r="AS39" s="50">
        <f t="shared" si="18"/>
        <v>0</v>
      </c>
      <c r="AT39" s="50">
        <f ca="1">(MAX((MAX(AS39,105%*SUM($AJ$7:AJ39))-AM39*Flag_UL_Type),0)*B39)</f>
        <v>0</v>
      </c>
      <c r="AU39" s="50">
        <f ca="1">(MAX(AS39,AR39,105%*SUM($AJ$7:AJ39))*B39)</f>
        <v>0</v>
      </c>
      <c r="AV39" s="125"/>
      <c r="AW39" s="13"/>
      <c r="AX39" s="13"/>
      <c r="AY39" s="13"/>
      <c r="AZ39" s="13"/>
      <c r="BA39" s="13"/>
      <c r="BG39" s="51">
        <f t="shared" si="21"/>
        <v>0</v>
      </c>
      <c r="BH39" s="51">
        <f t="shared" ca="1" si="22"/>
        <v>0</v>
      </c>
      <c r="BI39" s="51">
        <f t="shared" ca="1" si="46"/>
        <v>0</v>
      </c>
      <c r="BJ39" s="51">
        <f t="shared" ca="1" si="23"/>
        <v>0</v>
      </c>
      <c r="BK39" s="51">
        <f t="shared" si="24"/>
        <v>0</v>
      </c>
      <c r="BL39" s="51">
        <f t="shared" ca="1" si="25"/>
        <v>0</v>
      </c>
      <c r="BM39" s="51">
        <f t="shared" si="26"/>
        <v>0</v>
      </c>
      <c r="BN39" s="51">
        <f t="shared" ca="1" si="27"/>
        <v>0</v>
      </c>
      <c r="BO39" s="51">
        <f t="shared" ca="1" si="28"/>
        <v>0</v>
      </c>
      <c r="BP39" s="51">
        <f t="shared" ca="1" si="29"/>
        <v>0</v>
      </c>
      <c r="BR39" s="32"/>
      <c r="BS39" s="126"/>
      <c r="BT39" s="16"/>
      <c r="BU39" s="58"/>
      <c r="BW39" s="51">
        <f>VLOOKUP(H39,Charges!$AT$4:$AU$33,2,FALSE)*I39</f>
        <v>0</v>
      </c>
      <c r="BX39" s="51">
        <f t="shared" si="30"/>
        <v>0</v>
      </c>
      <c r="BY39" s="51">
        <f t="shared" si="47"/>
        <v>0</v>
      </c>
      <c r="BZ39" s="151"/>
      <c r="CA39" s="151"/>
      <c r="CB39" s="32"/>
      <c r="CC39" s="16">
        <f ca="1">SUM($N$7:$N39)</f>
        <v>0</v>
      </c>
      <c r="CD39" s="16">
        <f t="shared" ca="1" si="31"/>
        <v>0</v>
      </c>
      <c r="CE39" s="16">
        <f t="shared" ca="1" si="32"/>
        <v>0</v>
      </c>
      <c r="CF39" s="7">
        <f t="shared" ca="1" si="48"/>
        <v>0</v>
      </c>
    </row>
    <row r="40" spans="1:84" s="7" customFormat="1" x14ac:dyDescent="0.2">
      <c r="A40" s="149"/>
      <c r="B40" s="14">
        <f t="shared" si="0"/>
        <v>1</v>
      </c>
      <c r="C40" s="12">
        <f t="shared" si="1"/>
        <v>1</v>
      </c>
      <c r="D40" s="17">
        <f t="shared" si="49"/>
        <v>34</v>
      </c>
      <c r="E40" s="17">
        <f t="shared" ca="1" si="2"/>
        <v>62</v>
      </c>
      <c r="F40" s="12">
        <f t="shared" si="53"/>
        <v>9</v>
      </c>
      <c r="G40" s="12">
        <f t="shared" si="52"/>
        <v>6</v>
      </c>
      <c r="H40" s="17">
        <f t="shared" si="54"/>
        <v>3</v>
      </c>
      <c r="I40" s="29">
        <f t="shared" si="3"/>
        <v>0</v>
      </c>
      <c r="J40" s="211">
        <f>IFERROR(VLOOKUP(H40,Charges!$T$6:$U$35,2,0)*C40,0)</f>
        <v>0.96499999999999997</v>
      </c>
      <c r="K40" s="29">
        <f t="shared" si="4"/>
        <v>0</v>
      </c>
      <c r="L40" s="29">
        <f t="shared" si="5"/>
        <v>0</v>
      </c>
      <c r="M40" s="147">
        <f t="shared" ca="1" si="6"/>
        <v>0</v>
      </c>
      <c r="N40" s="148">
        <f ca="1">IF(AND(Option_SPW="Y",Z39&gt;=SPW_Start_Min_FV,H40&gt;=Lock_In_Period,Z39&gt;SPW_Amount_pa+IF(option="Single",1/5*pr,2*pr),H40&gt;=SPW_Start_Year,H40&lt;=SPW_Start_Year+SPW_Duration-1,F40=0,age+H40&gt;=Legal_Age),SPW_Amount_pa,0)+IFERROR(VLOOKUP(H40,Input!$B$68:$C$74,2,0),0)*(F40=0)*(Option_PW="Y")*(Option_SPW="N")*(age+H40&gt;=Legal_Age)</f>
        <v>0</v>
      </c>
      <c r="O40" s="148">
        <f t="shared" ca="1" si="33"/>
        <v>0</v>
      </c>
      <c r="P40" s="14">
        <f ca="1">(MAX(MAX(sa-CF39*Flag_UL_Type,105%*SUM($I$7:I40))-(AD39+L40-N40)*Flag_UL_Type,0)*B40)</f>
        <v>2056649.474492481</v>
      </c>
      <c r="Q40" s="213">
        <f t="shared" ca="1" si="7"/>
        <v>0</v>
      </c>
      <c r="R40" s="14">
        <f t="shared" ca="1" si="8"/>
        <v>0</v>
      </c>
      <c r="S40" s="14">
        <f t="shared" ca="1" si="9"/>
        <v>0</v>
      </c>
      <c r="T40" s="14">
        <f>IFERROR(IF(WoP_Flag="Y",IF(fq=1,VLOOKUP(ppt*fq-H40,Charges!$AN$41:$AO$59,2,FALSE),IF(fq=2,VLOOKUP(ppt*fq-G40,Charges!$AP$41:$AQ$79,2,FALSE),VLOOKUP(ppt*fq-D40,Charges!$AR$41:$AS$279,2,FALSE)))*pr/fq,0),0)</f>
        <v>0</v>
      </c>
      <c r="U40" s="14">
        <f ca="1">IFERROR(((T40*(VLOOKUP(Input!$D$18+H40-1,Tab_Mort_Charge,IF(Gender_2="M",2,3),FALSE)*(1+_emr2)+_rpm2)/IF(Model_Type="LA_PQIS",1000/0.0833,(12*1000))))*Flag_Mort_Rider_Charge*(T40&gt;0),0)</f>
        <v>0</v>
      </c>
      <c r="V40" s="34">
        <f>ROUND(MIN(IF(H40&gt;=7,Charges!$C$12*(1+Charges!$C$14)^((H40-7+1)),VLOOKUP(H40,Charges!$B$7:$C$12,2,0))*pr,Charges!$C$13)*B40,Round)</f>
        <v>450</v>
      </c>
      <c r="W40" s="14">
        <f t="shared" ca="1" si="10"/>
        <v>942900.52550751891</v>
      </c>
      <c r="X40" s="14">
        <f t="shared" ca="1" si="11"/>
        <v>948967.17587937228</v>
      </c>
      <c r="Y40" s="213">
        <f t="shared" ca="1" si="34"/>
        <v>1068.1690651394367</v>
      </c>
      <c r="Z40" s="14">
        <f t="shared" ca="1" si="12"/>
        <v>947899.00681423279</v>
      </c>
      <c r="AA40" s="14">
        <f>IF(AND($H40=pt,$F40=11),SUM($K$7:K40)*VLOOKUP(pt,ROC,2,FALSE),0)</f>
        <v>0</v>
      </c>
      <c r="AB40" s="14">
        <f>IF(AND($H40=pt,$F40=11),SUM($V$7:V40)*VLOOKUP(pt,ROC,2,FALSE),0)</f>
        <v>0</v>
      </c>
      <c r="AC40" s="14">
        <f>IF(AND($H40=pt,$F40=11),SUM($Q$7:Q40)*VLOOKUP(pt,ROC,2,FALSE),0)</f>
        <v>0</v>
      </c>
      <c r="AD40" s="14">
        <f t="shared" ca="1" si="35"/>
        <v>947899.00681423279</v>
      </c>
      <c r="AE40" s="14">
        <f ca="1">(MAX(sa-CF39*Flag_UL_Type,105%*SUM($I$7:I40),Z40)+AU40)*B40</f>
        <v>3000000</v>
      </c>
      <c r="AF40" s="136"/>
      <c r="AG40" s="18">
        <v>34</v>
      </c>
      <c r="AH40" s="30">
        <f t="shared" ca="1" si="13"/>
        <v>0</v>
      </c>
      <c r="AI40" s="138"/>
      <c r="AJ40" s="50">
        <f>IF(AND(Option_Sys_TopUp&gt;="Y",H40&gt;=sytp,H40&lt;=(dtp+sytp-1),F40=0,H40&lt;=ppt+1),atp,0)+IFERROR(VLOOKUP(H40,Input!$B$55:$C$61,2,0),0)*(F40=0)*(Option_TopUP="Y")*(Option_Sys_TopUp="N")*B40*(pt&gt;=H40+5)</f>
        <v>0</v>
      </c>
      <c r="AK40" s="50">
        <f t="shared" si="14"/>
        <v>0</v>
      </c>
      <c r="AL40" s="50">
        <f t="shared" si="36"/>
        <v>0</v>
      </c>
      <c r="AM40" s="50">
        <f t="shared" ca="1" si="15"/>
        <v>0</v>
      </c>
      <c r="AN40" s="50">
        <f ca="1">IF(B40=0,0,AT40*(_rpm1+(1+_emr1)*VLOOKUP(E40,Tab_Mort_Charge,IF(Input!$C$12="M",2,3),0))*(0.001*0.0833)*Flag_Mort_Rider_Charge*(AT40&gt;0))</f>
        <v>0</v>
      </c>
      <c r="AO40" s="50">
        <f t="shared" ca="1" si="37"/>
        <v>0</v>
      </c>
      <c r="AP40" s="50">
        <f t="shared" ca="1" si="38"/>
        <v>0</v>
      </c>
      <c r="AQ40" s="50">
        <f t="shared" ca="1" si="16"/>
        <v>0</v>
      </c>
      <c r="AR40" s="50">
        <f t="shared" ca="1" si="17"/>
        <v>0</v>
      </c>
      <c r="AS40" s="50">
        <f t="shared" si="18"/>
        <v>0</v>
      </c>
      <c r="AT40" s="50">
        <f ca="1">(MAX((MAX(AS40,105%*SUM($AJ$7:AJ40))-AM40*Flag_UL_Type),0)*B40)</f>
        <v>0</v>
      </c>
      <c r="AU40" s="50">
        <f ca="1">(MAX(AS40,AR40,105%*SUM($AJ$7:AJ40))*B40)</f>
        <v>0</v>
      </c>
      <c r="AV40" s="125"/>
      <c r="AW40" s="13"/>
      <c r="AX40" s="13"/>
      <c r="AY40" s="13"/>
      <c r="AZ40" s="13"/>
      <c r="BA40" s="13"/>
      <c r="BG40" s="51">
        <f t="shared" si="21"/>
        <v>0</v>
      </c>
      <c r="BH40" s="51">
        <f t="shared" ca="1" si="22"/>
        <v>0</v>
      </c>
      <c r="BI40" s="51">
        <f t="shared" ca="1" si="46"/>
        <v>0</v>
      </c>
      <c r="BJ40" s="51">
        <f t="shared" ca="1" si="23"/>
        <v>0</v>
      </c>
      <c r="BK40" s="51">
        <f t="shared" si="24"/>
        <v>0</v>
      </c>
      <c r="BL40" s="51">
        <f t="shared" ca="1" si="25"/>
        <v>0</v>
      </c>
      <c r="BM40" s="51">
        <f t="shared" si="26"/>
        <v>0</v>
      </c>
      <c r="BN40" s="51">
        <f t="shared" ca="1" si="27"/>
        <v>0</v>
      </c>
      <c r="BO40" s="51">
        <f t="shared" ca="1" si="28"/>
        <v>0</v>
      </c>
      <c r="BP40" s="51">
        <f t="shared" ca="1" si="29"/>
        <v>0</v>
      </c>
      <c r="BR40" s="32"/>
      <c r="BS40" s="126"/>
      <c r="BT40" s="16"/>
      <c r="BU40" s="58"/>
      <c r="BW40" s="51">
        <f>VLOOKUP(H40,Charges!$AT$4:$AU$33,2,FALSE)*I40</f>
        <v>0</v>
      </c>
      <c r="BX40" s="51">
        <f t="shared" si="30"/>
        <v>0</v>
      </c>
      <c r="BY40" s="51">
        <f t="shared" si="47"/>
        <v>0</v>
      </c>
      <c r="BZ40" s="151"/>
      <c r="CA40" s="151"/>
      <c r="CB40" s="32"/>
      <c r="CC40" s="16">
        <f ca="1">SUM($N$7:$N40)</f>
        <v>0</v>
      </c>
      <c r="CD40" s="16">
        <f t="shared" ca="1" si="31"/>
        <v>0</v>
      </c>
      <c r="CE40" s="16">
        <f t="shared" ca="1" si="32"/>
        <v>0</v>
      </c>
      <c r="CF40" s="7">
        <f t="shared" ca="1" si="48"/>
        <v>0</v>
      </c>
    </row>
    <row r="41" spans="1:84" s="7" customFormat="1" x14ac:dyDescent="0.2">
      <c r="A41" s="149"/>
      <c r="B41" s="14">
        <f t="shared" si="0"/>
        <v>1</v>
      </c>
      <c r="C41" s="12">
        <f t="shared" si="1"/>
        <v>1</v>
      </c>
      <c r="D41" s="17">
        <f t="shared" si="49"/>
        <v>35</v>
      </c>
      <c r="E41" s="17">
        <f t="shared" ca="1" si="2"/>
        <v>62</v>
      </c>
      <c r="F41" s="12">
        <f t="shared" si="53"/>
        <v>10</v>
      </c>
      <c r="G41" s="12">
        <f t="shared" si="52"/>
        <v>6</v>
      </c>
      <c r="H41" s="17">
        <f t="shared" si="54"/>
        <v>3</v>
      </c>
      <c r="I41" s="29">
        <f t="shared" si="3"/>
        <v>0</v>
      </c>
      <c r="J41" s="211">
        <f>IFERROR(VLOOKUP(H41,Charges!$T$6:$U$35,2,0)*C41,0)</f>
        <v>0.96499999999999997</v>
      </c>
      <c r="K41" s="29">
        <f t="shared" si="4"/>
        <v>0</v>
      </c>
      <c r="L41" s="29">
        <f t="shared" si="5"/>
        <v>0</v>
      </c>
      <c r="M41" s="147">
        <f t="shared" ca="1" si="6"/>
        <v>0</v>
      </c>
      <c r="N41" s="148">
        <f ca="1">IF(AND(Option_SPW="Y",Z40&gt;=SPW_Start_Min_FV,H41&gt;=Lock_In_Period,Z40&gt;SPW_Amount_pa+IF(option="Single",1/5*pr,2*pr),H41&gt;=SPW_Start_Year,H41&lt;=SPW_Start_Year+SPW_Duration-1,F41=0,age+H41&gt;=Legal_Age),SPW_Amount_pa,0)+IFERROR(VLOOKUP(H41,Input!$B$68:$C$74,2,0),0)*(F41=0)*(Option_PW="Y")*(Option_SPW="N")*(age+H41&gt;=Legal_Age)</f>
        <v>0</v>
      </c>
      <c r="O41" s="148">
        <f t="shared" ca="1" si="33"/>
        <v>0</v>
      </c>
      <c r="P41" s="14">
        <f ca="1">(MAX(MAX(sa-CF40*Flag_UL_Type,105%*SUM($I$7:I41))-(AD40+L41-N41)*Flag_UL_Type,0)*B41)</f>
        <v>2052100.9931857672</v>
      </c>
      <c r="Q41" s="213">
        <f t="shared" ca="1" si="7"/>
        <v>0</v>
      </c>
      <c r="R41" s="14">
        <f t="shared" ca="1" si="8"/>
        <v>0</v>
      </c>
      <c r="S41" s="14">
        <f t="shared" ca="1" si="9"/>
        <v>0</v>
      </c>
      <c r="T41" s="14">
        <f>IFERROR(IF(WoP_Flag="Y",IF(fq=1,VLOOKUP(ppt*fq-H41,Charges!$AN$41:$AO$59,2,FALSE),IF(fq=2,VLOOKUP(ppt*fq-G41,Charges!$AP$41:$AQ$79,2,FALSE),VLOOKUP(ppt*fq-D41,Charges!$AR$41:$AS$279,2,FALSE)))*pr/fq,0),0)</f>
        <v>0</v>
      </c>
      <c r="U41" s="14">
        <f ca="1">IFERROR(((T41*(VLOOKUP(Input!$D$18+H41-1,Tab_Mort_Charge,IF(Gender_2="M",2,3),FALSE)*(1+_emr2)+_rpm2)/IF(Model_Type="LA_PQIS",1000/0.0833,(12*1000))))*Flag_Mort_Rider_Charge*(T41&gt;0),0)</f>
        <v>0</v>
      </c>
      <c r="V41" s="34">
        <f>ROUND(MIN(IF(H41&gt;=7,Charges!$C$12*(1+Charges!$C$14)^((H41-7+1)),VLOOKUP(H41,Charges!$B$7:$C$12,2,0))*pr,Charges!$C$13)*B41,Round)</f>
        <v>450</v>
      </c>
      <c r="W41" s="14">
        <f t="shared" ca="1" si="10"/>
        <v>947449.00681423279</v>
      </c>
      <c r="X41" s="14">
        <f t="shared" ca="1" si="11"/>
        <v>953544.92225176841</v>
      </c>
      <c r="Y41" s="213">
        <f t="shared" ca="1" si="34"/>
        <v>1073.3218324714751</v>
      </c>
      <c r="Z41" s="14">
        <f t="shared" ca="1" si="12"/>
        <v>952471.60041929688</v>
      </c>
      <c r="AA41" s="14">
        <f>IF(AND($H41=pt,$F41=11),SUM($K$7:K41)*VLOOKUP(pt,ROC,2,FALSE),0)</f>
        <v>0</v>
      </c>
      <c r="AB41" s="14">
        <f>IF(AND($H41=pt,$F41=11),SUM($V$7:V41)*VLOOKUP(pt,ROC,2,FALSE),0)</f>
        <v>0</v>
      </c>
      <c r="AC41" s="14">
        <f>IF(AND($H41=pt,$F41=11),SUM($Q$7:Q41)*VLOOKUP(pt,ROC,2,FALSE),0)</f>
        <v>0</v>
      </c>
      <c r="AD41" s="14">
        <f t="shared" ca="1" si="35"/>
        <v>952471.60041929688</v>
      </c>
      <c r="AE41" s="14">
        <f ca="1">(MAX(sa-CF40*Flag_UL_Type,105%*SUM($I$7:I41),Z41)+AU41)*B41</f>
        <v>3000000</v>
      </c>
      <c r="AF41" s="136"/>
      <c r="AG41" s="18">
        <v>35</v>
      </c>
      <c r="AH41" s="30">
        <f t="shared" ca="1" si="13"/>
        <v>0</v>
      </c>
      <c r="AI41" s="138"/>
      <c r="AJ41" s="50">
        <f>IF(AND(Option_Sys_TopUp&gt;="Y",H41&gt;=sytp,H41&lt;=(dtp+sytp-1),F41=0,H41&lt;=ppt+1),atp,0)+IFERROR(VLOOKUP(H41,Input!$B$55:$C$61,2,0),0)*(F41=0)*(Option_TopUP="Y")*(Option_Sys_TopUp="N")*B41*(pt&gt;=H41+5)</f>
        <v>0</v>
      </c>
      <c r="AK41" s="50">
        <f t="shared" si="14"/>
        <v>0</v>
      </c>
      <c r="AL41" s="50">
        <f t="shared" si="36"/>
        <v>0</v>
      </c>
      <c r="AM41" s="50">
        <f t="shared" ca="1" si="15"/>
        <v>0</v>
      </c>
      <c r="AN41" s="50">
        <f ca="1">IF(B41=0,0,AT41*(_rpm1+(1+_emr1)*VLOOKUP(E41,Tab_Mort_Charge,IF(Input!$C$12="M",2,3),0))*(0.001*0.0833)*Flag_Mort_Rider_Charge*(AT41&gt;0))</f>
        <v>0</v>
      </c>
      <c r="AO41" s="50">
        <f t="shared" ca="1" si="37"/>
        <v>0</v>
      </c>
      <c r="AP41" s="50">
        <f t="shared" ca="1" si="38"/>
        <v>0</v>
      </c>
      <c r="AQ41" s="50">
        <f t="shared" ca="1" si="16"/>
        <v>0</v>
      </c>
      <c r="AR41" s="50">
        <f t="shared" ca="1" si="17"/>
        <v>0</v>
      </c>
      <c r="AS41" s="50">
        <f t="shared" si="18"/>
        <v>0</v>
      </c>
      <c r="AT41" s="50">
        <f ca="1">(MAX((MAX(AS41,105%*SUM($AJ$7:AJ41))-AM41*Flag_UL_Type),0)*B41)</f>
        <v>0</v>
      </c>
      <c r="AU41" s="50">
        <f ca="1">(MAX(AS41,AR41,105%*SUM($AJ$7:AJ41))*B41)</f>
        <v>0</v>
      </c>
      <c r="AV41" s="125"/>
      <c r="AW41" s="13"/>
      <c r="AX41" s="13"/>
      <c r="AY41" s="13"/>
      <c r="AZ41" s="13"/>
      <c r="BA41" s="13"/>
      <c r="BG41" s="51">
        <f t="shared" si="21"/>
        <v>0</v>
      </c>
      <c r="BH41" s="51">
        <f t="shared" ca="1" si="22"/>
        <v>0</v>
      </c>
      <c r="BI41" s="51">
        <f t="shared" ca="1" si="46"/>
        <v>0</v>
      </c>
      <c r="BJ41" s="51">
        <f t="shared" ca="1" si="23"/>
        <v>0</v>
      </c>
      <c r="BK41" s="51">
        <f t="shared" si="24"/>
        <v>0</v>
      </c>
      <c r="BL41" s="51">
        <f t="shared" ca="1" si="25"/>
        <v>0</v>
      </c>
      <c r="BM41" s="51">
        <f t="shared" si="26"/>
        <v>0</v>
      </c>
      <c r="BN41" s="51">
        <f t="shared" ca="1" si="27"/>
        <v>0</v>
      </c>
      <c r="BO41" s="51">
        <f t="shared" ca="1" si="28"/>
        <v>0</v>
      </c>
      <c r="BP41" s="51">
        <f t="shared" ca="1" si="29"/>
        <v>0</v>
      </c>
      <c r="BR41" s="32"/>
      <c r="BS41" s="126"/>
      <c r="BT41" s="16"/>
      <c r="BU41" s="58"/>
      <c r="BW41" s="51">
        <f>VLOOKUP(H41,Charges!$AT$4:$AU$33,2,FALSE)*I41</f>
        <v>0</v>
      </c>
      <c r="BX41" s="51">
        <f t="shared" si="30"/>
        <v>0</v>
      </c>
      <c r="BY41" s="51">
        <f t="shared" si="47"/>
        <v>0</v>
      </c>
      <c r="BZ41" s="151"/>
      <c r="CA41" s="151"/>
      <c r="CB41" s="32"/>
      <c r="CC41" s="16">
        <f ca="1">SUM($N$7:$N41)</f>
        <v>0</v>
      </c>
      <c r="CD41" s="16">
        <f t="shared" ca="1" si="31"/>
        <v>0</v>
      </c>
      <c r="CE41" s="16">
        <f t="shared" ca="1" si="32"/>
        <v>0</v>
      </c>
      <c r="CF41" s="7">
        <f t="shared" ca="1" si="48"/>
        <v>0</v>
      </c>
    </row>
    <row r="42" spans="1:84" s="7" customFormat="1" x14ac:dyDescent="0.2">
      <c r="A42" s="149"/>
      <c r="B42" s="14">
        <f t="shared" si="0"/>
        <v>1</v>
      </c>
      <c r="C42" s="12">
        <f t="shared" si="1"/>
        <v>1</v>
      </c>
      <c r="D42" s="17">
        <f t="shared" si="49"/>
        <v>36</v>
      </c>
      <c r="E42" s="17">
        <f t="shared" ca="1" si="2"/>
        <v>62</v>
      </c>
      <c r="F42" s="12">
        <f t="shared" si="53"/>
        <v>11</v>
      </c>
      <c r="G42" s="12">
        <f t="shared" si="52"/>
        <v>6</v>
      </c>
      <c r="H42" s="17">
        <f t="shared" si="54"/>
        <v>3</v>
      </c>
      <c r="I42" s="29">
        <f t="shared" si="3"/>
        <v>0</v>
      </c>
      <c r="J42" s="211">
        <f>IFERROR(VLOOKUP(H42,Charges!$T$6:$U$35,2,0)*C42,0)</f>
        <v>0.96499999999999997</v>
      </c>
      <c r="K42" s="29">
        <f t="shared" si="4"/>
        <v>0</v>
      </c>
      <c r="L42" s="29">
        <f t="shared" si="5"/>
        <v>0</v>
      </c>
      <c r="M42" s="147">
        <f t="shared" ca="1" si="6"/>
        <v>0</v>
      </c>
      <c r="N42" s="148">
        <f ca="1">IF(AND(Option_SPW="Y",Z41&gt;=SPW_Start_Min_FV,H42&gt;=Lock_In_Period,Z41&gt;SPW_Amount_pa+IF(option="Single",1/5*pr,2*pr),H42&gt;=SPW_Start_Year,H42&lt;=SPW_Start_Year+SPW_Duration-1,F42=0,age+H42&gt;=Legal_Age),SPW_Amount_pa,0)+IFERROR(VLOOKUP(H42,Input!$B$68:$C$74,2,0),0)*(F42=0)*(Option_PW="Y")*(Option_SPW="N")*(age+H42&gt;=Legal_Age)</f>
        <v>0</v>
      </c>
      <c r="O42" s="148">
        <f t="shared" ca="1" si="33"/>
        <v>0</v>
      </c>
      <c r="P42" s="14">
        <f ca="1">(MAX(MAX(sa-CF41*Flag_UL_Type,105%*SUM($I$7:I42))-(AD41+L42-N42)*Flag_UL_Type,0)*B42)</f>
        <v>2047528.3995807031</v>
      </c>
      <c r="Q42" s="213">
        <f t="shared" ca="1" si="7"/>
        <v>0</v>
      </c>
      <c r="R42" s="14">
        <f t="shared" ca="1" si="8"/>
        <v>0</v>
      </c>
      <c r="S42" s="14">
        <f t="shared" ca="1" si="9"/>
        <v>0</v>
      </c>
      <c r="T42" s="14">
        <f>IFERROR(IF(WoP_Flag="Y",IF(fq=1,VLOOKUP(ppt*fq-H42,Charges!$AN$41:$AO$59,2,FALSE),IF(fq=2,VLOOKUP(ppt*fq-G42,Charges!$AP$41:$AQ$79,2,FALSE),VLOOKUP(ppt*fq-D42,Charges!$AR$41:$AS$279,2,FALSE)))*pr/fq,0),0)</f>
        <v>0</v>
      </c>
      <c r="U42" s="14">
        <f ca="1">IFERROR(((T42*(VLOOKUP(Input!$D$18+H42-1,Tab_Mort_Charge,IF(Gender_2="M",2,3),FALSE)*(1+_emr2)+_rpm2)/IF(Model_Type="LA_PQIS",1000/0.0833,(12*1000))))*Flag_Mort_Rider_Charge*(T42&gt;0),0)</f>
        <v>0</v>
      </c>
      <c r="V42" s="34">
        <f>ROUND(MIN(IF(H42&gt;=7,Charges!$C$12*(1+Charges!$C$14)^((H42-7+1)),VLOOKUP(H42,Charges!$B$7:$C$12,2,0))*pr,Charges!$C$13)*B42,Round)</f>
        <v>450</v>
      </c>
      <c r="W42" s="14">
        <f t="shared" ca="1" si="10"/>
        <v>952021.60041929688</v>
      </c>
      <c r="X42" s="14">
        <f t="shared" ca="1" si="11"/>
        <v>958146.93606176833</v>
      </c>
      <c r="Y42" s="213">
        <f t="shared" ca="1" si="34"/>
        <v>1078.5019155282268</v>
      </c>
      <c r="Z42" s="14">
        <f t="shared" ca="1" si="12"/>
        <v>957068.43414624012</v>
      </c>
      <c r="AA42" s="14">
        <f>IF(AND($H42=pt,$F42=11),SUM($K$7:K42)*VLOOKUP(pt,ROC,2,FALSE),0)</f>
        <v>0</v>
      </c>
      <c r="AB42" s="14">
        <f>IF(AND($H42=pt,$F42=11),SUM($V$7:V42)*VLOOKUP(pt,ROC,2,FALSE),0)</f>
        <v>0</v>
      </c>
      <c r="AC42" s="14">
        <f>IF(AND($H42=pt,$F42=11),SUM($Q$7:Q42)*VLOOKUP(pt,ROC,2,FALSE),0)</f>
        <v>0</v>
      </c>
      <c r="AD42" s="14">
        <f t="shared" ca="1" si="35"/>
        <v>957068.43414624012</v>
      </c>
      <c r="AE42" s="14">
        <f ca="1">(MAX(sa-CF41*Flag_UL_Type,105%*SUM($I$7:I42),Z42)+AU42)*B42</f>
        <v>3000000</v>
      </c>
      <c r="AF42" s="136"/>
      <c r="AG42" s="18">
        <v>36</v>
      </c>
      <c r="AH42" s="30">
        <f t="shared" ca="1" si="13"/>
        <v>0</v>
      </c>
      <c r="AI42" s="138"/>
      <c r="AJ42" s="50">
        <f>IF(AND(Option_Sys_TopUp&gt;="Y",H42&gt;=sytp,H42&lt;=(dtp+sytp-1),F42=0,H42&lt;=ppt+1),atp,0)+IFERROR(VLOOKUP(H42,Input!$B$55:$C$61,2,0),0)*(F42=0)*(Option_TopUP="Y")*(Option_Sys_TopUp="N")*B42*(pt&gt;=H42+5)</f>
        <v>0</v>
      </c>
      <c r="AK42" s="50">
        <f t="shared" si="14"/>
        <v>0</v>
      </c>
      <c r="AL42" s="50">
        <f t="shared" si="36"/>
        <v>0</v>
      </c>
      <c r="AM42" s="50">
        <f t="shared" ca="1" si="15"/>
        <v>0</v>
      </c>
      <c r="AN42" s="50">
        <f ca="1">IF(B42=0,0,AT42*(_rpm1+(1+_emr1)*VLOOKUP(E42,Tab_Mort_Charge,IF(Input!$C$12="M",2,3),0))*(0.001*0.0833)*Flag_Mort_Rider_Charge*(AT42&gt;0))</f>
        <v>0</v>
      </c>
      <c r="AO42" s="50">
        <f t="shared" ca="1" si="37"/>
        <v>0</v>
      </c>
      <c r="AP42" s="50">
        <f t="shared" ca="1" si="38"/>
        <v>0</v>
      </c>
      <c r="AQ42" s="50">
        <f t="shared" ca="1" si="16"/>
        <v>0</v>
      </c>
      <c r="AR42" s="50">
        <f t="shared" ca="1" si="17"/>
        <v>0</v>
      </c>
      <c r="AS42" s="50">
        <f t="shared" si="18"/>
        <v>0</v>
      </c>
      <c r="AT42" s="50">
        <f ca="1">(MAX((MAX(AS42,105%*SUM($AJ$7:AJ42))-AM42*Flag_UL_Type),0)*B42)</f>
        <v>0</v>
      </c>
      <c r="AU42" s="50">
        <f ca="1">(MAX(AS42,AR42,105%*SUM($AJ$7:AJ42))*B42)</f>
        <v>0</v>
      </c>
      <c r="AV42" s="125"/>
      <c r="AW42" s="13"/>
      <c r="AX42" s="13"/>
      <c r="AY42" s="13"/>
      <c r="AZ42" s="13"/>
      <c r="BA42" s="13"/>
      <c r="BG42" s="51">
        <f t="shared" si="21"/>
        <v>0</v>
      </c>
      <c r="BH42" s="51">
        <f t="shared" ca="1" si="22"/>
        <v>0</v>
      </c>
      <c r="BI42" s="51">
        <f t="shared" ca="1" si="46"/>
        <v>0</v>
      </c>
      <c r="BJ42" s="51">
        <f t="shared" ca="1" si="23"/>
        <v>0</v>
      </c>
      <c r="BK42" s="51">
        <f t="shared" si="24"/>
        <v>0</v>
      </c>
      <c r="BL42" s="51">
        <f t="shared" ca="1" si="25"/>
        <v>0</v>
      </c>
      <c r="BM42" s="51">
        <f t="shared" si="26"/>
        <v>0</v>
      </c>
      <c r="BN42" s="51">
        <f t="shared" ca="1" si="27"/>
        <v>0</v>
      </c>
      <c r="BO42" s="51">
        <f t="shared" ca="1" si="28"/>
        <v>0</v>
      </c>
      <c r="BP42" s="51">
        <f t="shared" ca="1" si="29"/>
        <v>0</v>
      </c>
      <c r="BR42" s="32"/>
      <c r="BS42" s="126"/>
      <c r="BT42" s="16"/>
      <c r="BU42" s="58"/>
      <c r="BW42" s="51">
        <f>VLOOKUP(H42,Charges!$AT$4:$AU$33,2,FALSE)*I42</f>
        <v>0</v>
      </c>
      <c r="BX42" s="51">
        <f t="shared" si="30"/>
        <v>0</v>
      </c>
      <c r="BY42" s="51">
        <f t="shared" si="47"/>
        <v>0</v>
      </c>
      <c r="BZ42" s="151"/>
      <c r="CA42" s="151"/>
      <c r="CB42" s="32"/>
      <c r="CC42" s="16">
        <f ca="1">SUM($N$7:$N42)</f>
        <v>0</v>
      </c>
      <c r="CD42" s="16">
        <f t="shared" ca="1" si="31"/>
        <v>0</v>
      </c>
      <c r="CE42" s="16">
        <f t="shared" ca="1" si="32"/>
        <v>0</v>
      </c>
      <c r="CF42" s="7">
        <f t="shared" ca="1" si="48"/>
        <v>0</v>
      </c>
    </row>
    <row r="43" spans="1:84" s="7" customFormat="1" x14ac:dyDescent="0.2">
      <c r="A43" s="149"/>
      <c r="B43" s="14">
        <f t="shared" si="0"/>
        <v>1</v>
      </c>
      <c r="C43" s="12">
        <f t="shared" si="1"/>
        <v>1</v>
      </c>
      <c r="D43" s="17">
        <f t="shared" si="49"/>
        <v>37</v>
      </c>
      <c r="E43" s="17">
        <f t="shared" ca="1" si="2"/>
        <v>63</v>
      </c>
      <c r="F43" s="12">
        <f t="shared" si="53"/>
        <v>0</v>
      </c>
      <c r="G43" s="12">
        <f t="shared" si="52"/>
        <v>7</v>
      </c>
      <c r="H43" s="17">
        <f t="shared" si="54"/>
        <v>4</v>
      </c>
      <c r="I43" s="29">
        <f t="shared" si="3"/>
        <v>300000</v>
      </c>
      <c r="J43" s="211">
        <f>IFERROR(VLOOKUP(H43,Charges!$T$6:$U$35,2,0)*C43,0)</f>
        <v>0.96499999999999997</v>
      </c>
      <c r="K43" s="29">
        <f t="shared" si="4"/>
        <v>10500</v>
      </c>
      <c r="L43" s="29">
        <f t="shared" si="5"/>
        <v>289500</v>
      </c>
      <c r="M43" s="147">
        <f t="shared" ca="1" si="6"/>
        <v>0</v>
      </c>
      <c r="N43" s="148">
        <f ca="1">IF(AND(Option_SPW="Y",Z42&gt;=SPW_Start_Min_FV,H43&gt;=Lock_In_Period,Z42&gt;SPW_Amount_pa+IF(option="Single",1/5*pr,2*pr),H43&gt;=SPW_Start_Year,H43&lt;=SPW_Start_Year+SPW_Duration-1,F43=0,age+H43&gt;=Legal_Age),SPW_Amount_pa,0)+IFERROR(VLOOKUP(H43,Input!$B$68:$C$74,2,0),0)*(F43=0)*(Option_PW="Y")*(Option_SPW="N")*(age+H43&gt;=Legal_Age)</f>
        <v>0</v>
      </c>
      <c r="O43" s="148">
        <f t="shared" ca="1" si="33"/>
        <v>0</v>
      </c>
      <c r="P43" s="14">
        <f ca="1">(MAX(MAX(sa-CF42*Flag_UL_Type,105%*SUM($I$7:I43))-(AD42+L43-N43)*Flag_UL_Type,0)*B43)</f>
        <v>1753431.5658537599</v>
      </c>
      <c r="Q43" s="213">
        <f t="shared" ca="1" si="7"/>
        <v>0</v>
      </c>
      <c r="R43" s="14">
        <f t="shared" ca="1" si="8"/>
        <v>0</v>
      </c>
      <c r="S43" s="14">
        <f t="shared" ca="1" si="9"/>
        <v>0</v>
      </c>
      <c r="T43" s="14">
        <f>IFERROR(IF(WoP_Flag="Y",IF(fq=1,VLOOKUP(ppt*fq-H43,Charges!$AN$41:$AO$59,2,FALSE),IF(fq=2,VLOOKUP(ppt*fq-G43,Charges!$AP$41:$AQ$79,2,FALSE),VLOOKUP(ppt*fq-D43,Charges!$AR$41:$AS$279,2,FALSE)))*pr/fq,0),0)</f>
        <v>0</v>
      </c>
      <c r="U43" s="14">
        <f ca="1">IFERROR(((T43*(VLOOKUP(Input!$D$18+H43-1,Tab_Mort_Charge,IF(Gender_2="M",2,3),FALSE)*(1+_emr2)+_rpm2)/IF(Model_Type="LA_PQIS",1000/0.0833,(12*1000))))*Flag_Mort_Rider_Charge*(T43&gt;0),0)</f>
        <v>0</v>
      </c>
      <c r="V43" s="34">
        <f>ROUND(MIN(IF(H43&gt;=7,Charges!$C$12*(1+Charges!$C$14)^((H43-7+1)),VLOOKUP(H43,Charges!$B$7:$C$12,2,0))*pr,Charges!$C$13)*B43,Round)</f>
        <v>450</v>
      </c>
      <c r="W43" s="14">
        <f t="shared" ca="1" si="10"/>
        <v>1246118.4341462401</v>
      </c>
      <c r="X43" s="14">
        <f t="shared" ca="1" si="11"/>
        <v>1254135.9976721674</v>
      </c>
      <c r="Y43" s="213">
        <f t="shared" ca="1" si="34"/>
        <v>1411.6708251260743</v>
      </c>
      <c r="Z43" s="14">
        <f t="shared" ca="1" si="12"/>
        <v>1252724.3268470413</v>
      </c>
      <c r="AA43" s="14">
        <f>IF(AND($H43=pt,$F43=11),SUM($K$7:K43)*VLOOKUP(pt,ROC,2,FALSE),0)</f>
        <v>0</v>
      </c>
      <c r="AB43" s="14">
        <f>IF(AND($H43=pt,$F43=11),SUM($V$7:V43)*VLOOKUP(pt,ROC,2,FALSE),0)</f>
        <v>0</v>
      </c>
      <c r="AC43" s="14">
        <f>IF(AND($H43=pt,$F43=11),SUM($Q$7:Q43)*VLOOKUP(pt,ROC,2,FALSE),0)</f>
        <v>0</v>
      </c>
      <c r="AD43" s="14">
        <f t="shared" ca="1" si="35"/>
        <v>1252724.3268470413</v>
      </c>
      <c r="AE43" s="14">
        <f ca="1">(MAX(sa-CF42*Flag_UL_Type,105%*SUM($I$7:I43),Z43)+AU43)*B43</f>
        <v>3000000</v>
      </c>
      <c r="AF43" s="136"/>
      <c r="AG43" s="18">
        <v>37</v>
      </c>
      <c r="AH43" s="30">
        <f t="shared" ca="1" si="13"/>
        <v>300000</v>
      </c>
      <c r="AI43" s="138"/>
      <c r="AJ43" s="50">
        <f>IF(AND(Option_Sys_TopUp&gt;="Y",H43&gt;=sytp,H43&lt;=(dtp+sytp-1),F43=0,H43&lt;=ppt+1),atp,0)+IFERROR(VLOOKUP(H43,Input!$B$55:$C$61,2,0),0)*(F43=0)*(Option_TopUP="Y")*(Option_Sys_TopUp="N")*B43*(pt&gt;=H43+5)</f>
        <v>0</v>
      </c>
      <c r="AK43" s="50">
        <f t="shared" si="14"/>
        <v>0</v>
      </c>
      <c r="AL43" s="50">
        <f t="shared" si="36"/>
        <v>0</v>
      </c>
      <c r="AM43" s="50">
        <f t="shared" ca="1" si="15"/>
        <v>0</v>
      </c>
      <c r="AN43" s="50">
        <f ca="1">IF(B43=0,0,AT43*(_rpm1+(1+_emr1)*VLOOKUP(E43,Tab_Mort_Charge,IF(Input!$C$12="M",2,3),0))*(0.001*0.0833)*Flag_Mort_Rider_Charge*(AT43&gt;0))</f>
        <v>0</v>
      </c>
      <c r="AO43" s="50">
        <f t="shared" ca="1" si="37"/>
        <v>0</v>
      </c>
      <c r="AP43" s="50">
        <f t="shared" ca="1" si="38"/>
        <v>0</v>
      </c>
      <c r="AQ43" s="50">
        <f t="shared" ca="1" si="16"/>
        <v>0</v>
      </c>
      <c r="AR43" s="50">
        <f t="shared" ca="1" si="17"/>
        <v>0</v>
      </c>
      <c r="AS43" s="50">
        <f t="shared" si="18"/>
        <v>0</v>
      </c>
      <c r="AT43" s="50">
        <f ca="1">(MAX((MAX(AS43,105%*SUM($AJ$7:AJ43))-AM43*Flag_UL_Type),0)*B43)</f>
        <v>0</v>
      </c>
      <c r="AU43" s="50">
        <f ca="1">(MAX(AS43,AR43,105%*SUM($AJ$7:AJ43))*B43)</f>
        <v>0</v>
      </c>
      <c r="AV43" s="125"/>
      <c r="AW43" s="13"/>
      <c r="AX43" s="13"/>
      <c r="AY43" s="13"/>
      <c r="AZ43" s="13"/>
      <c r="BA43" s="13"/>
      <c r="BG43" s="51">
        <f t="shared" si="21"/>
        <v>0</v>
      </c>
      <c r="BH43" s="51">
        <f t="shared" ca="1" si="22"/>
        <v>0</v>
      </c>
      <c r="BI43" s="51">
        <f t="shared" ca="1" si="46"/>
        <v>0</v>
      </c>
      <c r="BJ43" s="51">
        <f t="shared" ca="1" si="23"/>
        <v>0</v>
      </c>
      <c r="BK43" s="51">
        <f t="shared" si="24"/>
        <v>0</v>
      </c>
      <c r="BL43" s="51">
        <f t="shared" ca="1" si="25"/>
        <v>0</v>
      </c>
      <c r="BM43" s="51">
        <f t="shared" si="26"/>
        <v>0</v>
      </c>
      <c r="BN43" s="51">
        <f t="shared" ca="1" si="27"/>
        <v>0</v>
      </c>
      <c r="BO43" s="51">
        <f t="shared" ca="1" si="28"/>
        <v>0</v>
      </c>
      <c r="BP43" s="51">
        <f t="shared" ca="1" si="29"/>
        <v>0</v>
      </c>
      <c r="BR43" s="32"/>
      <c r="BS43" s="126"/>
      <c r="BT43" s="16"/>
      <c r="BU43" s="58"/>
      <c r="BW43" s="51">
        <f>VLOOKUP(H43,Charges!$AT$4:$AU$33,2,FALSE)*I43</f>
        <v>3000</v>
      </c>
      <c r="BX43" s="51">
        <f t="shared" si="30"/>
        <v>0</v>
      </c>
      <c r="BY43" s="51">
        <f t="shared" si="47"/>
        <v>3000</v>
      </c>
      <c r="BZ43" s="151"/>
      <c r="CA43" s="151"/>
      <c r="CB43" s="32"/>
      <c r="CC43" s="16">
        <f ca="1">SUM($N$7:$N43)</f>
        <v>0</v>
      </c>
      <c r="CD43" s="16">
        <f t="shared" ca="1" si="31"/>
        <v>0</v>
      </c>
      <c r="CE43" s="16">
        <f t="shared" ca="1" si="32"/>
        <v>0</v>
      </c>
      <c r="CF43" s="7">
        <f t="shared" ca="1" si="48"/>
        <v>0</v>
      </c>
    </row>
    <row r="44" spans="1:84" s="7" customFormat="1" x14ac:dyDescent="0.2">
      <c r="A44" s="149"/>
      <c r="B44" s="14">
        <f t="shared" si="0"/>
        <v>1</v>
      </c>
      <c r="C44" s="12">
        <f t="shared" si="1"/>
        <v>1</v>
      </c>
      <c r="D44" s="17">
        <f t="shared" si="49"/>
        <v>38</v>
      </c>
      <c r="E44" s="17">
        <f t="shared" ca="1" si="2"/>
        <v>63</v>
      </c>
      <c r="F44" s="12">
        <f t="shared" si="53"/>
        <v>1</v>
      </c>
      <c r="G44" s="12">
        <f t="shared" si="52"/>
        <v>7</v>
      </c>
      <c r="H44" s="17">
        <f t="shared" si="54"/>
        <v>4</v>
      </c>
      <c r="I44" s="29">
        <f t="shared" si="3"/>
        <v>0</v>
      </c>
      <c r="J44" s="211">
        <f>IFERROR(VLOOKUP(H44,Charges!$T$6:$U$35,2,0)*C44,0)</f>
        <v>0.96499999999999997</v>
      </c>
      <c r="K44" s="29">
        <f t="shared" si="4"/>
        <v>0</v>
      </c>
      <c r="L44" s="29">
        <f t="shared" si="5"/>
        <v>0</v>
      </c>
      <c r="M44" s="147">
        <f t="shared" ca="1" si="6"/>
        <v>0</v>
      </c>
      <c r="N44" s="148">
        <f ca="1">IF(AND(Option_SPW="Y",Z43&gt;=SPW_Start_Min_FV,H44&gt;=Lock_In_Period,Z43&gt;SPW_Amount_pa+IF(option="Single",1/5*pr,2*pr),H44&gt;=SPW_Start_Year,H44&lt;=SPW_Start_Year+SPW_Duration-1,F44=0,age+H44&gt;=Legal_Age),SPW_Amount_pa,0)+IFERROR(VLOOKUP(H44,Input!$B$68:$C$74,2,0),0)*(F44=0)*(Option_PW="Y")*(Option_SPW="N")*(age+H44&gt;=Legal_Age)</f>
        <v>0</v>
      </c>
      <c r="O44" s="148">
        <f t="shared" ca="1" si="33"/>
        <v>0</v>
      </c>
      <c r="P44" s="14">
        <f ca="1">(MAX(MAX(sa-CF43*Flag_UL_Type,105%*SUM($I$7:I44))-(AD43+L44-N44)*Flag_UL_Type,0)*B44)</f>
        <v>1747275.6731529587</v>
      </c>
      <c r="Q44" s="213">
        <f t="shared" ca="1" si="7"/>
        <v>0</v>
      </c>
      <c r="R44" s="14">
        <f t="shared" ca="1" si="8"/>
        <v>0</v>
      </c>
      <c r="S44" s="14">
        <f t="shared" ca="1" si="9"/>
        <v>0</v>
      </c>
      <c r="T44" s="14">
        <f>IFERROR(IF(WoP_Flag="Y",IF(fq=1,VLOOKUP(ppt*fq-H44,Charges!$AN$41:$AO$59,2,FALSE),IF(fq=2,VLOOKUP(ppt*fq-G44,Charges!$AP$41:$AQ$79,2,FALSE),VLOOKUP(ppt*fq-D44,Charges!$AR$41:$AS$279,2,FALSE)))*pr/fq,0),0)</f>
        <v>0</v>
      </c>
      <c r="U44" s="14">
        <f ca="1">IFERROR(((T44*(VLOOKUP(Input!$D$18+H44-1,Tab_Mort_Charge,IF(Gender_2="M",2,3),FALSE)*(1+_emr2)+_rpm2)/IF(Model_Type="LA_PQIS",1000/0.0833,(12*1000))))*Flag_Mort_Rider_Charge*(T44&gt;0),0)</f>
        <v>0</v>
      </c>
      <c r="V44" s="34">
        <f>ROUND(MIN(IF(H44&gt;=7,Charges!$C$12*(1+Charges!$C$14)^((H44-7+1)),VLOOKUP(H44,Charges!$B$7:$C$12,2,0))*pr,Charges!$C$13)*B44,Round)</f>
        <v>450</v>
      </c>
      <c r="W44" s="14">
        <f t="shared" ca="1" si="10"/>
        <v>1252274.3268470413</v>
      </c>
      <c r="X44" s="14">
        <f t="shared" ca="1" si="11"/>
        <v>1260331.4975719594</v>
      </c>
      <c r="Y44" s="213">
        <f t="shared" ca="1" si="34"/>
        <v>1418.6445556240758</v>
      </c>
      <c r="Z44" s="14">
        <f t="shared" ca="1" si="12"/>
        <v>1258912.8530163353</v>
      </c>
      <c r="AA44" s="14">
        <f>IF(AND($H44=pt,$F44=11),SUM($K$7:K44)*VLOOKUP(pt,ROC,2,FALSE),0)</f>
        <v>0</v>
      </c>
      <c r="AB44" s="14">
        <f>IF(AND($H44=pt,$F44=11),SUM($V$7:V44)*VLOOKUP(pt,ROC,2,FALSE),0)</f>
        <v>0</v>
      </c>
      <c r="AC44" s="14">
        <f>IF(AND($H44=pt,$F44=11),SUM($Q$7:Q44)*VLOOKUP(pt,ROC,2,FALSE),0)</f>
        <v>0</v>
      </c>
      <c r="AD44" s="14">
        <f t="shared" ca="1" si="35"/>
        <v>1258912.8530163353</v>
      </c>
      <c r="AE44" s="14">
        <f ca="1">(MAX(sa-CF43*Flag_UL_Type,105%*SUM($I$7:I44),Z44)+AU44)*B44</f>
        <v>3000000</v>
      </c>
      <c r="AF44" s="136"/>
      <c r="AG44" s="18">
        <v>38</v>
      </c>
      <c r="AH44" s="30">
        <f t="shared" ca="1" si="13"/>
        <v>0</v>
      </c>
      <c r="AI44" s="138"/>
      <c r="AJ44" s="50">
        <f>IF(AND(Option_Sys_TopUp&gt;="Y",H44&gt;=sytp,H44&lt;=(dtp+sytp-1),F44=0,H44&lt;=ppt+1),atp,0)+IFERROR(VLOOKUP(H44,Input!$B$55:$C$61,2,0),0)*(F44=0)*(Option_TopUP="Y")*(Option_Sys_TopUp="N")*B44*(pt&gt;=H44+5)</f>
        <v>0</v>
      </c>
      <c r="AK44" s="50">
        <f t="shared" si="14"/>
        <v>0</v>
      </c>
      <c r="AL44" s="50">
        <f t="shared" si="36"/>
        <v>0</v>
      </c>
      <c r="AM44" s="50">
        <f t="shared" ca="1" si="15"/>
        <v>0</v>
      </c>
      <c r="AN44" s="50">
        <f ca="1">IF(B44=0,0,AT44*(_rpm1+(1+_emr1)*VLOOKUP(E44,Tab_Mort_Charge,IF(Input!$C$12="M",2,3),0))*(0.001*0.0833)*Flag_Mort_Rider_Charge*(AT44&gt;0))</f>
        <v>0</v>
      </c>
      <c r="AO44" s="50">
        <f t="shared" ca="1" si="37"/>
        <v>0</v>
      </c>
      <c r="AP44" s="50">
        <f t="shared" ca="1" si="38"/>
        <v>0</v>
      </c>
      <c r="AQ44" s="50">
        <f t="shared" ca="1" si="16"/>
        <v>0</v>
      </c>
      <c r="AR44" s="50">
        <f t="shared" ca="1" si="17"/>
        <v>0</v>
      </c>
      <c r="AS44" s="50">
        <f t="shared" si="18"/>
        <v>0</v>
      </c>
      <c r="AT44" s="50">
        <f ca="1">(MAX((MAX(AS44,105%*SUM($AJ$7:AJ44))-AM44*Flag_UL_Type),0)*B44)</f>
        <v>0</v>
      </c>
      <c r="AU44" s="50">
        <f ca="1">(MAX(AS44,AR44,105%*SUM($AJ$7:AJ44))*B44)</f>
        <v>0</v>
      </c>
      <c r="AV44" s="125"/>
      <c r="AW44" s="13"/>
      <c r="AX44" s="13"/>
      <c r="AY44" s="13"/>
      <c r="AZ44" s="13"/>
      <c r="BA44" s="13"/>
      <c r="BG44" s="51">
        <f t="shared" si="21"/>
        <v>0</v>
      </c>
      <c r="BH44" s="51">
        <f t="shared" ca="1" si="22"/>
        <v>0</v>
      </c>
      <c r="BI44" s="51">
        <f t="shared" ca="1" si="46"/>
        <v>0</v>
      </c>
      <c r="BJ44" s="51">
        <f t="shared" ca="1" si="23"/>
        <v>0</v>
      </c>
      <c r="BK44" s="51">
        <f t="shared" si="24"/>
        <v>0</v>
      </c>
      <c r="BL44" s="51">
        <f t="shared" ca="1" si="25"/>
        <v>0</v>
      </c>
      <c r="BM44" s="51">
        <f t="shared" si="26"/>
        <v>0</v>
      </c>
      <c r="BN44" s="51">
        <f t="shared" ca="1" si="27"/>
        <v>0</v>
      </c>
      <c r="BO44" s="51">
        <f t="shared" ca="1" si="28"/>
        <v>0</v>
      </c>
      <c r="BP44" s="51">
        <f t="shared" ca="1" si="29"/>
        <v>0</v>
      </c>
      <c r="BR44" s="32"/>
      <c r="BS44" s="126"/>
      <c r="BT44" s="16"/>
      <c r="BU44" s="58"/>
      <c r="BW44" s="51">
        <f>VLOOKUP(H44,Charges!$AT$4:$AU$33,2,FALSE)*I44</f>
        <v>0</v>
      </c>
      <c r="BX44" s="51">
        <f t="shared" si="30"/>
        <v>0</v>
      </c>
      <c r="BY44" s="51">
        <f t="shared" si="47"/>
        <v>0</v>
      </c>
      <c r="BZ44" s="151"/>
      <c r="CA44" s="151"/>
      <c r="CB44" s="32"/>
      <c r="CC44" s="16">
        <f ca="1">SUM($N$7:$N44)</f>
        <v>0</v>
      </c>
      <c r="CD44" s="16">
        <f t="shared" ca="1" si="31"/>
        <v>0</v>
      </c>
      <c r="CE44" s="16">
        <f t="shared" ca="1" si="32"/>
        <v>0</v>
      </c>
      <c r="CF44" s="7">
        <f t="shared" ca="1" si="48"/>
        <v>0</v>
      </c>
    </row>
    <row r="45" spans="1:84" s="7" customFormat="1" x14ac:dyDescent="0.2">
      <c r="A45" s="149"/>
      <c r="B45" s="14">
        <f t="shared" si="0"/>
        <v>1</v>
      </c>
      <c r="C45" s="12">
        <f t="shared" si="1"/>
        <v>1</v>
      </c>
      <c r="D45" s="17">
        <f t="shared" si="49"/>
        <v>39</v>
      </c>
      <c r="E45" s="17">
        <f t="shared" ca="1" si="2"/>
        <v>63</v>
      </c>
      <c r="F45" s="12">
        <f t="shared" si="53"/>
        <v>2</v>
      </c>
      <c r="G45" s="12">
        <f t="shared" si="52"/>
        <v>7</v>
      </c>
      <c r="H45" s="17">
        <f t="shared" si="54"/>
        <v>4</v>
      </c>
      <c r="I45" s="29">
        <f t="shared" si="3"/>
        <v>0</v>
      </c>
      <c r="J45" s="211">
        <f>IFERROR(VLOOKUP(H45,Charges!$T$6:$U$35,2,0)*C45,0)</f>
        <v>0.96499999999999997</v>
      </c>
      <c r="K45" s="29">
        <f t="shared" si="4"/>
        <v>0</v>
      </c>
      <c r="L45" s="29">
        <f t="shared" si="5"/>
        <v>0</v>
      </c>
      <c r="M45" s="147">
        <f t="shared" ca="1" si="6"/>
        <v>0</v>
      </c>
      <c r="N45" s="148">
        <f ca="1">IF(AND(Option_SPW="Y",Z44&gt;=SPW_Start_Min_FV,H45&gt;=Lock_In_Period,Z44&gt;SPW_Amount_pa+IF(option="Single",1/5*pr,2*pr),H45&gt;=SPW_Start_Year,H45&lt;=SPW_Start_Year+SPW_Duration-1,F45=0,age+H45&gt;=Legal_Age),SPW_Amount_pa,0)+IFERROR(VLOOKUP(H45,Input!$B$68:$C$74,2,0),0)*(F45=0)*(Option_PW="Y")*(Option_SPW="N")*(age+H45&gt;=Legal_Age)</f>
        <v>0</v>
      </c>
      <c r="O45" s="148">
        <f t="shared" ca="1" si="33"/>
        <v>0</v>
      </c>
      <c r="P45" s="14">
        <f ca="1">(MAX(MAX(sa-CF44*Flag_UL_Type,105%*SUM($I$7:I45))-(AD44+L45-N45)*Flag_UL_Type,0)*B45)</f>
        <v>1741087.1469836647</v>
      </c>
      <c r="Q45" s="213">
        <f t="shared" ca="1" si="7"/>
        <v>0</v>
      </c>
      <c r="R45" s="14">
        <f t="shared" ca="1" si="8"/>
        <v>0</v>
      </c>
      <c r="S45" s="14">
        <f t="shared" ca="1" si="9"/>
        <v>0</v>
      </c>
      <c r="T45" s="14">
        <f>IFERROR(IF(WoP_Flag="Y",IF(fq=1,VLOOKUP(ppt*fq-H45,Charges!$AN$41:$AO$59,2,FALSE),IF(fq=2,VLOOKUP(ppt*fq-G45,Charges!$AP$41:$AQ$79,2,FALSE),VLOOKUP(ppt*fq-D45,Charges!$AR$41:$AS$279,2,FALSE)))*pr/fq,0),0)</f>
        <v>0</v>
      </c>
      <c r="U45" s="14">
        <f ca="1">IFERROR(((T45*(VLOOKUP(Input!$D$18+H45-1,Tab_Mort_Charge,IF(Gender_2="M",2,3),FALSE)*(1+_emr2)+_rpm2)/IF(Model_Type="LA_PQIS",1000/0.0833,(12*1000))))*Flag_Mort_Rider_Charge*(T45&gt;0),0)</f>
        <v>0</v>
      </c>
      <c r="V45" s="34">
        <f>ROUND(MIN(IF(H45&gt;=7,Charges!$C$12*(1+Charges!$C$14)^((H45-7+1)),VLOOKUP(H45,Charges!$B$7:$C$12,2,0))*pr,Charges!$C$13)*B45,Round)</f>
        <v>450</v>
      </c>
      <c r="W45" s="14">
        <f t="shared" ca="1" si="10"/>
        <v>1258462.8530163353</v>
      </c>
      <c r="X45" s="14">
        <f t="shared" ca="1" si="11"/>
        <v>1266559.8409049632</v>
      </c>
      <c r="Y45" s="213">
        <f t="shared" ca="1" si="34"/>
        <v>1425.6552550923866</v>
      </c>
      <c r="Z45" s="14">
        <f t="shared" ca="1" si="12"/>
        <v>1265134.1856498709</v>
      </c>
      <c r="AA45" s="14">
        <f>IF(AND($H45=pt,$F45=11),SUM($K$7:K45)*VLOOKUP(pt,ROC,2,FALSE),0)</f>
        <v>0</v>
      </c>
      <c r="AB45" s="14">
        <f>IF(AND($H45=pt,$F45=11),SUM($V$7:V45)*VLOOKUP(pt,ROC,2,FALSE),0)</f>
        <v>0</v>
      </c>
      <c r="AC45" s="14">
        <f>IF(AND($H45=pt,$F45=11),SUM($Q$7:Q45)*VLOOKUP(pt,ROC,2,FALSE),0)</f>
        <v>0</v>
      </c>
      <c r="AD45" s="14">
        <f t="shared" ca="1" si="35"/>
        <v>1265134.1856498709</v>
      </c>
      <c r="AE45" s="14">
        <f ca="1">(MAX(sa-CF44*Flag_UL_Type,105%*SUM($I$7:I45),Z45)+AU45)*B45</f>
        <v>3000000</v>
      </c>
      <c r="AF45" s="136"/>
      <c r="AG45" s="18">
        <v>39</v>
      </c>
      <c r="AH45" s="30">
        <f t="shared" ca="1" si="13"/>
        <v>0</v>
      </c>
      <c r="AI45" s="138"/>
      <c r="AJ45" s="50">
        <f>IF(AND(Option_Sys_TopUp&gt;="Y",H45&gt;=sytp,H45&lt;=(dtp+sytp-1),F45=0,H45&lt;=ppt+1),atp,0)+IFERROR(VLOOKUP(H45,Input!$B$55:$C$61,2,0),0)*(F45=0)*(Option_TopUP="Y")*(Option_Sys_TopUp="N")*B45*(pt&gt;=H45+5)</f>
        <v>0</v>
      </c>
      <c r="AK45" s="50">
        <f t="shared" si="14"/>
        <v>0</v>
      </c>
      <c r="AL45" s="50">
        <f t="shared" si="36"/>
        <v>0</v>
      </c>
      <c r="AM45" s="50">
        <f t="shared" ca="1" si="15"/>
        <v>0</v>
      </c>
      <c r="AN45" s="50">
        <f ca="1">IF(B45=0,0,AT45*(_rpm1+(1+_emr1)*VLOOKUP(E45,Tab_Mort_Charge,IF(Input!$C$12="M",2,3),0))*(0.001*0.0833)*Flag_Mort_Rider_Charge*(AT45&gt;0))</f>
        <v>0</v>
      </c>
      <c r="AO45" s="50">
        <f t="shared" ca="1" si="37"/>
        <v>0</v>
      </c>
      <c r="AP45" s="50">
        <f t="shared" ca="1" si="38"/>
        <v>0</v>
      </c>
      <c r="AQ45" s="50">
        <f t="shared" ca="1" si="16"/>
        <v>0</v>
      </c>
      <c r="AR45" s="50">
        <f t="shared" ca="1" si="17"/>
        <v>0</v>
      </c>
      <c r="AS45" s="50">
        <f t="shared" si="18"/>
        <v>0</v>
      </c>
      <c r="AT45" s="50">
        <f ca="1">(MAX((MAX(AS45,105%*SUM($AJ$7:AJ45))-AM45*Flag_UL_Type),0)*B45)</f>
        <v>0</v>
      </c>
      <c r="AU45" s="50">
        <f ca="1">(MAX(AS45,AR45,105%*SUM($AJ$7:AJ45))*B45)</f>
        <v>0</v>
      </c>
      <c r="AV45" s="125"/>
      <c r="AW45" s="13"/>
      <c r="AX45" s="13"/>
      <c r="AY45" s="13"/>
      <c r="AZ45" s="13"/>
      <c r="BA45" s="13"/>
      <c r="BG45" s="51">
        <f t="shared" si="21"/>
        <v>0</v>
      </c>
      <c r="BH45" s="51">
        <f t="shared" ca="1" si="22"/>
        <v>0</v>
      </c>
      <c r="BI45" s="51">
        <f t="shared" ca="1" si="46"/>
        <v>0</v>
      </c>
      <c r="BJ45" s="51">
        <f t="shared" ca="1" si="23"/>
        <v>0</v>
      </c>
      <c r="BK45" s="51">
        <f t="shared" si="24"/>
        <v>0</v>
      </c>
      <c r="BL45" s="51">
        <f t="shared" ca="1" si="25"/>
        <v>0</v>
      </c>
      <c r="BM45" s="51">
        <f t="shared" si="26"/>
        <v>0</v>
      </c>
      <c r="BN45" s="51">
        <f t="shared" ca="1" si="27"/>
        <v>0</v>
      </c>
      <c r="BO45" s="51">
        <f t="shared" ca="1" si="28"/>
        <v>0</v>
      </c>
      <c r="BP45" s="51">
        <f t="shared" ca="1" si="29"/>
        <v>0</v>
      </c>
      <c r="BR45" s="32"/>
      <c r="BS45" s="126"/>
      <c r="BT45" s="16"/>
      <c r="BU45" s="58"/>
      <c r="BW45" s="51">
        <f>VLOOKUP(H45,Charges!$AT$4:$AU$33,2,FALSE)*I45</f>
        <v>0</v>
      </c>
      <c r="BX45" s="51">
        <f t="shared" si="30"/>
        <v>0</v>
      </c>
      <c r="BY45" s="51">
        <f t="shared" si="47"/>
        <v>0</v>
      </c>
      <c r="BZ45" s="151"/>
      <c r="CA45" s="151"/>
      <c r="CB45" s="32"/>
      <c r="CC45" s="16">
        <f ca="1">SUM($N$7:$N45)</f>
        <v>0</v>
      </c>
      <c r="CD45" s="16">
        <f t="shared" ca="1" si="31"/>
        <v>0</v>
      </c>
      <c r="CE45" s="16">
        <f t="shared" ca="1" si="32"/>
        <v>0</v>
      </c>
      <c r="CF45" s="7">
        <f t="shared" ca="1" si="48"/>
        <v>0</v>
      </c>
    </row>
    <row r="46" spans="1:84" s="7" customFormat="1" x14ac:dyDescent="0.2">
      <c r="A46" s="149"/>
      <c r="B46" s="14">
        <f t="shared" si="0"/>
        <v>1</v>
      </c>
      <c r="C46" s="12">
        <f t="shared" si="1"/>
        <v>1</v>
      </c>
      <c r="D46" s="17">
        <f t="shared" si="49"/>
        <v>40</v>
      </c>
      <c r="E46" s="17">
        <f t="shared" ca="1" si="2"/>
        <v>63</v>
      </c>
      <c r="F46" s="12">
        <f t="shared" si="53"/>
        <v>3</v>
      </c>
      <c r="G46" s="12">
        <f t="shared" si="52"/>
        <v>7</v>
      </c>
      <c r="H46" s="17">
        <f t="shared" si="54"/>
        <v>4</v>
      </c>
      <c r="I46" s="29">
        <f t="shared" si="3"/>
        <v>0</v>
      </c>
      <c r="J46" s="211">
        <f>IFERROR(VLOOKUP(H46,Charges!$T$6:$U$35,2,0)*C46,0)</f>
        <v>0.96499999999999997</v>
      </c>
      <c r="K46" s="29">
        <f t="shared" si="4"/>
        <v>0</v>
      </c>
      <c r="L46" s="29">
        <f t="shared" si="5"/>
        <v>0</v>
      </c>
      <c r="M46" s="147">
        <f t="shared" ca="1" si="6"/>
        <v>0</v>
      </c>
      <c r="N46" s="148">
        <f ca="1">IF(AND(Option_SPW="Y",Z45&gt;=SPW_Start_Min_FV,H46&gt;=Lock_In_Period,Z45&gt;SPW_Amount_pa+IF(option="Single",1/5*pr,2*pr),H46&gt;=SPW_Start_Year,H46&lt;=SPW_Start_Year+SPW_Duration-1,F46=0,age+H46&gt;=Legal_Age),SPW_Amount_pa,0)+IFERROR(VLOOKUP(H46,Input!$B$68:$C$74,2,0),0)*(F46=0)*(Option_PW="Y")*(Option_SPW="N")*(age+H46&gt;=Legal_Age)</f>
        <v>0</v>
      </c>
      <c r="O46" s="148">
        <f t="shared" ca="1" si="33"/>
        <v>0</v>
      </c>
      <c r="P46" s="14">
        <f ca="1">(MAX(MAX(sa-CF45*Flag_UL_Type,105%*SUM($I$7:I46))-(AD45+L46-N46)*Flag_UL_Type,0)*B46)</f>
        <v>1734865.8143501291</v>
      </c>
      <c r="Q46" s="213">
        <f t="shared" ca="1" si="7"/>
        <v>0</v>
      </c>
      <c r="R46" s="14">
        <f t="shared" ca="1" si="8"/>
        <v>0</v>
      </c>
      <c r="S46" s="14">
        <f t="shared" ca="1" si="9"/>
        <v>0</v>
      </c>
      <c r="T46" s="14">
        <f>IFERROR(IF(WoP_Flag="Y",IF(fq=1,VLOOKUP(ppt*fq-H46,Charges!$AN$41:$AO$59,2,FALSE),IF(fq=2,VLOOKUP(ppt*fq-G46,Charges!$AP$41:$AQ$79,2,FALSE),VLOOKUP(ppt*fq-D46,Charges!$AR$41:$AS$279,2,FALSE)))*pr/fq,0),0)</f>
        <v>0</v>
      </c>
      <c r="U46" s="14">
        <f ca="1">IFERROR(((T46*(VLOOKUP(Input!$D$18+H46-1,Tab_Mort_Charge,IF(Gender_2="M",2,3),FALSE)*(1+_emr2)+_rpm2)/IF(Model_Type="LA_PQIS",1000/0.0833,(12*1000))))*Flag_Mort_Rider_Charge*(T46&gt;0),0)</f>
        <v>0</v>
      </c>
      <c r="V46" s="34">
        <f>ROUND(MIN(IF(H46&gt;=7,Charges!$C$12*(1+Charges!$C$14)^((H46-7+1)),VLOOKUP(H46,Charges!$B$7:$C$12,2,0))*pr,Charges!$C$13)*B46,Round)</f>
        <v>450</v>
      </c>
      <c r="W46" s="14">
        <f t="shared" ca="1" si="10"/>
        <v>1264684.1856498709</v>
      </c>
      <c r="X46" s="14">
        <f t="shared" ca="1" si="11"/>
        <v>1272821.2017799874</v>
      </c>
      <c r="Y46" s="213">
        <f t="shared" ca="1" si="34"/>
        <v>1432.7031195100128</v>
      </c>
      <c r="Z46" s="14">
        <f t="shared" ca="1" si="12"/>
        <v>1271388.4986604773</v>
      </c>
      <c r="AA46" s="14">
        <f>IF(AND($H46=pt,$F46=11),SUM($K$7:K46)*VLOOKUP(pt,ROC,2,FALSE),0)</f>
        <v>0</v>
      </c>
      <c r="AB46" s="14">
        <f>IF(AND($H46=pt,$F46=11),SUM($V$7:V46)*VLOOKUP(pt,ROC,2,FALSE),0)</f>
        <v>0</v>
      </c>
      <c r="AC46" s="14">
        <f>IF(AND($H46=pt,$F46=11),SUM($Q$7:Q46)*VLOOKUP(pt,ROC,2,FALSE),0)</f>
        <v>0</v>
      </c>
      <c r="AD46" s="14">
        <f t="shared" ca="1" si="35"/>
        <v>1271388.4986604773</v>
      </c>
      <c r="AE46" s="14">
        <f ca="1">(MAX(sa-CF45*Flag_UL_Type,105%*SUM($I$7:I46),Z46)+AU46)*B46</f>
        <v>3000000</v>
      </c>
      <c r="AF46" s="136"/>
      <c r="AG46" s="18">
        <v>40</v>
      </c>
      <c r="AH46" s="30">
        <f t="shared" ca="1" si="13"/>
        <v>0</v>
      </c>
      <c r="AI46" s="138"/>
      <c r="AJ46" s="50">
        <f>IF(AND(Option_Sys_TopUp&gt;="Y",H46&gt;=sytp,H46&lt;=(dtp+sytp-1),F46=0,H46&lt;=ppt+1),atp,0)+IFERROR(VLOOKUP(H46,Input!$B$55:$C$61,2,0),0)*(F46=0)*(Option_TopUP="Y")*(Option_Sys_TopUp="N")*B46*(pt&gt;=H46+5)</f>
        <v>0</v>
      </c>
      <c r="AK46" s="50">
        <f t="shared" si="14"/>
        <v>0</v>
      </c>
      <c r="AL46" s="50">
        <f t="shared" si="36"/>
        <v>0</v>
      </c>
      <c r="AM46" s="50">
        <f t="shared" ca="1" si="15"/>
        <v>0</v>
      </c>
      <c r="AN46" s="50">
        <f ca="1">IF(B46=0,0,AT46*(_rpm1+(1+_emr1)*VLOOKUP(E46,Tab_Mort_Charge,IF(Input!$C$12="M",2,3),0))*(0.001*0.0833)*Flag_Mort_Rider_Charge*(AT46&gt;0))</f>
        <v>0</v>
      </c>
      <c r="AO46" s="50">
        <f t="shared" ca="1" si="37"/>
        <v>0</v>
      </c>
      <c r="AP46" s="50">
        <f t="shared" ca="1" si="38"/>
        <v>0</v>
      </c>
      <c r="AQ46" s="50">
        <f t="shared" ca="1" si="16"/>
        <v>0</v>
      </c>
      <c r="AR46" s="50">
        <f t="shared" ca="1" si="17"/>
        <v>0</v>
      </c>
      <c r="AS46" s="50">
        <f t="shared" si="18"/>
        <v>0</v>
      </c>
      <c r="AT46" s="50">
        <f ca="1">(MAX((MAX(AS46,105%*SUM($AJ$7:AJ46))-AM46*Flag_UL_Type),0)*B46)</f>
        <v>0</v>
      </c>
      <c r="AU46" s="50">
        <f ca="1">(MAX(AS46,AR46,105%*SUM($AJ$7:AJ46))*B46)</f>
        <v>0</v>
      </c>
      <c r="AV46" s="125"/>
      <c r="AW46" s="13"/>
      <c r="AX46" s="13"/>
      <c r="AY46" s="13"/>
      <c r="AZ46" s="13"/>
      <c r="BA46" s="13"/>
      <c r="BG46" s="51">
        <f t="shared" si="21"/>
        <v>0</v>
      </c>
      <c r="BH46" s="51">
        <f t="shared" ca="1" si="22"/>
        <v>0</v>
      </c>
      <c r="BI46" s="51">
        <f t="shared" ca="1" si="46"/>
        <v>0</v>
      </c>
      <c r="BJ46" s="51">
        <f t="shared" ca="1" si="23"/>
        <v>0</v>
      </c>
      <c r="BK46" s="51">
        <f t="shared" si="24"/>
        <v>0</v>
      </c>
      <c r="BL46" s="51">
        <f t="shared" ca="1" si="25"/>
        <v>0</v>
      </c>
      <c r="BM46" s="51">
        <f t="shared" si="26"/>
        <v>0</v>
      </c>
      <c r="BN46" s="51">
        <f t="shared" ca="1" si="27"/>
        <v>0</v>
      </c>
      <c r="BO46" s="51">
        <f t="shared" ca="1" si="28"/>
        <v>0</v>
      </c>
      <c r="BP46" s="51">
        <f t="shared" ca="1" si="29"/>
        <v>0</v>
      </c>
      <c r="BR46" s="32"/>
      <c r="BS46" s="126"/>
      <c r="BT46" s="16"/>
      <c r="BU46" s="58"/>
      <c r="BW46" s="51">
        <f>VLOOKUP(H46,Charges!$AT$4:$AU$33,2,FALSE)*I46</f>
        <v>0</v>
      </c>
      <c r="BX46" s="51">
        <f t="shared" si="30"/>
        <v>0</v>
      </c>
      <c r="BY46" s="51">
        <f t="shared" si="47"/>
        <v>0</v>
      </c>
      <c r="BZ46" s="151"/>
      <c r="CA46" s="151"/>
      <c r="CB46" s="32"/>
      <c r="CC46" s="16">
        <f ca="1">SUM($N$7:$N46)</f>
        <v>0</v>
      </c>
      <c r="CD46" s="16">
        <f t="shared" ca="1" si="31"/>
        <v>0</v>
      </c>
      <c r="CE46" s="16">
        <f t="shared" ca="1" si="32"/>
        <v>0</v>
      </c>
      <c r="CF46" s="7">
        <f t="shared" ca="1" si="48"/>
        <v>0</v>
      </c>
    </row>
    <row r="47" spans="1:84" s="7" customFormat="1" x14ac:dyDescent="0.2">
      <c r="A47" s="149"/>
      <c r="B47" s="14">
        <f t="shared" si="0"/>
        <v>1</v>
      </c>
      <c r="C47" s="12">
        <f t="shared" si="1"/>
        <v>1</v>
      </c>
      <c r="D47" s="17">
        <f t="shared" si="49"/>
        <v>41</v>
      </c>
      <c r="E47" s="17">
        <f t="shared" ca="1" si="2"/>
        <v>63</v>
      </c>
      <c r="F47" s="12">
        <f t="shared" si="53"/>
        <v>4</v>
      </c>
      <c r="G47" s="12">
        <f t="shared" si="52"/>
        <v>7</v>
      </c>
      <c r="H47" s="17">
        <f t="shared" si="54"/>
        <v>4</v>
      </c>
      <c r="I47" s="29">
        <f t="shared" si="3"/>
        <v>0</v>
      </c>
      <c r="J47" s="211">
        <f>IFERROR(VLOOKUP(H47,Charges!$T$6:$U$35,2,0)*C47,0)</f>
        <v>0.96499999999999997</v>
      </c>
      <c r="K47" s="29">
        <f t="shared" si="4"/>
        <v>0</v>
      </c>
      <c r="L47" s="29">
        <f t="shared" si="5"/>
        <v>0</v>
      </c>
      <c r="M47" s="147">
        <f t="shared" ca="1" si="6"/>
        <v>0</v>
      </c>
      <c r="N47" s="148">
        <f ca="1">IF(AND(Option_SPW="Y",Z46&gt;=SPW_Start_Min_FV,H47&gt;=Lock_In_Period,Z46&gt;SPW_Amount_pa+IF(option="Single",1/5*pr,2*pr),H47&gt;=SPW_Start_Year,H47&lt;=SPW_Start_Year+SPW_Duration-1,F47=0,age+H47&gt;=Legal_Age),SPW_Amount_pa,0)+IFERROR(VLOOKUP(H47,Input!$B$68:$C$74,2,0),0)*(F47=0)*(Option_PW="Y")*(Option_SPW="N")*(age+H47&gt;=Legal_Age)</f>
        <v>0</v>
      </c>
      <c r="O47" s="148">
        <f t="shared" ca="1" si="33"/>
        <v>0</v>
      </c>
      <c r="P47" s="14">
        <f ca="1">(MAX(MAX(sa-CF46*Flag_UL_Type,105%*SUM($I$7:I47))-(AD46+L47-N47)*Flag_UL_Type,0)*B47)</f>
        <v>1728611.5013395227</v>
      </c>
      <c r="Q47" s="213">
        <f t="shared" ca="1" si="7"/>
        <v>0</v>
      </c>
      <c r="R47" s="14">
        <f t="shared" ca="1" si="8"/>
        <v>0</v>
      </c>
      <c r="S47" s="14">
        <f t="shared" ca="1" si="9"/>
        <v>0</v>
      </c>
      <c r="T47" s="14">
        <f>IFERROR(IF(WoP_Flag="Y",IF(fq=1,VLOOKUP(ppt*fq-H47,Charges!$AN$41:$AO$59,2,FALSE),IF(fq=2,VLOOKUP(ppt*fq-G47,Charges!$AP$41:$AQ$79,2,FALSE),VLOOKUP(ppt*fq-D47,Charges!$AR$41:$AS$279,2,FALSE)))*pr/fq,0),0)</f>
        <v>0</v>
      </c>
      <c r="U47" s="14">
        <f ca="1">IFERROR(((T47*(VLOOKUP(Input!$D$18+H47-1,Tab_Mort_Charge,IF(Gender_2="M",2,3),FALSE)*(1+_emr2)+_rpm2)/IF(Model_Type="LA_PQIS",1000/0.0833,(12*1000))))*Flag_Mort_Rider_Charge*(T47&gt;0),0)</f>
        <v>0</v>
      </c>
      <c r="V47" s="34">
        <f>ROUND(MIN(IF(H47&gt;=7,Charges!$C$12*(1+Charges!$C$14)^((H47-7+1)),VLOOKUP(H47,Charges!$B$7:$C$12,2,0))*pr,Charges!$C$13)*B47,Round)</f>
        <v>450</v>
      </c>
      <c r="W47" s="14">
        <f t="shared" ca="1" si="10"/>
        <v>1270938.4986604773</v>
      </c>
      <c r="X47" s="14">
        <f t="shared" ca="1" si="11"/>
        <v>1279115.7552288214</v>
      </c>
      <c r="Y47" s="213">
        <f t="shared" ca="1" si="34"/>
        <v>1439.7883458948775</v>
      </c>
      <c r="Z47" s="14">
        <f t="shared" ca="1" si="12"/>
        <v>1277675.9668829266</v>
      </c>
      <c r="AA47" s="14">
        <f>IF(AND($H47=pt,$F47=11),SUM($K$7:K47)*VLOOKUP(pt,ROC,2,FALSE),0)</f>
        <v>0</v>
      </c>
      <c r="AB47" s="14">
        <f>IF(AND($H47=pt,$F47=11),SUM($V$7:V47)*VLOOKUP(pt,ROC,2,FALSE),0)</f>
        <v>0</v>
      </c>
      <c r="AC47" s="14">
        <f>IF(AND($H47=pt,$F47=11),SUM($Q$7:Q47)*VLOOKUP(pt,ROC,2,FALSE),0)</f>
        <v>0</v>
      </c>
      <c r="AD47" s="14">
        <f t="shared" ca="1" si="35"/>
        <v>1277675.9668829266</v>
      </c>
      <c r="AE47" s="14">
        <f ca="1">(MAX(sa-CF46*Flag_UL_Type,105%*SUM($I$7:I47),Z47)+AU47)*B47</f>
        <v>3000000</v>
      </c>
      <c r="AF47" s="136"/>
      <c r="AG47" s="18">
        <v>41</v>
      </c>
      <c r="AH47" s="30">
        <f t="shared" ca="1" si="13"/>
        <v>0</v>
      </c>
      <c r="AI47" s="138"/>
      <c r="AJ47" s="50">
        <f>IF(AND(Option_Sys_TopUp&gt;="Y",H47&gt;=sytp,H47&lt;=(dtp+sytp-1),F47=0,H47&lt;=ppt+1),atp,0)+IFERROR(VLOOKUP(H47,Input!$B$55:$C$61,2,0),0)*(F47=0)*(Option_TopUP="Y")*(Option_Sys_TopUp="N")*B47*(pt&gt;=H47+5)</f>
        <v>0</v>
      </c>
      <c r="AK47" s="50">
        <f t="shared" si="14"/>
        <v>0</v>
      </c>
      <c r="AL47" s="50">
        <f t="shared" si="36"/>
        <v>0</v>
      </c>
      <c r="AM47" s="50">
        <f t="shared" ca="1" si="15"/>
        <v>0</v>
      </c>
      <c r="AN47" s="50">
        <f ca="1">IF(B47=0,0,AT47*(_rpm1+(1+_emr1)*VLOOKUP(E47,Tab_Mort_Charge,IF(Input!$C$12="M",2,3),0))*(0.001*0.0833)*Flag_Mort_Rider_Charge*(AT47&gt;0))</f>
        <v>0</v>
      </c>
      <c r="AO47" s="50">
        <f t="shared" ca="1" si="37"/>
        <v>0</v>
      </c>
      <c r="AP47" s="50">
        <f t="shared" ca="1" si="38"/>
        <v>0</v>
      </c>
      <c r="AQ47" s="50">
        <f t="shared" ca="1" si="16"/>
        <v>0</v>
      </c>
      <c r="AR47" s="50">
        <f t="shared" ca="1" si="17"/>
        <v>0</v>
      </c>
      <c r="AS47" s="50">
        <f t="shared" si="18"/>
        <v>0</v>
      </c>
      <c r="AT47" s="50">
        <f ca="1">(MAX((MAX(AS47,105%*SUM($AJ$7:AJ47))-AM47*Flag_UL_Type),0)*B47)</f>
        <v>0</v>
      </c>
      <c r="AU47" s="50">
        <f ca="1">(MAX(AS47,AR47,105%*SUM($AJ$7:AJ47))*B47)</f>
        <v>0</v>
      </c>
      <c r="AV47" s="125"/>
      <c r="AW47" s="13"/>
      <c r="AX47" s="13"/>
      <c r="AY47" s="13"/>
      <c r="AZ47" s="13"/>
      <c r="BA47" s="13"/>
      <c r="BG47" s="51">
        <f t="shared" si="21"/>
        <v>0</v>
      </c>
      <c r="BH47" s="51">
        <f t="shared" ca="1" si="22"/>
        <v>0</v>
      </c>
      <c r="BI47" s="51">
        <f t="shared" ca="1" si="46"/>
        <v>0</v>
      </c>
      <c r="BJ47" s="51">
        <f t="shared" ca="1" si="23"/>
        <v>0</v>
      </c>
      <c r="BK47" s="51">
        <f t="shared" si="24"/>
        <v>0</v>
      </c>
      <c r="BL47" s="51">
        <f t="shared" ca="1" si="25"/>
        <v>0</v>
      </c>
      <c r="BM47" s="51">
        <f t="shared" si="26"/>
        <v>0</v>
      </c>
      <c r="BN47" s="51">
        <f t="shared" ca="1" si="27"/>
        <v>0</v>
      </c>
      <c r="BO47" s="51">
        <f t="shared" ca="1" si="28"/>
        <v>0</v>
      </c>
      <c r="BP47" s="51">
        <f t="shared" ca="1" si="29"/>
        <v>0</v>
      </c>
      <c r="BR47" s="32"/>
      <c r="BS47" s="126"/>
      <c r="BT47" s="16"/>
      <c r="BU47" s="58"/>
      <c r="BW47" s="51">
        <f>VLOOKUP(H47,Charges!$AT$4:$AU$33,2,FALSE)*I47</f>
        <v>0</v>
      </c>
      <c r="BX47" s="51">
        <f t="shared" si="30"/>
        <v>0</v>
      </c>
      <c r="BY47" s="51">
        <f t="shared" si="47"/>
        <v>0</v>
      </c>
      <c r="BZ47" s="151"/>
      <c r="CA47" s="151"/>
      <c r="CB47" s="32"/>
      <c r="CC47" s="16">
        <f ca="1">SUM($N$7:$N47)</f>
        <v>0</v>
      </c>
      <c r="CD47" s="16">
        <f t="shared" ca="1" si="31"/>
        <v>0</v>
      </c>
      <c r="CE47" s="16">
        <f t="shared" ca="1" si="32"/>
        <v>0</v>
      </c>
      <c r="CF47" s="7">
        <f t="shared" ca="1" si="48"/>
        <v>0</v>
      </c>
    </row>
    <row r="48" spans="1:84" s="7" customFormat="1" x14ac:dyDescent="0.2">
      <c r="A48" s="149"/>
      <c r="B48" s="14">
        <f t="shared" si="0"/>
        <v>1</v>
      </c>
      <c r="C48" s="12">
        <f t="shared" si="1"/>
        <v>1</v>
      </c>
      <c r="D48" s="17">
        <f t="shared" si="49"/>
        <v>42</v>
      </c>
      <c r="E48" s="17">
        <f t="shared" ca="1" si="2"/>
        <v>63</v>
      </c>
      <c r="F48" s="12">
        <f t="shared" si="53"/>
        <v>5</v>
      </c>
      <c r="G48" s="12">
        <f t="shared" si="52"/>
        <v>7</v>
      </c>
      <c r="H48" s="17">
        <f t="shared" si="54"/>
        <v>4</v>
      </c>
      <c r="I48" s="29">
        <f t="shared" si="3"/>
        <v>0</v>
      </c>
      <c r="J48" s="211">
        <f>IFERROR(VLOOKUP(H48,Charges!$T$6:$U$35,2,0)*C48,0)</f>
        <v>0.96499999999999997</v>
      </c>
      <c r="K48" s="29">
        <f t="shared" si="4"/>
        <v>0</v>
      </c>
      <c r="L48" s="29">
        <f t="shared" si="5"/>
        <v>0</v>
      </c>
      <c r="M48" s="147">
        <f t="shared" ca="1" si="6"/>
        <v>0</v>
      </c>
      <c r="N48" s="148">
        <f ca="1">IF(AND(Option_SPW="Y",Z47&gt;=SPW_Start_Min_FV,H48&gt;=Lock_In_Period,Z47&gt;SPW_Amount_pa+IF(option="Single",1/5*pr,2*pr),H48&gt;=SPW_Start_Year,H48&lt;=SPW_Start_Year+SPW_Duration-1,F48=0,age+H48&gt;=Legal_Age),SPW_Amount_pa,0)+IFERROR(VLOOKUP(H48,Input!$B$68:$C$74,2,0),0)*(F48=0)*(Option_PW="Y")*(Option_SPW="N")*(age+H48&gt;=Legal_Age)</f>
        <v>0</v>
      </c>
      <c r="O48" s="148">
        <f t="shared" ca="1" si="33"/>
        <v>0</v>
      </c>
      <c r="P48" s="14">
        <f ca="1">(MAX(MAX(sa-CF47*Flag_UL_Type,105%*SUM($I$7:I48))-(AD47+L48-N48)*Flag_UL_Type,0)*B48)</f>
        <v>1722324.0331170734</v>
      </c>
      <c r="Q48" s="213">
        <f t="shared" ca="1" si="7"/>
        <v>0</v>
      </c>
      <c r="R48" s="14">
        <f t="shared" ca="1" si="8"/>
        <v>0</v>
      </c>
      <c r="S48" s="14">
        <f t="shared" ca="1" si="9"/>
        <v>0</v>
      </c>
      <c r="T48" s="14">
        <f>IFERROR(IF(WoP_Flag="Y",IF(fq=1,VLOOKUP(ppt*fq-H48,Charges!$AN$41:$AO$59,2,FALSE),IF(fq=2,VLOOKUP(ppt*fq-G48,Charges!$AP$41:$AQ$79,2,FALSE),VLOOKUP(ppt*fq-D48,Charges!$AR$41:$AS$279,2,FALSE)))*pr/fq,0),0)</f>
        <v>0</v>
      </c>
      <c r="U48" s="14">
        <f ca="1">IFERROR(((T48*(VLOOKUP(Input!$D$18+H48-1,Tab_Mort_Charge,IF(Gender_2="M",2,3),FALSE)*(1+_emr2)+_rpm2)/IF(Model_Type="LA_PQIS",1000/0.0833,(12*1000))))*Flag_Mort_Rider_Charge*(T48&gt;0),0)</f>
        <v>0</v>
      </c>
      <c r="V48" s="34">
        <f>ROUND(MIN(IF(H48&gt;=7,Charges!$C$12*(1+Charges!$C$14)^((H48-7+1)),VLOOKUP(H48,Charges!$B$7:$C$12,2,0))*pr,Charges!$C$13)*B48,Round)</f>
        <v>450</v>
      </c>
      <c r="W48" s="14">
        <f t="shared" ca="1" si="10"/>
        <v>1277225.9668829266</v>
      </c>
      <c r="X48" s="14">
        <f t="shared" ca="1" si="11"/>
        <v>1285443.6772111296</v>
      </c>
      <c r="Y48" s="213">
        <f t="shared" ca="1" si="34"/>
        <v>1446.9111323093327</v>
      </c>
      <c r="Z48" s="14">
        <f t="shared" ca="1" si="12"/>
        <v>1283996.7660788202</v>
      </c>
      <c r="AA48" s="14">
        <f>IF(AND($H48=pt,$F48=11),SUM($K$7:K48)*VLOOKUP(pt,ROC,2,FALSE),0)</f>
        <v>0</v>
      </c>
      <c r="AB48" s="14">
        <f>IF(AND($H48=pt,$F48=11),SUM($V$7:V48)*VLOOKUP(pt,ROC,2,FALSE),0)</f>
        <v>0</v>
      </c>
      <c r="AC48" s="14">
        <f>IF(AND($H48=pt,$F48=11),SUM($Q$7:Q48)*VLOOKUP(pt,ROC,2,FALSE),0)</f>
        <v>0</v>
      </c>
      <c r="AD48" s="14">
        <f t="shared" ca="1" si="35"/>
        <v>1283996.7660788202</v>
      </c>
      <c r="AE48" s="14">
        <f ca="1">(MAX(sa-CF47*Flag_UL_Type,105%*SUM($I$7:I48),Z48)+AU48)*B48</f>
        <v>3000000</v>
      </c>
      <c r="AF48" s="136"/>
      <c r="AG48" s="18">
        <v>42</v>
      </c>
      <c r="AH48" s="30">
        <f t="shared" ca="1" si="13"/>
        <v>0</v>
      </c>
      <c r="AI48" s="138"/>
      <c r="AJ48" s="50">
        <f>IF(AND(Option_Sys_TopUp&gt;="Y",H48&gt;=sytp,H48&lt;=(dtp+sytp-1),F48=0,H48&lt;=ppt+1),atp,0)+IFERROR(VLOOKUP(H48,Input!$B$55:$C$61,2,0),0)*(F48=0)*(Option_TopUP="Y")*(Option_Sys_TopUp="N")*B48*(pt&gt;=H48+5)</f>
        <v>0</v>
      </c>
      <c r="AK48" s="50">
        <f t="shared" si="14"/>
        <v>0</v>
      </c>
      <c r="AL48" s="50">
        <f t="shared" si="36"/>
        <v>0</v>
      </c>
      <c r="AM48" s="50">
        <f t="shared" ca="1" si="15"/>
        <v>0</v>
      </c>
      <c r="AN48" s="50">
        <f ca="1">IF(B48=0,0,AT48*(_rpm1+(1+_emr1)*VLOOKUP(E48,Tab_Mort_Charge,IF(Input!$C$12="M",2,3),0))*(0.001*0.0833)*Flag_Mort_Rider_Charge*(AT48&gt;0))</f>
        <v>0</v>
      </c>
      <c r="AO48" s="50">
        <f t="shared" ca="1" si="37"/>
        <v>0</v>
      </c>
      <c r="AP48" s="50">
        <f t="shared" ca="1" si="38"/>
        <v>0</v>
      </c>
      <c r="AQ48" s="50">
        <f t="shared" ca="1" si="16"/>
        <v>0</v>
      </c>
      <c r="AR48" s="50">
        <f t="shared" ca="1" si="17"/>
        <v>0</v>
      </c>
      <c r="AS48" s="50">
        <f t="shared" si="18"/>
        <v>0</v>
      </c>
      <c r="AT48" s="50">
        <f ca="1">(MAX((MAX(AS48,105%*SUM($AJ$7:AJ48))-AM48*Flag_UL_Type),0)*B48)</f>
        <v>0</v>
      </c>
      <c r="AU48" s="50">
        <f ca="1">(MAX(AS48,AR48,105%*SUM($AJ$7:AJ48))*B48)</f>
        <v>0</v>
      </c>
      <c r="AV48" s="125"/>
      <c r="AW48" s="13"/>
      <c r="AX48" s="13"/>
      <c r="AY48" s="13"/>
      <c r="AZ48" s="13"/>
      <c r="BA48" s="13"/>
      <c r="BG48" s="51">
        <f t="shared" si="21"/>
        <v>0</v>
      </c>
      <c r="BH48" s="51">
        <f t="shared" ca="1" si="22"/>
        <v>0</v>
      </c>
      <c r="BI48" s="51">
        <f t="shared" ca="1" si="46"/>
        <v>0</v>
      </c>
      <c r="BJ48" s="51">
        <f t="shared" ca="1" si="23"/>
        <v>0</v>
      </c>
      <c r="BK48" s="51">
        <f t="shared" si="24"/>
        <v>0</v>
      </c>
      <c r="BL48" s="51">
        <f t="shared" ca="1" si="25"/>
        <v>0</v>
      </c>
      <c r="BM48" s="51">
        <f t="shared" si="26"/>
        <v>0</v>
      </c>
      <c r="BN48" s="51">
        <f t="shared" ca="1" si="27"/>
        <v>0</v>
      </c>
      <c r="BO48" s="51">
        <f t="shared" ca="1" si="28"/>
        <v>0</v>
      </c>
      <c r="BP48" s="51">
        <f t="shared" ca="1" si="29"/>
        <v>0</v>
      </c>
      <c r="BR48" s="32"/>
      <c r="BS48" s="126"/>
      <c r="BT48" s="16"/>
      <c r="BU48" s="58"/>
      <c r="BW48" s="51">
        <f>VLOOKUP(H48,Charges!$AT$4:$AU$33,2,FALSE)*I48</f>
        <v>0</v>
      </c>
      <c r="BX48" s="51">
        <f t="shared" si="30"/>
        <v>0</v>
      </c>
      <c r="BY48" s="51">
        <f t="shared" si="47"/>
        <v>0</v>
      </c>
      <c r="BZ48" s="151"/>
      <c r="CA48" s="151"/>
      <c r="CB48" s="32"/>
      <c r="CC48" s="16">
        <f ca="1">SUM($N$7:$N48)</f>
        <v>0</v>
      </c>
      <c r="CD48" s="16">
        <f t="shared" ca="1" si="31"/>
        <v>0</v>
      </c>
      <c r="CE48" s="16">
        <f t="shared" ca="1" si="32"/>
        <v>0</v>
      </c>
      <c r="CF48" s="7">
        <f t="shared" ca="1" si="48"/>
        <v>0</v>
      </c>
    </row>
    <row r="49" spans="1:84" s="7" customFormat="1" x14ac:dyDescent="0.2">
      <c r="A49" s="149"/>
      <c r="B49" s="14">
        <f t="shared" si="0"/>
        <v>1</v>
      </c>
      <c r="C49" s="12">
        <f t="shared" si="1"/>
        <v>1</v>
      </c>
      <c r="D49" s="17">
        <f t="shared" si="49"/>
        <v>43</v>
      </c>
      <c r="E49" s="17">
        <f t="shared" ca="1" si="2"/>
        <v>63</v>
      </c>
      <c r="F49" s="12">
        <f t="shared" si="53"/>
        <v>6</v>
      </c>
      <c r="G49" s="12">
        <f t="shared" si="52"/>
        <v>8</v>
      </c>
      <c r="H49" s="17">
        <f t="shared" si="54"/>
        <v>4</v>
      </c>
      <c r="I49" s="29">
        <f t="shared" si="3"/>
        <v>0</v>
      </c>
      <c r="J49" s="211">
        <f>IFERROR(VLOOKUP(H49,Charges!$T$6:$U$35,2,0)*C49,0)</f>
        <v>0.96499999999999997</v>
      </c>
      <c r="K49" s="29">
        <f t="shared" si="4"/>
        <v>0</v>
      </c>
      <c r="L49" s="29">
        <f t="shared" si="5"/>
        <v>0</v>
      </c>
      <c r="M49" s="147">
        <f t="shared" ca="1" si="6"/>
        <v>0</v>
      </c>
      <c r="N49" s="148">
        <f ca="1">IF(AND(Option_SPW="Y",Z48&gt;=SPW_Start_Min_FV,H49&gt;=Lock_In_Period,Z48&gt;SPW_Amount_pa+IF(option="Single",1/5*pr,2*pr),H49&gt;=SPW_Start_Year,H49&lt;=SPW_Start_Year+SPW_Duration-1,F49=0,age+H49&gt;=Legal_Age),SPW_Amount_pa,0)+IFERROR(VLOOKUP(H49,Input!$B$68:$C$74,2,0),0)*(F49=0)*(Option_PW="Y")*(Option_SPW="N")*(age+H49&gt;=Legal_Age)</f>
        <v>0</v>
      </c>
      <c r="O49" s="148">
        <f t="shared" ca="1" si="33"/>
        <v>0</v>
      </c>
      <c r="P49" s="14">
        <f ca="1">(MAX(MAX(sa-CF48*Flag_UL_Type,105%*SUM($I$7:I49))-(AD48+L49-N49)*Flag_UL_Type,0)*B49)</f>
        <v>1716003.2339211798</v>
      </c>
      <c r="Q49" s="213">
        <f t="shared" ca="1" si="7"/>
        <v>0</v>
      </c>
      <c r="R49" s="14">
        <f t="shared" ca="1" si="8"/>
        <v>0</v>
      </c>
      <c r="S49" s="14">
        <f t="shared" ca="1" si="9"/>
        <v>0</v>
      </c>
      <c r="T49" s="14">
        <f>IFERROR(IF(WoP_Flag="Y",IF(fq=1,VLOOKUP(ppt*fq-H49,Charges!$AN$41:$AO$59,2,FALSE),IF(fq=2,VLOOKUP(ppt*fq-G49,Charges!$AP$41:$AQ$79,2,FALSE),VLOOKUP(ppt*fq-D49,Charges!$AR$41:$AS$279,2,FALSE)))*pr/fq,0),0)</f>
        <v>0</v>
      </c>
      <c r="U49" s="14">
        <f ca="1">IFERROR(((T49*(VLOOKUP(Input!$D$18+H49-1,Tab_Mort_Charge,IF(Gender_2="M",2,3),FALSE)*(1+_emr2)+_rpm2)/IF(Model_Type="LA_PQIS",1000/0.0833,(12*1000))))*Flag_Mort_Rider_Charge*(T49&gt;0),0)</f>
        <v>0</v>
      </c>
      <c r="V49" s="34">
        <f>ROUND(MIN(IF(H49&gt;=7,Charges!$C$12*(1+Charges!$C$14)^((H49-7+1)),VLOOKUP(H49,Charges!$B$7:$C$12,2,0))*pr,Charges!$C$13)*B49,Round)</f>
        <v>450</v>
      </c>
      <c r="W49" s="14">
        <f t="shared" ca="1" si="10"/>
        <v>1283546.7660788202</v>
      </c>
      <c r="X49" s="14">
        <f t="shared" ca="1" si="11"/>
        <v>1291805.1446193689</v>
      </c>
      <c r="Y49" s="213">
        <f t="shared" ca="1" si="34"/>
        <v>1454.0716778656922</v>
      </c>
      <c r="Z49" s="14">
        <f t="shared" ca="1" si="12"/>
        <v>1290351.0729415033</v>
      </c>
      <c r="AA49" s="14">
        <f>IF(AND($H49=pt,$F49=11),SUM($K$7:K49)*VLOOKUP(pt,ROC,2,FALSE),0)</f>
        <v>0</v>
      </c>
      <c r="AB49" s="14">
        <f>IF(AND($H49=pt,$F49=11),SUM($V$7:V49)*VLOOKUP(pt,ROC,2,FALSE),0)</f>
        <v>0</v>
      </c>
      <c r="AC49" s="14">
        <f>IF(AND($H49=pt,$F49=11),SUM($Q$7:Q49)*VLOOKUP(pt,ROC,2,FALSE),0)</f>
        <v>0</v>
      </c>
      <c r="AD49" s="14">
        <f t="shared" ca="1" si="35"/>
        <v>1290351.0729415033</v>
      </c>
      <c r="AE49" s="14">
        <f ca="1">(MAX(sa-CF48*Flag_UL_Type,105%*SUM($I$7:I49),Z49)+AU49)*B49</f>
        <v>3000000</v>
      </c>
      <c r="AF49" s="136"/>
      <c r="AG49" s="18">
        <v>43</v>
      </c>
      <c r="AH49" s="30">
        <f t="shared" ca="1" si="13"/>
        <v>0</v>
      </c>
      <c r="AI49" s="138"/>
      <c r="AJ49" s="50">
        <f>IF(AND(Option_Sys_TopUp&gt;="Y",H49&gt;=sytp,H49&lt;=(dtp+sytp-1),F49=0,H49&lt;=ppt+1),atp,0)+IFERROR(VLOOKUP(H49,Input!$B$55:$C$61,2,0),0)*(F49=0)*(Option_TopUP="Y")*(Option_Sys_TopUp="N")*B49*(pt&gt;=H49+5)</f>
        <v>0</v>
      </c>
      <c r="AK49" s="50">
        <f t="shared" si="14"/>
        <v>0</v>
      </c>
      <c r="AL49" s="50">
        <f t="shared" si="36"/>
        <v>0</v>
      </c>
      <c r="AM49" s="50">
        <f t="shared" ca="1" si="15"/>
        <v>0</v>
      </c>
      <c r="AN49" s="50">
        <f ca="1">IF(B49=0,0,AT49*(_rpm1+(1+_emr1)*VLOOKUP(E49,Tab_Mort_Charge,IF(Input!$C$12="M",2,3),0))*(0.001*0.0833)*Flag_Mort_Rider_Charge*(AT49&gt;0))</f>
        <v>0</v>
      </c>
      <c r="AO49" s="50">
        <f t="shared" ca="1" si="37"/>
        <v>0</v>
      </c>
      <c r="AP49" s="50">
        <f t="shared" ca="1" si="38"/>
        <v>0</v>
      </c>
      <c r="AQ49" s="50">
        <f t="shared" ca="1" si="16"/>
        <v>0</v>
      </c>
      <c r="AR49" s="50">
        <f t="shared" ca="1" si="17"/>
        <v>0</v>
      </c>
      <c r="AS49" s="50">
        <f t="shared" si="18"/>
        <v>0</v>
      </c>
      <c r="AT49" s="50">
        <f ca="1">(MAX((MAX(AS49,105%*SUM($AJ$7:AJ49))-AM49*Flag_UL_Type),0)*B49)</f>
        <v>0</v>
      </c>
      <c r="AU49" s="50">
        <f ca="1">(MAX(AS49,AR49,105%*SUM($AJ$7:AJ49))*B49)</f>
        <v>0</v>
      </c>
      <c r="AV49" s="125"/>
      <c r="AW49" s="13"/>
      <c r="AX49" s="13"/>
      <c r="AY49" s="13"/>
      <c r="AZ49" s="13"/>
      <c r="BA49" s="13"/>
      <c r="BG49" s="51">
        <f t="shared" si="21"/>
        <v>0</v>
      </c>
      <c r="BH49" s="51">
        <f t="shared" ca="1" si="22"/>
        <v>0</v>
      </c>
      <c r="BI49" s="51">
        <f t="shared" ca="1" si="46"/>
        <v>0</v>
      </c>
      <c r="BJ49" s="51">
        <f t="shared" ca="1" si="23"/>
        <v>0</v>
      </c>
      <c r="BK49" s="51">
        <f t="shared" si="24"/>
        <v>0</v>
      </c>
      <c r="BL49" s="51">
        <f t="shared" ca="1" si="25"/>
        <v>0</v>
      </c>
      <c r="BM49" s="51">
        <f t="shared" si="26"/>
        <v>0</v>
      </c>
      <c r="BN49" s="51">
        <f t="shared" ca="1" si="27"/>
        <v>0</v>
      </c>
      <c r="BO49" s="51">
        <f t="shared" ca="1" si="28"/>
        <v>0</v>
      </c>
      <c r="BP49" s="51">
        <f t="shared" ca="1" si="29"/>
        <v>0</v>
      </c>
      <c r="BR49" s="32"/>
      <c r="BS49" s="126"/>
      <c r="BT49" s="16"/>
      <c r="BU49" s="58"/>
      <c r="BW49" s="51">
        <f>VLOOKUP(H49,Charges!$AT$4:$AU$33,2,FALSE)*I49</f>
        <v>0</v>
      </c>
      <c r="BX49" s="51">
        <f t="shared" si="30"/>
        <v>0</v>
      </c>
      <c r="BY49" s="51">
        <f t="shared" si="47"/>
        <v>0</v>
      </c>
      <c r="BZ49" s="151"/>
      <c r="CA49" s="151"/>
      <c r="CB49" s="32"/>
      <c r="CC49" s="16">
        <f ca="1">SUM($N$7:$N49)</f>
        <v>0</v>
      </c>
      <c r="CD49" s="16">
        <f t="shared" ca="1" si="31"/>
        <v>0</v>
      </c>
      <c r="CE49" s="16">
        <f t="shared" ca="1" si="32"/>
        <v>0</v>
      </c>
      <c r="CF49" s="7">
        <f t="shared" ca="1" si="48"/>
        <v>0</v>
      </c>
    </row>
    <row r="50" spans="1:84" s="7" customFormat="1" x14ac:dyDescent="0.2">
      <c r="A50" s="149"/>
      <c r="B50" s="14">
        <f t="shared" si="0"/>
        <v>1</v>
      </c>
      <c r="C50" s="12">
        <f t="shared" si="1"/>
        <v>1</v>
      </c>
      <c r="D50" s="17">
        <f t="shared" si="49"/>
        <v>44</v>
      </c>
      <c r="E50" s="17">
        <f t="shared" ca="1" si="2"/>
        <v>63</v>
      </c>
      <c r="F50" s="12">
        <f t="shared" si="53"/>
        <v>7</v>
      </c>
      <c r="G50" s="12">
        <f t="shared" si="52"/>
        <v>8</v>
      </c>
      <c r="H50" s="17">
        <f t="shared" si="54"/>
        <v>4</v>
      </c>
      <c r="I50" s="29">
        <f t="shared" si="3"/>
        <v>0</v>
      </c>
      <c r="J50" s="211">
        <f>IFERROR(VLOOKUP(H50,Charges!$T$6:$U$35,2,0)*C50,0)</f>
        <v>0.96499999999999997</v>
      </c>
      <c r="K50" s="29">
        <f t="shared" si="4"/>
        <v>0</v>
      </c>
      <c r="L50" s="29">
        <f t="shared" si="5"/>
        <v>0</v>
      </c>
      <c r="M50" s="147">
        <f t="shared" ca="1" si="6"/>
        <v>0</v>
      </c>
      <c r="N50" s="148">
        <f ca="1">IF(AND(Option_SPW="Y",Z49&gt;=SPW_Start_Min_FV,H50&gt;=Lock_In_Period,Z49&gt;SPW_Amount_pa+IF(option="Single",1/5*pr,2*pr),H50&gt;=SPW_Start_Year,H50&lt;=SPW_Start_Year+SPW_Duration-1,F50=0,age+H50&gt;=Legal_Age),SPW_Amount_pa,0)+IFERROR(VLOOKUP(H50,Input!$B$68:$C$74,2,0),0)*(F50=0)*(Option_PW="Y")*(Option_SPW="N")*(age+H50&gt;=Legal_Age)</f>
        <v>0</v>
      </c>
      <c r="O50" s="148">
        <f t="shared" ca="1" si="33"/>
        <v>0</v>
      </c>
      <c r="P50" s="14">
        <f ca="1">(MAX(MAX(sa-CF49*Flag_UL_Type,105%*SUM($I$7:I50))-(AD49+L50-N50)*Flag_UL_Type,0)*B50)</f>
        <v>1709648.9270584967</v>
      </c>
      <c r="Q50" s="213">
        <f t="shared" ca="1" si="7"/>
        <v>0</v>
      </c>
      <c r="R50" s="14">
        <f t="shared" ca="1" si="8"/>
        <v>0</v>
      </c>
      <c r="S50" s="14">
        <f t="shared" ca="1" si="9"/>
        <v>0</v>
      </c>
      <c r="T50" s="14">
        <f>IFERROR(IF(WoP_Flag="Y",IF(fq=1,VLOOKUP(ppt*fq-H50,Charges!$AN$41:$AO$59,2,FALSE),IF(fq=2,VLOOKUP(ppt*fq-G50,Charges!$AP$41:$AQ$79,2,FALSE),VLOOKUP(ppt*fq-D50,Charges!$AR$41:$AS$279,2,FALSE)))*pr/fq,0),0)</f>
        <v>0</v>
      </c>
      <c r="U50" s="14">
        <f ca="1">IFERROR(((T50*(VLOOKUP(Input!$D$18+H50-1,Tab_Mort_Charge,IF(Gender_2="M",2,3),FALSE)*(1+_emr2)+_rpm2)/IF(Model_Type="LA_PQIS",1000/0.0833,(12*1000))))*Flag_Mort_Rider_Charge*(T50&gt;0),0)</f>
        <v>0</v>
      </c>
      <c r="V50" s="34">
        <f>ROUND(MIN(IF(H50&gt;=7,Charges!$C$12*(1+Charges!$C$14)^((H50-7+1)),VLOOKUP(H50,Charges!$B$7:$C$12,2,0))*pr,Charges!$C$13)*B50,Round)</f>
        <v>450</v>
      </c>
      <c r="W50" s="14">
        <f t="shared" ca="1" si="10"/>
        <v>1289901.0729415033</v>
      </c>
      <c r="X50" s="14">
        <f t="shared" ca="1" si="11"/>
        <v>1298200.3352837346</v>
      </c>
      <c r="Y50" s="213">
        <f t="shared" ca="1" si="34"/>
        <v>1461.2701827317997</v>
      </c>
      <c r="Z50" s="14">
        <f t="shared" ca="1" si="12"/>
        <v>1296739.0651010028</v>
      </c>
      <c r="AA50" s="14">
        <f>IF(AND($H50=pt,$F50=11),SUM($K$7:K50)*VLOOKUP(pt,ROC,2,FALSE),0)</f>
        <v>0</v>
      </c>
      <c r="AB50" s="14">
        <f>IF(AND($H50=pt,$F50=11),SUM($V$7:V50)*VLOOKUP(pt,ROC,2,FALSE),0)</f>
        <v>0</v>
      </c>
      <c r="AC50" s="14">
        <f>IF(AND($H50=pt,$F50=11),SUM($Q$7:Q50)*VLOOKUP(pt,ROC,2,FALSE),0)</f>
        <v>0</v>
      </c>
      <c r="AD50" s="14">
        <f t="shared" ca="1" si="35"/>
        <v>1296739.0651010028</v>
      </c>
      <c r="AE50" s="14">
        <f ca="1">(MAX(sa-CF49*Flag_UL_Type,105%*SUM($I$7:I50),Z50)+AU50)*B50</f>
        <v>3000000</v>
      </c>
      <c r="AF50" s="136"/>
      <c r="AG50" s="18">
        <v>44</v>
      </c>
      <c r="AH50" s="30">
        <f t="shared" ca="1" si="13"/>
        <v>0</v>
      </c>
      <c r="AI50" s="138"/>
      <c r="AJ50" s="50">
        <f>IF(AND(Option_Sys_TopUp&gt;="Y",H50&gt;=sytp,H50&lt;=(dtp+sytp-1),F50=0,H50&lt;=ppt+1),atp,0)+IFERROR(VLOOKUP(H50,Input!$B$55:$C$61,2,0),0)*(F50=0)*(Option_TopUP="Y")*(Option_Sys_TopUp="N")*B50*(pt&gt;=H50+5)</f>
        <v>0</v>
      </c>
      <c r="AK50" s="50">
        <f t="shared" si="14"/>
        <v>0</v>
      </c>
      <c r="AL50" s="50">
        <f t="shared" si="36"/>
        <v>0</v>
      </c>
      <c r="AM50" s="50">
        <f t="shared" ca="1" si="15"/>
        <v>0</v>
      </c>
      <c r="AN50" s="50">
        <f ca="1">IF(B50=0,0,AT50*(_rpm1+(1+_emr1)*VLOOKUP(E50,Tab_Mort_Charge,IF(Input!$C$12="M",2,3),0))*(0.001*0.0833)*Flag_Mort_Rider_Charge*(AT50&gt;0))</f>
        <v>0</v>
      </c>
      <c r="AO50" s="50">
        <f t="shared" ca="1" si="37"/>
        <v>0</v>
      </c>
      <c r="AP50" s="50">
        <f t="shared" ca="1" si="38"/>
        <v>0</v>
      </c>
      <c r="AQ50" s="50">
        <f t="shared" ca="1" si="16"/>
        <v>0</v>
      </c>
      <c r="AR50" s="50">
        <f t="shared" ca="1" si="17"/>
        <v>0</v>
      </c>
      <c r="AS50" s="50">
        <f t="shared" si="18"/>
        <v>0</v>
      </c>
      <c r="AT50" s="50">
        <f ca="1">(MAX((MAX(AS50,105%*SUM($AJ$7:AJ50))-AM50*Flag_UL_Type),0)*B50)</f>
        <v>0</v>
      </c>
      <c r="AU50" s="50">
        <f ca="1">(MAX(AS50,AR50,105%*SUM($AJ$7:AJ50))*B50)</f>
        <v>0</v>
      </c>
      <c r="AV50" s="125"/>
      <c r="AW50" s="13"/>
      <c r="AX50" s="13"/>
      <c r="AY50" s="13"/>
      <c r="AZ50" s="13"/>
      <c r="BA50" s="13"/>
      <c r="BG50" s="51">
        <f t="shared" si="21"/>
        <v>0</v>
      </c>
      <c r="BH50" s="51">
        <f t="shared" ca="1" si="22"/>
        <v>0</v>
      </c>
      <c r="BI50" s="51">
        <f t="shared" ca="1" si="46"/>
        <v>0</v>
      </c>
      <c r="BJ50" s="51">
        <f t="shared" ca="1" si="23"/>
        <v>0</v>
      </c>
      <c r="BK50" s="51">
        <f t="shared" si="24"/>
        <v>0</v>
      </c>
      <c r="BL50" s="51">
        <f t="shared" ca="1" si="25"/>
        <v>0</v>
      </c>
      <c r="BM50" s="51">
        <f t="shared" si="26"/>
        <v>0</v>
      </c>
      <c r="BN50" s="51">
        <f t="shared" ca="1" si="27"/>
        <v>0</v>
      </c>
      <c r="BO50" s="51">
        <f t="shared" ca="1" si="28"/>
        <v>0</v>
      </c>
      <c r="BP50" s="51">
        <f t="shared" ca="1" si="29"/>
        <v>0</v>
      </c>
      <c r="BR50" s="32"/>
      <c r="BS50" s="126"/>
      <c r="BT50" s="16"/>
      <c r="BU50" s="58"/>
      <c r="BW50" s="51">
        <f>VLOOKUP(H50,Charges!$AT$4:$AU$33,2,FALSE)*I50</f>
        <v>0</v>
      </c>
      <c r="BX50" s="51">
        <f t="shared" si="30"/>
        <v>0</v>
      </c>
      <c r="BY50" s="51">
        <f t="shared" si="47"/>
        <v>0</v>
      </c>
      <c r="BZ50" s="151"/>
      <c r="CA50" s="151"/>
      <c r="CB50" s="32"/>
      <c r="CC50" s="16">
        <f ca="1">SUM($N$7:$N50)</f>
        <v>0</v>
      </c>
      <c r="CD50" s="16">
        <f t="shared" ca="1" si="31"/>
        <v>0</v>
      </c>
      <c r="CE50" s="16">
        <f t="shared" ca="1" si="32"/>
        <v>0</v>
      </c>
      <c r="CF50" s="7">
        <f t="shared" ca="1" si="48"/>
        <v>0</v>
      </c>
    </row>
    <row r="51" spans="1:84" s="7" customFormat="1" x14ac:dyDescent="0.2">
      <c r="A51" s="149"/>
      <c r="B51" s="14">
        <f t="shared" si="0"/>
        <v>1</v>
      </c>
      <c r="C51" s="12">
        <f t="shared" si="1"/>
        <v>1</v>
      </c>
      <c r="D51" s="17">
        <f t="shared" si="49"/>
        <v>45</v>
      </c>
      <c r="E51" s="17">
        <f t="shared" ca="1" si="2"/>
        <v>63</v>
      </c>
      <c r="F51" s="12">
        <f t="shared" si="53"/>
        <v>8</v>
      </c>
      <c r="G51" s="12">
        <f t="shared" si="52"/>
        <v>8</v>
      </c>
      <c r="H51" s="17">
        <f t="shared" si="54"/>
        <v>4</v>
      </c>
      <c r="I51" s="29">
        <f t="shared" si="3"/>
        <v>0</v>
      </c>
      <c r="J51" s="211">
        <f>IFERROR(VLOOKUP(H51,Charges!$T$6:$U$35,2,0)*C51,0)</f>
        <v>0.96499999999999997</v>
      </c>
      <c r="K51" s="29">
        <f t="shared" si="4"/>
        <v>0</v>
      </c>
      <c r="L51" s="29">
        <f t="shared" si="5"/>
        <v>0</v>
      </c>
      <c r="M51" s="147">
        <f t="shared" ca="1" si="6"/>
        <v>0</v>
      </c>
      <c r="N51" s="148">
        <f ca="1">IF(AND(Option_SPW="Y",Z50&gt;=SPW_Start_Min_FV,H51&gt;=Lock_In_Period,Z50&gt;SPW_Amount_pa+IF(option="Single",1/5*pr,2*pr),H51&gt;=SPW_Start_Year,H51&lt;=SPW_Start_Year+SPW_Duration-1,F51=0,age+H51&gt;=Legal_Age),SPW_Amount_pa,0)+IFERROR(VLOOKUP(H51,Input!$B$68:$C$74,2,0),0)*(F51=0)*(Option_PW="Y")*(Option_SPW="N")*(age+H51&gt;=Legal_Age)</f>
        <v>0</v>
      </c>
      <c r="O51" s="148">
        <f t="shared" ca="1" si="33"/>
        <v>0</v>
      </c>
      <c r="P51" s="14">
        <f ca="1">(MAX(MAX(sa-CF50*Flag_UL_Type,105%*SUM($I$7:I51))-(AD50+L51-N51)*Flag_UL_Type,0)*B51)</f>
        <v>1703260.9348989972</v>
      </c>
      <c r="Q51" s="213">
        <f t="shared" ca="1" si="7"/>
        <v>0</v>
      </c>
      <c r="R51" s="14">
        <f t="shared" ca="1" si="8"/>
        <v>0</v>
      </c>
      <c r="S51" s="14">
        <f t="shared" ca="1" si="9"/>
        <v>0</v>
      </c>
      <c r="T51" s="14">
        <f>IFERROR(IF(WoP_Flag="Y",IF(fq=1,VLOOKUP(ppt*fq-H51,Charges!$AN$41:$AO$59,2,FALSE),IF(fq=2,VLOOKUP(ppt*fq-G51,Charges!$AP$41:$AQ$79,2,FALSE),VLOOKUP(ppt*fq-D51,Charges!$AR$41:$AS$279,2,FALSE)))*pr/fq,0),0)</f>
        <v>0</v>
      </c>
      <c r="U51" s="14">
        <f ca="1">IFERROR(((T51*(VLOOKUP(Input!$D$18+H51-1,Tab_Mort_Charge,IF(Gender_2="M",2,3),FALSE)*(1+_emr2)+_rpm2)/IF(Model_Type="LA_PQIS",1000/0.0833,(12*1000))))*Flag_Mort_Rider_Charge*(T51&gt;0),0)</f>
        <v>0</v>
      </c>
      <c r="V51" s="34">
        <f>ROUND(MIN(IF(H51&gt;=7,Charges!$C$12*(1+Charges!$C$14)^((H51-7+1)),VLOOKUP(H51,Charges!$B$7:$C$12,2,0))*pr,Charges!$C$13)*B51,Round)</f>
        <v>450</v>
      </c>
      <c r="W51" s="14">
        <f t="shared" ca="1" si="10"/>
        <v>1296289.0651010028</v>
      </c>
      <c r="X51" s="14">
        <f t="shared" ca="1" si="11"/>
        <v>1304629.4279771307</v>
      </c>
      <c r="Y51" s="213">
        <f t="shared" ca="1" si="34"/>
        <v>1468.5068481366236</v>
      </c>
      <c r="Z51" s="14">
        <f t="shared" ca="1" si="12"/>
        <v>1303160.9211289941</v>
      </c>
      <c r="AA51" s="14">
        <f>IF(AND($H51=pt,$F51=11),SUM($K$7:K51)*VLOOKUP(pt,ROC,2,FALSE),0)</f>
        <v>0</v>
      </c>
      <c r="AB51" s="14">
        <f>IF(AND($H51=pt,$F51=11),SUM($V$7:V51)*VLOOKUP(pt,ROC,2,FALSE),0)</f>
        <v>0</v>
      </c>
      <c r="AC51" s="14">
        <f>IF(AND($H51=pt,$F51=11),SUM($Q$7:Q51)*VLOOKUP(pt,ROC,2,FALSE),0)</f>
        <v>0</v>
      </c>
      <c r="AD51" s="14">
        <f t="shared" ca="1" si="35"/>
        <v>1303160.9211289941</v>
      </c>
      <c r="AE51" s="14">
        <f ca="1">(MAX(sa-CF50*Flag_UL_Type,105%*SUM($I$7:I51),Z51)+AU51)*B51</f>
        <v>3000000</v>
      </c>
      <c r="AF51" s="136"/>
      <c r="AG51" s="18">
        <v>45</v>
      </c>
      <c r="AH51" s="30">
        <f t="shared" ca="1" si="13"/>
        <v>0</v>
      </c>
      <c r="AI51" s="138"/>
      <c r="AJ51" s="50">
        <f>IF(AND(Option_Sys_TopUp&gt;="Y",H51&gt;=sytp,H51&lt;=(dtp+sytp-1),F51=0,H51&lt;=ppt+1),atp,0)+IFERROR(VLOOKUP(H51,Input!$B$55:$C$61,2,0),0)*(F51=0)*(Option_TopUP="Y")*(Option_Sys_TopUp="N")*B51*(pt&gt;=H51+5)</f>
        <v>0</v>
      </c>
      <c r="AK51" s="50">
        <f t="shared" si="14"/>
        <v>0</v>
      </c>
      <c r="AL51" s="50">
        <f t="shared" si="36"/>
        <v>0</v>
      </c>
      <c r="AM51" s="50">
        <f t="shared" ca="1" si="15"/>
        <v>0</v>
      </c>
      <c r="AN51" s="50">
        <f ca="1">IF(B51=0,0,AT51*(_rpm1+(1+_emr1)*VLOOKUP(E51,Tab_Mort_Charge,IF(Input!$C$12="M",2,3),0))*(0.001*0.0833)*Flag_Mort_Rider_Charge*(AT51&gt;0))</f>
        <v>0</v>
      </c>
      <c r="AO51" s="50">
        <f t="shared" ca="1" si="37"/>
        <v>0</v>
      </c>
      <c r="AP51" s="50">
        <f t="shared" ca="1" si="38"/>
        <v>0</v>
      </c>
      <c r="AQ51" s="50">
        <f t="shared" ca="1" si="16"/>
        <v>0</v>
      </c>
      <c r="AR51" s="50">
        <f t="shared" ca="1" si="17"/>
        <v>0</v>
      </c>
      <c r="AS51" s="50">
        <f t="shared" si="18"/>
        <v>0</v>
      </c>
      <c r="AT51" s="50">
        <f ca="1">(MAX((MAX(AS51,105%*SUM($AJ$7:AJ51))-AM51*Flag_UL_Type),0)*B51)</f>
        <v>0</v>
      </c>
      <c r="AU51" s="50">
        <f ca="1">(MAX(AS51,AR51,105%*SUM($AJ$7:AJ51))*B51)</f>
        <v>0</v>
      </c>
      <c r="AV51" s="125"/>
      <c r="AW51" s="13"/>
      <c r="AX51" s="13"/>
      <c r="AY51" s="13"/>
      <c r="AZ51" s="13"/>
      <c r="BA51" s="13"/>
      <c r="BG51" s="51">
        <f t="shared" si="21"/>
        <v>0</v>
      </c>
      <c r="BH51" s="51">
        <f t="shared" ca="1" si="22"/>
        <v>0</v>
      </c>
      <c r="BI51" s="51">
        <f t="shared" ca="1" si="46"/>
        <v>0</v>
      </c>
      <c r="BJ51" s="51">
        <f t="shared" ca="1" si="23"/>
        <v>0</v>
      </c>
      <c r="BK51" s="51">
        <f t="shared" si="24"/>
        <v>0</v>
      </c>
      <c r="BL51" s="51">
        <f t="shared" ca="1" si="25"/>
        <v>0</v>
      </c>
      <c r="BM51" s="51">
        <f t="shared" si="26"/>
        <v>0</v>
      </c>
      <c r="BN51" s="51">
        <f t="shared" ca="1" si="27"/>
        <v>0</v>
      </c>
      <c r="BO51" s="51">
        <f t="shared" ca="1" si="28"/>
        <v>0</v>
      </c>
      <c r="BP51" s="51">
        <f t="shared" ca="1" si="29"/>
        <v>0</v>
      </c>
      <c r="BR51" s="32"/>
      <c r="BS51" s="126"/>
      <c r="BT51" s="16"/>
      <c r="BU51" s="58"/>
      <c r="BW51" s="51">
        <f>VLOOKUP(H51,Charges!$AT$4:$AU$33,2,FALSE)*I51</f>
        <v>0</v>
      </c>
      <c r="BX51" s="51">
        <f t="shared" si="30"/>
        <v>0</v>
      </c>
      <c r="BY51" s="51">
        <f t="shared" si="47"/>
        <v>0</v>
      </c>
      <c r="BZ51" s="151"/>
      <c r="CA51" s="151"/>
      <c r="CB51" s="32"/>
      <c r="CC51" s="16">
        <f ca="1">SUM($N$7:$N51)</f>
        <v>0</v>
      </c>
      <c r="CD51" s="16">
        <f t="shared" ca="1" si="31"/>
        <v>0</v>
      </c>
      <c r="CE51" s="16">
        <f t="shared" ca="1" si="32"/>
        <v>0</v>
      </c>
      <c r="CF51" s="7">
        <f t="shared" ca="1" si="48"/>
        <v>0</v>
      </c>
    </row>
    <row r="52" spans="1:84" s="7" customFormat="1" x14ac:dyDescent="0.2">
      <c r="A52" s="149"/>
      <c r="B52" s="14">
        <f t="shared" si="0"/>
        <v>1</v>
      </c>
      <c r="C52" s="12">
        <f t="shared" si="1"/>
        <v>1</v>
      </c>
      <c r="D52" s="17">
        <f t="shared" si="49"/>
        <v>46</v>
      </c>
      <c r="E52" s="17">
        <f t="shared" ca="1" si="2"/>
        <v>63</v>
      </c>
      <c r="F52" s="12">
        <f t="shared" si="53"/>
        <v>9</v>
      </c>
      <c r="G52" s="12">
        <f t="shared" si="52"/>
        <v>8</v>
      </c>
      <c r="H52" s="17">
        <f t="shared" si="54"/>
        <v>4</v>
      </c>
      <c r="I52" s="29">
        <f t="shared" si="3"/>
        <v>0</v>
      </c>
      <c r="J52" s="211">
        <f>IFERROR(VLOOKUP(H52,Charges!$T$6:$U$35,2,0)*C52,0)</f>
        <v>0.96499999999999997</v>
      </c>
      <c r="K52" s="29">
        <f t="shared" si="4"/>
        <v>0</v>
      </c>
      <c r="L52" s="29">
        <f t="shared" si="5"/>
        <v>0</v>
      </c>
      <c r="M52" s="147">
        <f t="shared" ca="1" si="6"/>
        <v>0</v>
      </c>
      <c r="N52" s="148">
        <f ca="1">IF(AND(Option_SPW="Y",Z51&gt;=SPW_Start_Min_FV,H52&gt;=Lock_In_Period,Z51&gt;SPW_Amount_pa+IF(option="Single",1/5*pr,2*pr),H52&gt;=SPW_Start_Year,H52&lt;=SPW_Start_Year+SPW_Duration-1,F52=0,age+H52&gt;=Legal_Age),SPW_Amount_pa,0)+IFERROR(VLOOKUP(H52,Input!$B$68:$C$74,2,0),0)*(F52=0)*(Option_PW="Y")*(Option_SPW="N")*(age+H52&gt;=Legal_Age)</f>
        <v>0</v>
      </c>
      <c r="O52" s="148">
        <f t="shared" ca="1" si="33"/>
        <v>0</v>
      </c>
      <c r="P52" s="14">
        <f ca="1">(MAX(MAX(sa-CF51*Flag_UL_Type,105%*SUM($I$7:I52))-(AD51+L52-N52)*Flag_UL_Type,0)*B52)</f>
        <v>1696839.0788710059</v>
      </c>
      <c r="Q52" s="213">
        <f t="shared" ca="1" si="7"/>
        <v>0</v>
      </c>
      <c r="R52" s="14">
        <f t="shared" ca="1" si="8"/>
        <v>0</v>
      </c>
      <c r="S52" s="14">
        <f t="shared" ca="1" si="9"/>
        <v>0</v>
      </c>
      <c r="T52" s="14">
        <f>IFERROR(IF(WoP_Flag="Y",IF(fq=1,VLOOKUP(ppt*fq-H52,Charges!$AN$41:$AO$59,2,FALSE),IF(fq=2,VLOOKUP(ppt*fq-G52,Charges!$AP$41:$AQ$79,2,FALSE),VLOOKUP(ppt*fq-D52,Charges!$AR$41:$AS$279,2,FALSE)))*pr/fq,0),0)</f>
        <v>0</v>
      </c>
      <c r="U52" s="14">
        <f ca="1">IFERROR(((T52*(VLOOKUP(Input!$D$18+H52-1,Tab_Mort_Charge,IF(Gender_2="M",2,3),FALSE)*(1+_emr2)+_rpm2)/IF(Model_Type="LA_PQIS",1000/0.0833,(12*1000))))*Flag_Mort_Rider_Charge*(T52&gt;0),0)</f>
        <v>0</v>
      </c>
      <c r="V52" s="34">
        <f>ROUND(MIN(IF(H52&gt;=7,Charges!$C$12*(1+Charges!$C$14)^((H52-7+1)),VLOOKUP(H52,Charges!$B$7:$C$12,2,0))*pr,Charges!$C$13)*B52,Round)</f>
        <v>450</v>
      </c>
      <c r="W52" s="14">
        <f t="shared" ca="1" si="10"/>
        <v>1302710.9211289941</v>
      </c>
      <c r="X52" s="14">
        <f t="shared" ca="1" si="11"/>
        <v>1311092.6024201682</v>
      </c>
      <c r="Y52" s="213">
        <f t="shared" ca="1" si="34"/>
        <v>1475.7818763758828</v>
      </c>
      <c r="Z52" s="14">
        <f t="shared" ca="1" si="12"/>
        <v>1309616.8205437923</v>
      </c>
      <c r="AA52" s="14">
        <f>IF(AND($H52=pt,$F52=11),SUM($K$7:K52)*VLOOKUP(pt,ROC,2,FALSE),0)</f>
        <v>0</v>
      </c>
      <c r="AB52" s="14">
        <f>IF(AND($H52=pt,$F52=11),SUM($V$7:V52)*VLOOKUP(pt,ROC,2,FALSE),0)</f>
        <v>0</v>
      </c>
      <c r="AC52" s="14">
        <f>IF(AND($H52=pt,$F52=11),SUM($Q$7:Q52)*VLOOKUP(pt,ROC,2,FALSE),0)</f>
        <v>0</v>
      </c>
      <c r="AD52" s="14">
        <f t="shared" ca="1" si="35"/>
        <v>1309616.8205437923</v>
      </c>
      <c r="AE52" s="14">
        <f ca="1">(MAX(sa-CF51*Flag_UL_Type,105%*SUM($I$7:I52),Z52)+AU52)*B52</f>
        <v>3000000</v>
      </c>
      <c r="AF52" s="136"/>
      <c r="AG52" s="18">
        <v>46</v>
      </c>
      <c r="AH52" s="30">
        <f t="shared" ca="1" si="13"/>
        <v>0</v>
      </c>
      <c r="AI52" s="138"/>
      <c r="AJ52" s="50">
        <f>IF(AND(Option_Sys_TopUp&gt;="Y",H52&gt;=sytp,H52&lt;=(dtp+sytp-1),F52=0,H52&lt;=ppt+1),atp,0)+IFERROR(VLOOKUP(H52,Input!$B$55:$C$61,2,0),0)*(F52=0)*(Option_TopUP="Y")*(Option_Sys_TopUp="N")*B52*(pt&gt;=H52+5)</f>
        <v>0</v>
      </c>
      <c r="AK52" s="50">
        <f t="shared" si="14"/>
        <v>0</v>
      </c>
      <c r="AL52" s="50">
        <f t="shared" si="36"/>
        <v>0</v>
      </c>
      <c r="AM52" s="50">
        <f t="shared" ca="1" si="15"/>
        <v>0</v>
      </c>
      <c r="AN52" s="50">
        <f ca="1">IF(B52=0,0,AT52*(_rpm1+(1+_emr1)*VLOOKUP(E52,Tab_Mort_Charge,IF(Input!$C$12="M",2,3),0))*(0.001*0.0833)*Flag_Mort_Rider_Charge*(AT52&gt;0))</f>
        <v>0</v>
      </c>
      <c r="AO52" s="50">
        <f t="shared" ca="1" si="37"/>
        <v>0</v>
      </c>
      <c r="AP52" s="50">
        <f t="shared" ca="1" si="38"/>
        <v>0</v>
      </c>
      <c r="AQ52" s="50">
        <f t="shared" ca="1" si="16"/>
        <v>0</v>
      </c>
      <c r="AR52" s="50">
        <f t="shared" ca="1" si="17"/>
        <v>0</v>
      </c>
      <c r="AS52" s="50">
        <f t="shared" si="18"/>
        <v>0</v>
      </c>
      <c r="AT52" s="50">
        <f ca="1">(MAX((MAX(AS52,105%*SUM($AJ$7:AJ52))-AM52*Flag_UL_Type),0)*B52)</f>
        <v>0</v>
      </c>
      <c r="AU52" s="50">
        <f ca="1">(MAX(AS52,AR52,105%*SUM($AJ$7:AJ52))*B52)</f>
        <v>0</v>
      </c>
      <c r="AV52" s="125"/>
      <c r="AW52" s="13"/>
      <c r="AX52" s="13"/>
      <c r="AY52" s="13"/>
      <c r="AZ52" s="13"/>
      <c r="BA52" s="13"/>
      <c r="BG52" s="51">
        <f t="shared" si="21"/>
        <v>0</v>
      </c>
      <c r="BH52" s="51">
        <f t="shared" ca="1" si="22"/>
        <v>0</v>
      </c>
      <c r="BI52" s="51">
        <f t="shared" ca="1" si="46"/>
        <v>0</v>
      </c>
      <c r="BJ52" s="51">
        <f t="shared" ca="1" si="23"/>
        <v>0</v>
      </c>
      <c r="BK52" s="51">
        <f t="shared" si="24"/>
        <v>0</v>
      </c>
      <c r="BL52" s="51">
        <f t="shared" ca="1" si="25"/>
        <v>0</v>
      </c>
      <c r="BM52" s="51">
        <f t="shared" si="26"/>
        <v>0</v>
      </c>
      <c r="BN52" s="51">
        <f t="shared" ca="1" si="27"/>
        <v>0</v>
      </c>
      <c r="BO52" s="51">
        <f t="shared" ca="1" si="28"/>
        <v>0</v>
      </c>
      <c r="BP52" s="51">
        <f t="shared" ca="1" si="29"/>
        <v>0</v>
      </c>
      <c r="BR52" s="32"/>
      <c r="BS52" s="126"/>
      <c r="BT52" s="16"/>
      <c r="BU52" s="58"/>
      <c r="BW52" s="51">
        <f>VLOOKUP(H52,Charges!$AT$4:$AU$33,2,FALSE)*I52</f>
        <v>0</v>
      </c>
      <c r="BX52" s="51">
        <f t="shared" si="30"/>
        <v>0</v>
      </c>
      <c r="BY52" s="51">
        <f t="shared" si="47"/>
        <v>0</v>
      </c>
      <c r="BZ52" s="151"/>
      <c r="CA52" s="151"/>
      <c r="CB52" s="32"/>
      <c r="CC52" s="16">
        <f ca="1">SUM($N$7:$N52)</f>
        <v>0</v>
      </c>
      <c r="CD52" s="16">
        <f t="shared" ca="1" si="31"/>
        <v>0</v>
      </c>
      <c r="CE52" s="16">
        <f t="shared" ca="1" si="32"/>
        <v>0</v>
      </c>
      <c r="CF52" s="7">
        <f t="shared" ca="1" si="48"/>
        <v>0</v>
      </c>
    </row>
    <row r="53" spans="1:84" s="7" customFormat="1" x14ac:dyDescent="0.2">
      <c r="A53" s="149"/>
      <c r="B53" s="14">
        <f t="shared" si="0"/>
        <v>1</v>
      </c>
      <c r="C53" s="12">
        <f t="shared" si="1"/>
        <v>1</v>
      </c>
      <c r="D53" s="17">
        <f t="shared" si="49"/>
        <v>47</v>
      </c>
      <c r="E53" s="17">
        <f t="shared" ca="1" si="2"/>
        <v>63</v>
      </c>
      <c r="F53" s="12">
        <f t="shared" si="53"/>
        <v>10</v>
      </c>
      <c r="G53" s="12">
        <f t="shared" si="52"/>
        <v>8</v>
      </c>
      <c r="H53" s="17">
        <f t="shared" si="54"/>
        <v>4</v>
      </c>
      <c r="I53" s="29">
        <f t="shared" si="3"/>
        <v>0</v>
      </c>
      <c r="J53" s="211">
        <f>IFERROR(VLOOKUP(H53,Charges!$T$6:$U$35,2,0)*C53,0)</f>
        <v>0.96499999999999997</v>
      </c>
      <c r="K53" s="29">
        <f t="shared" si="4"/>
        <v>0</v>
      </c>
      <c r="L53" s="29">
        <f t="shared" si="5"/>
        <v>0</v>
      </c>
      <c r="M53" s="147">
        <f t="shared" ca="1" si="6"/>
        <v>0</v>
      </c>
      <c r="N53" s="148">
        <f ca="1">IF(AND(Option_SPW="Y",Z52&gt;=SPW_Start_Min_FV,H53&gt;=Lock_In_Period,Z52&gt;SPW_Amount_pa+IF(option="Single",1/5*pr,2*pr),H53&gt;=SPW_Start_Year,H53&lt;=SPW_Start_Year+SPW_Duration-1,F53=0,age+H53&gt;=Legal_Age),SPW_Amount_pa,0)+IFERROR(VLOOKUP(H53,Input!$B$68:$C$74,2,0),0)*(F53=0)*(Option_PW="Y")*(Option_SPW="N")*(age+H53&gt;=Legal_Age)</f>
        <v>0</v>
      </c>
      <c r="O53" s="148">
        <f t="shared" ca="1" si="33"/>
        <v>0</v>
      </c>
      <c r="P53" s="14">
        <f ca="1">(MAX(MAX(sa-CF52*Flag_UL_Type,105%*SUM($I$7:I53))-(AD52+L53-N53)*Flag_UL_Type,0)*B53)</f>
        <v>1690383.1794562077</v>
      </c>
      <c r="Q53" s="213">
        <f t="shared" ca="1" si="7"/>
        <v>0</v>
      </c>
      <c r="R53" s="14">
        <f t="shared" ca="1" si="8"/>
        <v>0</v>
      </c>
      <c r="S53" s="14">
        <f t="shared" ca="1" si="9"/>
        <v>0</v>
      </c>
      <c r="T53" s="14">
        <f>IFERROR(IF(WoP_Flag="Y",IF(fq=1,VLOOKUP(ppt*fq-H53,Charges!$AN$41:$AO$59,2,FALSE),IF(fq=2,VLOOKUP(ppt*fq-G53,Charges!$AP$41:$AQ$79,2,FALSE),VLOOKUP(ppt*fq-D53,Charges!$AR$41:$AS$279,2,FALSE)))*pr/fq,0),0)</f>
        <v>0</v>
      </c>
      <c r="U53" s="14">
        <f ca="1">IFERROR(((T53*(VLOOKUP(Input!$D$18+H53-1,Tab_Mort_Charge,IF(Gender_2="M",2,3),FALSE)*(1+_emr2)+_rpm2)/IF(Model_Type="LA_PQIS",1000/0.0833,(12*1000))))*Flag_Mort_Rider_Charge*(T53&gt;0),0)</f>
        <v>0</v>
      </c>
      <c r="V53" s="34">
        <f>ROUND(MIN(IF(H53&gt;=7,Charges!$C$12*(1+Charges!$C$14)^((H53-7+1)),VLOOKUP(H53,Charges!$B$7:$C$12,2,0))*pr,Charges!$C$13)*B53,Round)</f>
        <v>450</v>
      </c>
      <c r="W53" s="14">
        <f t="shared" ca="1" si="10"/>
        <v>1309166.8205437923</v>
      </c>
      <c r="X53" s="14">
        <f t="shared" ca="1" si="11"/>
        <v>1317590.0392861885</v>
      </c>
      <c r="Y53" s="213">
        <f t="shared" ca="1" si="34"/>
        <v>1483.095470817701</v>
      </c>
      <c r="Z53" s="14">
        <f t="shared" ca="1" si="12"/>
        <v>1316106.9438153708</v>
      </c>
      <c r="AA53" s="14">
        <f>IF(AND($H53=pt,$F53=11),SUM($K$7:K53)*VLOOKUP(pt,ROC,2,FALSE),0)</f>
        <v>0</v>
      </c>
      <c r="AB53" s="14">
        <f>IF(AND($H53=pt,$F53=11),SUM($V$7:V53)*VLOOKUP(pt,ROC,2,FALSE),0)</f>
        <v>0</v>
      </c>
      <c r="AC53" s="14">
        <f>IF(AND($H53=pt,$F53=11),SUM($Q$7:Q53)*VLOOKUP(pt,ROC,2,FALSE),0)</f>
        <v>0</v>
      </c>
      <c r="AD53" s="14">
        <f t="shared" ca="1" si="35"/>
        <v>1316106.9438153708</v>
      </c>
      <c r="AE53" s="14">
        <f ca="1">(MAX(sa-CF52*Flag_UL_Type,105%*SUM($I$7:I53),Z53)+AU53)*B53</f>
        <v>3000000</v>
      </c>
      <c r="AF53" s="136"/>
      <c r="AG53" s="18">
        <v>47</v>
      </c>
      <c r="AH53" s="30">
        <f t="shared" ca="1" si="13"/>
        <v>0</v>
      </c>
      <c r="AI53" s="138"/>
      <c r="AJ53" s="50">
        <f>IF(AND(Option_Sys_TopUp&gt;="Y",H53&gt;=sytp,H53&lt;=(dtp+sytp-1),F53=0,H53&lt;=ppt+1),atp,0)+IFERROR(VLOOKUP(H53,Input!$B$55:$C$61,2,0),0)*(F53=0)*(Option_TopUP="Y")*(Option_Sys_TopUp="N")*B53*(pt&gt;=H53+5)</f>
        <v>0</v>
      </c>
      <c r="AK53" s="50">
        <f t="shared" si="14"/>
        <v>0</v>
      </c>
      <c r="AL53" s="50">
        <f t="shared" si="36"/>
        <v>0</v>
      </c>
      <c r="AM53" s="50">
        <f t="shared" ca="1" si="15"/>
        <v>0</v>
      </c>
      <c r="AN53" s="50">
        <f ca="1">IF(B53=0,0,AT53*(_rpm1+(1+_emr1)*VLOOKUP(E53,Tab_Mort_Charge,IF(Input!$C$12="M",2,3),0))*(0.001*0.0833)*Flag_Mort_Rider_Charge*(AT53&gt;0))</f>
        <v>0</v>
      </c>
      <c r="AO53" s="50">
        <f t="shared" ca="1" si="37"/>
        <v>0</v>
      </c>
      <c r="AP53" s="50">
        <f t="shared" ca="1" si="38"/>
        <v>0</v>
      </c>
      <c r="AQ53" s="50">
        <f t="shared" ca="1" si="16"/>
        <v>0</v>
      </c>
      <c r="AR53" s="50">
        <f t="shared" ca="1" si="17"/>
        <v>0</v>
      </c>
      <c r="AS53" s="50">
        <f t="shared" si="18"/>
        <v>0</v>
      </c>
      <c r="AT53" s="50">
        <f ca="1">(MAX((MAX(AS53,105%*SUM($AJ$7:AJ53))-AM53*Flag_UL_Type),0)*B53)</f>
        <v>0</v>
      </c>
      <c r="AU53" s="50">
        <f ca="1">(MAX(AS53,AR53,105%*SUM($AJ$7:AJ53))*B53)</f>
        <v>0</v>
      </c>
      <c r="AV53" s="125"/>
      <c r="AW53" s="13"/>
      <c r="AX53" s="13"/>
      <c r="AY53" s="13"/>
      <c r="AZ53" s="13"/>
      <c r="BA53" s="13"/>
      <c r="BG53" s="51">
        <f t="shared" si="21"/>
        <v>0</v>
      </c>
      <c r="BH53" s="51">
        <f t="shared" ca="1" si="22"/>
        <v>0</v>
      </c>
      <c r="BI53" s="51">
        <f t="shared" ca="1" si="46"/>
        <v>0</v>
      </c>
      <c r="BJ53" s="51">
        <f t="shared" ca="1" si="23"/>
        <v>0</v>
      </c>
      <c r="BK53" s="51">
        <f t="shared" si="24"/>
        <v>0</v>
      </c>
      <c r="BL53" s="51">
        <f t="shared" ca="1" si="25"/>
        <v>0</v>
      </c>
      <c r="BM53" s="51">
        <f t="shared" si="26"/>
        <v>0</v>
      </c>
      <c r="BN53" s="51">
        <f t="shared" ca="1" si="27"/>
        <v>0</v>
      </c>
      <c r="BO53" s="51">
        <f t="shared" ca="1" si="28"/>
        <v>0</v>
      </c>
      <c r="BP53" s="51">
        <f t="shared" ca="1" si="29"/>
        <v>0</v>
      </c>
      <c r="BR53" s="32"/>
      <c r="BS53" s="126"/>
      <c r="BT53" s="16"/>
      <c r="BU53" s="58"/>
      <c r="BW53" s="51">
        <f>VLOOKUP(H53,Charges!$AT$4:$AU$33,2,FALSE)*I53</f>
        <v>0</v>
      </c>
      <c r="BX53" s="51">
        <f t="shared" si="30"/>
        <v>0</v>
      </c>
      <c r="BY53" s="51">
        <f t="shared" si="47"/>
        <v>0</v>
      </c>
      <c r="BZ53" s="151"/>
      <c r="CA53" s="151"/>
      <c r="CB53" s="32"/>
      <c r="CC53" s="16">
        <f ca="1">SUM($N$7:$N53)</f>
        <v>0</v>
      </c>
      <c r="CD53" s="16">
        <f t="shared" ca="1" si="31"/>
        <v>0</v>
      </c>
      <c r="CE53" s="16">
        <f t="shared" ca="1" si="32"/>
        <v>0</v>
      </c>
      <c r="CF53" s="7">
        <f t="shared" ca="1" si="48"/>
        <v>0</v>
      </c>
    </row>
    <row r="54" spans="1:84" s="7" customFormat="1" x14ac:dyDescent="0.2">
      <c r="A54" s="149"/>
      <c r="B54" s="14">
        <f t="shared" si="0"/>
        <v>1</v>
      </c>
      <c r="C54" s="12">
        <f t="shared" si="1"/>
        <v>1</v>
      </c>
      <c r="D54" s="17">
        <f t="shared" si="49"/>
        <v>48</v>
      </c>
      <c r="E54" s="17">
        <f t="shared" ca="1" si="2"/>
        <v>63</v>
      </c>
      <c r="F54" s="12">
        <f t="shared" si="53"/>
        <v>11</v>
      </c>
      <c r="G54" s="12">
        <f t="shared" si="52"/>
        <v>8</v>
      </c>
      <c r="H54" s="17">
        <f t="shared" si="54"/>
        <v>4</v>
      </c>
      <c r="I54" s="29">
        <f t="shared" si="3"/>
        <v>0</v>
      </c>
      <c r="J54" s="211">
        <f>IFERROR(VLOOKUP(H54,Charges!$T$6:$U$35,2,0)*C54,0)</f>
        <v>0.96499999999999997</v>
      </c>
      <c r="K54" s="29">
        <f t="shared" si="4"/>
        <v>0</v>
      </c>
      <c r="L54" s="29">
        <f t="shared" si="5"/>
        <v>0</v>
      </c>
      <c r="M54" s="147">
        <f t="shared" ca="1" si="6"/>
        <v>0</v>
      </c>
      <c r="N54" s="148">
        <f ca="1">IF(AND(Option_SPW="Y",Z53&gt;=SPW_Start_Min_FV,H54&gt;=Lock_In_Period,Z53&gt;SPW_Amount_pa+IF(option="Single",1/5*pr,2*pr),H54&gt;=SPW_Start_Year,H54&lt;=SPW_Start_Year+SPW_Duration-1,F54=0,age+H54&gt;=Legal_Age),SPW_Amount_pa,0)+IFERROR(VLOOKUP(H54,Input!$B$68:$C$74,2,0),0)*(F54=0)*(Option_PW="Y")*(Option_SPW="N")*(age+H54&gt;=Legal_Age)</f>
        <v>0</v>
      </c>
      <c r="O54" s="148">
        <f t="shared" ca="1" si="33"/>
        <v>0</v>
      </c>
      <c r="P54" s="14">
        <f ca="1">(MAX(MAX(sa-CF53*Flag_UL_Type,105%*SUM($I$7:I54))-(AD53+L54-N54)*Flag_UL_Type,0)*B54)</f>
        <v>1683893.0561846292</v>
      </c>
      <c r="Q54" s="213">
        <f t="shared" ca="1" si="7"/>
        <v>0</v>
      </c>
      <c r="R54" s="14">
        <f t="shared" ca="1" si="8"/>
        <v>0</v>
      </c>
      <c r="S54" s="14">
        <f t="shared" ca="1" si="9"/>
        <v>0</v>
      </c>
      <c r="T54" s="14">
        <f>IFERROR(IF(WoP_Flag="Y",IF(fq=1,VLOOKUP(ppt*fq-H54,Charges!$AN$41:$AO$59,2,FALSE),IF(fq=2,VLOOKUP(ppt*fq-G54,Charges!$AP$41:$AQ$79,2,FALSE),VLOOKUP(ppt*fq-D54,Charges!$AR$41:$AS$279,2,FALSE)))*pr/fq,0),0)</f>
        <v>0</v>
      </c>
      <c r="U54" s="14">
        <f ca="1">IFERROR(((T54*(VLOOKUP(Input!$D$18+H54-1,Tab_Mort_Charge,IF(Gender_2="M",2,3),FALSE)*(1+_emr2)+_rpm2)/IF(Model_Type="LA_PQIS",1000/0.0833,(12*1000))))*Flag_Mort_Rider_Charge*(T54&gt;0),0)</f>
        <v>0</v>
      </c>
      <c r="V54" s="34">
        <f>ROUND(MIN(IF(H54&gt;=7,Charges!$C$12*(1+Charges!$C$14)^((H54-7+1)),VLOOKUP(H54,Charges!$B$7:$C$12,2,0))*pr,Charges!$C$13)*B54,Round)</f>
        <v>450</v>
      </c>
      <c r="W54" s="14">
        <f t="shared" ca="1" si="10"/>
        <v>1315656.9438153708</v>
      </c>
      <c r="X54" s="14">
        <f t="shared" ca="1" si="11"/>
        <v>1324121.920206314</v>
      </c>
      <c r="Y54" s="213">
        <f t="shared" ca="1" si="34"/>
        <v>1490.4478359082923</v>
      </c>
      <c r="Z54" s="14">
        <f t="shared" ca="1" si="12"/>
        <v>1322631.4723704057</v>
      </c>
      <c r="AA54" s="14">
        <f>IF(AND($H54=pt,$F54=11),SUM($K$7:K54)*VLOOKUP(pt,ROC,2,FALSE),0)</f>
        <v>0</v>
      </c>
      <c r="AB54" s="14">
        <f>IF(AND($H54=pt,$F54=11),SUM($V$7:V54)*VLOOKUP(pt,ROC,2,FALSE),0)</f>
        <v>0</v>
      </c>
      <c r="AC54" s="14">
        <f>IF(AND($H54=pt,$F54=11),SUM($Q$7:Q54)*VLOOKUP(pt,ROC,2,FALSE),0)</f>
        <v>0</v>
      </c>
      <c r="AD54" s="14">
        <f t="shared" ca="1" si="35"/>
        <v>1322631.4723704057</v>
      </c>
      <c r="AE54" s="14">
        <f ca="1">(MAX(sa-CF53*Flag_UL_Type,105%*SUM($I$7:I54),Z54)+AU54)*B54</f>
        <v>3000000</v>
      </c>
      <c r="AF54" s="136"/>
      <c r="AG54" s="18">
        <v>48</v>
      </c>
      <c r="AH54" s="30">
        <f t="shared" ca="1" si="13"/>
        <v>0</v>
      </c>
      <c r="AI54" s="138"/>
      <c r="AJ54" s="50">
        <f>IF(AND(Option_Sys_TopUp&gt;="Y",H54&gt;=sytp,H54&lt;=(dtp+sytp-1),F54=0,H54&lt;=ppt+1),atp,0)+IFERROR(VLOOKUP(H54,Input!$B$55:$C$61,2,0),0)*(F54=0)*(Option_TopUP="Y")*(Option_Sys_TopUp="N")*B54*(pt&gt;=H54+5)</f>
        <v>0</v>
      </c>
      <c r="AK54" s="50">
        <f t="shared" si="14"/>
        <v>0</v>
      </c>
      <c r="AL54" s="50">
        <f t="shared" si="36"/>
        <v>0</v>
      </c>
      <c r="AM54" s="50">
        <f t="shared" ca="1" si="15"/>
        <v>0</v>
      </c>
      <c r="AN54" s="50">
        <f ca="1">IF(B54=0,0,AT54*(_rpm1+(1+_emr1)*VLOOKUP(E54,Tab_Mort_Charge,IF(Input!$C$12="M",2,3),0))*(0.001*0.0833)*Flag_Mort_Rider_Charge*(AT54&gt;0))</f>
        <v>0</v>
      </c>
      <c r="AO54" s="50">
        <f t="shared" ca="1" si="37"/>
        <v>0</v>
      </c>
      <c r="AP54" s="50">
        <f t="shared" ca="1" si="38"/>
        <v>0</v>
      </c>
      <c r="AQ54" s="50">
        <f t="shared" ca="1" si="16"/>
        <v>0</v>
      </c>
      <c r="AR54" s="50">
        <f t="shared" ca="1" si="17"/>
        <v>0</v>
      </c>
      <c r="AS54" s="50">
        <f t="shared" si="18"/>
        <v>0</v>
      </c>
      <c r="AT54" s="50">
        <f ca="1">(MAX((MAX(AS54,105%*SUM($AJ$7:AJ54))-AM54*Flag_UL_Type),0)*B54)</f>
        <v>0</v>
      </c>
      <c r="AU54" s="50">
        <f ca="1">(MAX(AS54,AR54,105%*SUM($AJ$7:AJ54))*B54)</f>
        <v>0</v>
      </c>
      <c r="AV54" s="125"/>
      <c r="AW54" s="13"/>
      <c r="AX54" s="13"/>
      <c r="AY54" s="13"/>
      <c r="AZ54" s="13"/>
      <c r="BA54" s="13"/>
      <c r="BG54" s="51">
        <f t="shared" si="21"/>
        <v>0</v>
      </c>
      <c r="BH54" s="51">
        <f t="shared" ca="1" si="22"/>
        <v>0</v>
      </c>
      <c r="BI54" s="51">
        <f t="shared" ca="1" si="46"/>
        <v>0</v>
      </c>
      <c r="BJ54" s="51">
        <f t="shared" ca="1" si="23"/>
        <v>0</v>
      </c>
      <c r="BK54" s="51">
        <f t="shared" si="24"/>
        <v>0</v>
      </c>
      <c r="BL54" s="51">
        <f t="shared" ca="1" si="25"/>
        <v>0</v>
      </c>
      <c r="BM54" s="51">
        <f t="shared" si="26"/>
        <v>0</v>
      </c>
      <c r="BN54" s="51">
        <f t="shared" ca="1" si="27"/>
        <v>0</v>
      </c>
      <c r="BO54" s="51">
        <f t="shared" ca="1" si="28"/>
        <v>0</v>
      </c>
      <c r="BP54" s="51">
        <f t="shared" ca="1" si="29"/>
        <v>0</v>
      </c>
      <c r="BR54" s="32"/>
      <c r="BS54" s="126"/>
      <c r="BT54" s="16"/>
      <c r="BU54" s="58"/>
      <c r="BW54" s="51">
        <f>VLOOKUP(H54,Charges!$AT$4:$AU$33,2,FALSE)*I54</f>
        <v>0</v>
      </c>
      <c r="BX54" s="51">
        <f t="shared" si="30"/>
        <v>0</v>
      </c>
      <c r="BY54" s="51">
        <f t="shared" si="47"/>
        <v>0</v>
      </c>
      <c r="BZ54" s="151"/>
      <c r="CA54" s="151"/>
      <c r="CB54" s="32"/>
      <c r="CC54" s="16">
        <f ca="1">SUM($N$7:$N54)</f>
        <v>0</v>
      </c>
      <c r="CD54" s="16">
        <f t="shared" ca="1" si="31"/>
        <v>0</v>
      </c>
      <c r="CE54" s="16">
        <f t="shared" ca="1" si="32"/>
        <v>0</v>
      </c>
      <c r="CF54" s="7">
        <f t="shared" ca="1" si="48"/>
        <v>0</v>
      </c>
    </row>
    <row r="55" spans="1:84" s="7" customFormat="1" x14ac:dyDescent="0.2">
      <c r="A55" s="149"/>
      <c r="B55" s="14">
        <f t="shared" si="0"/>
        <v>1</v>
      </c>
      <c r="C55" s="12">
        <f t="shared" si="1"/>
        <v>1</v>
      </c>
      <c r="D55" s="17">
        <f t="shared" si="49"/>
        <v>49</v>
      </c>
      <c r="E55" s="17">
        <f t="shared" ca="1" si="2"/>
        <v>64</v>
      </c>
      <c r="F55" s="12">
        <f t="shared" si="53"/>
        <v>0</v>
      </c>
      <c r="G55" s="12">
        <f t="shared" si="52"/>
        <v>9</v>
      </c>
      <c r="H55" s="17">
        <f t="shared" si="54"/>
        <v>5</v>
      </c>
      <c r="I55" s="29">
        <f t="shared" si="3"/>
        <v>300000</v>
      </c>
      <c r="J55" s="211">
        <f>IFERROR(VLOOKUP(H55,Charges!$T$6:$U$35,2,0)*C55,0)</f>
        <v>0.97</v>
      </c>
      <c r="K55" s="29">
        <f t="shared" si="4"/>
        <v>9000.0000000000091</v>
      </c>
      <c r="L55" s="29">
        <f t="shared" si="5"/>
        <v>291000</v>
      </c>
      <c r="M55" s="147">
        <f t="shared" ca="1" si="6"/>
        <v>0</v>
      </c>
      <c r="N55" s="148">
        <f ca="1">IF(AND(Option_SPW="Y",Z54&gt;=SPW_Start_Min_FV,H55&gt;=Lock_In_Period,Z54&gt;SPW_Amount_pa+IF(option="Single",1/5*pr,2*pr),H55&gt;=SPW_Start_Year,H55&lt;=SPW_Start_Year+SPW_Duration-1,F55=0,age+H55&gt;=Legal_Age),SPW_Amount_pa,0)+IFERROR(VLOOKUP(H55,Input!$B$68:$C$74,2,0),0)*(F55=0)*(Option_PW="Y")*(Option_SPW="N")*(age+H55&gt;=Legal_Age)</f>
        <v>0</v>
      </c>
      <c r="O55" s="148">
        <f t="shared" ca="1" si="33"/>
        <v>0</v>
      </c>
      <c r="P55" s="14">
        <f ca="1">(MAX(MAX(sa-CF54*Flag_UL_Type,105%*SUM($I$7:I55))-(AD54+L55-N55)*Flag_UL_Type,0)*B55)</f>
        <v>1386368.5276295943</v>
      </c>
      <c r="Q55" s="213">
        <f t="shared" ca="1" si="7"/>
        <v>0</v>
      </c>
      <c r="R55" s="14">
        <f t="shared" ca="1" si="8"/>
        <v>0</v>
      </c>
      <c r="S55" s="14">
        <f t="shared" ca="1" si="9"/>
        <v>0</v>
      </c>
      <c r="T55" s="14">
        <f>IFERROR(IF(WoP_Flag="Y",IF(fq=1,VLOOKUP(ppt*fq-H55,Charges!$AN$41:$AO$59,2,FALSE),IF(fq=2,VLOOKUP(ppt*fq-G55,Charges!$AP$41:$AQ$79,2,FALSE),VLOOKUP(ppt*fq-D55,Charges!$AR$41:$AS$279,2,FALSE)))*pr/fq,0),0)</f>
        <v>0</v>
      </c>
      <c r="U55" s="14">
        <f ca="1">IFERROR(((T55*(VLOOKUP(Input!$D$18+H55-1,Tab_Mort_Charge,IF(Gender_2="M",2,3),FALSE)*(1+_emr2)+_rpm2)/IF(Model_Type="LA_PQIS",1000/0.0833,(12*1000))))*Flag_Mort_Rider_Charge*(T55&gt;0),0)</f>
        <v>0</v>
      </c>
      <c r="V55" s="34">
        <f>ROUND(MIN(IF(H55&gt;=7,Charges!$C$12*(1+Charges!$C$14)^((H55-7+1)),VLOOKUP(H55,Charges!$B$7:$C$12,2,0))*pr,Charges!$C$13)*B55,Round)</f>
        <v>450</v>
      </c>
      <c r="W55" s="14">
        <f t="shared" ca="1" si="10"/>
        <v>1613181.4723704057</v>
      </c>
      <c r="X55" s="14">
        <f t="shared" ca="1" si="11"/>
        <v>1623560.7305365365</v>
      </c>
      <c r="Y55" s="213">
        <f t="shared" ca="1" si="34"/>
        <v>1827.4998248777788</v>
      </c>
      <c r="Z55" s="14">
        <f t="shared" ca="1" si="12"/>
        <v>1621733.2307116587</v>
      </c>
      <c r="AA55" s="14">
        <f>IF(AND($H55=pt,$F55=11),SUM($K$7:K55)*VLOOKUP(pt,ROC,2,FALSE),0)</f>
        <v>0</v>
      </c>
      <c r="AB55" s="14">
        <f>IF(AND($H55=pt,$F55=11),SUM($V$7:V55)*VLOOKUP(pt,ROC,2,FALSE),0)</f>
        <v>0</v>
      </c>
      <c r="AC55" s="14">
        <f>IF(AND($H55=pt,$F55=11),SUM($Q$7:Q55)*VLOOKUP(pt,ROC,2,FALSE),0)</f>
        <v>0</v>
      </c>
      <c r="AD55" s="14">
        <f t="shared" ca="1" si="35"/>
        <v>1621733.2307116587</v>
      </c>
      <c r="AE55" s="14">
        <f ca="1">(MAX(sa-CF54*Flag_UL_Type,105%*SUM($I$7:I55),Z55)+AU55)*B55</f>
        <v>3000000</v>
      </c>
      <c r="AF55" s="136"/>
      <c r="AG55" s="18">
        <v>49</v>
      </c>
      <c r="AH55" s="30">
        <f t="shared" ca="1" si="13"/>
        <v>300000</v>
      </c>
      <c r="AI55" s="138"/>
      <c r="AJ55" s="50">
        <f>IF(AND(Option_Sys_TopUp&gt;="Y",H55&gt;=sytp,H55&lt;=(dtp+sytp-1),F55=0,H55&lt;=ppt+1),atp,0)+IFERROR(VLOOKUP(H55,Input!$B$55:$C$61,2,0),0)*(F55=0)*(Option_TopUP="Y")*(Option_Sys_TopUp="N")*B55*(pt&gt;=H55+5)</f>
        <v>0</v>
      </c>
      <c r="AK55" s="50">
        <f t="shared" si="14"/>
        <v>0</v>
      </c>
      <c r="AL55" s="50">
        <f t="shared" si="36"/>
        <v>0</v>
      </c>
      <c r="AM55" s="50">
        <f t="shared" ca="1" si="15"/>
        <v>0</v>
      </c>
      <c r="AN55" s="50">
        <f ca="1">IF(B55=0,0,AT55*(_rpm1+(1+_emr1)*VLOOKUP(E55,Tab_Mort_Charge,IF(Input!$C$12="M",2,3),0))*(0.001*0.0833)*Flag_Mort_Rider_Charge*(AT55&gt;0))</f>
        <v>0</v>
      </c>
      <c r="AO55" s="50">
        <f t="shared" ca="1" si="37"/>
        <v>0</v>
      </c>
      <c r="AP55" s="50">
        <f t="shared" ca="1" si="38"/>
        <v>0</v>
      </c>
      <c r="AQ55" s="50">
        <f t="shared" ca="1" si="16"/>
        <v>0</v>
      </c>
      <c r="AR55" s="50">
        <f t="shared" ca="1" si="17"/>
        <v>0</v>
      </c>
      <c r="AS55" s="50">
        <f t="shared" si="18"/>
        <v>0</v>
      </c>
      <c r="AT55" s="50">
        <f ca="1">(MAX((MAX(AS55,105%*SUM($AJ$7:AJ55))-AM55*Flag_UL_Type),0)*B55)</f>
        <v>0</v>
      </c>
      <c r="AU55" s="50">
        <f ca="1">(MAX(AS55,AR55,105%*SUM($AJ$7:AJ55))*B55)</f>
        <v>0</v>
      </c>
      <c r="AV55" s="125"/>
      <c r="AW55" s="13"/>
      <c r="AX55" s="13"/>
      <c r="AY55" s="13"/>
      <c r="AZ55" s="13"/>
      <c r="BA55" s="13"/>
      <c r="BG55" s="51">
        <f t="shared" si="21"/>
        <v>0</v>
      </c>
      <c r="BH55" s="51">
        <f t="shared" ca="1" si="22"/>
        <v>0</v>
      </c>
      <c r="BI55" s="51">
        <f t="shared" ca="1" si="46"/>
        <v>0</v>
      </c>
      <c r="BJ55" s="51">
        <f t="shared" ca="1" si="23"/>
        <v>0</v>
      </c>
      <c r="BK55" s="51">
        <f t="shared" si="24"/>
        <v>0</v>
      </c>
      <c r="BL55" s="51">
        <f t="shared" ca="1" si="25"/>
        <v>0</v>
      </c>
      <c r="BM55" s="51">
        <f t="shared" si="26"/>
        <v>0</v>
      </c>
      <c r="BN55" s="51">
        <f t="shared" ca="1" si="27"/>
        <v>0</v>
      </c>
      <c r="BO55" s="51">
        <f t="shared" ca="1" si="28"/>
        <v>0</v>
      </c>
      <c r="BP55" s="51">
        <f t="shared" ca="1" si="29"/>
        <v>0</v>
      </c>
      <c r="BR55" s="32"/>
      <c r="BS55" s="126"/>
      <c r="BT55" s="16"/>
      <c r="BU55" s="58"/>
      <c r="BW55" s="51">
        <f>VLOOKUP(H55,Charges!$AT$4:$AU$33,2,FALSE)*I55</f>
        <v>3000</v>
      </c>
      <c r="BX55" s="51">
        <f t="shared" si="30"/>
        <v>0</v>
      </c>
      <c r="BY55" s="51">
        <f t="shared" si="47"/>
        <v>3000</v>
      </c>
      <c r="BZ55" s="151"/>
      <c r="CA55" s="151"/>
      <c r="CB55" s="32"/>
      <c r="CC55" s="16">
        <f ca="1">SUM($N$7:$N55)</f>
        <v>0</v>
      </c>
      <c r="CD55" s="16">
        <f t="shared" ca="1" si="31"/>
        <v>0</v>
      </c>
      <c r="CE55" s="16">
        <f t="shared" ca="1" si="32"/>
        <v>0</v>
      </c>
      <c r="CF55" s="7">
        <f t="shared" ca="1" si="48"/>
        <v>0</v>
      </c>
    </row>
    <row r="56" spans="1:84" s="7" customFormat="1" x14ac:dyDescent="0.2">
      <c r="A56" s="149"/>
      <c r="B56" s="14">
        <f t="shared" si="0"/>
        <v>1</v>
      </c>
      <c r="C56" s="12">
        <f t="shared" si="1"/>
        <v>1</v>
      </c>
      <c r="D56" s="17">
        <f t="shared" si="49"/>
        <v>50</v>
      </c>
      <c r="E56" s="17">
        <f t="shared" ca="1" si="2"/>
        <v>64</v>
      </c>
      <c r="F56" s="12">
        <f t="shared" si="53"/>
        <v>1</v>
      </c>
      <c r="G56" s="12">
        <f t="shared" si="52"/>
        <v>9</v>
      </c>
      <c r="H56" s="17">
        <f t="shared" si="54"/>
        <v>5</v>
      </c>
      <c r="I56" s="29">
        <f t="shared" si="3"/>
        <v>0</v>
      </c>
      <c r="J56" s="211">
        <f>IFERROR(VLOOKUP(H56,Charges!$T$6:$U$35,2,0)*C56,0)</f>
        <v>0.97</v>
      </c>
      <c r="K56" s="29">
        <f t="shared" si="4"/>
        <v>0</v>
      </c>
      <c r="L56" s="29">
        <f t="shared" si="5"/>
        <v>0</v>
      </c>
      <c r="M56" s="147">
        <f t="shared" ca="1" si="6"/>
        <v>0</v>
      </c>
      <c r="N56" s="148">
        <f ca="1">IF(AND(Option_SPW="Y",Z55&gt;=SPW_Start_Min_FV,H56&gt;=Lock_In_Period,Z55&gt;SPW_Amount_pa+IF(option="Single",1/5*pr,2*pr),H56&gt;=SPW_Start_Year,H56&lt;=SPW_Start_Year+SPW_Duration-1,F56=0,age+H56&gt;=Legal_Age),SPW_Amount_pa,0)+IFERROR(VLOOKUP(H56,Input!$B$68:$C$74,2,0),0)*(F56=0)*(Option_PW="Y")*(Option_SPW="N")*(age+H56&gt;=Legal_Age)</f>
        <v>0</v>
      </c>
      <c r="O56" s="148">
        <f t="shared" ca="1" si="33"/>
        <v>0</v>
      </c>
      <c r="P56" s="14">
        <f ca="1">(MAX(MAX(sa-CF55*Flag_UL_Type,105%*SUM($I$7:I56))-(AD55+L56-N56)*Flag_UL_Type,0)*B56)</f>
        <v>1378266.7692883413</v>
      </c>
      <c r="Q56" s="213">
        <f t="shared" ca="1" si="7"/>
        <v>0</v>
      </c>
      <c r="R56" s="14">
        <f t="shared" ca="1" si="8"/>
        <v>0</v>
      </c>
      <c r="S56" s="14">
        <f t="shared" ca="1" si="9"/>
        <v>0</v>
      </c>
      <c r="T56" s="14">
        <f>IFERROR(IF(WoP_Flag="Y",IF(fq=1,VLOOKUP(ppt*fq-H56,Charges!$AN$41:$AO$59,2,FALSE),IF(fq=2,VLOOKUP(ppt*fq-G56,Charges!$AP$41:$AQ$79,2,FALSE),VLOOKUP(ppt*fq-D56,Charges!$AR$41:$AS$279,2,FALSE)))*pr/fq,0),0)</f>
        <v>0</v>
      </c>
      <c r="U56" s="14">
        <f ca="1">IFERROR(((T56*(VLOOKUP(Input!$D$18+H56-1,Tab_Mort_Charge,IF(Gender_2="M",2,3),FALSE)*(1+_emr2)+_rpm2)/IF(Model_Type="LA_PQIS",1000/0.0833,(12*1000))))*Flag_Mort_Rider_Charge*(T56&gt;0),0)</f>
        <v>0</v>
      </c>
      <c r="V56" s="34">
        <f>ROUND(MIN(IF(H56&gt;=7,Charges!$C$12*(1+Charges!$C$14)^((H56-7+1)),VLOOKUP(H56,Charges!$B$7:$C$12,2,0))*pr,Charges!$C$13)*B56,Round)</f>
        <v>450</v>
      </c>
      <c r="W56" s="14">
        <f t="shared" ca="1" si="10"/>
        <v>1621283.2307116587</v>
      </c>
      <c r="X56" s="14">
        <f t="shared" ca="1" si="11"/>
        <v>1631714.6158349011</v>
      </c>
      <c r="Y56" s="213">
        <f t="shared" ca="1" si="34"/>
        <v>1836.6779379440577</v>
      </c>
      <c r="Z56" s="14">
        <f t="shared" ca="1" si="12"/>
        <v>1629877.9378969572</v>
      </c>
      <c r="AA56" s="14">
        <f>IF(AND($H56=pt,$F56=11),SUM($K$7:K56)*VLOOKUP(pt,ROC,2,FALSE),0)</f>
        <v>0</v>
      </c>
      <c r="AB56" s="14">
        <f>IF(AND($H56=pt,$F56=11),SUM($V$7:V56)*VLOOKUP(pt,ROC,2,FALSE),0)</f>
        <v>0</v>
      </c>
      <c r="AC56" s="14">
        <f>IF(AND($H56=pt,$F56=11),SUM($Q$7:Q56)*VLOOKUP(pt,ROC,2,FALSE),0)</f>
        <v>0</v>
      </c>
      <c r="AD56" s="14">
        <f t="shared" ca="1" si="35"/>
        <v>1629877.9378969572</v>
      </c>
      <c r="AE56" s="14">
        <f ca="1">(MAX(sa-CF55*Flag_UL_Type,105%*SUM($I$7:I56),Z56)+AU56)*B56</f>
        <v>3000000</v>
      </c>
      <c r="AF56" s="136"/>
      <c r="AG56" s="18">
        <v>50</v>
      </c>
      <c r="AH56" s="30">
        <f t="shared" ca="1" si="13"/>
        <v>0</v>
      </c>
      <c r="AI56" s="138"/>
      <c r="AJ56" s="50">
        <f>IF(AND(Option_Sys_TopUp&gt;="Y",H56&gt;=sytp,H56&lt;=(dtp+sytp-1),F56=0,H56&lt;=ppt+1),atp,0)+IFERROR(VLOOKUP(H56,Input!$B$55:$C$61,2,0),0)*(F56=0)*(Option_TopUP="Y")*(Option_Sys_TopUp="N")*B56*(pt&gt;=H56+5)</f>
        <v>0</v>
      </c>
      <c r="AK56" s="50">
        <f t="shared" si="14"/>
        <v>0</v>
      </c>
      <c r="AL56" s="50">
        <f t="shared" si="36"/>
        <v>0</v>
      </c>
      <c r="AM56" s="50">
        <f t="shared" ca="1" si="15"/>
        <v>0</v>
      </c>
      <c r="AN56" s="50">
        <f ca="1">IF(B56=0,0,AT56*(_rpm1+(1+_emr1)*VLOOKUP(E56,Tab_Mort_Charge,IF(Input!$C$12="M",2,3),0))*(0.001*0.0833)*Flag_Mort_Rider_Charge*(AT56&gt;0))</f>
        <v>0</v>
      </c>
      <c r="AO56" s="50">
        <f t="shared" ca="1" si="37"/>
        <v>0</v>
      </c>
      <c r="AP56" s="50">
        <f t="shared" ca="1" si="38"/>
        <v>0</v>
      </c>
      <c r="AQ56" s="50">
        <f t="shared" ca="1" si="16"/>
        <v>0</v>
      </c>
      <c r="AR56" s="50">
        <f t="shared" ca="1" si="17"/>
        <v>0</v>
      </c>
      <c r="AS56" s="50">
        <f t="shared" si="18"/>
        <v>0</v>
      </c>
      <c r="AT56" s="50">
        <f ca="1">(MAX((MAX(AS56,105%*SUM($AJ$7:AJ56))-AM56*Flag_UL_Type),0)*B56)</f>
        <v>0</v>
      </c>
      <c r="AU56" s="50">
        <f ca="1">(MAX(AS56,AR56,105%*SUM($AJ$7:AJ56))*B56)</f>
        <v>0</v>
      </c>
      <c r="AV56" s="125"/>
      <c r="AW56" s="13"/>
      <c r="AX56" s="13"/>
      <c r="AY56" s="13"/>
      <c r="AZ56" s="13"/>
      <c r="BA56" s="13"/>
      <c r="BG56" s="51">
        <f t="shared" si="21"/>
        <v>0</v>
      </c>
      <c r="BH56" s="51">
        <f t="shared" ca="1" si="22"/>
        <v>0</v>
      </c>
      <c r="BI56" s="51">
        <f t="shared" ca="1" si="46"/>
        <v>0</v>
      </c>
      <c r="BJ56" s="51">
        <f t="shared" ca="1" si="23"/>
        <v>0</v>
      </c>
      <c r="BK56" s="51">
        <f t="shared" si="24"/>
        <v>0</v>
      </c>
      <c r="BL56" s="51">
        <f t="shared" ca="1" si="25"/>
        <v>0</v>
      </c>
      <c r="BM56" s="51">
        <f t="shared" si="26"/>
        <v>0</v>
      </c>
      <c r="BN56" s="51">
        <f t="shared" ca="1" si="27"/>
        <v>0</v>
      </c>
      <c r="BO56" s="51">
        <f t="shared" ca="1" si="28"/>
        <v>0</v>
      </c>
      <c r="BP56" s="51">
        <f t="shared" ca="1" si="29"/>
        <v>0</v>
      </c>
      <c r="BR56" s="32"/>
      <c r="BS56" s="126"/>
      <c r="BT56" s="16"/>
      <c r="BU56" s="58"/>
      <c r="BW56" s="51">
        <f>VLOOKUP(H56,Charges!$AT$4:$AU$33,2,FALSE)*I56</f>
        <v>0</v>
      </c>
      <c r="BX56" s="51">
        <f t="shared" si="30"/>
        <v>0</v>
      </c>
      <c r="BY56" s="51">
        <f t="shared" si="47"/>
        <v>0</v>
      </c>
      <c r="BZ56" s="151"/>
      <c r="CA56" s="151"/>
      <c r="CB56" s="32"/>
      <c r="CC56" s="16">
        <f ca="1">SUM($N$7:$N56)</f>
        <v>0</v>
      </c>
      <c r="CD56" s="16">
        <f t="shared" ca="1" si="31"/>
        <v>0</v>
      </c>
      <c r="CE56" s="16">
        <f t="shared" ca="1" si="32"/>
        <v>0</v>
      </c>
      <c r="CF56" s="7">
        <f t="shared" ca="1" si="48"/>
        <v>0</v>
      </c>
    </row>
    <row r="57" spans="1:84" s="7" customFormat="1" x14ac:dyDescent="0.2">
      <c r="A57" s="149"/>
      <c r="B57" s="14">
        <f t="shared" si="0"/>
        <v>1</v>
      </c>
      <c r="C57" s="12">
        <f t="shared" si="1"/>
        <v>1</v>
      </c>
      <c r="D57" s="17">
        <f t="shared" si="49"/>
        <v>51</v>
      </c>
      <c r="E57" s="17">
        <f t="shared" ca="1" si="2"/>
        <v>64</v>
      </c>
      <c r="F57" s="12">
        <f t="shared" si="53"/>
        <v>2</v>
      </c>
      <c r="G57" s="12">
        <f t="shared" si="52"/>
        <v>9</v>
      </c>
      <c r="H57" s="17">
        <f t="shared" si="54"/>
        <v>5</v>
      </c>
      <c r="I57" s="29">
        <f t="shared" si="3"/>
        <v>0</v>
      </c>
      <c r="J57" s="211">
        <f>IFERROR(VLOOKUP(H57,Charges!$T$6:$U$35,2,0)*C57,0)</f>
        <v>0.97</v>
      </c>
      <c r="K57" s="29">
        <f t="shared" si="4"/>
        <v>0</v>
      </c>
      <c r="L57" s="29">
        <f t="shared" si="5"/>
        <v>0</v>
      </c>
      <c r="M57" s="147">
        <f t="shared" ca="1" si="6"/>
        <v>0</v>
      </c>
      <c r="N57" s="148">
        <f ca="1">IF(AND(Option_SPW="Y",Z56&gt;=SPW_Start_Min_FV,H57&gt;=Lock_In_Period,Z56&gt;SPW_Amount_pa+IF(option="Single",1/5*pr,2*pr),H57&gt;=SPW_Start_Year,H57&lt;=SPW_Start_Year+SPW_Duration-1,F57=0,age+H57&gt;=Legal_Age),SPW_Amount_pa,0)+IFERROR(VLOOKUP(H57,Input!$B$68:$C$74,2,0),0)*(F57=0)*(Option_PW="Y")*(Option_SPW="N")*(age+H57&gt;=Legal_Age)</f>
        <v>0</v>
      </c>
      <c r="O57" s="148">
        <f t="shared" ca="1" si="33"/>
        <v>0</v>
      </c>
      <c r="P57" s="14">
        <f ca="1">(MAX(MAX(sa-CF56*Flag_UL_Type,105%*SUM($I$7:I57))-(AD56+L57-N57)*Flag_UL_Type,0)*B57)</f>
        <v>1370122.0621030428</v>
      </c>
      <c r="Q57" s="213">
        <f t="shared" ca="1" si="7"/>
        <v>0</v>
      </c>
      <c r="R57" s="14">
        <f t="shared" ca="1" si="8"/>
        <v>0</v>
      </c>
      <c r="S57" s="14">
        <f t="shared" ca="1" si="9"/>
        <v>0</v>
      </c>
      <c r="T57" s="14">
        <f>IFERROR(IF(WoP_Flag="Y",IF(fq=1,VLOOKUP(ppt*fq-H57,Charges!$AN$41:$AO$59,2,FALSE),IF(fq=2,VLOOKUP(ppt*fq-G57,Charges!$AP$41:$AQ$79,2,FALSE),VLOOKUP(ppt*fq-D57,Charges!$AR$41:$AS$279,2,FALSE)))*pr/fq,0),0)</f>
        <v>0</v>
      </c>
      <c r="U57" s="14">
        <f ca="1">IFERROR(((T57*(VLOOKUP(Input!$D$18+H57-1,Tab_Mort_Charge,IF(Gender_2="M",2,3),FALSE)*(1+_emr2)+_rpm2)/IF(Model_Type="LA_PQIS",1000/0.0833,(12*1000))))*Flag_Mort_Rider_Charge*(T57&gt;0),0)</f>
        <v>0</v>
      </c>
      <c r="V57" s="34">
        <f>ROUND(MIN(IF(H57&gt;=7,Charges!$C$12*(1+Charges!$C$14)^((H57-7+1)),VLOOKUP(H57,Charges!$B$7:$C$12,2,0))*pr,Charges!$C$13)*B57,Round)</f>
        <v>450</v>
      </c>
      <c r="W57" s="14">
        <f t="shared" ca="1" si="10"/>
        <v>1629427.9378969572</v>
      </c>
      <c r="X57" s="14">
        <f t="shared" ca="1" si="11"/>
        <v>1639911.7263114669</v>
      </c>
      <c r="Y57" s="213">
        <f t="shared" ca="1" si="34"/>
        <v>1845.9047057998418</v>
      </c>
      <c r="Z57" s="14">
        <f t="shared" ca="1" si="12"/>
        <v>1638065.821605667</v>
      </c>
      <c r="AA57" s="14">
        <f>IF(AND($H57=pt,$F57=11),SUM($K$7:K57)*VLOOKUP(pt,ROC,2,FALSE),0)</f>
        <v>0</v>
      </c>
      <c r="AB57" s="14">
        <f>IF(AND($H57=pt,$F57=11),SUM($V$7:V57)*VLOOKUP(pt,ROC,2,FALSE),0)</f>
        <v>0</v>
      </c>
      <c r="AC57" s="14">
        <f>IF(AND($H57=pt,$F57=11),SUM($Q$7:Q57)*VLOOKUP(pt,ROC,2,FALSE),0)</f>
        <v>0</v>
      </c>
      <c r="AD57" s="14">
        <f t="shared" ca="1" si="35"/>
        <v>1638065.821605667</v>
      </c>
      <c r="AE57" s="14">
        <f ca="1">(MAX(sa-CF56*Flag_UL_Type,105%*SUM($I$7:I57),Z57)+AU57)*B57</f>
        <v>3000000</v>
      </c>
      <c r="AF57" s="136"/>
      <c r="AG57" s="18">
        <v>51</v>
      </c>
      <c r="AH57" s="30">
        <f t="shared" ca="1" si="13"/>
        <v>0</v>
      </c>
      <c r="AI57" s="138"/>
      <c r="AJ57" s="50">
        <f>IF(AND(Option_Sys_TopUp&gt;="Y",H57&gt;=sytp,H57&lt;=(dtp+sytp-1),F57=0,H57&lt;=ppt+1),atp,0)+IFERROR(VLOOKUP(H57,Input!$B$55:$C$61,2,0),0)*(F57=0)*(Option_TopUP="Y")*(Option_Sys_TopUp="N")*B57*(pt&gt;=H57+5)</f>
        <v>0</v>
      </c>
      <c r="AK57" s="50">
        <f t="shared" si="14"/>
        <v>0</v>
      </c>
      <c r="AL57" s="50">
        <f t="shared" si="36"/>
        <v>0</v>
      </c>
      <c r="AM57" s="50">
        <f t="shared" ca="1" si="15"/>
        <v>0</v>
      </c>
      <c r="AN57" s="50">
        <f ca="1">IF(B57=0,0,AT57*(_rpm1+(1+_emr1)*VLOOKUP(E57,Tab_Mort_Charge,IF(Input!$C$12="M",2,3),0))*(0.001*0.0833)*Flag_Mort_Rider_Charge*(AT57&gt;0))</f>
        <v>0</v>
      </c>
      <c r="AO57" s="50">
        <f t="shared" ca="1" si="37"/>
        <v>0</v>
      </c>
      <c r="AP57" s="50">
        <f t="shared" ca="1" si="38"/>
        <v>0</v>
      </c>
      <c r="AQ57" s="50">
        <f t="shared" ca="1" si="16"/>
        <v>0</v>
      </c>
      <c r="AR57" s="50">
        <f t="shared" ca="1" si="17"/>
        <v>0</v>
      </c>
      <c r="AS57" s="50">
        <f t="shared" si="18"/>
        <v>0</v>
      </c>
      <c r="AT57" s="50">
        <f ca="1">(MAX((MAX(AS57,105%*SUM($AJ$7:AJ57))-AM57*Flag_UL_Type),0)*B57)</f>
        <v>0</v>
      </c>
      <c r="AU57" s="50">
        <f ca="1">(MAX(AS57,AR57,105%*SUM($AJ$7:AJ57))*B57)</f>
        <v>0</v>
      </c>
      <c r="AV57" s="125"/>
      <c r="AW57" s="13"/>
      <c r="AX57" s="13"/>
      <c r="AY57" s="13"/>
      <c r="AZ57" s="13"/>
      <c r="BA57" s="13"/>
      <c r="BG57" s="51">
        <f t="shared" si="21"/>
        <v>0</v>
      </c>
      <c r="BH57" s="51">
        <f t="shared" ca="1" si="22"/>
        <v>0</v>
      </c>
      <c r="BI57" s="51">
        <f t="shared" ca="1" si="46"/>
        <v>0</v>
      </c>
      <c r="BJ57" s="51">
        <f t="shared" ca="1" si="23"/>
        <v>0</v>
      </c>
      <c r="BK57" s="51">
        <f t="shared" si="24"/>
        <v>0</v>
      </c>
      <c r="BL57" s="51">
        <f t="shared" ca="1" si="25"/>
        <v>0</v>
      </c>
      <c r="BM57" s="51">
        <f t="shared" si="26"/>
        <v>0</v>
      </c>
      <c r="BN57" s="51">
        <f t="shared" ca="1" si="27"/>
        <v>0</v>
      </c>
      <c r="BO57" s="51">
        <f t="shared" ca="1" si="28"/>
        <v>0</v>
      </c>
      <c r="BP57" s="51">
        <f t="shared" ca="1" si="29"/>
        <v>0</v>
      </c>
      <c r="BR57" s="32"/>
      <c r="BS57" s="126"/>
      <c r="BT57" s="16"/>
      <c r="BU57" s="58"/>
      <c r="BW57" s="51">
        <f>VLOOKUP(H57,Charges!$AT$4:$AU$33,2,FALSE)*I57</f>
        <v>0</v>
      </c>
      <c r="BX57" s="51">
        <f t="shared" si="30"/>
        <v>0</v>
      </c>
      <c r="BY57" s="51">
        <f t="shared" si="47"/>
        <v>0</v>
      </c>
      <c r="BZ57" s="151"/>
      <c r="CA57" s="151"/>
      <c r="CB57" s="32"/>
      <c r="CC57" s="16">
        <f ca="1">SUM($N$7:$N57)</f>
        <v>0</v>
      </c>
      <c r="CD57" s="16">
        <f t="shared" ca="1" si="31"/>
        <v>0</v>
      </c>
      <c r="CE57" s="16">
        <f t="shared" ca="1" si="32"/>
        <v>0</v>
      </c>
      <c r="CF57" s="7">
        <f t="shared" ca="1" si="48"/>
        <v>0</v>
      </c>
    </row>
    <row r="58" spans="1:84" s="7" customFormat="1" x14ac:dyDescent="0.2">
      <c r="A58" s="149"/>
      <c r="B58" s="14">
        <f t="shared" si="0"/>
        <v>1</v>
      </c>
      <c r="C58" s="12">
        <f t="shared" si="1"/>
        <v>1</v>
      </c>
      <c r="D58" s="17">
        <f t="shared" si="49"/>
        <v>52</v>
      </c>
      <c r="E58" s="17">
        <f t="shared" ca="1" si="2"/>
        <v>64</v>
      </c>
      <c r="F58" s="12">
        <f t="shared" si="53"/>
        <v>3</v>
      </c>
      <c r="G58" s="12">
        <f t="shared" si="52"/>
        <v>9</v>
      </c>
      <c r="H58" s="17">
        <f t="shared" si="54"/>
        <v>5</v>
      </c>
      <c r="I58" s="29">
        <f t="shared" si="3"/>
        <v>0</v>
      </c>
      <c r="J58" s="211">
        <f>IFERROR(VLOOKUP(H58,Charges!$T$6:$U$35,2,0)*C58,0)</f>
        <v>0.97</v>
      </c>
      <c r="K58" s="29">
        <f t="shared" si="4"/>
        <v>0</v>
      </c>
      <c r="L58" s="29">
        <f t="shared" si="5"/>
        <v>0</v>
      </c>
      <c r="M58" s="147">
        <f t="shared" ca="1" si="6"/>
        <v>0</v>
      </c>
      <c r="N58" s="148">
        <f ca="1">IF(AND(Option_SPW="Y",Z57&gt;=SPW_Start_Min_FV,H58&gt;=Lock_In_Period,Z57&gt;SPW_Amount_pa+IF(option="Single",1/5*pr,2*pr),H58&gt;=SPW_Start_Year,H58&lt;=SPW_Start_Year+SPW_Duration-1,F58=0,age+H58&gt;=Legal_Age),SPW_Amount_pa,0)+IFERROR(VLOOKUP(H58,Input!$B$68:$C$74,2,0),0)*(F58=0)*(Option_PW="Y")*(Option_SPW="N")*(age+H58&gt;=Legal_Age)</f>
        <v>0</v>
      </c>
      <c r="O58" s="148">
        <f t="shared" ca="1" si="33"/>
        <v>0</v>
      </c>
      <c r="P58" s="14">
        <f ca="1">(MAX(MAX(sa-CF57*Flag_UL_Type,105%*SUM($I$7:I58))-(AD57+L58-N58)*Flag_UL_Type,0)*B58)</f>
        <v>1361934.178394333</v>
      </c>
      <c r="Q58" s="213">
        <f t="shared" ca="1" si="7"/>
        <v>0</v>
      </c>
      <c r="R58" s="14">
        <f t="shared" ca="1" si="8"/>
        <v>0</v>
      </c>
      <c r="S58" s="14">
        <f t="shared" ca="1" si="9"/>
        <v>0</v>
      </c>
      <c r="T58" s="14">
        <f>IFERROR(IF(WoP_Flag="Y",IF(fq=1,VLOOKUP(ppt*fq-H58,Charges!$AN$41:$AO$59,2,FALSE),IF(fq=2,VLOOKUP(ppt*fq-G58,Charges!$AP$41:$AQ$79,2,FALSE),VLOOKUP(ppt*fq-D58,Charges!$AR$41:$AS$279,2,FALSE)))*pr/fq,0),0)</f>
        <v>0</v>
      </c>
      <c r="U58" s="14">
        <f ca="1">IFERROR(((T58*(VLOOKUP(Input!$D$18+H58-1,Tab_Mort_Charge,IF(Gender_2="M",2,3),FALSE)*(1+_emr2)+_rpm2)/IF(Model_Type="LA_PQIS",1000/0.0833,(12*1000))))*Flag_Mort_Rider_Charge*(T58&gt;0),0)</f>
        <v>0</v>
      </c>
      <c r="V58" s="34">
        <f>ROUND(MIN(IF(H58&gt;=7,Charges!$C$12*(1+Charges!$C$14)^((H58-7+1)),VLOOKUP(H58,Charges!$B$7:$C$12,2,0))*pr,Charges!$C$13)*B58,Round)</f>
        <v>450</v>
      </c>
      <c r="W58" s="14">
        <f t="shared" ca="1" si="10"/>
        <v>1637615.821605667</v>
      </c>
      <c r="X58" s="14">
        <f t="shared" ca="1" si="11"/>
        <v>1648152.2911104958</v>
      </c>
      <c r="Y58" s="213">
        <f t="shared" ca="1" si="34"/>
        <v>1855.1803863727162</v>
      </c>
      <c r="Z58" s="14">
        <f t="shared" ca="1" si="12"/>
        <v>1646297.1107241232</v>
      </c>
      <c r="AA58" s="14">
        <f>IF(AND($H58=pt,$F58=11),SUM($K$7:K58)*VLOOKUP(pt,ROC,2,FALSE),0)</f>
        <v>0</v>
      </c>
      <c r="AB58" s="14">
        <f>IF(AND($H58=pt,$F58=11),SUM($V$7:V58)*VLOOKUP(pt,ROC,2,FALSE),0)</f>
        <v>0</v>
      </c>
      <c r="AC58" s="14">
        <f>IF(AND($H58=pt,$F58=11),SUM($Q$7:Q58)*VLOOKUP(pt,ROC,2,FALSE),0)</f>
        <v>0</v>
      </c>
      <c r="AD58" s="14">
        <f t="shared" ca="1" si="35"/>
        <v>1646297.1107241232</v>
      </c>
      <c r="AE58" s="14">
        <f ca="1">(MAX(sa-CF57*Flag_UL_Type,105%*SUM($I$7:I58),Z58)+AU58)*B58</f>
        <v>3000000</v>
      </c>
      <c r="AF58" s="136"/>
      <c r="AG58" s="18">
        <v>52</v>
      </c>
      <c r="AH58" s="30">
        <f t="shared" ca="1" si="13"/>
        <v>0</v>
      </c>
      <c r="AI58" s="138"/>
      <c r="AJ58" s="50">
        <f>IF(AND(Option_Sys_TopUp&gt;="Y",H58&gt;=sytp,H58&lt;=(dtp+sytp-1),F58=0,H58&lt;=ppt+1),atp,0)+IFERROR(VLOOKUP(H58,Input!$B$55:$C$61,2,0),0)*(F58=0)*(Option_TopUP="Y")*(Option_Sys_TopUp="N")*B58*(pt&gt;=H58+5)</f>
        <v>0</v>
      </c>
      <c r="AK58" s="50">
        <f t="shared" si="14"/>
        <v>0</v>
      </c>
      <c r="AL58" s="50">
        <f t="shared" si="36"/>
        <v>0</v>
      </c>
      <c r="AM58" s="50">
        <f t="shared" ca="1" si="15"/>
        <v>0</v>
      </c>
      <c r="AN58" s="50">
        <f ca="1">IF(B58=0,0,AT58*(_rpm1+(1+_emr1)*VLOOKUP(E58,Tab_Mort_Charge,IF(Input!$C$12="M",2,3),0))*(0.001*0.0833)*Flag_Mort_Rider_Charge*(AT58&gt;0))</f>
        <v>0</v>
      </c>
      <c r="AO58" s="50">
        <f t="shared" ca="1" si="37"/>
        <v>0</v>
      </c>
      <c r="AP58" s="50">
        <f t="shared" ca="1" si="38"/>
        <v>0</v>
      </c>
      <c r="AQ58" s="50">
        <f t="shared" ca="1" si="16"/>
        <v>0</v>
      </c>
      <c r="AR58" s="50">
        <f t="shared" ca="1" si="17"/>
        <v>0</v>
      </c>
      <c r="AS58" s="50">
        <f t="shared" si="18"/>
        <v>0</v>
      </c>
      <c r="AT58" s="50">
        <f ca="1">(MAX((MAX(AS58,105%*SUM($AJ$7:AJ58))-AM58*Flag_UL_Type),0)*B58)</f>
        <v>0</v>
      </c>
      <c r="AU58" s="50">
        <f ca="1">(MAX(AS58,AR58,105%*SUM($AJ$7:AJ58))*B58)</f>
        <v>0</v>
      </c>
      <c r="AV58" s="125"/>
      <c r="AW58" s="13"/>
      <c r="AX58" s="13"/>
      <c r="AY58" s="13"/>
      <c r="AZ58" s="13"/>
      <c r="BA58" s="13"/>
      <c r="BG58" s="51">
        <f t="shared" si="21"/>
        <v>0</v>
      </c>
      <c r="BH58" s="51">
        <f t="shared" ca="1" si="22"/>
        <v>0</v>
      </c>
      <c r="BI58" s="51">
        <f t="shared" ca="1" si="46"/>
        <v>0</v>
      </c>
      <c r="BJ58" s="51">
        <f t="shared" ca="1" si="23"/>
        <v>0</v>
      </c>
      <c r="BK58" s="51">
        <f t="shared" si="24"/>
        <v>0</v>
      </c>
      <c r="BL58" s="51">
        <f t="shared" ca="1" si="25"/>
        <v>0</v>
      </c>
      <c r="BM58" s="51">
        <f t="shared" si="26"/>
        <v>0</v>
      </c>
      <c r="BN58" s="51">
        <f t="shared" ca="1" si="27"/>
        <v>0</v>
      </c>
      <c r="BO58" s="51">
        <f t="shared" ca="1" si="28"/>
        <v>0</v>
      </c>
      <c r="BP58" s="51">
        <f t="shared" ca="1" si="29"/>
        <v>0</v>
      </c>
      <c r="BR58" s="32"/>
      <c r="BS58" s="126"/>
      <c r="BT58" s="16"/>
      <c r="BU58" s="58"/>
      <c r="BW58" s="51">
        <f>VLOOKUP(H58,Charges!$AT$4:$AU$33,2,FALSE)*I58</f>
        <v>0</v>
      </c>
      <c r="BX58" s="51">
        <f t="shared" si="30"/>
        <v>0</v>
      </c>
      <c r="BY58" s="51">
        <f t="shared" si="47"/>
        <v>0</v>
      </c>
      <c r="BZ58" s="151"/>
      <c r="CA58" s="151"/>
      <c r="CB58" s="32"/>
      <c r="CC58" s="16">
        <f ca="1">SUM($N$7:$N58)</f>
        <v>0</v>
      </c>
      <c r="CD58" s="16">
        <f t="shared" ca="1" si="31"/>
        <v>0</v>
      </c>
      <c r="CE58" s="16">
        <f t="shared" ca="1" si="32"/>
        <v>0</v>
      </c>
      <c r="CF58" s="7">
        <f t="shared" ca="1" si="48"/>
        <v>0</v>
      </c>
    </row>
    <row r="59" spans="1:84" s="7" customFormat="1" x14ac:dyDescent="0.2">
      <c r="A59" s="149"/>
      <c r="B59" s="14">
        <f t="shared" si="0"/>
        <v>1</v>
      </c>
      <c r="C59" s="12">
        <f t="shared" si="1"/>
        <v>1</v>
      </c>
      <c r="D59" s="17">
        <f t="shared" si="49"/>
        <v>53</v>
      </c>
      <c r="E59" s="17">
        <f t="shared" ca="1" si="2"/>
        <v>64</v>
      </c>
      <c r="F59" s="12">
        <f t="shared" si="53"/>
        <v>4</v>
      </c>
      <c r="G59" s="12">
        <f t="shared" si="52"/>
        <v>9</v>
      </c>
      <c r="H59" s="17">
        <f t="shared" si="54"/>
        <v>5</v>
      </c>
      <c r="I59" s="29">
        <f t="shared" si="3"/>
        <v>0</v>
      </c>
      <c r="J59" s="211">
        <f>IFERROR(VLOOKUP(H59,Charges!$T$6:$U$35,2,0)*C59,0)</f>
        <v>0.97</v>
      </c>
      <c r="K59" s="29">
        <f t="shared" si="4"/>
        <v>0</v>
      </c>
      <c r="L59" s="29">
        <f t="shared" si="5"/>
        <v>0</v>
      </c>
      <c r="M59" s="147">
        <f t="shared" ca="1" si="6"/>
        <v>0</v>
      </c>
      <c r="N59" s="148">
        <f ca="1">IF(AND(Option_SPW="Y",Z58&gt;=SPW_Start_Min_FV,H59&gt;=Lock_In_Period,Z58&gt;SPW_Amount_pa+IF(option="Single",1/5*pr,2*pr),H59&gt;=SPW_Start_Year,H59&lt;=SPW_Start_Year+SPW_Duration-1,F59=0,age+H59&gt;=Legal_Age),SPW_Amount_pa,0)+IFERROR(VLOOKUP(H59,Input!$B$68:$C$74,2,0),0)*(F59=0)*(Option_PW="Y")*(Option_SPW="N")*(age+H59&gt;=Legal_Age)</f>
        <v>0</v>
      </c>
      <c r="O59" s="148">
        <f t="shared" ca="1" si="33"/>
        <v>0</v>
      </c>
      <c r="P59" s="14">
        <f ca="1">(MAX(MAX(sa-CF58*Flag_UL_Type,105%*SUM($I$7:I59))-(AD58+L59-N59)*Flag_UL_Type,0)*B59)</f>
        <v>1353702.8892758768</v>
      </c>
      <c r="Q59" s="213">
        <f t="shared" ca="1" si="7"/>
        <v>0</v>
      </c>
      <c r="R59" s="14">
        <f t="shared" ca="1" si="8"/>
        <v>0</v>
      </c>
      <c r="S59" s="14">
        <f t="shared" ca="1" si="9"/>
        <v>0</v>
      </c>
      <c r="T59" s="14">
        <f>IFERROR(IF(WoP_Flag="Y",IF(fq=1,VLOOKUP(ppt*fq-H59,Charges!$AN$41:$AO$59,2,FALSE),IF(fq=2,VLOOKUP(ppt*fq-G59,Charges!$AP$41:$AQ$79,2,FALSE),VLOOKUP(ppt*fq-D59,Charges!$AR$41:$AS$279,2,FALSE)))*pr/fq,0),0)</f>
        <v>0</v>
      </c>
      <c r="U59" s="14">
        <f ca="1">IFERROR(((T59*(VLOOKUP(Input!$D$18+H59-1,Tab_Mort_Charge,IF(Gender_2="M",2,3),FALSE)*(1+_emr2)+_rpm2)/IF(Model_Type="LA_PQIS",1000/0.0833,(12*1000))))*Flag_Mort_Rider_Charge*(T59&gt;0),0)</f>
        <v>0</v>
      </c>
      <c r="V59" s="34">
        <f>ROUND(MIN(IF(H59&gt;=7,Charges!$C$12*(1+Charges!$C$14)^((H59-7+1)),VLOOKUP(H59,Charges!$B$7:$C$12,2,0))*pr,Charges!$C$13)*B59,Round)</f>
        <v>450</v>
      </c>
      <c r="W59" s="14">
        <f t="shared" ca="1" si="10"/>
        <v>1645847.1107241232</v>
      </c>
      <c r="X59" s="14">
        <f t="shared" ca="1" si="11"/>
        <v>1656436.5405909843</v>
      </c>
      <c r="Y59" s="213">
        <f t="shared" ca="1" si="34"/>
        <v>1864.5052389575858</v>
      </c>
      <c r="Z59" s="14">
        <f t="shared" ca="1" si="12"/>
        <v>1654572.0353520268</v>
      </c>
      <c r="AA59" s="14">
        <f>IF(AND($H59=pt,$F59=11),SUM($K$7:K59)*VLOOKUP(pt,ROC,2,FALSE),0)</f>
        <v>0</v>
      </c>
      <c r="AB59" s="14">
        <f>IF(AND($H59=pt,$F59=11),SUM($V$7:V59)*VLOOKUP(pt,ROC,2,FALSE),0)</f>
        <v>0</v>
      </c>
      <c r="AC59" s="14">
        <f>IF(AND($H59=pt,$F59=11),SUM($Q$7:Q59)*VLOOKUP(pt,ROC,2,FALSE),0)</f>
        <v>0</v>
      </c>
      <c r="AD59" s="14">
        <f t="shared" ca="1" si="35"/>
        <v>1654572.0353520268</v>
      </c>
      <c r="AE59" s="14">
        <f ca="1">(MAX(sa-CF58*Flag_UL_Type,105%*SUM($I$7:I59),Z59)+AU59)*B59</f>
        <v>3000000</v>
      </c>
      <c r="AF59" s="136"/>
      <c r="AG59" s="18">
        <v>53</v>
      </c>
      <c r="AH59" s="30">
        <f t="shared" ca="1" si="13"/>
        <v>0</v>
      </c>
      <c r="AI59" s="138"/>
      <c r="AJ59" s="50">
        <f>IF(AND(Option_Sys_TopUp&gt;="Y",H59&gt;=sytp,H59&lt;=(dtp+sytp-1),F59=0,H59&lt;=ppt+1),atp,0)+IFERROR(VLOOKUP(H59,Input!$B$55:$C$61,2,0),0)*(F59=0)*(Option_TopUP="Y")*(Option_Sys_TopUp="N")*B59*(pt&gt;=H59+5)</f>
        <v>0</v>
      </c>
      <c r="AK59" s="50">
        <f t="shared" si="14"/>
        <v>0</v>
      </c>
      <c r="AL59" s="50">
        <f t="shared" si="36"/>
        <v>0</v>
      </c>
      <c r="AM59" s="50">
        <f t="shared" ca="1" si="15"/>
        <v>0</v>
      </c>
      <c r="AN59" s="50">
        <f ca="1">IF(B59=0,0,AT59*(_rpm1+(1+_emr1)*VLOOKUP(E59,Tab_Mort_Charge,IF(Input!$C$12="M",2,3),0))*(0.001*0.0833)*Flag_Mort_Rider_Charge*(AT59&gt;0))</f>
        <v>0</v>
      </c>
      <c r="AO59" s="50">
        <f t="shared" ca="1" si="37"/>
        <v>0</v>
      </c>
      <c r="AP59" s="50">
        <f t="shared" ca="1" si="38"/>
        <v>0</v>
      </c>
      <c r="AQ59" s="50">
        <f t="shared" ca="1" si="16"/>
        <v>0</v>
      </c>
      <c r="AR59" s="50">
        <f t="shared" ca="1" si="17"/>
        <v>0</v>
      </c>
      <c r="AS59" s="50">
        <f t="shared" si="18"/>
        <v>0</v>
      </c>
      <c r="AT59" s="50">
        <f ca="1">(MAX((MAX(AS59,105%*SUM($AJ$7:AJ59))-AM59*Flag_UL_Type),0)*B59)</f>
        <v>0</v>
      </c>
      <c r="AU59" s="50">
        <f ca="1">(MAX(AS59,AR59,105%*SUM($AJ$7:AJ59))*B59)</f>
        <v>0</v>
      </c>
      <c r="AV59" s="125"/>
      <c r="AW59" s="13"/>
      <c r="AX59" s="13"/>
      <c r="AY59" s="13"/>
      <c r="AZ59" s="13"/>
      <c r="BA59" s="13"/>
      <c r="BG59" s="51">
        <f t="shared" si="21"/>
        <v>0</v>
      </c>
      <c r="BH59" s="51">
        <f t="shared" ca="1" si="22"/>
        <v>0</v>
      </c>
      <c r="BI59" s="51">
        <f t="shared" ca="1" si="46"/>
        <v>0</v>
      </c>
      <c r="BJ59" s="51">
        <f t="shared" ca="1" si="23"/>
        <v>0</v>
      </c>
      <c r="BK59" s="51">
        <f t="shared" si="24"/>
        <v>0</v>
      </c>
      <c r="BL59" s="51">
        <f t="shared" ca="1" si="25"/>
        <v>0</v>
      </c>
      <c r="BM59" s="51">
        <f t="shared" si="26"/>
        <v>0</v>
      </c>
      <c r="BN59" s="51">
        <f t="shared" ca="1" si="27"/>
        <v>0</v>
      </c>
      <c r="BO59" s="51">
        <f t="shared" ca="1" si="28"/>
        <v>0</v>
      </c>
      <c r="BP59" s="51">
        <f t="shared" ca="1" si="29"/>
        <v>0</v>
      </c>
      <c r="BR59" s="32"/>
      <c r="BS59" s="126"/>
      <c r="BT59" s="16"/>
      <c r="BU59" s="58"/>
      <c r="BW59" s="51">
        <f>VLOOKUP(H59,Charges!$AT$4:$AU$33,2,FALSE)*I59</f>
        <v>0</v>
      </c>
      <c r="BX59" s="51">
        <f t="shared" si="30"/>
        <v>0</v>
      </c>
      <c r="BY59" s="51">
        <f t="shared" si="47"/>
        <v>0</v>
      </c>
      <c r="BZ59" s="151"/>
      <c r="CA59" s="151"/>
      <c r="CB59" s="32"/>
      <c r="CC59" s="16">
        <f ca="1">SUM($N$7:$N59)</f>
        <v>0</v>
      </c>
      <c r="CD59" s="16">
        <f t="shared" ca="1" si="31"/>
        <v>0</v>
      </c>
      <c r="CE59" s="16">
        <f t="shared" ca="1" si="32"/>
        <v>0</v>
      </c>
      <c r="CF59" s="7">
        <f t="shared" ca="1" si="48"/>
        <v>0</v>
      </c>
    </row>
    <row r="60" spans="1:84" s="7" customFormat="1" x14ac:dyDescent="0.2">
      <c r="A60" s="149"/>
      <c r="B60" s="14">
        <f t="shared" si="0"/>
        <v>1</v>
      </c>
      <c r="C60" s="12">
        <f t="shared" si="1"/>
        <v>1</v>
      </c>
      <c r="D60" s="17">
        <f t="shared" si="49"/>
        <v>54</v>
      </c>
      <c r="E60" s="17">
        <f t="shared" ca="1" si="2"/>
        <v>64</v>
      </c>
      <c r="F60" s="12">
        <f t="shared" si="53"/>
        <v>5</v>
      </c>
      <c r="G60" s="12">
        <f t="shared" si="52"/>
        <v>9</v>
      </c>
      <c r="H60" s="17">
        <f t="shared" si="54"/>
        <v>5</v>
      </c>
      <c r="I60" s="29">
        <f t="shared" si="3"/>
        <v>0</v>
      </c>
      <c r="J60" s="211">
        <f>IFERROR(VLOOKUP(H60,Charges!$T$6:$U$35,2,0)*C60,0)</f>
        <v>0.97</v>
      </c>
      <c r="K60" s="29">
        <f t="shared" si="4"/>
        <v>0</v>
      </c>
      <c r="L60" s="29">
        <f t="shared" si="5"/>
        <v>0</v>
      </c>
      <c r="M60" s="147">
        <f t="shared" ca="1" si="6"/>
        <v>0</v>
      </c>
      <c r="N60" s="148">
        <f ca="1">IF(AND(Option_SPW="Y",Z59&gt;=SPW_Start_Min_FV,H60&gt;=Lock_In_Period,Z59&gt;SPW_Amount_pa+IF(option="Single",1/5*pr,2*pr),H60&gt;=SPW_Start_Year,H60&lt;=SPW_Start_Year+SPW_Duration-1,F60=0,age+H60&gt;=Legal_Age),SPW_Amount_pa,0)+IFERROR(VLOOKUP(H60,Input!$B$68:$C$74,2,0),0)*(F60=0)*(Option_PW="Y")*(Option_SPW="N")*(age+H60&gt;=Legal_Age)</f>
        <v>0</v>
      </c>
      <c r="O60" s="148">
        <f t="shared" ca="1" si="33"/>
        <v>0</v>
      </c>
      <c r="P60" s="14">
        <f ca="1">(MAX(MAX(sa-CF59*Flag_UL_Type,105%*SUM($I$7:I60))-(AD59+L60-N60)*Flag_UL_Type,0)*B60)</f>
        <v>1345427.9646479732</v>
      </c>
      <c r="Q60" s="213">
        <f t="shared" ca="1" si="7"/>
        <v>0</v>
      </c>
      <c r="R60" s="14">
        <f t="shared" ca="1" si="8"/>
        <v>0</v>
      </c>
      <c r="S60" s="14">
        <f t="shared" ca="1" si="9"/>
        <v>0</v>
      </c>
      <c r="T60" s="14">
        <f>IFERROR(IF(WoP_Flag="Y",IF(fq=1,VLOOKUP(ppt*fq-H60,Charges!$AN$41:$AO$59,2,FALSE),IF(fq=2,VLOOKUP(ppt*fq-G60,Charges!$AP$41:$AQ$79,2,FALSE),VLOOKUP(ppt*fq-D60,Charges!$AR$41:$AS$279,2,FALSE)))*pr/fq,0),0)</f>
        <v>0</v>
      </c>
      <c r="U60" s="14">
        <f ca="1">IFERROR(((T60*(VLOOKUP(Input!$D$18+H60-1,Tab_Mort_Charge,IF(Gender_2="M",2,3),FALSE)*(1+_emr2)+_rpm2)/IF(Model_Type="LA_PQIS",1000/0.0833,(12*1000))))*Flag_Mort_Rider_Charge*(T60&gt;0),0)</f>
        <v>0</v>
      </c>
      <c r="V60" s="34">
        <f>ROUND(MIN(IF(H60&gt;=7,Charges!$C$12*(1+Charges!$C$14)^((H60-7+1)),VLOOKUP(H60,Charges!$B$7:$C$12,2,0))*pr,Charges!$C$13)*B60,Round)</f>
        <v>450</v>
      </c>
      <c r="W60" s="14">
        <f t="shared" ca="1" si="10"/>
        <v>1654122.0353520268</v>
      </c>
      <c r="X60" s="14">
        <f t="shared" ca="1" si="11"/>
        <v>1664764.706333102</v>
      </c>
      <c r="Y60" s="213">
        <f t="shared" ca="1" si="34"/>
        <v>1873.8795242239235</v>
      </c>
      <c r="Z60" s="14">
        <f t="shared" ca="1" si="12"/>
        <v>1662890.826808878</v>
      </c>
      <c r="AA60" s="14">
        <f>IF(AND($H60=pt,$F60=11),SUM($K$7:K60)*VLOOKUP(pt,ROC,2,FALSE),0)</f>
        <v>0</v>
      </c>
      <c r="AB60" s="14">
        <f>IF(AND($H60=pt,$F60=11),SUM($V$7:V60)*VLOOKUP(pt,ROC,2,FALSE),0)</f>
        <v>0</v>
      </c>
      <c r="AC60" s="14">
        <f>IF(AND($H60=pt,$F60=11),SUM($Q$7:Q60)*VLOOKUP(pt,ROC,2,FALSE),0)</f>
        <v>0</v>
      </c>
      <c r="AD60" s="14">
        <f t="shared" ca="1" si="35"/>
        <v>1662890.826808878</v>
      </c>
      <c r="AE60" s="14">
        <f ca="1">(MAX(sa-CF59*Flag_UL_Type,105%*SUM($I$7:I60),Z60)+AU60)*B60</f>
        <v>3000000</v>
      </c>
      <c r="AF60" s="136"/>
      <c r="AG60" s="18">
        <v>54</v>
      </c>
      <c r="AH60" s="30">
        <f t="shared" ca="1" si="13"/>
        <v>0</v>
      </c>
      <c r="AI60" s="138"/>
      <c r="AJ60" s="50">
        <f>IF(AND(Option_Sys_TopUp&gt;="Y",H60&gt;=sytp,H60&lt;=(dtp+sytp-1),F60=0,H60&lt;=ppt+1),atp,0)+IFERROR(VLOOKUP(H60,Input!$B$55:$C$61,2,0),0)*(F60=0)*(Option_TopUP="Y")*(Option_Sys_TopUp="N")*B60*(pt&gt;=H60+5)</f>
        <v>0</v>
      </c>
      <c r="AK60" s="50">
        <f t="shared" si="14"/>
        <v>0</v>
      </c>
      <c r="AL60" s="50">
        <f t="shared" si="36"/>
        <v>0</v>
      </c>
      <c r="AM60" s="50">
        <f t="shared" ca="1" si="15"/>
        <v>0</v>
      </c>
      <c r="AN60" s="50">
        <f ca="1">IF(B60=0,0,AT60*(_rpm1+(1+_emr1)*VLOOKUP(E60,Tab_Mort_Charge,IF(Input!$C$12="M",2,3),0))*(0.001*0.0833)*Flag_Mort_Rider_Charge*(AT60&gt;0))</f>
        <v>0</v>
      </c>
      <c r="AO60" s="50">
        <f t="shared" ca="1" si="37"/>
        <v>0</v>
      </c>
      <c r="AP60" s="50">
        <f t="shared" ca="1" si="38"/>
        <v>0</v>
      </c>
      <c r="AQ60" s="50">
        <f t="shared" ca="1" si="16"/>
        <v>0</v>
      </c>
      <c r="AR60" s="50">
        <f t="shared" ca="1" si="17"/>
        <v>0</v>
      </c>
      <c r="AS60" s="50">
        <f t="shared" si="18"/>
        <v>0</v>
      </c>
      <c r="AT60" s="50">
        <f ca="1">(MAX((MAX(AS60,105%*SUM($AJ$7:AJ60))-AM60*Flag_UL_Type),0)*B60)</f>
        <v>0</v>
      </c>
      <c r="AU60" s="50">
        <f ca="1">(MAX(AS60,AR60,105%*SUM($AJ$7:AJ60))*B60)</f>
        <v>0</v>
      </c>
      <c r="AV60" s="125"/>
      <c r="AW60" s="13"/>
      <c r="AX60" s="13"/>
      <c r="AY60" s="13"/>
      <c r="AZ60" s="13"/>
      <c r="BA60" s="13"/>
      <c r="BG60" s="51">
        <f t="shared" si="21"/>
        <v>0</v>
      </c>
      <c r="BH60" s="51">
        <f t="shared" ca="1" si="22"/>
        <v>0</v>
      </c>
      <c r="BI60" s="51">
        <f t="shared" ca="1" si="46"/>
        <v>0</v>
      </c>
      <c r="BJ60" s="51">
        <f t="shared" ca="1" si="23"/>
        <v>0</v>
      </c>
      <c r="BK60" s="51">
        <f t="shared" si="24"/>
        <v>0</v>
      </c>
      <c r="BL60" s="51">
        <f t="shared" ca="1" si="25"/>
        <v>0</v>
      </c>
      <c r="BM60" s="51">
        <f t="shared" si="26"/>
        <v>0</v>
      </c>
      <c r="BN60" s="51">
        <f t="shared" ca="1" si="27"/>
        <v>0</v>
      </c>
      <c r="BO60" s="51">
        <f t="shared" ca="1" si="28"/>
        <v>0</v>
      </c>
      <c r="BP60" s="51">
        <f t="shared" ca="1" si="29"/>
        <v>0</v>
      </c>
      <c r="BR60" s="32"/>
      <c r="BS60" s="126"/>
      <c r="BT60" s="16"/>
      <c r="BU60" s="58"/>
      <c r="BW60" s="51">
        <f>VLOOKUP(H60,Charges!$AT$4:$AU$33,2,FALSE)*I60</f>
        <v>0</v>
      </c>
      <c r="BX60" s="51">
        <f t="shared" si="30"/>
        <v>0</v>
      </c>
      <c r="BY60" s="51">
        <f t="shared" si="47"/>
        <v>0</v>
      </c>
      <c r="BZ60" s="151"/>
      <c r="CA60" s="151"/>
      <c r="CB60" s="32"/>
      <c r="CC60" s="16">
        <f ca="1">SUM($N$7:$N60)</f>
        <v>0</v>
      </c>
      <c r="CD60" s="16">
        <f t="shared" ca="1" si="31"/>
        <v>0</v>
      </c>
      <c r="CE60" s="16">
        <f t="shared" ca="1" si="32"/>
        <v>0</v>
      </c>
      <c r="CF60" s="7">
        <f t="shared" ca="1" si="48"/>
        <v>0</v>
      </c>
    </row>
    <row r="61" spans="1:84" s="7" customFormat="1" x14ac:dyDescent="0.2">
      <c r="A61" s="149"/>
      <c r="B61" s="14">
        <f t="shared" si="0"/>
        <v>1</v>
      </c>
      <c r="C61" s="12">
        <f t="shared" si="1"/>
        <v>1</v>
      </c>
      <c r="D61" s="17">
        <f t="shared" si="49"/>
        <v>55</v>
      </c>
      <c r="E61" s="17">
        <f t="shared" ca="1" si="2"/>
        <v>64</v>
      </c>
      <c r="F61" s="12">
        <f t="shared" si="53"/>
        <v>6</v>
      </c>
      <c r="G61" s="12">
        <f t="shared" si="52"/>
        <v>10</v>
      </c>
      <c r="H61" s="17">
        <f t="shared" si="54"/>
        <v>5</v>
      </c>
      <c r="I61" s="29">
        <f t="shared" si="3"/>
        <v>0</v>
      </c>
      <c r="J61" s="211">
        <f>IFERROR(VLOOKUP(H61,Charges!$T$6:$U$35,2,0)*C61,0)</f>
        <v>0.97</v>
      </c>
      <c r="K61" s="29">
        <f t="shared" si="4"/>
        <v>0</v>
      </c>
      <c r="L61" s="29">
        <f t="shared" si="5"/>
        <v>0</v>
      </c>
      <c r="M61" s="147">
        <f t="shared" ca="1" si="6"/>
        <v>0</v>
      </c>
      <c r="N61" s="148">
        <f ca="1">IF(AND(Option_SPW="Y",Z60&gt;=SPW_Start_Min_FV,H61&gt;=Lock_In_Period,Z60&gt;SPW_Amount_pa+IF(option="Single",1/5*pr,2*pr),H61&gt;=SPW_Start_Year,H61&lt;=SPW_Start_Year+SPW_Duration-1,F61=0,age+H61&gt;=Legal_Age),SPW_Amount_pa,0)+IFERROR(VLOOKUP(H61,Input!$B$68:$C$74,2,0),0)*(F61=0)*(Option_PW="Y")*(Option_SPW="N")*(age+H61&gt;=Legal_Age)</f>
        <v>0</v>
      </c>
      <c r="O61" s="148">
        <f t="shared" ca="1" si="33"/>
        <v>0</v>
      </c>
      <c r="P61" s="14">
        <f ca="1">(MAX(MAX(sa-CF60*Flag_UL_Type,105%*SUM($I$7:I61))-(AD60+L61-N61)*Flag_UL_Type,0)*B61)</f>
        <v>1337109.173191122</v>
      </c>
      <c r="Q61" s="213">
        <f t="shared" ca="1" si="7"/>
        <v>0</v>
      </c>
      <c r="R61" s="14">
        <f t="shared" ca="1" si="8"/>
        <v>0</v>
      </c>
      <c r="S61" s="14">
        <f t="shared" ca="1" si="9"/>
        <v>0</v>
      </c>
      <c r="T61" s="14">
        <f>IFERROR(IF(WoP_Flag="Y",IF(fq=1,VLOOKUP(ppt*fq-H61,Charges!$AN$41:$AO$59,2,FALSE),IF(fq=2,VLOOKUP(ppt*fq-G61,Charges!$AP$41:$AQ$79,2,FALSE),VLOOKUP(ppt*fq-D61,Charges!$AR$41:$AS$279,2,FALSE)))*pr/fq,0),0)</f>
        <v>0</v>
      </c>
      <c r="U61" s="14">
        <f ca="1">IFERROR(((T61*(VLOOKUP(Input!$D$18+H61-1,Tab_Mort_Charge,IF(Gender_2="M",2,3),FALSE)*(1+_emr2)+_rpm2)/IF(Model_Type="LA_PQIS",1000/0.0833,(12*1000))))*Flag_Mort_Rider_Charge*(T61&gt;0),0)</f>
        <v>0</v>
      </c>
      <c r="V61" s="34">
        <f>ROUND(MIN(IF(H61&gt;=7,Charges!$C$12*(1+Charges!$C$14)^((H61-7+1)),VLOOKUP(H61,Charges!$B$7:$C$12,2,0))*pr,Charges!$C$13)*B61,Round)</f>
        <v>450</v>
      </c>
      <c r="W61" s="14">
        <f t="shared" ca="1" si="10"/>
        <v>1662440.826808878</v>
      </c>
      <c r="X61" s="14">
        <f t="shared" ca="1" si="11"/>
        <v>1673137.0211446653</v>
      </c>
      <c r="Y61" s="213">
        <f t="shared" ca="1" si="34"/>
        <v>1883.3035042230563</v>
      </c>
      <c r="Z61" s="14">
        <f t="shared" ca="1" si="12"/>
        <v>1671253.7176404423</v>
      </c>
      <c r="AA61" s="14">
        <f>IF(AND($H61=pt,$F61=11),SUM($K$7:K61)*VLOOKUP(pt,ROC,2,FALSE),0)</f>
        <v>0</v>
      </c>
      <c r="AB61" s="14">
        <f>IF(AND($H61=pt,$F61=11),SUM($V$7:V61)*VLOOKUP(pt,ROC,2,FALSE),0)</f>
        <v>0</v>
      </c>
      <c r="AC61" s="14">
        <f>IF(AND($H61=pt,$F61=11),SUM($Q$7:Q61)*VLOOKUP(pt,ROC,2,FALSE),0)</f>
        <v>0</v>
      </c>
      <c r="AD61" s="14">
        <f t="shared" ca="1" si="35"/>
        <v>1671253.7176404423</v>
      </c>
      <c r="AE61" s="14">
        <f ca="1">(MAX(sa-CF60*Flag_UL_Type,105%*SUM($I$7:I61),Z61)+AU61)*B61</f>
        <v>3000000</v>
      </c>
      <c r="AF61" s="136"/>
      <c r="AG61" s="18">
        <v>55</v>
      </c>
      <c r="AH61" s="30">
        <f t="shared" ca="1" si="13"/>
        <v>0</v>
      </c>
      <c r="AI61" s="138"/>
      <c r="AJ61" s="50">
        <f>IF(AND(Option_Sys_TopUp&gt;="Y",H61&gt;=sytp,H61&lt;=(dtp+sytp-1),F61=0,H61&lt;=ppt+1),atp,0)+IFERROR(VLOOKUP(H61,Input!$B$55:$C$61,2,0),0)*(F61=0)*(Option_TopUP="Y")*(Option_Sys_TopUp="N")*B61*(pt&gt;=H61+5)</f>
        <v>0</v>
      </c>
      <c r="AK61" s="50">
        <f t="shared" si="14"/>
        <v>0</v>
      </c>
      <c r="AL61" s="50">
        <f t="shared" si="36"/>
        <v>0</v>
      </c>
      <c r="AM61" s="50">
        <f t="shared" ca="1" si="15"/>
        <v>0</v>
      </c>
      <c r="AN61" s="50">
        <f ca="1">IF(B61=0,0,AT61*(_rpm1+(1+_emr1)*VLOOKUP(E61,Tab_Mort_Charge,IF(Input!$C$12="M",2,3),0))*(0.001*0.0833)*Flag_Mort_Rider_Charge*(AT61&gt;0))</f>
        <v>0</v>
      </c>
      <c r="AO61" s="50">
        <f t="shared" ca="1" si="37"/>
        <v>0</v>
      </c>
      <c r="AP61" s="50">
        <f t="shared" ca="1" si="38"/>
        <v>0</v>
      </c>
      <c r="AQ61" s="50">
        <f t="shared" ca="1" si="16"/>
        <v>0</v>
      </c>
      <c r="AR61" s="50">
        <f t="shared" ca="1" si="17"/>
        <v>0</v>
      </c>
      <c r="AS61" s="50">
        <f t="shared" si="18"/>
        <v>0</v>
      </c>
      <c r="AT61" s="50">
        <f ca="1">(MAX((MAX(AS61,105%*SUM($AJ$7:AJ61))-AM61*Flag_UL_Type),0)*B61)</f>
        <v>0</v>
      </c>
      <c r="AU61" s="50">
        <f ca="1">(MAX(AS61,AR61,105%*SUM($AJ$7:AJ61))*B61)</f>
        <v>0</v>
      </c>
      <c r="AV61" s="125"/>
      <c r="AW61" s="13"/>
      <c r="AX61" s="13"/>
      <c r="AY61" s="13"/>
      <c r="AZ61" s="13"/>
      <c r="BA61" s="13"/>
      <c r="BG61" s="51">
        <f t="shared" si="21"/>
        <v>0</v>
      </c>
      <c r="BH61" s="51">
        <f t="shared" ca="1" si="22"/>
        <v>0</v>
      </c>
      <c r="BI61" s="51">
        <f t="shared" ca="1" si="46"/>
        <v>0</v>
      </c>
      <c r="BJ61" s="51">
        <f t="shared" ca="1" si="23"/>
        <v>0</v>
      </c>
      <c r="BK61" s="51">
        <f t="shared" si="24"/>
        <v>0</v>
      </c>
      <c r="BL61" s="51">
        <f t="shared" ca="1" si="25"/>
        <v>0</v>
      </c>
      <c r="BM61" s="51">
        <f t="shared" si="26"/>
        <v>0</v>
      </c>
      <c r="BN61" s="51">
        <f t="shared" ca="1" si="27"/>
        <v>0</v>
      </c>
      <c r="BO61" s="51">
        <f t="shared" ca="1" si="28"/>
        <v>0</v>
      </c>
      <c r="BP61" s="51">
        <f t="shared" ca="1" si="29"/>
        <v>0</v>
      </c>
      <c r="BR61" s="32"/>
      <c r="BS61" s="126"/>
      <c r="BT61" s="16"/>
      <c r="BU61" s="58"/>
      <c r="BW61" s="51">
        <f>VLOOKUP(H61,Charges!$AT$4:$AU$33,2,FALSE)*I61</f>
        <v>0</v>
      </c>
      <c r="BX61" s="51">
        <f t="shared" si="30"/>
        <v>0</v>
      </c>
      <c r="BY61" s="51">
        <f t="shared" si="47"/>
        <v>0</v>
      </c>
      <c r="BZ61" s="151"/>
      <c r="CA61" s="151"/>
      <c r="CB61" s="32"/>
      <c r="CC61" s="16">
        <f ca="1">SUM($N$7:$N61)</f>
        <v>0</v>
      </c>
      <c r="CD61" s="16">
        <f t="shared" ca="1" si="31"/>
        <v>0</v>
      </c>
      <c r="CE61" s="16">
        <f t="shared" ca="1" si="32"/>
        <v>0</v>
      </c>
      <c r="CF61" s="7">
        <f t="shared" ca="1" si="48"/>
        <v>0</v>
      </c>
    </row>
    <row r="62" spans="1:84" s="7" customFormat="1" x14ac:dyDescent="0.2">
      <c r="A62" s="149"/>
      <c r="B62" s="14">
        <f t="shared" si="0"/>
        <v>1</v>
      </c>
      <c r="C62" s="12">
        <f t="shared" si="1"/>
        <v>1</v>
      </c>
      <c r="D62" s="17">
        <f t="shared" si="49"/>
        <v>56</v>
      </c>
      <c r="E62" s="17">
        <f t="shared" ca="1" si="2"/>
        <v>64</v>
      </c>
      <c r="F62" s="12">
        <f t="shared" si="53"/>
        <v>7</v>
      </c>
      <c r="G62" s="12">
        <f t="shared" si="52"/>
        <v>10</v>
      </c>
      <c r="H62" s="17">
        <f t="shared" si="54"/>
        <v>5</v>
      </c>
      <c r="I62" s="29">
        <f t="shared" si="3"/>
        <v>0</v>
      </c>
      <c r="J62" s="211">
        <f>IFERROR(VLOOKUP(H62,Charges!$T$6:$U$35,2,0)*C62,0)</f>
        <v>0.97</v>
      </c>
      <c r="K62" s="29">
        <f t="shared" si="4"/>
        <v>0</v>
      </c>
      <c r="L62" s="29">
        <f t="shared" si="5"/>
        <v>0</v>
      </c>
      <c r="M62" s="147">
        <f t="shared" ca="1" si="6"/>
        <v>0</v>
      </c>
      <c r="N62" s="148">
        <f ca="1">IF(AND(Option_SPW="Y",Z61&gt;=SPW_Start_Min_FV,H62&gt;=Lock_In_Period,Z61&gt;SPW_Amount_pa+IF(option="Single",1/5*pr,2*pr),H62&gt;=SPW_Start_Year,H62&lt;=SPW_Start_Year+SPW_Duration-1,F62=0,age+H62&gt;=Legal_Age),SPW_Amount_pa,0)+IFERROR(VLOOKUP(H62,Input!$B$68:$C$74,2,0),0)*(F62=0)*(Option_PW="Y")*(Option_SPW="N")*(age+H62&gt;=Legal_Age)</f>
        <v>0</v>
      </c>
      <c r="O62" s="148">
        <f t="shared" ca="1" si="33"/>
        <v>0</v>
      </c>
      <c r="P62" s="14">
        <f ca="1">(MAX(MAX(sa-CF61*Flag_UL_Type,105%*SUM($I$7:I62))-(AD61+L62-N62)*Flag_UL_Type,0)*B62)</f>
        <v>1328746.2823595577</v>
      </c>
      <c r="Q62" s="213">
        <f t="shared" ca="1" si="7"/>
        <v>0</v>
      </c>
      <c r="R62" s="14">
        <f t="shared" ca="1" si="8"/>
        <v>0</v>
      </c>
      <c r="S62" s="14">
        <f t="shared" ca="1" si="9"/>
        <v>0</v>
      </c>
      <c r="T62" s="14">
        <f>IFERROR(IF(WoP_Flag="Y",IF(fq=1,VLOOKUP(ppt*fq-H62,Charges!$AN$41:$AO$59,2,FALSE),IF(fq=2,VLOOKUP(ppt*fq-G62,Charges!$AP$41:$AQ$79,2,FALSE),VLOOKUP(ppt*fq-D62,Charges!$AR$41:$AS$279,2,FALSE)))*pr/fq,0),0)</f>
        <v>0</v>
      </c>
      <c r="U62" s="14">
        <f ca="1">IFERROR(((T62*(VLOOKUP(Input!$D$18+H62-1,Tab_Mort_Charge,IF(Gender_2="M",2,3),FALSE)*(1+_emr2)+_rpm2)/IF(Model_Type="LA_PQIS",1000/0.0833,(12*1000))))*Flag_Mort_Rider_Charge*(T62&gt;0),0)</f>
        <v>0</v>
      </c>
      <c r="V62" s="34">
        <f>ROUND(MIN(IF(H62&gt;=7,Charges!$C$12*(1+Charges!$C$14)^((H62-7+1)),VLOOKUP(H62,Charges!$B$7:$C$12,2,0))*pr,Charges!$C$13)*B62,Round)</f>
        <v>450</v>
      </c>
      <c r="W62" s="14">
        <f t="shared" ca="1" si="10"/>
        <v>1670803.7176404423</v>
      </c>
      <c r="X62" s="14">
        <f t="shared" ca="1" si="11"/>
        <v>1681553.7190676467</v>
      </c>
      <c r="Y62" s="213">
        <f t="shared" ca="1" si="34"/>
        <v>1892.7774423954918</v>
      </c>
      <c r="Z62" s="14">
        <f t="shared" ca="1" si="12"/>
        <v>1679660.9416252512</v>
      </c>
      <c r="AA62" s="14">
        <f>IF(AND($H62=pt,$F62=11),SUM($K$7:K62)*VLOOKUP(pt,ROC,2,FALSE),0)</f>
        <v>0</v>
      </c>
      <c r="AB62" s="14">
        <f>IF(AND($H62=pt,$F62=11),SUM($V$7:V62)*VLOOKUP(pt,ROC,2,FALSE),0)</f>
        <v>0</v>
      </c>
      <c r="AC62" s="14">
        <f>IF(AND($H62=pt,$F62=11),SUM($Q$7:Q62)*VLOOKUP(pt,ROC,2,FALSE),0)</f>
        <v>0</v>
      </c>
      <c r="AD62" s="14">
        <f t="shared" ca="1" si="35"/>
        <v>1679660.9416252512</v>
      </c>
      <c r="AE62" s="14">
        <f ca="1">(MAX(sa-CF61*Flag_UL_Type,105%*SUM($I$7:I62),Z62)+AU62)*B62</f>
        <v>3000000</v>
      </c>
      <c r="AF62" s="136"/>
      <c r="AG62" s="18">
        <v>56</v>
      </c>
      <c r="AH62" s="30">
        <f t="shared" ca="1" si="13"/>
        <v>0</v>
      </c>
      <c r="AI62" s="138"/>
      <c r="AJ62" s="50">
        <f>IF(AND(Option_Sys_TopUp&gt;="Y",H62&gt;=sytp,H62&lt;=(dtp+sytp-1),F62=0,H62&lt;=ppt+1),atp,0)+IFERROR(VLOOKUP(H62,Input!$B$55:$C$61,2,0),0)*(F62=0)*(Option_TopUP="Y")*(Option_Sys_TopUp="N")*B62*(pt&gt;=H62+5)</f>
        <v>0</v>
      </c>
      <c r="AK62" s="50">
        <f t="shared" si="14"/>
        <v>0</v>
      </c>
      <c r="AL62" s="50">
        <f t="shared" si="36"/>
        <v>0</v>
      </c>
      <c r="AM62" s="50">
        <f t="shared" ca="1" si="15"/>
        <v>0</v>
      </c>
      <c r="AN62" s="50">
        <f ca="1">IF(B62=0,0,AT62*(_rpm1+(1+_emr1)*VLOOKUP(E62,Tab_Mort_Charge,IF(Input!$C$12="M",2,3),0))*(0.001*0.0833)*Flag_Mort_Rider_Charge*(AT62&gt;0))</f>
        <v>0</v>
      </c>
      <c r="AO62" s="50">
        <f t="shared" ca="1" si="37"/>
        <v>0</v>
      </c>
      <c r="AP62" s="50">
        <f t="shared" ca="1" si="38"/>
        <v>0</v>
      </c>
      <c r="AQ62" s="50">
        <f t="shared" ca="1" si="16"/>
        <v>0</v>
      </c>
      <c r="AR62" s="50">
        <f t="shared" ca="1" si="17"/>
        <v>0</v>
      </c>
      <c r="AS62" s="50">
        <f t="shared" si="18"/>
        <v>0</v>
      </c>
      <c r="AT62" s="50">
        <f ca="1">(MAX((MAX(AS62,105%*SUM($AJ$7:AJ62))-AM62*Flag_UL_Type),0)*B62)</f>
        <v>0</v>
      </c>
      <c r="AU62" s="50">
        <f ca="1">(MAX(AS62,AR62,105%*SUM($AJ$7:AJ62))*B62)</f>
        <v>0</v>
      </c>
      <c r="AV62" s="125"/>
      <c r="AW62" s="13"/>
      <c r="AX62" s="13"/>
      <c r="AY62" s="13"/>
      <c r="AZ62" s="13"/>
      <c r="BA62" s="13"/>
      <c r="BG62" s="51">
        <f t="shared" si="21"/>
        <v>0</v>
      </c>
      <c r="BH62" s="51">
        <f t="shared" ca="1" si="22"/>
        <v>0</v>
      </c>
      <c r="BI62" s="51">
        <f t="shared" ca="1" si="46"/>
        <v>0</v>
      </c>
      <c r="BJ62" s="51">
        <f t="shared" ca="1" si="23"/>
        <v>0</v>
      </c>
      <c r="BK62" s="51">
        <f t="shared" si="24"/>
        <v>0</v>
      </c>
      <c r="BL62" s="51">
        <f t="shared" ca="1" si="25"/>
        <v>0</v>
      </c>
      <c r="BM62" s="51">
        <f t="shared" si="26"/>
        <v>0</v>
      </c>
      <c r="BN62" s="51">
        <f t="shared" ca="1" si="27"/>
        <v>0</v>
      </c>
      <c r="BO62" s="51">
        <f t="shared" ca="1" si="28"/>
        <v>0</v>
      </c>
      <c r="BP62" s="51">
        <f t="shared" ca="1" si="29"/>
        <v>0</v>
      </c>
      <c r="BR62" s="32"/>
      <c r="BS62" s="126"/>
      <c r="BT62" s="16"/>
      <c r="BU62" s="58"/>
      <c r="BW62" s="51">
        <f>VLOOKUP(H62,Charges!$AT$4:$AU$33,2,FALSE)*I62</f>
        <v>0</v>
      </c>
      <c r="BX62" s="51">
        <f t="shared" si="30"/>
        <v>0</v>
      </c>
      <c r="BY62" s="51">
        <f t="shared" si="47"/>
        <v>0</v>
      </c>
      <c r="BZ62" s="151"/>
      <c r="CA62" s="151"/>
      <c r="CB62" s="32"/>
      <c r="CC62" s="16">
        <f ca="1">SUM($N$7:$N62)</f>
        <v>0</v>
      </c>
      <c r="CD62" s="16">
        <f t="shared" ca="1" si="31"/>
        <v>0</v>
      </c>
      <c r="CE62" s="16">
        <f t="shared" ca="1" si="32"/>
        <v>0</v>
      </c>
      <c r="CF62" s="7">
        <f t="shared" ca="1" si="48"/>
        <v>0</v>
      </c>
    </row>
    <row r="63" spans="1:84" s="7" customFormat="1" x14ac:dyDescent="0.2">
      <c r="A63" s="149"/>
      <c r="B63" s="14">
        <f t="shared" si="0"/>
        <v>1</v>
      </c>
      <c r="C63" s="12">
        <f t="shared" si="1"/>
        <v>1</v>
      </c>
      <c r="D63" s="17">
        <f t="shared" si="49"/>
        <v>57</v>
      </c>
      <c r="E63" s="17">
        <f t="shared" ca="1" si="2"/>
        <v>64</v>
      </c>
      <c r="F63" s="12">
        <f t="shared" si="53"/>
        <v>8</v>
      </c>
      <c r="G63" s="12">
        <f t="shared" si="52"/>
        <v>10</v>
      </c>
      <c r="H63" s="17">
        <f t="shared" si="54"/>
        <v>5</v>
      </c>
      <c r="I63" s="29">
        <f t="shared" si="3"/>
        <v>0</v>
      </c>
      <c r="J63" s="211">
        <f>IFERROR(VLOOKUP(H63,Charges!$T$6:$U$35,2,0)*C63,0)</f>
        <v>0.97</v>
      </c>
      <c r="K63" s="29">
        <f t="shared" si="4"/>
        <v>0</v>
      </c>
      <c r="L63" s="29">
        <f t="shared" si="5"/>
        <v>0</v>
      </c>
      <c r="M63" s="147">
        <f t="shared" ca="1" si="6"/>
        <v>0</v>
      </c>
      <c r="N63" s="148">
        <f ca="1">IF(AND(Option_SPW="Y",Z62&gt;=SPW_Start_Min_FV,H63&gt;=Lock_In_Period,Z62&gt;SPW_Amount_pa+IF(option="Single",1/5*pr,2*pr),H63&gt;=SPW_Start_Year,H63&lt;=SPW_Start_Year+SPW_Duration-1,F63=0,age+H63&gt;=Legal_Age),SPW_Amount_pa,0)+IFERROR(VLOOKUP(H63,Input!$B$68:$C$74,2,0),0)*(F63=0)*(Option_PW="Y")*(Option_SPW="N")*(age+H63&gt;=Legal_Age)</f>
        <v>0</v>
      </c>
      <c r="O63" s="148">
        <f t="shared" ca="1" si="33"/>
        <v>0</v>
      </c>
      <c r="P63" s="14">
        <f ca="1">(MAX(MAX(sa-CF62*Flag_UL_Type,105%*SUM($I$7:I63))-(AD62+L63-N63)*Flag_UL_Type,0)*B63)</f>
        <v>1320339.0583747488</v>
      </c>
      <c r="Q63" s="213">
        <f t="shared" ca="1" si="7"/>
        <v>0</v>
      </c>
      <c r="R63" s="14">
        <f t="shared" ca="1" si="8"/>
        <v>0</v>
      </c>
      <c r="S63" s="14">
        <f t="shared" ca="1" si="9"/>
        <v>0</v>
      </c>
      <c r="T63" s="14">
        <f>IFERROR(IF(WoP_Flag="Y",IF(fq=1,VLOOKUP(ppt*fq-H63,Charges!$AN$41:$AO$59,2,FALSE),IF(fq=2,VLOOKUP(ppt*fq-G63,Charges!$AP$41:$AQ$79,2,FALSE),VLOOKUP(ppt*fq-D63,Charges!$AR$41:$AS$279,2,FALSE)))*pr/fq,0),0)</f>
        <v>0</v>
      </c>
      <c r="U63" s="14">
        <f ca="1">IFERROR(((T63*(VLOOKUP(Input!$D$18+H63-1,Tab_Mort_Charge,IF(Gender_2="M",2,3),FALSE)*(1+_emr2)+_rpm2)/IF(Model_Type="LA_PQIS",1000/0.0833,(12*1000))))*Flag_Mort_Rider_Charge*(T63&gt;0),0)</f>
        <v>0</v>
      </c>
      <c r="V63" s="34">
        <f>ROUND(MIN(IF(H63&gt;=7,Charges!$C$12*(1+Charges!$C$14)^((H63-7+1)),VLOOKUP(H63,Charges!$B$7:$C$12,2,0))*pr,Charges!$C$13)*B63,Round)</f>
        <v>450</v>
      </c>
      <c r="W63" s="14">
        <f t="shared" ca="1" si="10"/>
        <v>1679210.9416252512</v>
      </c>
      <c r="X63" s="14">
        <f t="shared" ca="1" si="11"/>
        <v>1690015.0353847153</v>
      </c>
      <c r="Y63" s="213">
        <f t="shared" ca="1" si="34"/>
        <v>1902.3016035782821</v>
      </c>
      <c r="Z63" s="14">
        <f t="shared" ca="1" si="12"/>
        <v>1688112.733781137</v>
      </c>
      <c r="AA63" s="14">
        <f>IF(AND($H63=pt,$F63=11),SUM($K$7:K63)*VLOOKUP(pt,ROC,2,FALSE),0)</f>
        <v>0</v>
      </c>
      <c r="AB63" s="14">
        <f>IF(AND($H63=pt,$F63=11),SUM($V$7:V63)*VLOOKUP(pt,ROC,2,FALSE),0)</f>
        <v>0</v>
      </c>
      <c r="AC63" s="14">
        <f>IF(AND($H63=pt,$F63=11),SUM($Q$7:Q63)*VLOOKUP(pt,ROC,2,FALSE),0)</f>
        <v>0</v>
      </c>
      <c r="AD63" s="14">
        <f t="shared" ca="1" si="35"/>
        <v>1688112.733781137</v>
      </c>
      <c r="AE63" s="14">
        <f ca="1">(MAX(sa-CF62*Flag_UL_Type,105%*SUM($I$7:I63),Z63)+AU63)*B63</f>
        <v>3000000</v>
      </c>
      <c r="AF63" s="136"/>
      <c r="AG63" s="18">
        <v>57</v>
      </c>
      <c r="AH63" s="30">
        <f t="shared" ca="1" si="13"/>
        <v>0</v>
      </c>
      <c r="AI63" s="138"/>
      <c r="AJ63" s="50">
        <f>IF(AND(Option_Sys_TopUp&gt;="Y",H63&gt;=sytp,H63&lt;=(dtp+sytp-1),F63=0,H63&lt;=ppt+1),atp,0)+IFERROR(VLOOKUP(H63,Input!$B$55:$C$61,2,0),0)*(F63=0)*(Option_TopUP="Y")*(Option_Sys_TopUp="N")*B63*(pt&gt;=H63+5)</f>
        <v>0</v>
      </c>
      <c r="AK63" s="50">
        <f t="shared" si="14"/>
        <v>0</v>
      </c>
      <c r="AL63" s="50">
        <f t="shared" si="36"/>
        <v>0</v>
      </c>
      <c r="AM63" s="50">
        <f t="shared" ca="1" si="15"/>
        <v>0</v>
      </c>
      <c r="AN63" s="50">
        <f ca="1">IF(B63=0,0,AT63*(_rpm1+(1+_emr1)*VLOOKUP(E63,Tab_Mort_Charge,IF(Input!$C$12="M",2,3),0))*(0.001*0.0833)*Flag_Mort_Rider_Charge*(AT63&gt;0))</f>
        <v>0</v>
      </c>
      <c r="AO63" s="50">
        <f t="shared" ca="1" si="37"/>
        <v>0</v>
      </c>
      <c r="AP63" s="50">
        <f t="shared" ca="1" si="38"/>
        <v>0</v>
      </c>
      <c r="AQ63" s="50">
        <f t="shared" ca="1" si="16"/>
        <v>0</v>
      </c>
      <c r="AR63" s="50">
        <f t="shared" ca="1" si="17"/>
        <v>0</v>
      </c>
      <c r="AS63" s="50">
        <f t="shared" si="18"/>
        <v>0</v>
      </c>
      <c r="AT63" s="50">
        <f ca="1">(MAX((MAX(AS63,105%*SUM($AJ$7:AJ63))-AM63*Flag_UL_Type),0)*B63)</f>
        <v>0</v>
      </c>
      <c r="AU63" s="50">
        <f ca="1">(MAX(AS63,AR63,105%*SUM($AJ$7:AJ63))*B63)</f>
        <v>0</v>
      </c>
      <c r="AV63" s="125"/>
      <c r="AW63" s="13"/>
      <c r="AX63" s="13"/>
      <c r="AY63" s="13"/>
      <c r="AZ63" s="13"/>
      <c r="BA63" s="13"/>
      <c r="BG63" s="51">
        <f t="shared" si="21"/>
        <v>0</v>
      </c>
      <c r="BH63" s="51">
        <f t="shared" ca="1" si="22"/>
        <v>0</v>
      </c>
      <c r="BI63" s="51">
        <f t="shared" ca="1" si="46"/>
        <v>0</v>
      </c>
      <c r="BJ63" s="51">
        <f t="shared" ca="1" si="23"/>
        <v>0</v>
      </c>
      <c r="BK63" s="51">
        <f t="shared" si="24"/>
        <v>0</v>
      </c>
      <c r="BL63" s="51">
        <f t="shared" ca="1" si="25"/>
        <v>0</v>
      </c>
      <c r="BM63" s="51">
        <f t="shared" si="26"/>
        <v>0</v>
      </c>
      <c r="BN63" s="51">
        <f t="shared" ca="1" si="27"/>
        <v>0</v>
      </c>
      <c r="BO63" s="51">
        <f t="shared" ca="1" si="28"/>
        <v>0</v>
      </c>
      <c r="BP63" s="51">
        <f t="shared" ca="1" si="29"/>
        <v>0</v>
      </c>
      <c r="BR63" s="32"/>
      <c r="BS63" s="126"/>
      <c r="BT63" s="16"/>
      <c r="BU63" s="58"/>
      <c r="BW63" s="51">
        <f>VLOOKUP(H63,Charges!$AT$4:$AU$33,2,FALSE)*I63</f>
        <v>0</v>
      </c>
      <c r="BX63" s="51">
        <f t="shared" si="30"/>
        <v>0</v>
      </c>
      <c r="BY63" s="51">
        <f t="shared" si="47"/>
        <v>0</v>
      </c>
      <c r="BZ63" s="151"/>
      <c r="CA63" s="151"/>
      <c r="CB63" s="32"/>
      <c r="CC63" s="16">
        <f ca="1">SUM($N$7:$N63)</f>
        <v>0</v>
      </c>
      <c r="CD63" s="16">
        <f t="shared" ca="1" si="31"/>
        <v>0</v>
      </c>
      <c r="CE63" s="16">
        <f t="shared" ca="1" si="32"/>
        <v>0</v>
      </c>
      <c r="CF63" s="7">
        <f t="shared" ca="1" si="48"/>
        <v>0</v>
      </c>
    </row>
    <row r="64" spans="1:84" s="7" customFormat="1" x14ac:dyDescent="0.2">
      <c r="A64" s="149"/>
      <c r="B64" s="14">
        <f t="shared" si="0"/>
        <v>1</v>
      </c>
      <c r="C64" s="12">
        <f t="shared" si="1"/>
        <v>1</v>
      </c>
      <c r="D64" s="17">
        <f t="shared" si="49"/>
        <v>58</v>
      </c>
      <c r="E64" s="17">
        <f t="shared" ca="1" si="2"/>
        <v>64</v>
      </c>
      <c r="F64" s="12">
        <f t="shared" si="53"/>
        <v>9</v>
      </c>
      <c r="G64" s="12">
        <f t="shared" si="52"/>
        <v>10</v>
      </c>
      <c r="H64" s="17">
        <f t="shared" si="54"/>
        <v>5</v>
      </c>
      <c r="I64" s="29">
        <f t="shared" si="3"/>
        <v>0</v>
      </c>
      <c r="J64" s="211">
        <f>IFERROR(VLOOKUP(H64,Charges!$T$6:$U$35,2,0)*C64,0)</f>
        <v>0.97</v>
      </c>
      <c r="K64" s="29">
        <f t="shared" si="4"/>
        <v>0</v>
      </c>
      <c r="L64" s="29">
        <f t="shared" si="5"/>
        <v>0</v>
      </c>
      <c r="M64" s="147">
        <f t="shared" ca="1" si="6"/>
        <v>0</v>
      </c>
      <c r="N64" s="148">
        <f ca="1">IF(AND(Option_SPW="Y",Z63&gt;=SPW_Start_Min_FV,H64&gt;=Lock_In_Period,Z63&gt;SPW_Amount_pa+IF(option="Single",1/5*pr,2*pr),H64&gt;=SPW_Start_Year,H64&lt;=SPW_Start_Year+SPW_Duration-1,F64=0,age+H64&gt;=Legal_Age),SPW_Amount_pa,0)+IFERROR(VLOOKUP(H64,Input!$B$68:$C$74,2,0),0)*(F64=0)*(Option_PW="Y")*(Option_SPW="N")*(age+H64&gt;=Legal_Age)</f>
        <v>0</v>
      </c>
      <c r="O64" s="148">
        <f t="shared" ca="1" si="33"/>
        <v>0</v>
      </c>
      <c r="P64" s="14">
        <f ca="1">(MAX(MAX(sa-CF63*Flag_UL_Type,105%*SUM($I$7:I64))-(AD63+L64-N64)*Flag_UL_Type,0)*B64)</f>
        <v>1311887.266218863</v>
      </c>
      <c r="Q64" s="213">
        <f t="shared" ca="1" si="7"/>
        <v>0</v>
      </c>
      <c r="R64" s="14">
        <f t="shared" ca="1" si="8"/>
        <v>0</v>
      </c>
      <c r="S64" s="14">
        <f t="shared" ca="1" si="9"/>
        <v>0</v>
      </c>
      <c r="T64" s="14">
        <f>IFERROR(IF(WoP_Flag="Y",IF(fq=1,VLOOKUP(ppt*fq-H64,Charges!$AN$41:$AO$59,2,FALSE),IF(fq=2,VLOOKUP(ppt*fq-G64,Charges!$AP$41:$AQ$79,2,FALSE),VLOOKUP(ppt*fq-D64,Charges!$AR$41:$AS$279,2,FALSE)))*pr/fq,0),0)</f>
        <v>0</v>
      </c>
      <c r="U64" s="14">
        <f ca="1">IFERROR(((T64*(VLOOKUP(Input!$D$18+H64-1,Tab_Mort_Charge,IF(Gender_2="M",2,3),FALSE)*(1+_emr2)+_rpm2)/IF(Model_Type="LA_PQIS",1000/0.0833,(12*1000))))*Flag_Mort_Rider_Charge*(T64&gt;0),0)</f>
        <v>0</v>
      </c>
      <c r="V64" s="34">
        <f>ROUND(MIN(IF(H64&gt;=7,Charges!$C$12*(1+Charges!$C$14)^((H64-7+1)),VLOOKUP(H64,Charges!$B$7:$C$12,2,0))*pr,Charges!$C$13)*B64,Round)</f>
        <v>450</v>
      </c>
      <c r="W64" s="14">
        <f t="shared" ca="1" si="10"/>
        <v>1687662.733781137</v>
      </c>
      <c r="X64" s="14">
        <f t="shared" ca="1" si="11"/>
        <v>1698521.2066258155</v>
      </c>
      <c r="Y64" s="213">
        <f t="shared" ca="1" si="34"/>
        <v>1911.8762540124262</v>
      </c>
      <c r="Z64" s="14">
        <f t="shared" ca="1" si="12"/>
        <v>1696609.3303718031</v>
      </c>
      <c r="AA64" s="14">
        <f>IF(AND($H64=pt,$F64=11),SUM($K$7:K64)*VLOOKUP(pt,ROC,2,FALSE),0)</f>
        <v>0</v>
      </c>
      <c r="AB64" s="14">
        <f>IF(AND($H64=pt,$F64=11),SUM($V$7:V64)*VLOOKUP(pt,ROC,2,FALSE),0)</f>
        <v>0</v>
      </c>
      <c r="AC64" s="14">
        <f>IF(AND($H64=pt,$F64=11),SUM($Q$7:Q64)*VLOOKUP(pt,ROC,2,FALSE),0)</f>
        <v>0</v>
      </c>
      <c r="AD64" s="14">
        <f t="shared" ca="1" si="35"/>
        <v>1696609.3303718031</v>
      </c>
      <c r="AE64" s="14">
        <f ca="1">(MAX(sa-CF63*Flag_UL_Type,105%*SUM($I$7:I64),Z64)+AU64)*B64</f>
        <v>3000000</v>
      </c>
      <c r="AF64" s="136"/>
      <c r="AG64" s="18">
        <v>58</v>
      </c>
      <c r="AH64" s="30">
        <f t="shared" ca="1" si="13"/>
        <v>0</v>
      </c>
      <c r="AI64" s="138"/>
      <c r="AJ64" s="50">
        <f>IF(AND(Option_Sys_TopUp&gt;="Y",H64&gt;=sytp,H64&lt;=(dtp+sytp-1),F64=0,H64&lt;=ppt+1),atp,0)+IFERROR(VLOOKUP(H64,Input!$B$55:$C$61,2,0),0)*(F64=0)*(Option_TopUP="Y")*(Option_Sys_TopUp="N")*B64*(pt&gt;=H64+5)</f>
        <v>0</v>
      </c>
      <c r="AK64" s="50">
        <f t="shared" si="14"/>
        <v>0</v>
      </c>
      <c r="AL64" s="50">
        <f t="shared" si="36"/>
        <v>0</v>
      </c>
      <c r="AM64" s="50">
        <f t="shared" ca="1" si="15"/>
        <v>0</v>
      </c>
      <c r="AN64" s="50">
        <f ca="1">IF(B64=0,0,AT64*(_rpm1+(1+_emr1)*VLOOKUP(E64,Tab_Mort_Charge,IF(Input!$C$12="M",2,3),0))*(0.001*0.0833)*Flag_Mort_Rider_Charge*(AT64&gt;0))</f>
        <v>0</v>
      </c>
      <c r="AO64" s="50">
        <f t="shared" ca="1" si="37"/>
        <v>0</v>
      </c>
      <c r="AP64" s="50">
        <f t="shared" ca="1" si="38"/>
        <v>0</v>
      </c>
      <c r="AQ64" s="50">
        <f t="shared" ca="1" si="16"/>
        <v>0</v>
      </c>
      <c r="AR64" s="50">
        <f t="shared" ca="1" si="17"/>
        <v>0</v>
      </c>
      <c r="AS64" s="50">
        <f t="shared" si="18"/>
        <v>0</v>
      </c>
      <c r="AT64" s="50">
        <f ca="1">(MAX((MAX(AS64,105%*SUM($AJ$7:AJ64))-AM64*Flag_UL_Type),0)*B64)</f>
        <v>0</v>
      </c>
      <c r="AU64" s="50">
        <f ca="1">(MAX(AS64,AR64,105%*SUM($AJ$7:AJ64))*B64)</f>
        <v>0</v>
      </c>
      <c r="AV64" s="125"/>
      <c r="AW64" s="13"/>
      <c r="AX64" s="13"/>
      <c r="AY64" s="13"/>
      <c r="AZ64" s="13"/>
      <c r="BA64" s="13"/>
      <c r="BG64" s="51">
        <f t="shared" si="21"/>
        <v>0</v>
      </c>
      <c r="BH64" s="51">
        <f t="shared" ca="1" si="22"/>
        <v>0</v>
      </c>
      <c r="BI64" s="51">
        <f t="shared" ca="1" si="46"/>
        <v>0</v>
      </c>
      <c r="BJ64" s="51">
        <f t="shared" ca="1" si="23"/>
        <v>0</v>
      </c>
      <c r="BK64" s="51">
        <f t="shared" si="24"/>
        <v>0</v>
      </c>
      <c r="BL64" s="51">
        <f t="shared" ca="1" si="25"/>
        <v>0</v>
      </c>
      <c r="BM64" s="51">
        <f t="shared" si="26"/>
        <v>0</v>
      </c>
      <c r="BN64" s="51">
        <f t="shared" ca="1" si="27"/>
        <v>0</v>
      </c>
      <c r="BO64" s="51">
        <f t="shared" ca="1" si="28"/>
        <v>0</v>
      </c>
      <c r="BP64" s="51">
        <f t="shared" ca="1" si="29"/>
        <v>0</v>
      </c>
      <c r="BR64" s="32"/>
      <c r="BS64" s="126"/>
      <c r="BT64" s="16"/>
      <c r="BU64" s="58"/>
      <c r="BW64" s="51">
        <f>VLOOKUP(H64,Charges!$AT$4:$AU$33,2,FALSE)*I64</f>
        <v>0</v>
      </c>
      <c r="BX64" s="51">
        <f t="shared" si="30"/>
        <v>0</v>
      </c>
      <c r="BY64" s="51">
        <f t="shared" si="47"/>
        <v>0</v>
      </c>
      <c r="BZ64" s="151"/>
      <c r="CA64" s="151"/>
      <c r="CB64" s="32"/>
      <c r="CC64" s="16">
        <f ca="1">SUM($N$7:$N64)</f>
        <v>0</v>
      </c>
      <c r="CD64" s="16">
        <f t="shared" ca="1" si="31"/>
        <v>0</v>
      </c>
      <c r="CE64" s="16">
        <f t="shared" ca="1" si="32"/>
        <v>0</v>
      </c>
      <c r="CF64" s="7">
        <f t="shared" ca="1" si="48"/>
        <v>0</v>
      </c>
    </row>
    <row r="65" spans="1:84" s="7" customFormat="1" x14ac:dyDescent="0.2">
      <c r="A65" s="149"/>
      <c r="B65" s="14">
        <f t="shared" si="0"/>
        <v>1</v>
      </c>
      <c r="C65" s="12">
        <f t="shared" si="1"/>
        <v>1</v>
      </c>
      <c r="D65" s="17">
        <f t="shared" si="49"/>
        <v>59</v>
      </c>
      <c r="E65" s="17">
        <f t="shared" ca="1" si="2"/>
        <v>64</v>
      </c>
      <c r="F65" s="12">
        <f t="shared" si="53"/>
        <v>10</v>
      </c>
      <c r="G65" s="12">
        <f t="shared" si="52"/>
        <v>10</v>
      </c>
      <c r="H65" s="17">
        <f t="shared" si="54"/>
        <v>5</v>
      </c>
      <c r="I65" s="29">
        <f t="shared" si="3"/>
        <v>0</v>
      </c>
      <c r="J65" s="211">
        <f>IFERROR(VLOOKUP(H65,Charges!$T$6:$U$35,2,0)*C65,0)</f>
        <v>0.97</v>
      </c>
      <c r="K65" s="29">
        <f t="shared" si="4"/>
        <v>0</v>
      </c>
      <c r="L65" s="29">
        <f t="shared" si="5"/>
        <v>0</v>
      </c>
      <c r="M65" s="147">
        <f t="shared" ca="1" si="6"/>
        <v>0</v>
      </c>
      <c r="N65" s="148">
        <f ca="1">IF(AND(Option_SPW="Y",Z64&gt;=SPW_Start_Min_FV,H65&gt;=Lock_In_Period,Z64&gt;SPW_Amount_pa+IF(option="Single",1/5*pr,2*pr),H65&gt;=SPW_Start_Year,H65&lt;=SPW_Start_Year+SPW_Duration-1,F65=0,age+H65&gt;=Legal_Age),SPW_Amount_pa,0)+IFERROR(VLOOKUP(H65,Input!$B$68:$C$74,2,0),0)*(F65=0)*(Option_PW="Y")*(Option_SPW="N")*(age+H65&gt;=Legal_Age)</f>
        <v>0</v>
      </c>
      <c r="O65" s="148">
        <f t="shared" ca="1" si="33"/>
        <v>0</v>
      </c>
      <c r="P65" s="14">
        <f ca="1">(MAX(MAX(sa-CF64*Flag_UL_Type,105%*SUM($I$7:I65))-(AD64+L65-N65)*Flag_UL_Type,0)*B65)</f>
        <v>1303390.6696281969</v>
      </c>
      <c r="Q65" s="213">
        <f t="shared" ca="1" si="7"/>
        <v>0</v>
      </c>
      <c r="R65" s="14">
        <f t="shared" ca="1" si="8"/>
        <v>0</v>
      </c>
      <c r="S65" s="14">
        <f t="shared" ca="1" si="9"/>
        <v>0</v>
      </c>
      <c r="T65" s="14">
        <f>IFERROR(IF(WoP_Flag="Y",IF(fq=1,VLOOKUP(ppt*fq-H65,Charges!$AN$41:$AO$59,2,FALSE),IF(fq=2,VLOOKUP(ppt*fq-G65,Charges!$AP$41:$AQ$79,2,FALSE),VLOOKUP(ppt*fq-D65,Charges!$AR$41:$AS$279,2,FALSE)))*pr/fq,0),0)</f>
        <v>0</v>
      </c>
      <c r="U65" s="14">
        <f ca="1">IFERROR(((T65*(VLOOKUP(Input!$D$18+H65-1,Tab_Mort_Charge,IF(Gender_2="M",2,3),FALSE)*(1+_emr2)+_rpm2)/IF(Model_Type="LA_PQIS",1000/0.0833,(12*1000))))*Flag_Mort_Rider_Charge*(T65&gt;0),0)</f>
        <v>0</v>
      </c>
      <c r="V65" s="34">
        <f>ROUND(MIN(IF(H65&gt;=7,Charges!$C$12*(1+Charges!$C$14)^((H65-7+1)),VLOOKUP(H65,Charges!$B$7:$C$12,2,0))*pr,Charges!$C$13)*B65,Round)</f>
        <v>450</v>
      </c>
      <c r="W65" s="14">
        <f t="shared" ca="1" si="10"/>
        <v>1696159.3303718031</v>
      </c>
      <c r="X65" s="14">
        <f t="shared" ca="1" si="11"/>
        <v>1707072.4705747785</v>
      </c>
      <c r="Y65" s="213">
        <f t="shared" ca="1" si="34"/>
        <v>1921.5016613503144</v>
      </c>
      <c r="Z65" s="14">
        <f t="shared" ca="1" si="12"/>
        <v>1705150.9689134283</v>
      </c>
      <c r="AA65" s="14">
        <f>IF(AND($H65=pt,$F65=11),SUM($K$7:K65)*VLOOKUP(pt,ROC,2,FALSE),0)</f>
        <v>0</v>
      </c>
      <c r="AB65" s="14">
        <f>IF(AND($H65=pt,$F65=11),SUM($V$7:V65)*VLOOKUP(pt,ROC,2,FALSE),0)</f>
        <v>0</v>
      </c>
      <c r="AC65" s="14">
        <f>IF(AND($H65=pt,$F65=11),SUM($Q$7:Q65)*VLOOKUP(pt,ROC,2,FALSE),0)</f>
        <v>0</v>
      </c>
      <c r="AD65" s="14">
        <f t="shared" ca="1" si="35"/>
        <v>1705150.9689134283</v>
      </c>
      <c r="AE65" s="14">
        <f ca="1">(MAX(sa-CF64*Flag_UL_Type,105%*SUM($I$7:I65),Z65)+AU65)*B65</f>
        <v>3000000</v>
      </c>
      <c r="AF65" s="136"/>
      <c r="AG65" s="18">
        <v>59</v>
      </c>
      <c r="AH65" s="30">
        <f t="shared" ca="1" si="13"/>
        <v>0</v>
      </c>
      <c r="AI65" s="138"/>
      <c r="AJ65" s="50">
        <f>IF(AND(Option_Sys_TopUp&gt;="Y",H65&gt;=sytp,H65&lt;=(dtp+sytp-1),F65=0,H65&lt;=ppt+1),atp,0)+IFERROR(VLOOKUP(H65,Input!$B$55:$C$61,2,0),0)*(F65=0)*(Option_TopUP="Y")*(Option_Sys_TopUp="N")*B65*(pt&gt;=H65+5)</f>
        <v>0</v>
      </c>
      <c r="AK65" s="50">
        <f t="shared" si="14"/>
        <v>0</v>
      </c>
      <c r="AL65" s="50">
        <f t="shared" si="36"/>
        <v>0</v>
      </c>
      <c r="AM65" s="50">
        <f t="shared" ca="1" si="15"/>
        <v>0</v>
      </c>
      <c r="AN65" s="50">
        <f ca="1">IF(B65=0,0,AT65*(_rpm1+(1+_emr1)*VLOOKUP(E65,Tab_Mort_Charge,IF(Input!$C$12="M",2,3),0))*(0.001*0.0833)*Flag_Mort_Rider_Charge*(AT65&gt;0))</f>
        <v>0</v>
      </c>
      <c r="AO65" s="50">
        <f t="shared" ca="1" si="37"/>
        <v>0</v>
      </c>
      <c r="AP65" s="50">
        <f t="shared" ca="1" si="38"/>
        <v>0</v>
      </c>
      <c r="AQ65" s="50">
        <f t="shared" ca="1" si="16"/>
        <v>0</v>
      </c>
      <c r="AR65" s="50">
        <f t="shared" ca="1" si="17"/>
        <v>0</v>
      </c>
      <c r="AS65" s="50">
        <f t="shared" si="18"/>
        <v>0</v>
      </c>
      <c r="AT65" s="50">
        <f ca="1">(MAX((MAX(AS65,105%*SUM($AJ$7:AJ65))-AM65*Flag_UL_Type),0)*B65)</f>
        <v>0</v>
      </c>
      <c r="AU65" s="50">
        <f ca="1">(MAX(AS65,AR65,105%*SUM($AJ$7:AJ65))*B65)</f>
        <v>0</v>
      </c>
      <c r="AV65" s="125"/>
      <c r="AW65" s="13"/>
      <c r="AX65" s="13"/>
      <c r="AY65" s="13"/>
      <c r="AZ65" s="13"/>
      <c r="BA65" s="13"/>
      <c r="BG65" s="51">
        <f t="shared" si="21"/>
        <v>0</v>
      </c>
      <c r="BH65" s="51">
        <f t="shared" ca="1" si="22"/>
        <v>0</v>
      </c>
      <c r="BI65" s="51">
        <f t="shared" ca="1" si="46"/>
        <v>0</v>
      </c>
      <c r="BJ65" s="51">
        <f t="shared" ca="1" si="23"/>
        <v>0</v>
      </c>
      <c r="BK65" s="51">
        <f t="shared" si="24"/>
        <v>0</v>
      </c>
      <c r="BL65" s="51">
        <f t="shared" ca="1" si="25"/>
        <v>0</v>
      </c>
      <c r="BM65" s="51">
        <f t="shared" si="26"/>
        <v>0</v>
      </c>
      <c r="BN65" s="51">
        <f t="shared" ca="1" si="27"/>
        <v>0</v>
      </c>
      <c r="BO65" s="51">
        <f t="shared" ca="1" si="28"/>
        <v>0</v>
      </c>
      <c r="BP65" s="51">
        <f t="shared" ca="1" si="29"/>
        <v>0</v>
      </c>
      <c r="BR65" s="32"/>
      <c r="BS65" s="126"/>
      <c r="BT65" s="16"/>
      <c r="BU65" s="58"/>
      <c r="BW65" s="51">
        <f>VLOOKUP(H65,Charges!$AT$4:$AU$33,2,FALSE)*I65</f>
        <v>0</v>
      </c>
      <c r="BX65" s="51">
        <f t="shared" si="30"/>
        <v>0</v>
      </c>
      <c r="BY65" s="51">
        <f t="shared" si="47"/>
        <v>0</v>
      </c>
      <c r="BZ65" s="151"/>
      <c r="CA65" s="151"/>
      <c r="CB65" s="32"/>
      <c r="CC65" s="16">
        <f ca="1">SUM($N$7:$N65)</f>
        <v>0</v>
      </c>
      <c r="CD65" s="16">
        <f t="shared" ca="1" si="31"/>
        <v>0</v>
      </c>
      <c r="CE65" s="16">
        <f t="shared" ca="1" si="32"/>
        <v>0</v>
      </c>
      <c r="CF65" s="7">
        <f t="shared" ca="1" si="48"/>
        <v>0</v>
      </c>
    </row>
    <row r="66" spans="1:84" s="7" customFormat="1" x14ac:dyDescent="0.2">
      <c r="A66" s="149"/>
      <c r="B66" s="14">
        <f t="shared" si="0"/>
        <v>1</v>
      </c>
      <c r="C66" s="12">
        <f t="shared" si="1"/>
        <v>1</v>
      </c>
      <c r="D66" s="17">
        <f t="shared" si="49"/>
        <v>60</v>
      </c>
      <c r="E66" s="17">
        <f t="shared" ca="1" si="2"/>
        <v>64</v>
      </c>
      <c r="F66" s="12">
        <f t="shared" si="53"/>
        <v>11</v>
      </c>
      <c r="G66" s="12">
        <f t="shared" si="52"/>
        <v>10</v>
      </c>
      <c r="H66" s="17">
        <f t="shared" si="54"/>
        <v>5</v>
      </c>
      <c r="I66" s="29">
        <f t="shared" si="3"/>
        <v>0</v>
      </c>
      <c r="J66" s="211">
        <f>IFERROR(VLOOKUP(H66,Charges!$T$6:$U$35,2,0)*C66,0)</f>
        <v>0.97</v>
      </c>
      <c r="K66" s="29">
        <f t="shared" si="4"/>
        <v>0</v>
      </c>
      <c r="L66" s="29">
        <f t="shared" si="5"/>
        <v>0</v>
      </c>
      <c r="M66" s="147">
        <f t="shared" ca="1" si="6"/>
        <v>0</v>
      </c>
      <c r="N66" s="148">
        <f ca="1">IF(AND(Option_SPW="Y",Z65&gt;=SPW_Start_Min_FV,H66&gt;=Lock_In_Period,Z65&gt;SPW_Amount_pa+IF(option="Single",1/5*pr,2*pr),H66&gt;=SPW_Start_Year,H66&lt;=SPW_Start_Year+SPW_Duration-1,F66=0,age+H66&gt;=Legal_Age),SPW_Amount_pa,0)+IFERROR(VLOOKUP(H66,Input!$B$68:$C$74,2,0),0)*(F66=0)*(Option_PW="Y")*(Option_SPW="N")*(age+H66&gt;=Legal_Age)</f>
        <v>0</v>
      </c>
      <c r="O66" s="148">
        <f t="shared" ca="1" si="33"/>
        <v>0</v>
      </c>
      <c r="P66" s="14">
        <f ca="1">(MAX(MAX(sa-CF65*Flag_UL_Type,105%*SUM($I$7:I66))-(AD65+L66-N66)*Flag_UL_Type,0)*B66)</f>
        <v>1294849.0310865717</v>
      </c>
      <c r="Q66" s="213">
        <f t="shared" ca="1" si="7"/>
        <v>0</v>
      </c>
      <c r="R66" s="14">
        <f t="shared" ca="1" si="8"/>
        <v>0</v>
      </c>
      <c r="S66" s="14">
        <f t="shared" ca="1" si="9"/>
        <v>0</v>
      </c>
      <c r="T66" s="14">
        <f>IFERROR(IF(WoP_Flag="Y",IF(fq=1,VLOOKUP(ppt*fq-H66,Charges!$AN$41:$AO$59,2,FALSE),IF(fq=2,VLOOKUP(ppt*fq-G66,Charges!$AP$41:$AQ$79,2,FALSE),VLOOKUP(ppt*fq-D66,Charges!$AR$41:$AS$279,2,FALSE)))*pr/fq,0),0)</f>
        <v>0</v>
      </c>
      <c r="U66" s="14">
        <f ca="1">IFERROR(((T66*(VLOOKUP(Input!$D$18+H66-1,Tab_Mort_Charge,IF(Gender_2="M",2,3),FALSE)*(1+_emr2)+_rpm2)/IF(Model_Type="LA_PQIS",1000/0.0833,(12*1000))))*Flag_Mort_Rider_Charge*(T66&gt;0),0)</f>
        <v>0</v>
      </c>
      <c r="V66" s="34">
        <f>ROUND(MIN(IF(H66&gt;=7,Charges!$C$12*(1+Charges!$C$14)^((H66-7+1)),VLOOKUP(H66,Charges!$B$7:$C$12,2,0))*pr,Charges!$C$13)*B66,Round)</f>
        <v>450</v>
      </c>
      <c r="W66" s="14">
        <f t="shared" ca="1" si="10"/>
        <v>1704700.9689134283</v>
      </c>
      <c r="X66" s="14">
        <f t="shared" ca="1" si="11"/>
        <v>1715669.0662759694</v>
      </c>
      <c r="Y66" s="213">
        <f t="shared" ca="1" si="34"/>
        <v>1931.1780946632091</v>
      </c>
      <c r="Z66" s="14">
        <f t="shared" ca="1" si="12"/>
        <v>1713737.8881813062</v>
      </c>
      <c r="AA66" s="14">
        <f>IF(AND($H66=pt,$F66=11),SUM($K$7:K66)*VLOOKUP(pt,ROC,2,FALSE),0)</f>
        <v>0</v>
      </c>
      <c r="AB66" s="14">
        <f>IF(AND($H66=pt,$F66=11),SUM($V$7:V66)*VLOOKUP(pt,ROC,2,FALSE),0)</f>
        <v>0</v>
      </c>
      <c r="AC66" s="14">
        <f>IF(AND($H66=pt,$F66=11),SUM($Q$7:Q66)*VLOOKUP(pt,ROC,2,FALSE),0)</f>
        <v>0</v>
      </c>
      <c r="AD66" s="14">
        <f t="shared" ca="1" si="35"/>
        <v>1713737.8881813062</v>
      </c>
      <c r="AE66" s="14">
        <f ca="1">(MAX(sa-CF65*Flag_UL_Type,105%*SUM($I$7:I66),Z66)+AU66)*B66</f>
        <v>3000000</v>
      </c>
      <c r="AF66" s="136"/>
      <c r="AG66" s="18">
        <v>60</v>
      </c>
      <c r="AH66" s="30">
        <f t="shared" ca="1" si="13"/>
        <v>0</v>
      </c>
      <c r="AI66" s="138"/>
      <c r="AJ66" s="50">
        <f>IF(AND(Option_Sys_TopUp&gt;="Y",H66&gt;=sytp,H66&lt;=(dtp+sytp-1),F66=0,H66&lt;=ppt+1),atp,0)+IFERROR(VLOOKUP(H66,Input!$B$55:$C$61,2,0),0)*(F66=0)*(Option_TopUP="Y")*(Option_Sys_TopUp="N")*B66*(pt&gt;=H66+5)</f>
        <v>0</v>
      </c>
      <c r="AK66" s="50">
        <f t="shared" si="14"/>
        <v>0</v>
      </c>
      <c r="AL66" s="50">
        <f t="shared" si="36"/>
        <v>0</v>
      </c>
      <c r="AM66" s="50">
        <f t="shared" ca="1" si="15"/>
        <v>0</v>
      </c>
      <c r="AN66" s="50">
        <f ca="1">IF(B66=0,0,AT66*(_rpm1+(1+_emr1)*VLOOKUP(E66,Tab_Mort_Charge,IF(Input!$C$12="M",2,3),0))*(0.001*0.0833)*Flag_Mort_Rider_Charge*(AT66&gt;0))</f>
        <v>0</v>
      </c>
      <c r="AO66" s="50">
        <f t="shared" ca="1" si="37"/>
        <v>0</v>
      </c>
      <c r="AP66" s="50">
        <f t="shared" ca="1" si="38"/>
        <v>0</v>
      </c>
      <c r="AQ66" s="50">
        <f t="shared" ca="1" si="16"/>
        <v>0</v>
      </c>
      <c r="AR66" s="50">
        <f t="shared" ca="1" si="17"/>
        <v>0</v>
      </c>
      <c r="AS66" s="50">
        <f t="shared" si="18"/>
        <v>0</v>
      </c>
      <c r="AT66" s="50">
        <f ca="1">(MAX((MAX(AS66,105%*SUM($AJ$7:AJ66))-AM66*Flag_UL_Type),0)*B66)</f>
        <v>0</v>
      </c>
      <c r="AU66" s="50">
        <f ca="1">(MAX(AS66,AR66,105%*SUM($AJ$7:AJ66))*B66)</f>
        <v>0</v>
      </c>
      <c r="AV66" s="125"/>
      <c r="AW66" s="13"/>
      <c r="AX66" s="13"/>
      <c r="AY66" s="13"/>
      <c r="AZ66" s="13"/>
      <c r="BA66" s="13"/>
      <c r="BG66" s="51">
        <f t="shared" si="21"/>
        <v>0</v>
      </c>
      <c r="BH66" s="51">
        <f t="shared" ca="1" si="22"/>
        <v>0</v>
      </c>
      <c r="BI66" s="51">
        <f t="shared" ca="1" si="46"/>
        <v>0</v>
      </c>
      <c r="BJ66" s="51">
        <f t="shared" ca="1" si="23"/>
        <v>0</v>
      </c>
      <c r="BK66" s="51">
        <f t="shared" si="24"/>
        <v>0</v>
      </c>
      <c r="BL66" s="51">
        <f t="shared" ca="1" si="25"/>
        <v>0</v>
      </c>
      <c r="BM66" s="51">
        <f t="shared" si="26"/>
        <v>0</v>
      </c>
      <c r="BN66" s="51">
        <f t="shared" ca="1" si="27"/>
        <v>0</v>
      </c>
      <c r="BO66" s="51">
        <f t="shared" ca="1" si="28"/>
        <v>0</v>
      </c>
      <c r="BP66" s="51">
        <f t="shared" ca="1" si="29"/>
        <v>0</v>
      </c>
      <c r="BR66" s="32"/>
      <c r="BS66" s="126"/>
      <c r="BT66" s="16"/>
      <c r="BU66" s="58"/>
      <c r="BW66" s="51">
        <f>VLOOKUP(H66,Charges!$AT$4:$AU$33,2,FALSE)*I66</f>
        <v>0</v>
      </c>
      <c r="BX66" s="51">
        <f t="shared" si="30"/>
        <v>0</v>
      </c>
      <c r="BY66" s="51">
        <f t="shared" si="47"/>
        <v>0</v>
      </c>
      <c r="BZ66" s="151"/>
      <c r="CA66" s="151"/>
      <c r="CB66" s="32"/>
      <c r="CC66" s="16">
        <f ca="1">SUM($N$7:$N66)</f>
        <v>0</v>
      </c>
      <c r="CD66" s="16">
        <f t="shared" ca="1" si="31"/>
        <v>0</v>
      </c>
      <c r="CE66" s="16">
        <f t="shared" ca="1" si="32"/>
        <v>0</v>
      </c>
      <c r="CF66" s="7">
        <f t="shared" ca="1" si="48"/>
        <v>0</v>
      </c>
    </row>
    <row r="67" spans="1:84" s="7" customFormat="1" x14ac:dyDescent="0.2">
      <c r="A67" s="149"/>
      <c r="B67" s="14">
        <f t="shared" si="0"/>
        <v>1</v>
      </c>
      <c r="C67" s="12">
        <f t="shared" si="1"/>
        <v>1</v>
      </c>
      <c r="D67" s="17">
        <f t="shared" si="49"/>
        <v>61</v>
      </c>
      <c r="E67" s="17">
        <f t="shared" ca="1" si="2"/>
        <v>65</v>
      </c>
      <c r="F67" s="12">
        <f t="shared" si="53"/>
        <v>0</v>
      </c>
      <c r="G67" s="12">
        <f t="shared" si="52"/>
        <v>11</v>
      </c>
      <c r="H67" s="17">
        <f t="shared" si="54"/>
        <v>6</v>
      </c>
      <c r="I67" s="29">
        <f t="shared" si="3"/>
        <v>300000</v>
      </c>
      <c r="J67" s="211">
        <f>IFERROR(VLOOKUP(H67,Charges!$T$6:$U$35,2,0)*C67,0)</f>
        <v>0.98</v>
      </c>
      <c r="K67" s="29">
        <f t="shared" si="4"/>
        <v>6000.00000000001</v>
      </c>
      <c r="L67" s="29">
        <f t="shared" si="5"/>
        <v>294000</v>
      </c>
      <c r="M67" s="147">
        <f t="shared" ca="1" si="6"/>
        <v>0</v>
      </c>
      <c r="N67" s="148">
        <f ca="1">IF(AND(Option_SPW="Y",Z66&gt;=SPW_Start_Min_FV,H67&gt;=Lock_In_Period,Z66&gt;SPW_Amount_pa+IF(option="Single",1/5*pr,2*pr),H67&gt;=SPW_Start_Year,H67&lt;=SPW_Start_Year+SPW_Duration-1,F67=0,age+H67&gt;=Legal_Age),SPW_Amount_pa,0)+IFERROR(VLOOKUP(H67,Input!$B$68:$C$74,2,0),0)*(F67=0)*(Option_PW="Y")*(Option_SPW="N")*(age+H67&gt;=Legal_Age)</f>
        <v>0</v>
      </c>
      <c r="O67" s="148">
        <f t="shared" ca="1" si="33"/>
        <v>0</v>
      </c>
      <c r="P67" s="14">
        <f ca="1">(MAX(MAX(sa-CF66*Flag_UL_Type,105%*SUM($I$7:I67))-(AD66+L67-N67)*Flag_UL_Type,0)*B67)</f>
        <v>992262.11181869381</v>
      </c>
      <c r="Q67" s="213">
        <f t="shared" ca="1" si="7"/>
        <v>0</v>
      </c>
      <c r="R67" s="14">
        <f t="shared" ca="1" si="8"/>
        <v>0</v>
      </c>
      <c r="S67" s="14">
        <f t="shared" ca="1" si="9"/>
        <v>0</v>
      </c>
      <c r="T67" s="14">
        <f>IFERROR(IF(WoP_Flag="Y",IF(fq=1,VLOOKUP(ppt*fq-H67,Charges!$AN$41:$AO$59,2,FALSE),IF(fq=2,VLOOKUP(ppt*fq-G67,Charges!$AP$41:$AQ$79,2,FALSE),VLOOKUP(ppt*fq-D67,Charges!$AR$41:$AS$279,2,FALSE)))*pr/fq,0),0)</f>
        <v>0</v>
      </c>
      <c r="U67" s="14">
        <f ca="1">IFERROR(((T67*(VLOOKUP(Input!$D$18+H67-1,Tab_Mort_Charge,IF(Gender_2="M",2,3),FALSE)*(1+_emr2)+_rpm2)/IF(Model_Type="LA_PQIS",1000/0.0833,(12*1000))))*Flag_Mort_Rider_Charge*(T67&gt;0),0)</f>
        <v>0</v>
      </c>
      <c r="V67" s="34">
        <f>ROUND(MIN(IF(H67&gt;=7,Charges!$C$12*(1+Charges!$C$14)^((H67-7+1)),VLOOKUP(H67,Charges!$B$7:$C$12,2,0))*pr,Charges!$C$13)*B67,Round)</f>
        <v>500</v>
      </c>
      <c r="W67" s="14">
        <f t="shared" ca="1" si="10"/>
        <v>2007237.8881813062</v>
      </c>
      <c r="X67" s="14">
        <f t="shared" ca="1" si="11"/>
        <v>2020152.5171918045</v>
      </c>
      <c r="Y67" s="213">
        <f t="shared" ca="1" si="34"/>
        <v>2273.9083928042483</v>
      </c>
      <c r="Z67" s="14">
        <f t="shared" ca="1" si="12"/>
        <v>2017878.6087990003</v>
      </c>
      <c r="AA67" s="14">
        <f>IF(AND($H67=pt,$F67=11),SUM($K$7:K67)*VLOOKUP(pt,ROC,2,FALSE),0)</f>
        <v>0</v>
      </c>
      <c r="AB67" s="14">
        <f>IF(AND($H67=pt,$F67=11),SUM($V$7:V67)*VLOOKUP(pt,ROC,2,FALSE),0)</f>
        <v>0</v>
      </c>
      <c r="AC67" s="14">
        <f>IF(AND($H67=pt,$F67=11),SUM($Q$7:Q67)*VLOOKUP(pt,ROC,2,FALSE),0)</f>
        <v>0</v>
      </c>
      <c r="AD67" s="14">
        <f t="shared" ca="1" si="35"/>
        <v>2017878.6087990003</v>
      </c>
      <c r="AE67" s="14">
        <f ca="1">(MAX(sa-CF66*Flag_UL_Type,105%*SUM($I$7:I67),Z67)+AU67)*B67</f>
        <v>3000000</v>
      </c>
      <c r="AF67" s="136"/>
      <c r="AG67" s="18">
        <v>61</v>
      </c>
      <c r="AH67" s="30">
        <f t="shared" ca="1" si="13"/>
        <v>300000</v>
      </c>
      <c r="AI67" s="138"/>
      <c r="AJ67" s="50">
        <f>IF(AND(Option_Sys_TopUp&gt;="Y",H67&gt;=sytp,H67&lt;=(dtp+sytp-1),F67=0,H67&lt;=ppt+1),atp,0)+IFERROR(VLOOKUP(H67,Input!$B$55:$C$61,2,0),0)*(F67=0)*(Option_TopUP="Y")*(Option_Sys_TopUp="N")*B67*(pt&gt;=H67+5)</f>
        <v>0</v>
      </c>
      <c r="AK67" s="50">
        <f t="shared" si="14"/>
        <v>0</v>
      </c>
      <c r="AL67" s="50">
        <f t="shared" si="36"/>
        <v>0</v>
      </c>
      <c r="AM67" s="50">
        <f t="shared" ca="1" si="15"/>
        <v>0</v>
      </c>
      <c r="AN67" s="50">
        <f ca="1">IF(B67=0,0,AT67*(_rpm1+(1+_emr1)*VLOOKUP(E67,Tab_Mort_Charge,IF(Input!$C$12="M",2,3),0))*(0.001*0.0833)*Flag_Mort_Rider_Charge*(AT67&gt;0))</f>
        <v>0</v>
      </c>
      <c r="AO67" s="50">
        <f t="shared" ca="1" si="37"/>
        <v>0</v>
      </c>
      <c r="AP67" s="50">
        <f t="shared" ca="1" si="38"/>
        <v>0</v>
      </c>
      <c r="AQ67" s="50">
        <f t="shared" ca="1" si="16"/>
        <v>0</v>
      </c>
      <c r="AR67" s="50">
        <f t="shared" ca="1" si="17"/>
        <v>0</v>
      </c>
      <c r="AS67" s="50">
        <f t="shared" si="18"/>
        <v>0</v>
      </c>
      <c r="AT67" s="50">
        <f ca="1">(MAX((MAX(AS67,105%*SUM($AJ$7:AJ67))-AM67*Flag_UL_Type),0)*B67)</f>
        <v>0</v>
      </c>
      <c r="AU67" s="50">
        <f ca="1">(MAX(AS67,AR67,105%*SUM($AJ$7:AJ67))*B67)</f>
        <v>0</v>
      </c>
      <c r="AV67" s="125"/>
      <c r="AW67" s="13"/>
      <c r="AX67" s="13"/>
      <c r="AY67" s="13"/>
      <c r="AZ67" s="13"/>
      <c r="BA67" s="13"/>
      <c r="BG67" s="51">
        <f t="shared" si="21"/>
        <v>0</v>
      </c>
      <c r="BH67" s="51">
        <f t="shared" ca="1" si="22"/>
        <v>0</v>
      </c>
      <c r="BI67" s="51">
        <f t="shared" ca="1" si="46"/>
        <v>0</v>
      </c>
      <c r="BJ67" s="51">
        <f t="shared" ca="1" si="23"/>
        <v>0</v>
      </c>
      <c r="BK67" s="51">
        <f t="shared" si="24"/>
        <v>0</v>
      </c>
      <c r="BL67" s="51">
        <f t="shared" ca="1" si="25"/>
        <v>0</v>
      </c>
      <c r="BM67" s="51">
        <f t="shared" si="26"/>
        <v>0</v>
      </c>
      <c r="BN67" s="51">
        <f t="shared" ca="1" si="27"/>
        <v>0</v>
      </c>
      <c r="BO67" s="51">
        <f t="shared" ca="1" si="28"/>
        <v>0</v>
      </c>
      <c r="BP67" s="51">
        <f t="shared" ca="1" si="29"/>
        <v>0</v>
      </c>
      <c r="BR67" s="32"/>
      <c r="BS67" s="126"/>
      <c r="BT67" s="16"/>
      <c r="BU67" s="58"/>
      <c r="BW67" s="51">
        <f>VLOOKUP(H67,Charges!$AT$4:$AU$33,2,FALSE)*I67</f>
        <v>3000</v>
      </c>
      <c r="BX67" s="51">
        <f t="shared" si="30"/>
        <v>0</v>
      </c>
      <c r="BY67" s="51">
        <f t="shared" si="47"/>
        <v>3000</v>
      </c>
      <c r="BZ67" s="151"/>
      <c r="CA67" s="151"/>
      <c r="CB67" s="32"/>
      <c r="CC67" s="16">
        <f ca="1">SUM($N$7:$N67)</f>
        <v>0</v>
      </c>
      <c r="CD67" s="16">
        <f t="shared" ca="1" si="31"/>
        <v>0</v>
      </c>
      <c r="CE67" s="16">
        <f t="shared" ca="1" si="32"/>
        <v>0</v>
      </c>
      <c r="CF67" s="7">
        <f t="shared" ca="1" si="48"/>
        <v>0</v>
      </c>
    </row>
    <row r="68" spans="1:84" s="7" customFormat="1" x14ac:dyDescent="0.2">
      <c r="A68" s="149"/>
      <c r="B68" s="14">
        <f t="shared" si="0"/>
        <v>1</v>
      </c>
      <c r="C68" s="12">
        <f t="shared" si="1"/>
        <v>1</v>
      </c>
      <c r="D68" s="17">
        <f t="shared" si="49"/>
        <v>62</v>
      </c>
      <c r="E68" s="17">
        <f t="shared" ca="1" si="2"/>
        <v>65</v>
      </c>
      <c r="F68" s="12">
        <f t="shared" si="53"/>
        <v>1</v>
      </c>
      <c r="G68" s="12">
        <f t="shared" si="52"/>
        <v>11</v>
      </c>
      <c r="H68" s="17">
        <f t="shared" si="54"/>
        <v>6</v>
      </c>
      <c r="I68" s="29">
        <f t="shared" si="3"/>
        <v>0</v>
      </c>
      <c r="J68" s="211">
        <f>IFERROR(VLOOKUP(H68,Charges!$T$6:$U$35,2,0)*C68,0)</f>
        <v>0.98</v>
      </c>
      <c r="K68" s="29">
        <f t="shared" si="4"/>
        <v>0</v>
      </c>
      <c r="L68" s="29">
        <f t="shared" si="5"/>
        <v>0</v>
      </c>
      <c r="M68" s="147">
        <f t="shared" ca="1" si="6"/>
        <v>0</v>
      </c>
      <c r="N68" s="148">
        <f ca="1">IF(AND(Option_SPW="Y",Z67&gt;=SPW_Start_Min_FV,H68&gt;=Lock_In_Period,Z67&gt;SPW_Amount_pa+IF(option="Single",1/5*pr,2*pr),H68&gt;=SPW_Start_Year,H68&lt;=SPW_Start_Year+SPW_Duration-1,F68=0,age+H68&gt;=Legal_Age),SPW_Amount_pa,0)+IFERROR(VLOOKUP(H68,Input!$B$68:$C$74,2,0),0)*(F68=0)*(Option_PW="Y")*(Option_SPW="N")*(age+H68&gt;=Legal_Age)</f>
        <v>0</v>
      </c>
      <c r="O68" s="148">
        <f t="shared" ca="1" si="33"/>
        <v>0</v>
      </c>
      <c r="P68" s="14">
        <f ca="1">(MAX(MAX(sa-CF67*Flag_UL_Type,105%*SUM($I$7:I68))-(AD67+L68-N68)*Flag_UL_Type,0)*B68)</f>
        <v>982121.39120099973</v>
      </c>
      <c r="Q68" s="213">
        <f t="shared" ca="1" si="7"/>
        <v>0</v>
      </c>
      <c r="R68" s="14">
        <f t="shared" ca="1" si="8"/>
        <v>0</v>
      </c>
      <c r="S68" s="14">
        <f t="shared" ca="1" si="9"/>
        <v>0</v>
      </c>
      <c r="T68" s="14">
        <f>IFERROR(IF(WoP_Flag="Y",IF(fq=1,VLOOKUP(ppt*fq-H68,Charges!$AN$41:$AO$59,2,FALSE),IF(fq=2,VLOOKUP(ppt*fq-G68,Charges!$AP$41:$AQ$79,2,FALSE),VLOOKUP(ppt*fq-D68,Charges!$AR$41:$AS$279,2,FALSE)))*pr/fq,0),0)</f>
        <v>0</v>
      </c>
      <c r="U68" s="14">
        <f ca="1">IFERROR(((T68*(VLOOKUP(Input!$D$18+H68-1,Tab_Mort_Charge,IF(Gender_2="M",2,3),FALSE)*(1+_emr2)+_rpm2)/IF(Model_Type="LA_PQIS",1000/0.0833,(12*1000))))*Flag_Mort_Rider_Charge*(T68&gt;0),0)</f>
        <v>0</v>
      </c>
      <c r="V68" s="34">
        <f>ROUND(MIN(IF(H68&gt;=7,Charges!$C$12*(1+Charges!$C$14)^((H68-7+1)),VLOOKUP(H68,Charges!$B$7:$C$12,2,0))*pr,Charges!$C$13)*B68,Round)</f>
        <v>500</v>
      </c>
      <c r="W68" s="14">
        <f t="shared" ca="1" si="10"/>
        <v>2017378.6087990003</v>
      </c>
      <c r="X68" s="14">
        <f t="shared" ca="1" si="11"/>
        <v>2030358.4835112898</v>
      </c>
      <c r="Y68" s="213">
        <f t="shared" ca="1" si="34"/>
        <v>2285.3963533780448</v>
      </c>
      <c r="Z68" s="14">
        <f t="shared" ca="1" si="12"/>
        <v>2028073.0871579119</v>
      </c>
      <c r="AA68" s="14">
        <f>IF(AND($H68=pt,$F68=11),SUM($K$7:K68)*VLOOKUP(pt,ROC,2,FALSE),0)</f>
        <v>0</v>
      </c>
      <c r="AB68" s="14">
        <f>IF(AND($H68=pt,$F68=11),SUM($V$7:V68)*VLOOKUP(pt,ROC,2,FALSE),0)</f>
        <v>0</v>
      </c>
      <c r="AC68" s="14">
        <f>IF(AND($H68=pt,$F68=11),SUM($Q$7:Q68)*VLOOKUP(pt,ROC,2,FALSE),0)</f>
        <v>0</v>
      </c>
      <c r="AD68" s="14">
        <f t="shared" ca="1" si="35"/>
        <v>2028073.0871579119</v>
      </c>
      <c r="AE68" s="14">
        <f ca="1">(MAX(sa-CF67*Flag_UL_Type,105%*SUM($I$7:I68),Z68)+AU68)*B68</f>
        <v>3000000</v>
      </c>
      <c r="AF68" s="136"/>
      <c r="AG68" s="18">
        <v>62</v>
      </c>
      <c r="AH68" s="30">
        <f t="shared" ca="1" si="13"/>
        <v>0</v>
      </c>
      <c r="AI68" s="138"/>
      <c r="AJ68" s="50">
        <f>IF(AND(Option_Sys_TopUp&gt;="Y",H68&gt;=sytp,H68&lt;=(dtp+sytp-1),F68=0,H68&lt;=ppt+1),atp,0)+IFERROR(VLOOKUP(H68,Input!$B$55:$C$61,2,0),0)*(F68=0)*(Option_TopUP="Y")*(Option_Sys_TopUp="N")*B68*(pt&gt;=H68+5)</f>
        <v>0</v>
      </c>
      <c r="AK68" s="50">
        <f t="shared" si="14"/>
        <v>0</v>
      </c>
      <c r="AL68" s="50">
        <f t="shared" si="36"/>
        <v>0</v>
      </c>
      <c r="AM68" s="50">
        <f t="shared" ca="1" si="15"/>
        <v>0</v>
      </c>
      <c r="AN68" s="50">
        <f ca="1">IF(B68=0,0,AT68*(_rpm1+(1+_emr1)*VLOOKUP(E68,Tab_Mort_Charge,IF(Input!$C$12="M",2,3),0))*(0.001*0.0833)*Flag_Mort_Rider_Charge*(AT68&gt;0))</f>
        <v>0</v>
      </c>
      <c r="AO68" s="50">
        <f t="shared" ca="1" si="37"/>
        <v>0</v>
      </c>
      <c r="AP68" s="50">
        <f t="shared" ca="1" si="38"/>
        <v>0</v>
      </c>
      <c r="AQ68" s="50">
        <f t="shared" ca="1" si="16"/>
        <v>0</v>
      </c>
      <c r="AR68" s="50">
        <f t="shared" ca="1" si="17"/>
        <v>0</v>
      </c>
      <c r="AS68" s="50">
        <f t="shared" si="18"/>
        <v>0</v>
      </c>
      <c r="AT68" s="50">
        <f ca="1">(MAX((MAX(AS68,105%*SUM($AJ$7:AJ68))-AM68*Flag_UL_Type),0)*B68)</f>
        <v>0</v>
      </c>
      <c r="AU68" s="50">
        <f ca="1">(MAX(AS68,AR68,105%*SUM($AJ$7:AJ68))*B68)</f>
        <v>0</v>
      </c>
      <c r="AV68" s="125"/>
      <c r="AW68" s="13"/>
      <c r="AX68" s="13"/>
      <c r="AY68" s="13"/>
      <c r="AZ68" s="13"/>
      <c r="BA68" s="13"/>
      <c r="BG68" s="51">
        <f t="shared" si="21"/>
        <v>0</v>
      </c>
      <c r="BH68" s="51">
        <f t="shared" ca="1" si="22"/>
        <v>0</v>
      </c>
      <c r="BI68" s="51">
        <f t="shared" ca="1" si="46"/>
        <v>0</v>
      </c>
      <c r="BJ68" s="51">
        <f t="shared" ca="1" si="23"/>
        <v>0</v>
      </c>
      <c r="BK68" s="51">
        <f t="shared" si="24"/>
        <v>0</v>
      </c>
      <c r="BL68" s="51">
        <f t="shared" ca="1" si="25"/>
        <v>0</v>
      </c>
      <c r="BM68" s="51">
        <f t="shared" si="26"/>
        <v>0</v>
      </c>
      <c r="BN68" s="51">
        <f t="shared" ca="1" si="27"/>
        <v>0</v>
      </c>
      <c r="BO68" s="51">
        <f t="shared" ca="1" si="28"/>
        <v>0</v>
      </c>
      <c r="BP68" s="51">
        <f t="shared" ca="1" si="29"/>
        <v>0</v>
      </c>
      <c r="BR68" s="32"/>
      <c r="BS68" s="126"/>
      <c r="BT68" s="16"/>
      <c r="BU68" s="58"/>
      <c r="BW68" s="51">
        <f>VLOOKUP(H68,Charges!$AT$4:$AU$33,2,FALSE)*I68</f>
        <v>0</v>
      </c>
      <c r="BX68" s="51">
        <f t="shared" si="30"/>
        <v>0</v>
      </c>
      <c r="BY68" s="51">
        <f t="shared" si="47"/>
        <v>0</v>
      </c>
      <c r="BZ68" s="151"/>
      <c r="CA68" s="151"/>
      <c r="CB68" s="32"/>
      <c r="CC68" s="16">
        <f ca="1">SUM($N$7:$N68)</f>
        <v>0</v>
      </c>
      <c r="CD68" s="16">
        <f t="shared" ca="1" si="31"/>
        <v>0</v>
      </c>
      <c r="CE68" s="16">
        <f t="shared" ca="1" si="32"/>
        <v>0</v>
      </c>
      <c r="CF68" s="7">
        <f t="shared" ca="1" si="48"/>
        <v>0</v>
      </c>
    </row>
    <row r="69" spans="1:84" s="7" customFormat="1" x14ac:dyDescent="0.2">
      <c r="A69" s="149"/>
      <c r="B69" s="14">
        <f t="shared" si="0"/>
        <v>1</v>
      </c>
      <c r="C69" s="12">
        <f t="shared" si="1"/>
        <v>1</v>
      </c>
      <c r="D69" s="17">
        <f t="shared" si="49"/>
        <v>63</v>
      </c>
      <c r="E69" s="17">
        <f t="shared" ca="1" si="2"/>
        <v>65</v>
      </c>
      <c r="F69" s="12">
        <f t="shared" si="53"/>
        <v>2</v>
      </c>
      <c r="G69" s="12">
        <f t="shared" si="52"/>
        <v>11</v>
      </c>
      <c r="H69" s="17">
        <f t="shared" si="54"/>
        <v>6</v>
      </c>
      <c r="I69" s="29">
        <f t="shared" si="3"/>
        <v>0</v>
      </c>
      <c r="J69" s="211">
        <f>IFERROR(VLOOKUP(H69,Charges!$T$6:$U$35,2,0)*C69,0)</f>
        <v>0.98</v>
      </c>
      <c r="K69" s="29">
        <f t="shared" si="4"/>
        <v>0</v>
      </c>
      <c r="L69" s="29">
        <f t="shared" si="5"/>
        <v>0</v>
      </c>
      <c r="M69" s="147">
        <f t="shared" ca="1" si="6"/>
        <v>0</v>
      </c>
      <c r="N69" s="148">
        <f ca="1">IF(AND(Option_SPW="Y",Z68&gt;=SPW_Start_Min_FV,H69&gt;=Lock_In_Period,Z68&gt;SPW_Amount_pa+IF(option="Single",1/5*pr,2*pr),H69&gt;=SPW_Start_Year,H69&lt;=SPW_Start_Year+SPW_Duration-1,F69=0,age+H69&gt;=Legal_Age),SPW_Amount_pa,0)+IFERROR(VLOOKUP(H69,Input!$B$68:$C$74,2,0),0)*(F69=0)*(Option_PW="Y")*(Option_SPW="N")*(age+H69&gt;=Legal_Age)</f>
        <v>0</v>
      </c>
      <c r="O69" s="148">
        <f t="shared" ca="1" si="33"/>
        <v>0</v>
      </c>
      <c r="P69" s="14">
        <f ca="1">(MAX(MAX(sa-CF68*Flag_UL_Type,105%*SUM($I$7:I69))-(AD68+L69-N69)*Flag_UL_Type,0)*B69)</f>
        <v>971926.91284208815</v>
      </c>
      <c r="Q69" s="213">
        <f t="shared" ca="1" si="7"/>
        <v>0</v>
      </c>
      <c r="R69" s="14">
        <f t="shared" ca="1" si="8"/>
        <v>0</v>
      </c>
      <c r="S69" s="14">
        <f t="shared" ca="1" si="9"/>
        <v>0</v>
      </c>
      <c r="T69" s="14">
        <f>IFERROR(IF(WoP_Flag="Y",IF(fq=1,VLOOKUP(ppt*fq-H69,Charges!$AN$41:$AO$59,2,FALSE),IF(fq=2,VLOOKUP(ppt*fq-G69,Charges!$AP$41:$AQ$79,2,FALSE),VLOOKUP(ppt*fq-D69,Charges!$AR$41:$AS$279,2,FALSE)))*pr/fq,0),0)</f>
        <v>0</v>
      </c>
      <c r="U69" s="14">
        <f ca="1">IFERROR(((T69*(VLOOKUP(Input!$D$18+H69-1,Tab_Mort_Charge,IF(Gender_2="M",2,3),FALSE)*(1+_emr2)+_rpm2)/IF(Model_Type="LA_PQIS",1000/0.0833,(12*1000))))*Flag_Mort_Rider_Charge*(T69&gt;0),0)</f>
        <v>0</v>
      </c>
      <c r="V69" s="34">
        <f>ROUND(MIN(IF(H69&gt;=7,Charges!$C$12*(1+Charges!$C$14)^((H69-7+1)),VLOOKUP(H69,Charges!$B$7:$C$12,2,0))*pr,Charges!$C$13)*B69,Round)</f>
        <v>500</v>
      </c>
      <c r="W69" s="14">
        <f t="shared" ca="1" si="10"/>
        <v>2027573.0871579119</v>
      </c>
      <c r="X69" s="14">
        <f t="shared" ca="1" si="11"/>
        <v>2040618.5534509185</v>
      </c>
      <c r="Y69" s="213">
        <f t="shared" ca="1" si="34"/>
        <v>2296.9452136487098</v>
      </c>
      <c r="Z69" s="14">
        <f t="shared" ca="1" si="12"/>
        <v>2038321.6082372698</v>
      </c>
      <c r="AA69" s="14">
        <f>IF(AND($H69=pt,$F69=11),SUM($K$7:K69)*VLOOKUP(pt,ROC,2,FALSE),0)</f>
        <v>0</v>
      </c>
      <c r="AB69" s="14">
        <f>IF(AND($H69=pt,$F69=11),SUM($V$7:V69)*VLOOKUP(pt,ROC,2,FALSE),0)</f>
        <v>0</v>
      </c>
      <c r="AC69" s="14">
        <f>IF(AND($H69=pt,$F69=11),SUM($Q$7:Q69)*VLOOKUP(pt,ROC,2,FALSE),0)</f>
        <v>0</v>
      </c>
      <c r="AD69" s="14">
        <f t="shared" ca="1" si="35"/>
        <v>2038321.6082372698</v>
      </c>
      <c r="AE69" s="14">
        <f ca="1">(MAX(sa-CF68*Flag_UL_Type,105%*SUM($I$7:I69),Z69)+AU69)*B69</f>
        <v>3000000</v>
      </c>
      <c r="AF69" s="136"/>
      <c r="AG69" s="18">
        <v>63</v>
      </c>
      <c r="AH69" s="30">
        <f t="shared" ca="1" si="13"/>
        <v>0</v>
      </c>
      <c r="AI69" s="138"/>
      <c r="AJ69" s="50">
        <f>IF(AND(Option_Sys_TopUp&gt;="Y",H69&gt;=sytp,H69&lt;=(dtp+sytp-1),F69=0,H69&lt;=ppt+1),atp,0)+IFERROR(VLOOKUP(H69,Input!$B$55:$C$61,2,0),0)*(F69=0)*(Option_TopUP="Y")*(Option_Sys_TopUp="N")*B69*(pt&gt;=H69+5)</f>
        <v>0</v>
      </c>
      <c r="AK69" s="50">
        <f t="shared" si="14"/>
        <v>0</v>
      </c>
      <c r="AL69" s="50">
        <f t="shared" si="36"/>
        <v>0</v>
      </c>
      <c r="AM69" s="50">
        <f t="shared" ca="1" si="15"/>
        <v>0</v>
      </c>
      <c r="AN69" s="50">
        <f ca="1">IF(B69=0,0,AT69*(_rpm1+(1+_emr1)*VLOOKUP(E69,Tab_Mort_Charge,IF(Input!$C$12="M",2,3),0))*(0.001*0.0833)*Flag_Mort_Rider_Charge*(AT69&gt;0))</f>
        <v>0</v>
      </c>
      <c r="AO69" s="50">
        <f t="shared" ca="1" si="37"/>
        <v>0</v>
      </c>
      <c r="AP69" s="50">
        <f t="shared" ca="1" si="38"/>
        <v>0</v>
      </c>
      <c r="AQ69" s="50">
        <f t="shared" ca="1" si="16"/>
        <v>0</v>
      </c>
      <c r="AR69" s="50">
        <f t="shared" ca="1" si="17"/>
        <v>0</v>
      </c>
      <c r="AS69" s="50">
        <f t="shared" si="18"/>
        <v>0</v>
      </c>
      <c r="AT69" s="50">
        <f ca="1">(MAX((MAX(AS69,105%*SUM($AJ$7:AJ69))-AM69*Flag_UL_Type),0)*B69)</f>
        <v>0</v>
      </c>
      <c r="AU69" s="50">
        <f ca="1">(MAX(AS69,AR69,105%*SUM($AJ$7:AJ69))*B69)</f>
        <v>0</v>
      </c>
      <c r="AV69" s="125"/>
      <c r="AW69" s="13"/>
      <c r="AX69" s="13"/>
      <c r="AY69" s="13"/>
      <c r="AZ69" s="13"/>
      <c r="BA69" s="13"/>
      <c r="BG69" s="51">
        <f t="shared" si="21"/>
        <v>0</v>
      </c>
      <c r="BH69" s="51">
        <f t="shared" ca="1" si="22"/>
        <v>0</v>
      </c>
      <c r="BI69" s="51">
        <f t="shared" ca="1" si="46"/>
        <v>0</v>
      </c>
      <c r="BJ69" s="51">
        <f t="shared" ca="1" si="23"/>
        <v>0</v>
      </c>
      <c r="BK69" s="51">
        <f t="shared" si="24"/>
        <v>0</v>
      </c>
      <c r="BL69" s="51">
        <f t="shared" ca="1" si="25"/>
        <v>0</v>
      </c>
      <c r="BM69" s="51">
        <f t="shared" si="26"/>
        <v>0</v>
      </c>
      <c r="BN69" s="51">
        <f t="shared" ca="1" si="27"/>
        <v>0</v>
      </c>
      <c r="BO69" s="51">
        <f t="shared" ca="1" si="28"/>
        <v>0</v>
      </c>
      <c r="BP69" s="51">
        <f t="shared" ca="1" si="29"/>
        <v>0</v>
      </c>
      <c r="BR69" s="32"/>
      <c r="BS69" s="126"/>
      <c r="BT69" s="16"/>
      <c r="BU69" s="58"/>
      <c r="BW69" s="51">
        <f>VLOOKUP(H69,Charges!$AT$4:$AU$33,2,FALSE)*I69</f>
        <v>0</v>
      </c>
      <c r="BX69" s="51">
        <f t="shared" si="30"/>
        <v>0</v>
      </c>
      <c r="BY69" s="51">
        <f t="shared" si="47"/>
        <v>0</v>
      </c>
      <c r="BZ69" s="151"/>
      <c r="CA69" s="151"/>
      <c r="CB69" s="32"/>
      <c r="CC69" s="16">
        <f ca="1">SUM($N$7:$N69)</f>
        <v>0</v>
      </c>
      <c r="CD69" s="16">
        <f t="shared" ca="1" si="31"/>
        <v>0</v>
      </c>
      <c r="CE69" s="16">
        <f t="shared" ca="1" si="32"/>
        <v>0</v>
      </c>
      <c r="CF69" s="7">
        <f t="shared" ca="1" si="48"/>
        <v>0</v>
      </c>
    </row>
    <row r="70" spans="1:84" s="7" customFormat="1" x14ac:dyDescent="0.2">
      <c r="A70" s="149"/>
      <c r="B70" s="14">
        <f t="shared" si="0"/>
        <v>1</v>
      </c>
      <c r="C70" s="12">
        <f t="shared" si="1"/>
        <v>1</v>
      </c>
      <c r="D70" s="17">
        <f t="shared" si="49"/>
        <v>64</v>
      </c>
      <c r="E70" s="17">
        <f t="shared" ca="1" si="2"/>
        <v>65</v>
      </c>
      <c r="F70" s="12">
        <f t="shared" si="53"/>
        <v>3</v>
      </c>
      <c r="G70" s="12">
        <f t="shared" si="52"/>
        <v>11</v>
      </c>
      <c r="H70" s="17">
        <f t="shared" si="54"/>
        <v>6</v>
      </c>
      <c r="I70" s="29">
        <f t="shared" si="3"/>
        <v>0</v>
      </c>
      <c r="J70" s="211">
        <f>IFERROR(VLOOKUP(H70,Charges!$T$6:$U$35,2,0)*C70,0)</f>
        <v>0.98</v>
      </c>
      <c r="K70" s="29">
        <f t="shared" si="4"/>
        <v>0</v>
      </c>
      <c r="L70" s="29">
        <f t="shared" si="5"/>
        <v>0</v>
      </c>
      <c r="M70" s="147">
        <f t="shared" ca="1" si="6"/>
        <v>0</v>
      </c>
      <c r="N70" s="148">
        <f ca="1">IF(AND(Option_SPW="Y",Z69&gt;=SPW_Start_Min_FV,H70&gt;=Lock_In_Period,Z69&gt;SPW_Amount_pa+IF(option="Single",1/5*pr,2*pr),H70&gt;=SPW_Start_Year,H70&lt;=SPW_Start_Year+SPW_Duration-1,F70=0,age+H70&gt;=Legal_Age),SPW_Amount_pa,0)+IFERROR(VLOOKUP(H70,Input!$B$68:$C$74,2,0),0)*(F70=0)*(Option_PW="Y")*(Option_SPW="N")*(age+H70&gt;=Legal_Age)</f>
        <v>0</v>
      </c>
      <c r="O70" s="148">
        <f t="shared" ca="1" si="33"/>
        <v>0</v>
      </c>
      <c r="P70" s="14">
        <f ca="1">(MAX(MAX(sa-CF69*Flag_UL_Type,105%*SUM($I$7:I70))-(AD69+L70-N70)*Flag_UL_Type,0)*B70)</f>
        <v>961678.3917627302</v>
      </c>
      <c r="Q70" s="213">
        <f t="shared" ca="1" si="7"/>
        <v>0</v>
      </c>
      <c r="R70" s="14">
        <f t="shared" ca="1" si="8"/>
        <v>0</v>
      </c>
      <c r="S70" s="14">
        <f t="shared" ca="1" si="9"/>
        <v>0</v>
      </c>
      <c r="T70" s="14">
        <f>IFERROR(IF(WoP_Flag="Y",IF(fq=1,VLOOKUP(ppt*fq-H70,Charges!$AN$41:$AO$59,2,FALSE),IF(fq=2,VLOOKUP(ppt*fq-G70,Charges!$AP$41:$AQ$79,2,FALSE),VLOOKUP(ppt*fq-D70,Charges!$AR$41:$AS$279,2,FALSE)))*pr/fq,0),0)</f>
        <v>0</v>
      </c>
      <c r="U70" s="14">
        <f ca="1">IFERROR(((T70*(VLOOKUP(Input!$D$18+H70-1,Tab_Mort_Charge,IF(Gender_2="M",2,3),FALSE)*(1+_emr2)+_rpm2)/IF(Model_Type="LA_PQIS",1000/0.0833,(12*1000))))*Flag_Mort_Rider_Charge*(T70&gt;0),0)</f>
        <v>0</v>
      </c>
      <c r="V70" s="34">
        <f>ROUND(MIN(IF(H70&gt;=7,Charges!$C$12*(1+Charges!$C$14)^((H70-7+1)),VLOOKUP(H70,Charges!$B$7:$C$12,2,0))*pr,Charges!$C$13)*B70,Round)</f>
        <v>500</v>
      </c>
      <c r="W70" s="14">
        <f t="shared" ca="1" si="10"/>
        <v>2037821.6082372698</v>
      </c>
      <c r="X70" s="14">
        <f t="shared" ca="1" si="11"/>
        <v>2050933.0138234841</v>
      </c>
      <c r="Y70" s="213">
        <f t="shared" ca="1" si="34"/>
        <v>2308.555296456233</v>
      </c>
      <c r="Z70" s="14">
        <f t="shared" ca="1" si="12"/>
        <v>2048624.4585270279</v>
      </c>
      <c r="AA70" s="14">
        <f>IF(AND($H70=pt,$F70=11),SUM($K$7:K70)*VLOOKUP(pt,ROC,2,FALSE),0)</f>
        <v>0</v>
      </c>
      <c r="AB70" s="14">
        <f>IF(AND($H70=pt,$F70=11),SUM($V$7:V70)*VLOOKUP(pt,ROC,2,FALSE),0)</f>
        <v>0</v>
      </c>
      <c r="AC70" s="14">
        <f>IF(AND($H70=pt,$F70=11),SUM($Q$7:Q70)*VLOOKUP(pt,ROC,2,FALSE),0)</f>
        <v>0</v>
      </c>
      <c r="AD70" s="14">
        <f t="shared" ca="1" si="35"/>
        <v>2048624.4585270279</v>
      </c>
      <c r="AE70" s="14">
        <f ca="1">(MAX(sa-CF69*Flag_UL_Type,105%*SUM($I$7:I70),Z70)+AU70)*B70</f>
        <v>3000000</v>
      </c>
      <c r="AF70" s="136"/>
      <c r="AG70" s="18">
        <v>64</v>
      </c>
      <c r="AH70" s="30">
        <f t="shared" ca="1" si="13"/>
        <v>0</v>
      </c>
      <c r="AI70" s="138"/>
      <c r="AJ70" s="50">
        <f>IF(AND(Option_Sys_TopUp&gt;="Y",H70&gt;=sytp,H70&lt;=(dtp+sytp-1),F70=0,H70&lt;=ppt+1),atp,0)+IFERROR(VLOOKUP(H70,Input!$B$55:$C$61,2,0),0)*(F70=0)*(Option_TopUP="Y")*(Option_Sys_TopUp="N")*B70*(pt&gt;=H70+5)</f>
        <v>0</v>
      </c>
      <c r="AK70" s="50">
        <f t="shared" si="14"/>
        <v>0</v>
      </c>
      <c r="AL70" s="50">
        <f t="shared" si="36"/>
        <v>0</v>
      </c>
      <c r="AM70" s="50">
        <f t="shared" ca="1" si="15"/>
        <v>0</v>
      </c>
      <c r="AN70" s="50">
        <f ca="1">IF(B70=0,0,AT70*(_rpm1+(1+_emr1)*VLOOKUP(E70,Tab_Mort_Charge,IF(Input!$C$12="M",2,3),0))*(0.001*0.0833)*Flag_Mort_Rider_Charge*(AT70&gt;0))</f>
        <v>0</v>
      </c>
      <c r="AO70" s="50">
        <f t="shared" ca="1" si="37"/>
        <v>0</v>
      </c>
      <c r="AP70" s="50">
        <f t="shared" ca="1" si="38"/>
        <v>0</v>
      </c>
      <c r="AQ70" s="50">
        <f t="shared" ca="1" si="16"/>
        <v>0</v>
      </c>
      <c r="AR70" s="50">
        <f t="shared" ca="1" si="17"/>
        <v>0</v>
      </c>
      <c r="AS70" s="50">
        <f t="shared" si="18"/>
        <v>0</v>
      </c>
      <c r="AT70" s="50">
        <f ca="1">(MAX((MAX(AS70,105%*SUM($AJ$7:AJ70))-AM70*Flag_UL_Type),0)*B70)</f>
        <v>0</v>
      </c>
      <c r="AU70" s="50">
        <f ca="1">(MAX(AS70,AR70,105%*SUM($AJ$7:AJ70))*B70)</f>
        <v>0</v>
      </c>
      <c r="AV70" s="125"/>
      <c r="AW70" s="13"/>
      <c r="AX70" s="13"/>
      <c r="AY70" s="13"/>
      <c r="AZ70" s="13"/>
      <c r="BA70" s="13"/>
      <c r="BG70" s="51">
        <f t="shared" si="21"/>
        <v>0</v>
      </c>
      <c r="BH70" s="51">
        <f t="shared" ca="1" si="22"/>
        <v>0</v>
      </c>
      <c r="BI70" s="51">
        <f t="shared" ca="1" si="46"/>
        <v>0</v>
      </c>
      <c r="BJ70" s="51">
        <f t="shared" ca="1" si="23"/>
        <v>0</v>
      </c>
      <c r="BK70" s="51">
        <f t="shared" si="24"/>
        <v>0</v>
      </c>
      <c r="BL70" s="51">
        <f t="shared" ca="1" si="25"/>
        <v>0</v>
      </c>
      <c r="BM70" s="51">
        <f t="shared" si="26"/>
        <v>0</v>
      </c>
      <c r="BN70" s="51">
        <f t="shared" ca="1" si="27"/>
        <v>0</v>
      </c>
      <c r="BO70" s="51">
        <f t="shared" ca="1" si="28"/>
        <v>0</v>
      </c>
      <c r="BP70" s="51">
        <f t="shared" ca="1" si="29"/>
        <v>0</v>
      </c>
      <c r="BR70" s="32"/>
      <c r="BS70" s="126"/>
      <c r="BT70" s="16"/>
      <c r="BU70" s="58"/>
      <c r="BW70" s="51">
        <f>VLOOKUP(H70,Charges!$AT$4:$AU$33,2,FALSE)*I70</f>
        <v>0</v>
      </c>
      <c r="BX70" s="51">
        <f t="shared" si="30"/>
        <v>0</v>
      </c>
      <c r="BY70" s="51">
        <f t="shared" si="47"/>
        <v>0</v>
      </c>
      <c r="BZ70" s="151"/>
      <c r="CA70" s="151"/>
      <c r="CB70" s="32"/>
      <c r="CC70" s="16">
        <f ca="1">SUM($N$7:$N70)</f>
        <v>0</v>
      </c>
      <c r="CD70" s="16">
        <f t="shared" ca="1" si="31"/>
        <v>0</v>
      </c>
      <c r="CE70" s="16">
        <f t="shared" ca="1" si="32"/>
        <v>0</v>
      </c>
      <c r="CF70" s="7">
        <f t="shared" ca="1" si="48"/>
        <v>0</v>
      </c>
    </row>
    <row r="71" spans="1:84" s="7" customFormat="1" x14ac:dyDescent="0.2">
      <c r="A71" s="149"/>
      <c r="B71" s="14">
        <f t="shared" ref="B71:B134" si="55">IF(H71&lt;=pt,1,0)</f>
        <v>1</v>
      </c>
      <c r="C71" s="12">
        <f t="shared" ref="C71:C134" si="56">IF(H71&lt;=ppt,1,0)</f>
        <v>1</v>
      </c>
      <c r="D71" s="17">
        <f t="shared" si="49"/>
        <v>65</v>
      </c>
      <c r="E71" s="17">
        <f t="shared" ref="E71:E134" ca="1" si="57">(age+(H71-1))</f>
        <v>65</v>
      </c>
      <c r="F71" s="12">
        <f t="shared" si="53"/>
        <v>4</v>
      </c>
      <c r="G71" s="12">
        <f t="shared" si="52"/>
        <v>11</v>
      </c>
      <c r="H71" s="17">
        <f t="shared" si="54"/>
        <v>6</v>
      </c>
      <c r="I71" s="29">
        <f t="shared" ref="I71:I134" si="58">IF(AND(H71&lt;=pt,H71&lt;=ppt,F71=0,fq=1),pr,IF(AND(H71&lt;=pt,H71&lt;=ppt,fq=2,MOD(F71,6)=0),pr/fq,IF(AND(H71&lt;=pt,H71&lt;=ppt,fq=12),pr/fq,0)))</f>
        <v>0</v>
      </c>
      <c r="J71" s="211">
        <f>IFERROR(VLOOKUP(H71,Charges!$T$6:$U$35,2,0)*C71,0)</f>
        <v>0.98</v>
      </c>
      <c r="K71" s="29">
        <f t="shared" ref="K71:K134" si="59">ROUND((100%-J71)*I71,Round)</f>
        <v>0</v>
      </c>
      <c r="L71" s="29">
        <f t="shared" ref="L71:L134" si="60">(I71-(K71+BG71*IF(Model_Type="Pricing_Unit",1,0)))*C71</f>
        <v>0</v>
      </c>
      <c r="M71" s="147">
        <f t="shared" ref="M71:M134" ca="1" si="61">IF(AND(OR(Option_PW="Y",Option_SPW="Y"),H71&gt;Lock_In_Period,H71&lt;=pt,(W71-IF(option="Single",1/5*pr,2*pr))&gt;0,(age+H71)&gt;=Legal_Age),(W70+L71-IF(option="Single",1/5*pr,2*pr)),0)</f>
        <v>0</v>
      </c>
      <c r="N71" s="148">
        <f ca="1">IF(AND(Option_SPW="Y",Z70&gt;=SPW_Start_Min_FV,H71&gt;=Lock_In_Period,Z70&gt;SPW_Amount_pa+IF(option="Single",1/5*pr,2*pr),H71&gt;=SPW_Start_Year,H71&lt;=SPW_Start_Year+SPW_Duration-1,F71=0,age+H71&gt;=Legal_Age),SPW_Amount_pa,0)+IFERROR(VLOOKUP(H71,Input!$B$68:$C$74,2,0),0)*(F71=0)*(Option_PW="Y")*(Option_SPW="N")*(age+H71&gt;=Legal_Age)</f>
        <v>0</v>
      </c>
      <c r="O71" s="148">
        <f t="shared" ca="1" si="33"/>
        <v>0</v>
      </c>
      <c r="P71" s="14">
        <f ca="1">(MAX(MAX(sa-CF70*Flag_UL_Type,105%*SUM($I$7:I71))-(AD70+L71-N71)*Flag_UL_Type,0)*B71)</f>
        <v>951375.54147297214</v>
      </c>
      <c r="Q71" s="213">
        <f t="shared" ref="Q71:Q134" ca="1" si="62">IF(B71=0,0,ROUND(P71*(_rpm1+(1+_emr1)*VLOOKUP(E71,Tab_Mort_Charge,IF(Gender="M",2,3),0))*Flag_Mort_Rider_Charge*(P71&gt;0),Round))*(0.001*IF(Model_Type="LA_PQIS",0.0833,(1/12)))</f>
        <v>0</v>
      </c>
      <c r="R71" s="14">
        <f t="shared" ref="R71:R134" ca="1" si="63">IF(AND(B71,ADB_Flag="Y",age&lt;=ADB_MAX_AGE,age&gt;=ADB_MIN_AGE,E71&lt;=age+pt),sa_adb,0)</f>
        <v>0</v>
      </c>
      <c r="S71" s="14">
        <f t="shared" ref="S71:S134" ca="1" si="64">ROUND((adb_rate*(1+adb_emr)+adb_rpm)*R71*(0.001*IF(Model_Type="LA_PQIS",0.0833,(1/12)))*Flag_Mort_Rider_Charge*IF(age+H71-1&lt;Max_Maturity_Age,1,0),Round)</f>
        <v>0</v>
      </c>
      <c r="T71" s="14">
        <f>IFERROR(IF(WoP_Flag="Y",IF(fq=1,VLOOKUP(ppt*fq-H71,Charges!$AN$41:$AO$59,2,FALSE),IF(fq=2,VLOOKUP(ppt*fq-G71,Charges!$AP$41:$AQ$79,2,FALSE),VLOOKUP(ppt*fq-D71,Charges!$AR$41:$AS$279,2,FALSE)))*pr/fq,0),0)</f>
        <v>0</v>
      </c>
      <c r="U71" s="14">
        <f ca="1">IFERROR(((T71*(VLOOKUP(Input!$D$18+H71-1,Tab_Mort_Charge,IF(Gender_2="M",2,3),FALSE)*(1+_emr2)+_rpm2)/IF(Model_Type="LA_PQIS",1000/0.0833,(12*1000))))*Flag_Mort_Rider_Charge*(T71&gt;0),0)</f>
        <v>0</v>
      </c>
      <c r="V71" s="34">
        <f>ROUND(MIN(IF(H71&gt;=7,Charges!$C$12*(1+Charges!$C$14)^((H71-7+1)),VLOOKUP(H71,Charges!$B$7:$C$12,2,0))*pr,Charges!$C$13)*B71,Round)</f>
        <v>500</v>
      </c>
      <c r="W71" s="14">
        <f t="shared" ref="W71:W134" ca="1" si="65">+(AD70+L71-(N71+Q71+S71+U71+V71+BG71*IF(Model_Type="La_PQIS",1,0)+BH71+BK71+BI71+BJ71+BM71*IF(Model_Type="La_PQIS",1,0)))*B71</f>
        <v>2048124.4585270279</v>
      </c>
      <c r="X71" s="14">
        <f t="shared" ref="X71:X134" ca="1" si="66">W71*(1+$F$3)</f>
        <v>2061302.1529622253</v>
      </c>
      <c r="Y71" s="213">
        <f t="shared" ca="1" si="34"/>
        <v>2320.2269263520366</v>
      </c>
      <c r="Z71" s="14">
        <f t="shared" ref="Z71:Z134" ca="1" si="67">X71-(Y71+BL71)</f>
        <v>2058981.9260358731</v>
      </c>
      <c r="AA71" s="14">
        <f>IF(AND($H71=pt,$F71=11),SUM($K$7:K71)*VLOOKUP(pt,ROC,2,FALSE),0)</f>
        <v>0</v>
      </c>
      <c r="AB71" s="14">
        <f>IF(AND($H71=pt,$F71=11),SUM($V$7:V71)*VLOOKUP(pt,ROC,2,FALSE),0)</f>
        <v>0</v>
      </c>
      <c r="AC71" s="14">
        <f>IF(AND($H71=pt,$F71=11),SUM($Q$7:Q71)*VLOOKUP(pt,ROC,2,FALSE),0)</f>
        <v>0</v>
      </c>
      <c r="AD71" s="14">
        <f t="shared" ca="1" si="35"/>
        <v>2058981.9260358731</v>
      </c>
      <c r="AE71" s="14">
        <f ca="1">(MAX(sa-CF70*Flag_UL_Type,105%*SUM($I$7:I71),Z71)+AU71)*B71</f>
        <v>3000000</v>
      </c>
      <c r="AF71" s="136"/>
      <c r="AG71" s="18">
        <v>65</v>
      </c>
      <c r="AH71" s="30">
        <f t="shared" ref="AH71:AH134" ca="1" si="68">(I71+AJ71)-IF(AG71=pt*12+1,AD70,0)-IF(AG71=pt*12+1,AR70,0)-N71</f>
        <v>0</v>
      </c>
      <c r="AI71" s="138"/>
      <c r="AJ71" s="50">
        <f>IF(AND(Option_Sys_TopUp&gt;="Y",H71&gt;=sytp,H71&lt;=(dtp+sytp-1),F71=0,H71&lt;=ppt+1),atp,0)+IFERROR(VLOOKUP(H71,Input!$B$55:$C$61,2,0),0)*(F71=0)*(Option_TopUP="Y")*(Option_Sys_TopUp="N")*B71*(pt&gt;=H71+5)</f>
        <v>0</v>
      </c>
      <c r="AK71" s="50">
        <f t="shared" ref="AK71:AK134" si="69">ROUND(allctp*AJ71,0)</f>
        <v>0</v>
      </c>
      <c r="AL71" s="50">
        <f t="shared" si="36"/>
        <v>0</v>
      </c>
      <c r="AM71" s="50">
        <f t="shared" ref="AM71:AM134" ca="1" si="70">AR70+AL71</f>
        <v>0</v>
      </c>
      <c r="AN71" s="50">
        <f ca="1">IF(B71=0,0,AT71*(_rpm1+(1+_emr1)*VLOOKUP(E71,Tab_Mort_Charge,IF(Input!$C$12="M",2,3),0))*(0.001*0.0833)*Flag_Mort_Rider_Charge*(AT71&gt;0))</f>
        <v>0</v>
      </c>
      <c r="AO71" s="50">
        <f t="shared" ca="1" si="37"/>
        <v>0</v>
      </c>
      <c r="AP71" s="50">
        <f t="shared" ca="1" si="38"/>
        <v>0</v>
      </c>
      <c r="AQ71" s="50">
        <f t="shared" ref="AQ71:AQ134" ca="1" si="71">AP71*$Y$2</f>
        <v>0</v>
      </c>
      <c r="AR71" s="50">
        <f t="shared" ref="AR71:AR134" ca="1" si="72">AP71-(AQ71+BO71)</f>
        <v>0</v>
      </c>
      <c r="AS71" s="50">
        <f t="shared" ref="AS71:AS134" si="73">(AJ71*TOPUP_Cover_Level+AS70)*B71</f>
        <v>0</v>
      </c>
      <c r="AT71" s="50">
        <f ca="1">(MAX((MAX(AS71,105%*SUM($AJ$7:AJ71))-AM71*Flag_UL_Type),0)*B71)</f>
        <v>0</v>
      </c>
      <c r="AU71" s="50">
        <f ca="1">(MAX(AS71,AR71,105%*SUM($AJ$7:AJ71))*B71)</f>
        <v>0</v>
      </c>
      <c r="AV71" s="125"/>
      <c r="AW71" s="13"/>
      <c r="AX71" s="13"/>
      <c r="AY71" s="13"/>
      <c r="AZ71" s="13"/>
      <c r="BA71" s="13"/>
      <c r="BG71" s="51">
        <f t="shared" ref="BG71:BG134" si="74">ROUND(K71*Service_Tax_Rate*Flag_Service_Tax,Round)+ROUND(K71*Cess1_Rate*Flag_Service_Tax,Round)+ROUND(K71*Cess2_Rate*Flag_Service_Tax,Round)</f>
        <v>0</v>
      </c>
      <c r="BH71" s="51">
        <f t="shared" ref="BH71:BH134" ca="1" si="75">ROUND(Q71*Service_Tax_Rate*Flag_Service_Tax,Round)+ROUND(Q71*Cess1_Rate*Flag_Service_Tax,Round)+ROUND(Q71*Cess2_Rate*Flag_Service_Tax,Round)</f>
        <v>0</v>
      </c>
      <c r="BI71" s="51">
        <f t="shared" ref="BI71:BI134" ca="1" si="76">ROUND(S71*Service_Tax_Rate*Flag_Service_Tax,Round)+ROUND(S71*Cess1_Rate*Flag_Service_Tax,Round)+ROUND(S71*Cess2_Rate*Flag_Service_Tax,Round)</f>
        <v>0</v>
      </c>
      <c r="BJ71" s="51">
        <f t="shared" ref="BJ71:BJ134" ca="1" si="77">ROUND(U71*Service_Tax_Rate*Flag_Service_Tax,Round)+ROUND(U71*Cess1_Rate*Flag_Service_Tax,Round)+ROUND(U71*Cess2_Rate*Flag_Service_Tax,Round)</f>
        <v>0</v>
      </c>
      <c r="BK71" s="51">
        <f t="shared" ref="BK71:BK134" si="78">ROUND(V71*Service_Tax_Rate*Flag_Service_Tax,Round)+ROUND(V71*Cess1_Rate*Flag_Service_Tax,Round)+ROUND(V71*Cess2_Rate*Flag_Service_Tax,Round)</f>
        <v>0</v>
      </c>
      <c r="BL71" s="51">
        <f t="shared" ref="BL71:BL134" ca="1" si="79">Y71*Service_Tax_Rate*Flag_Service_Tax+Y71*Cess1_Rate*Flag_Service_Tax+Y71*Cess2_Rate*Flag_Service_Tax</f>
        <v>0</v>
      </c>
      <c r="BM71" s="51">
        <f t="shared" ref="BM71:BM134" si="80">ROUND(AK71*Service_Tax_Rate*Flag_Service_Tax,Round)+ROUND(AK71*Cess1_Rate*Flag_Service_Tax,Round)+ROUND(AK71*Cess2_Rate*Flag_Service_Tax,Round)</f>
        <v>0</v>
      </c>
      <c r="BN71" s="51">
        <f t="shared" ref="BN71:BN134" ca="1" si="81">ROUND(AN71*Service_Tax_Rate*Flag_Service_Tax,Round)+ROUND(AN71*Cess1_Rate*Flag_Service_Tax,Round)+ROUND(AN71*Cess2_Rate*Flag_Service_Tax,Round)</f>
        <v>0</v>
      </c>
      <c r="BO71" s="51">
        <f t="shared" ref="BO71:BO134" ca="1" si="82">AQ71*Service_Tax_Rate*Flag_Service_Tax+AQ71*Cess1_Rate*Flag_Service_Tax+AQ71*Cess2_Rate*Flag_Service_Tax</f>
        <v>0</v>
      </c>
      <c r="BP71" s="51">
        <f t="shared" ref="BP71:BP134" ca="1" si="83">SUM(BG71:BO71)</f>
        <v>0</v>
      </c>
      <c r="BR71" s="32"/>
      <c r="BS71" s="126"/>
      <c r="BT71" s="16"/>
      <c r="BU71" s="58"/>
      <c r="BW71" s="51">
        <f>VLOOKUP(H71,Charges!$AT$4:$AU$33,2,FALSE)*I71</f>
        <v>0</v>
      </c>
      <c r="BX71" s="51">
        <f t="shared" ref="BX71:BX134" si="84">AJ71*Commission_TOPUP</f>
        <v>0</v>
      </c>
      <c r="BY71" s="51">
        <f t="shared" si="47"/>
        <v>0</v>
      </c>
      <c r="BZ71" s="151"/>
      <c r="CA71" s="151"/>
      <c r="CB71" s="32"/>
      <c r="CC71" s="16">
        <f ca="1">SUM($N$7:$N71)</f>
        <v>0</v>
      </c>
      <c r="CD71" s="16">
        <f t="shared" ref="CD71:CD134" ca="1" si="85">IF(AND((B71=1)*(H71&gt;Lock_In_Period)),CC71-INDEX($CC$7:$CC$367,D71-24,1),0)*(E71&lt;60)</f>
        <v>0</v>
      </c>
      <c r="CE71" s="16">
        <f t="shared" ref="CE71:CE134" ca="1" si="86">(B71=1)*(H71&gt;Lock_In_Period)*(E71&gt;=60)*IFERROR((CC71-INDEX($CC$7:$CC$367,D71-24,1)),0)</f>
        <v>0</v>
      </c>
      <c r="CF71" s="7">
        <f t="shared" ca="1" si="48"/>
        <v>0</v>
      </c>
    </row>
    <row r="72" spans="1:84" s="7" customFormat="1" x14ac:dyDescent="0.2">
      <c r="A72" s="149"/>
      <c r="B72" s="14">
        <f t="shared" si="55"/>
        <v>1</v>
      </c>
      <c r="C72" s="12">
        <f t="shared" si="56"/>
        <v>1</v>
      </c>
      <c r="D72" s="17">
        <f t="shared" si="49"/>
        <v>66</v>
      </c>
      <c r="E72" s="17">
        <f t="shared" ca="1" si="57"/>
        <v>65</v>
      </c>
      <c r="F72" s="12">
        <f t="shared" si="53"/>
        <v>5</v>
      </c>
      <c r="G72" s="12">
        <f t="shared" si="52"/>
        <v>11</v>
      </c>
      <c r="H72" s="17">
        <f t="shared" si="54"/>
        <v>6</v>
      </c>
      <c r="I72" s="29">
        <f t="shared" si="58"/>
        <v>0</v>
      </c>
      <c r="J72" s="211">
        <f>IFERROR(VLOOKUP(H72,Charges!$T$6:$U$35,2,0)*C72,0)</f>
        <v>0.98</v>
      </c>
      <c r="K72" s="29">
        <f t="shared" si="59"/>
        <v>0</v>
      </c>
      <c r="L72" s="29">
        <f t="shared" si="60"/>
        <v>0</v>
      </c>
      <c r="M72" s="147">
        <f t="shared" ca="1" si="61"/>
        <v>0</v>
      </c>
      <c r="N72" s="148">
        <f ca="1">IF(AND(Option_SPW="Y",Z71&gt;=SPW_Start_Min_FV,H72&gt;=Lock_In_Period,Z71&gt;SPW_Amount_pa+IF(option="Single",1/5*pr,2*pr),H72&gt;=SPW_Start_Year,H72&lt;=SPW_Start_Year+SPW_Duration-1,F72=0,age+H72&gt;=Legal_Age),SPW_Amount_pa,0)+IFERROR(VLOOKUP(H72,Input!$B$68:$C$74,2,0),0)*(F72=0)*(Option_PW="Y")*(Option_SPW="N")*(age+H72&gt;=Legal_Age)</f>
        <v>0</v>
      </c>
      <c r="O72" s="148">
        <f t="shared" ref="O72:O135" ca="1" si="87">IF(N72&lt;=M72,0,1)</f>
        <v>0</v>
      </c>
      <c r="P72" s="14">
        <f ca="1">(MAX(MAX(sa-CF71*Flag_UL_Type,105%*SUM($I$7:I72))-(AD71+L72-N72)*Flag_UL_Type,0)*B72)</f>
        <v>941018.07396412687</v>
      </c>
      <c r="Q72" s="213">
        <f t="shared" ca="1" si="62"/>
        <v>0</v>
      </c>
      <c r="R72" s="14">
        <f t="shared" ca="1" si="63"/>
        <v>0</v>
      </c>
      <c r="S72" s="14">
        <f t="shared" ca="1" si="64"/>
        <v>0</v>
      </c>
      <c r="T72" s="14">
        <f>IFERROR(IF(WoP_Flag="Y",IF(fq=1,VLOOKUP(ppt*fq-H72,Charges!$AN$41:$AO$59,2,FALSE),IF(fq=2,VLOOKUP(ppt*fq-G72,Charges!$AP$41:$AQ$79,2,FALSE),VLOOKUP(ppt*fq-D72,Charges!$AR$41:$AS$279,2,FALSE)))*pr/fq,0),0)</f>
        <v>0</v>
      </c>
      <c r="U72" s="14">
        <f ca="1">IFERROR(((T72*(VLOOKUP(Input!$D$18+H72-1,Tab_Mort_Charge,IF(Gender_2="M",2,3),FALSE)*(1+_emr2)+_rpm2)/IF(Model_Type="LA_PQIS",1000/0.0833,(12*1000))))*Flag_Mort_Rider_Charge*(T72&gt;0),0)</f>
        <v>0</v>
      </c>
      <c r="V72" s="34">
        <f>ROUND(MIN(IF(H72&gt;=7,Charges!$C$12*(1+Charges!$C$14)^((H72-7+1)),VLOOKUP(H72,Charges!$B$7:$C$12,2,0))*pr,Charges!$C$13)*B72,Round)</f>
        <v>500</v>
      </c>
      <c r="W72" s="14">
        <f t="shared" ca="1" si="65"/>
        <v>2058481.9260358731</v>
      </c>
      <c r="X72" s="14">
        <f t="shared" ca="1" si="66"/>
        <v>2071726.2607288859</v>
      </c>
      <c r="Y72" s="213">
        <f t="shared" ref="Y72:Y135" ca="1" si="88">X72*$Y$2</f>
        <v>2331.9604296080461</v>
      </c>
      <c r="Z72" s="14">
        <f t="shared" ca="1" si="67"/>
        <v>2069394.3002992778</v>
      </c>
      <c r="AA72" s="14">
        <f>IF(AND($H72=pt,$F72=11),SUM($K$7:K72)*VLOOKUP(pt,ROC,2,FALSE),0)</f>
        <v>0</v>
      </c>
      <c r="AB72" s="14">
        <f>IF(AND($H72=pt,$F72=11),SUM($V$7:V72)*VLOOKUP(pt,ROC,2,FALSE),0)</f>
        <v>0</v>
      </c>
      <c r="AC72" s="14">
        <f>IF(AND($H72=pt,$F72=11),SUM($Q$7:Q72)*VLOOKUP(pt,ROC,2,FALSE),0)</f>
        <v>0</v>
      </c>
      <c r="AD72" s="14">
        <f t="shared" ref="AD72:AD135" ca="1" si="89">Z72+AA72+AB72+AC72</f>
        <v>2069394.3002992778</v>
      </c>
      <c r="AE72" s="14">
        <f ca="1">(MAX(sa-CF71*Flag_UL_Type,105%*SUM($I$7:I72),Z72)+AU72)*B72</f>
        <v>3000000</v>
      </c>
      <c r="AF72" s="136"/>
      <c r="AG72" s="18">
        <v>66</v>
      </c>
      <c r="AH72" s="30">
        <f t="shared" ca="1" si="68"/>
        <v>0</v>
      </c>
      <c r="AI72" s="138"/>
      <c r="AJ72" s="50">
        <f>IF(AND(Option_Sys_TopUp&gt;="Y",H72&gt;=sytp,H72&lt;=(dtp+sytp-1),F72=0,H72&lt;=ppt+1),atp,0)+IFERROR(VLOOKUP(H72,Input!$B$55:$C$61,2,0),0)*(F72=0)*(Option_TopUP="Y")*(Option_Sys_TopUp="N")*B72*(pt&gt;=H72+5)</f>
        <v>0</v>
      </c>
      <c r="AK72" s="50">
        <f t="shared" si="69"/>
        <v>0</v>
      </c>
      <c r="AL72" s="50">
        <f t="shared" ref="AL72:AL135" si="90">AJ72-(AK72+BM72*0)</f>
        <v>0</v>
      </c>
      <c r="AM72" s="50">
        <f t="shared" ca="1" si="70"/>
        <v>0</v>
      </c>
      <c r="AN72" s="50">
        <f ca="1">IF(B72=0,0,AT72*(_rpm1+(1+_emr1)*VLOOKUP(E72,Tab_Mort_Charge,IF(Input!$C$12="M",2,3),0))*(0.001*0.0833)*Flag_Mort_Rider_Charge*(AT72&gt;0))</f>
        <v>0</v>
      </c>
      <c r="AO72" s="50">
        <f t="shared" ref="AO72:AO135" ca="1" si="91">AM72-AN72-BM72*1-BN72*1</f>
        <v>0</v>
      </c>
      <c r="AP72" s="50">
        <f t="shared" ref="AP72:AP90" ca="1" si="92">(AL72+AR71)*(1+$F$3)*B72</f>
        <v>0</v>
      </c>
      <c r="AQ72" s="50">
        <f t="shared" ca="1" si="71"/>
        <v>0</v>
      </c>
      <c r="AR72" s="50">
        <f t="shared" ca="1" si="72"/>
        <v>0</v>
      </c>
      <c r="AS72" s="50">
        <f t="shared" si="73"/>
        <v>0</v>
      </c>
      <c r="AT72" s="50">
        <f ca="1">(MAX((MAX(AS72,105%*SUM($AJ$7:AJ72))-AM72*Flag_UL_Type),0)*B72)</f>
        <v>0</v>
      </c>
      <c r="AU72" s="50">
        <f ca="1">(MAX(AS72,AR72,105%*SUM($AJ$7:AJ72))*B72)</f>
        <v>0</v>
      </c>
      <c r="AV72" s="125"/>
      <c r="AW72" s="13"/>
      <c r="AX72" s="13"/>
      <c r="AY72" s="13"/>
      <c r="AZ72" s="13"/>
      <c r="BA72" s="13"/>
      <c r="BG72" s="51">
        <f t="shared" si="74"/>
        <v>0</v>
      </c>
      <c r="BH72" s="51">
        <f t="shared" ca="1" si="75"/>
        <v>0</v>
      </c>
      <c r="BI72" s="51">
        <f t="shared" ca="1" si="76"/>
        <v>0</v>
      </c>
      <c r="BJ72" s="51">
        <f t="shared" ca="1" si="77"/>
        <v>0</v>
      </c>
      <c r="BK72" s="51">
        <f t="shared" si="78"/>
        <v>0</v>
      </c>
      <c r="BL72" s="51">
        <f t="shared" ca="1" si="79"/>
        <v>0</v>
      </c>
      <c r="BM72" s="51">
        <f t="shared" si="80"/>
        <v>0</v>
      </c>
      <c r="BN72" s="51">
        <f t="shared" ca="1" si="81"/>
        <v>0</v>
      </c>
      <c r="BO72" s="51">
        <f t="shared" ca="1" si="82"/>
        <v>0</v>
      </c>
      <c r="BP72" s="51">
        <f t="shared" ca="1" si="83"/>
        <v>0</v>
      </c>
      <c r="BR72" s="32"/>
      <c r="BS72" s="126"/>
      <c r="BT72" s="16"/>
      <c r="BU72" s="58"/>
      <c r="BW72" s="51">
        <f>VLOOKUP(H72,Charges!$AT$4:$AU$33,2,FALSE)*I72</f>
        <v>0</v>
      </c>
      <c r="BX72" s="51">
        <f t="shared" si="84"/>
        <v>0</v>
      </c>
      <c r="BY72" s="51">
        <f t="shared" ref="BY72:BY135" si="93">SUM(BW72:BX72)</f>
        <v>0</v>
      </c>
      <c r="BZ72" s="151"/>
      <c r="CA72" s="151"/>
      <c r="CB72" s="32"/>
      <c r="CC72" s="16">
        <f ca="1">SUM($N$7:$N72)</f>
        <v>0</v>
      </c>
      <c r="CD72" s="16">
        <f t="shared" ca="1" si="85"/>
        <v>0</v>
      </c>
      <c r="CE72" s="16">
        <f t="shared" ca="1" si="86"/>
        <v>0</v>
      </c>
      <c r="CF72" s="7">
        <f t="shared" ref="CF72:CF135" ca="1" si="94">IF(E72&lt;60,CD72,CE72)</f>
        <v>0</v>
      </c>
    </row>
    <row r="73" spans="1:84" s="7" customFormat="1" x14ac:dyDescent="0.2">
      <c r="A73" s="149"/>
      <c r="B73" s="14">
        <f t="shared" si="55"/>
        <v>1</v>
      </c>
      <c r="C73" s="12">
        <f t="shared" si="56"/>
        <v>1</v>
      </c>
      <c r="D73" s="17">
        <f t="shared" ref="D73:D136" si="95">D72+1</f>
        <v>67</v>
      </c>
      <c r="E73" s="17">
        <f t="shared" ca="1" si="57"/>
        <v>65</v>
      </c>
      <c r="F73" s="12">
        <f t="shared" si="53"/>
        <v>6</v>
      </c>
      <c r="G73" s="12">
        <f t="shared" si="52"/>
        <v>12</v>
      </c>
      <c r="H73" s="17">
        <f t="shared" si="54"/>
        <v>6</v>
      </c>
      <c r="I73" s="29">
        <f t="shared" si="58"/>
        <v>0</v>
      </c>
      <c r="J73" s="211">
        <f>IFERROR(VLOOKUP(H73,Charges!$T$6:$U$35,2,0)*C73,0)</f>
        <v>0.98</v>
      </c>
      <c r="K73" s="29">
        <f t="shared" si="59"/>
        <v>0</v>
      </c>
      <c r="L73" s="29">
        <f t="shared" si="60"/>
        <v>0</v>
      </c>
      <c r="M73" s="147">
        <f t="shared" ca="1" si="61"/>
        <v>0</v>
      </c>
      <c r="N73" s="148">
        <f ca="1">IF(AND(Option_SPW="Y",Z72&gt;=SPW_Start_Min_FV,H73&gt;=Lock_In_Period,Z72&gt;SPW_Amount_pa+IF(option="Single",1/5*pr,2*pr),H73&gt;=SPW_Start_Year,H73&lt;=SPW_Start_Year+SPW_Duration-1,F73=0,age+H73&gt;=Legal_Age),SPW_Amount_pa,0)+IFERROR(VLOOKUP(H73,Input!$B$68:$C$74,2,0),0)*(F73=0)*(Option_PW="Y")*(Option_SPW="N")*(age+H73&gt;=Legal_Age)</f>
        <v>0</v>
      </c>
      <c r="O73" s="148">
        <f t="shared" ca="1" si="87"/>
        <v>0</v>
      </c>
      <c r="P73" s="14">
        <f ca="1">(MAX(MAX(sa-CF72*Flag_UL_Type,105%*SUM($I$7:I73))-(AD72+L73-N73)*Flag_UL_Type,0)*B73)</f>
        <v>930605.69970072224</v>
      </c>
      <c r="Q73" s="213">
        <f t="shared" ca="1" si="62"/>
        <v>0</v>
      </c>
      <c r="R73" s="14">
        <f t="shared" ca="1" si="63"/>
        <v>0</v>
      </c>
      <c r="S73" s="14">
        <f t="shared" ca="1" si="64"/>
        <v>0</v>
      </c>
      <c r="T73" s="14">
        <f>IFERROR(IF(WoP_Flag="Y",IF(fq=1,VLOOKUP(ppt*fq-H73,Charges!$AN$41:$AO$59,2,FALSE),IF(fq=2,VLOOKUP(ppt*fq-G73,Charges!$AP$41:$AQ$79,2,FALSE),VLOOKUP(ppt*fq-D73,Charges!$AR$41:$AS$279,2,FALSE)))*pr/fq,0),0)</f>
        <v>0</v>
      </c>
      <c r="U73" s="14">
        <f ca="1">IFERROR(((T73*(VLOOKUP(Input!$D$18+H73-1,Tab_Mort_Charge,IF(Gender_2="M",2,3),FALSE)*(1+_emr2)+_rpm2)/IF(Model_Type="LA_PQIS",1000/0.0833,(12*1000))))*Flag_Mort_Rider_Charge*(T73&gt;0),0)</f>
        <v>0</v>
      </c>
      <c r="V73" s="34">
        <f>ROUND(MIN(IF(H73&gt;=7,Charges!$C$12*(1+Charges!$C$14)^((H73-7+1)),VLOOKUP(H73,Charges!$B$7:$C$12,2,0))*pr,Charges!$C$13)*B73,Round)</f>
        <v>500</v>
      </c>
      <c r="W73" s="14">
        <f t="shared" ca="1" si="65"/>
        <v>2068894.3002992778</v>
      </c>
      <c r="X73" s="14">
        <f t="shared" ca="1" si="66"/>
        <v>2082205.6285218177</v>
      </c>
      <c r="Y73" s="213">
        <f t="shared" ca="1" si="88"/>
        <v>2343.7561342258114</v>
      </c>
      <c r="Z73" s="14">
        <f t="shared" ca="1" si="67"/>
        <v>2079861.872387592</v>
      </c>
      <c r="AA73" s="14">
        <f>IF(AND($H73=pt,$F73=11),SUM($K$7:K73)*VLOOKUP(pt,ROC,2,FALSE),0)</f>
        <v>0</v>
      </c>
      <c r="AB73" s="14">
        <f>IF(AND($H73=pt,$F73=11),SUM($V$7:V73)*VLOOKUP(pt,ROC,2,FALSE),0)</f>
        <v>0</v>
      </c>
      <c r="AC73" s="14">
        <f>IF(AND($H73=pt,$F73=11),SUM($Q$7:Q73)*VLOOKUP(pt,ROC,2,FALSE),0)</f>
        <v>0</v>
      </c>
      <c r="AD73" s="14">
        <f t="shared" ca="1" si="89"/>
        <v>2079861.872387592</v>
      </c>
      <c r="AE73" s="14">
        <f ca="1">(MAX(sa-CF72*Flag_UL_Type,105%*SUM($I$7:I73),Z73)+AU73)*B73</f>
        <v>3000000</v>
      </c>
      <c r="AF73" s="136"/>
      <c r="AG73" s="18">
        <v>67</v>
      </c>
      <c r="AH73" s="30">
        <f t="shared" ca="1" si="68"/>
        <v>0</v>
      </c>
      <c r="AI73" s="138"/>
      <c r="AJ73" s="50">
        <f>IF(AND(Option_Sys_TopUp&gt;="Y",H73&gt;=sytp,H73&lt;=(dtp+sytp-1),F73=0,H73&lt;=ppt+1),atp,0)+IFERROR(VLOOKUP(H73,Input!$B$55:$C$61,2,0),0)*(F73=0)*(Option_TopUP="Y")*(Option_Sys_TopUp="N")*B73*(pt&gt;=H73+5)</f>
        <v>0</v>
      </c>
      <c r="AK73" s="50">
        <f t="shared" si="69"/>
        <v>0</v>
      </c>
      <c r="AL73" s="50">
        <f t="shared" si="90"/>
        <v>0</v>
      </c>
      <c r="AM73" s="50">
        <f t="shared" ca="1" si="70"/>
        <v>0</v>
      </c>
      <c r="AN73" s="50">
        <f ca="1">IF(B73=0,0,AT73*(_rpm1+(1+_emr1)*VLOOKUP(E73,Tab_Mort_Charge,IF(Input!$C$12="M",2,3),0))*(0.001*0.0833)*Flag_Mort_Rider_Charge*(AT73&gt;0))</f>
        <v>0</v>
      </c>
      <c r="AO73" s="50">
        <f t="shared" ca="1" si="91"/>
        <v>0</v>
      </c>
      <c r="AP73" s="50">
        <f t="shared" ca="1" si="92"/>
        <v>0</v>
      </c>
      <c r="AQ73" s="50">
        <f t="shared" ca="1" si="71"/>
        <v>0</v>
      </c>
      <c r="AR73" s="50">
        <f t="shared" ca="1" si="72"/>
        <v>0</v>
      </c>
      <c r="AS73" s="50">
        <f t="shared" si="73"/>
        <v>0</v>
      </c>
      <c r="AT73" s="50">
        <f ca="1">(MAX((MAX(AS73,105%*SUM($AJ$7:AJ73))-AM73*Flag_UL_Type),0)*B73)</f>
        <v>0</v>
      </c>
      <c r="AU73" s="50">
        <f ca="1">(MAX(AS73,AR73,105%*SUM($AJ$7:AJ73))*B73)</f>
        <v>0</v>
      </c>
      <c r="AV73" s="125"/>
      <c r="AW73" s="13"/>
      <c r="AX73" s="13"/>
      <c r="AY73" s="13"/>
      <c r="AZ73" s="13"/>
      <c r="BA73" s="13"/>
      <c r="BG73" s="51">
        <f t="shared" si="74"/>
        <v>0</v>
      </c>
      <c r="BH73" s="51">
        <f t="shared" ca="1" si="75"/>
        <v>0</v>
      </c>
      <c r="BI73" s="51">
        <f t="shared" ca="1" si="76"/>
        <v>0</v>
      </c>
      <c r="BJ73" s="51">
        <f t="shared" ca="1" si="77"/>
        <v>0</v>
      </c>
      <c r="BK73" s="51">
        <f t="shared" si="78"/>
        <v>0</v>
      </c>
      <c r="BL73" s="51">
        <f t="shared" ca="1" si="79"/>
        <v>0</v>
      </c>
      <c r="BM73" s="51">
        <f t="shared" si="80"/>
        <v>0</v>
      </c>
      <c r="BN73" s="51">
        <f t="shared" ca="1" si="81"/>
        <v>0</v>
      </c>
      <c r="BO73" s="51">
        <f t="shared" ca="1" si="82"/>
        <v>0</v>
      </c>
      <c r="BP73" s="51">
        <f t="shared" ca="1" si="83"/>
        <v>0</v>
      </c>
      <c r="BR73" s="32"/>
      <c r="BS73" s="126"/>
      <c r="BT73" s="16"/>
      <c r="BU73" s="58"/>
      <c r="BW73" s="51">
        <f>VLOOKUP(H73,Charges!$AT$4:$AU$33,2,FALSE)*I73</f>
        <v>0</v>
      </c>
      <c r="BX73" s="51">
        <f t="shared" si="84"/>
        <v>0</v>
      </c>
      <c r="BY73" s="51">
        <f t="shared" si="93"/>
        <v>0</v>
      </c>
      <c r="BZ73" s="151"/>
      <c r="CA73" s="151"/>
      <c r="CB73" s="32"/>
      <c r="CC73" s="16">
        <f ca="1">SUM($N$7:$N73)</f>
        <v>0</v>
      </c>
      <c r="CD73" s="16">
        <f t="shared" ca="1" si="85"/>
        <v>0</v>
      </c>
      <c r="CE73" s="16">
        <f t="shared" ca="1" si="86"/>
        <v>0</v>
      </c>
      <c r="CF73" s="7">
        <f t="shared" ca="1" si="94"/>
        <v>0</v>
      </c>
    </row>
    <row r="74" spans="1:84" s="7" customFormat="1" x14ac:dyDescent="0.2">
      <c r="A74" s="149"/>
      <c r="B74" s="14">
        <f t="shared" si="55"/>
        <v>1</v>
      </c>
      <c r="C74" s="12">
        <f t="shared" si="56"/>
        <v>1</v>
      </c>
      <c r="D74" s="17">
        <f t="shared" si="95"/>
        <v>68</v>
      </c>
      <c r="E74" s="17">
        <f t="shared" ca="1" si="57"/>
        <v>65</v>
      </c>
      <c r="F74" s="12">
        <f t="shared" si="53"/>
        <v>7</v>
      </c>
      <c r="G74" s="12">
        <f t="shared" si="52"/>
        <v>12</v>
      </c>
      <c r="H74" s="17">
        <f t="shared" si="54"/>
        <v>6</v>
      </c>
      <c r="I74" s="29">
        <f t="shared" si="58"/>
        <v>0</v>
      </c>
      <c r="J74" s="211">
        <f>IFERROR(VLOOKUP(H74,Charges!$T$6:$U$35,2,0)*C74,0)</f>
        <v>0.98</v>
      </c>
      <c r="K74" s="29">
        <f t="shared" si="59"/>
        <v>0</v>
      </c>
      <c r="L74" s="29">
        <f t="shared" si="60"/>
        <v>0</v>
      </c>
      <c r="M74" s="147">
        <f t="shared" ca="1" si="61"/>
        <v>0</v>
      </c>
      <c r="N74" s="148">
        <f ca="1">IF(AND(Option_SPW="Y",Z73&gt;=SPW_Start_Min_FV,H74&gt;=Lock_In_Period,Z73&gt;SPW_Amount_pa+IF(option="Single",1/5*pr,2*pr),H74&gt;=SPW_Start_Year,H74&lt;=SPW_Start_Year+SPW_Duration-1,F74=0,age+H74&gt;=Legal_Age),SPW_Amount_pa,0)+IFERROR(VLOOKUP(H74,Input!$B$68:$C$74,2,0),0)*(F74=0)*(Option_PW="Y")*(Option_SPW="N")*(age+H74&gt;=Legal_Age)</f>
        <v>0</v>
      </c>
      <c r="O74" s="148">
        <f t="shared" ca="1" si="87"/>
        <v>0</v>
      </c>
      <c r="P74" s="14">
        <f ca="1">(MAX(MAX(sa-CF73*Flag_UL_Type,105%*SUM($I$7:I74))-(AD73+L74-N74)*Flag_UL_Type,0)*B74)</f>
        <v>920138.12761240802</v>
      </c>
      <c r="Q74" s="213">
        <f t="shared" ca="1" si="62"/>
        <v>0</v>
      </c>
      <c r="R74" s="14">
        <f t="shared" ca="1" si="63"/>
        <v>0</v>
      </c>
      <c r="S74" s="14">
        <f t="shared" ca="1" si="64"/>
        <v>0</v>
      </c>
      <c r="T74" s="14">
        <f>IFERROR(IF(WoP_Flag="Y",IF(fq=1,VLOOKUP(ppt*fq-H74,Charges!$AN$41:$AO$59,2,FALSE),IF(fq=2,VLOOKUP(ppt*fq-G74,Charges!$AP$41:$AQ$79,2,FALSE),VLOOKUP(ppt*fq-D74,Charges!$AR$41:$AS$279,2,FALSE)))*pr/fq,0),0)</f>
        <v>0</v>
      </c>
      <c r="U74" s="14">
        <f ca="1">IFERROR(((T74*(VLOOKUP(Input!$D$18+H74-1,Tab_Mort_Charge,IF(Gender_2="M",2,3),FALSE)*(1+_emr2)+_rpm2)/IF(Model_Type="LA_PQIS",1000/0.0833,(12*1000))))*Flag_Mort_Rider_Charge*(T74&gt;0),0)</f>
        <v>0</v>
      </c>
      <c r="V74" s="34">
        <f>ROUND(MIN(IF(H74&gt;=7,Charges!$C$12*(1+Charges!$C$14)^((H74-7+1)),VLOOKUP(H74,Charges!$B$7:$C$12,2,0))*pr,Charges!$C$13)*B74,Round)</f>
        <v>500</v>
      </c>
      <c r="W74" s="14">
        <f t="shared" ca="1" si="65"/>
        <v>2079361.872387592</v>
      </c>
      <c r="X74" s="14">
        <f t="shared" ca="1" si="66"/>
        <v>2092740.5492841268</v>
      </c>
      <c r="Y74" s="213">
        <f t="shared" ca="1" si="88"/>
        <v>2355.6143699456784</v>
      </c>
      <c r="Z74" s="14">
        <f t="shared" ca="1" si="67"/>
        <v>2090384.9349141812</v>
      </c>
      <c r="AA74" s="14">
        <f>IF(AND($H74=pt,$F74=11),SUM($K$7:K74)*VLOOKUP(pt,ROC,2,FALSE),0)</f>
        <v>0</v>
      </c>
      <c r="AB74" s="14">
        <f>IF(AND($H74=pt,$F74=11),SUM($V$7:V74)*VLOOKUP(pt,ROC,2,FALSE),0)</f>
        <v>0</v>
      </c>
      <c r="AC74" s="14">
        <f>IF(AND($H74=pt,$F74=11),SUM($Q$7:Q74)*VLOOKUP(pt,ROC,2,FALSE),0)</f>
        <v>0</v>
      </c>
      <c r="AD74" s="14">
        <f t="shared" ca="1" si="89"/>
        <v>2090384.9349141812</v>
      </c>
      <c r="AE74" s="14">
        <f ca="1">(MAX(sa-CF73*Flag_UL_Type,105%*SUM($I$7:I74),Z74)+AU74)*B74</f>
        <v>3000000</v>
      </c>
      <c r="AF74" s="136"/>
      <c r="AG74" s="18">
        <v>68</v>
      </c>
      <c r="AH74" s="30">
        <f t="shared" ca="1" si="68"/>
        <v>0</v>
      </c>
      <c r="AI74" s="138"/>
      <c r="AJ74" s="50">
        <f>IF(AND(Option_Sys_TopUp&gt;="Y",H74&gt;=sytp,H74&lt;=(dtp+sytp-1),F74=0,H74&lt;=ppt+1),atp,0)+IFERROR(VLOOKUP(H74,Input!$B$55:$C$61,2,0),0)*(F74=0)*(Option_TopUP="Y")*(Option_Sys_TopUp="N")*B74*(pt&gt;=H74+5)</f>
        <v>0</v>
      </c>
      <c r="AK74" s="50">
        <f t="shared" si="69"/>
        <v>0</v>
      </c>
      <c r="AL74" s="50">
        <f t="shared" si="90"/>
        <v>0</v>
      </c>
      <c r="AM74" s="50">
        <f t="shared" ca="1" si="70"/>
        <v>0</v>
      </c>
      <c r="AN74" s="50">
        <f ca="1">IF(B74=0,0,AT74*(_rpm1+(1+_emr1)*VLOOKUP(E74,Tab_Mort_Charge,IF(Input!$C$12="M",2,3),0))*(0.001*0.0833)*Flag_Mort_Rider_Charge*(AT74&gt;0))</f>
        <v>0</v>
      </c>
      <c r="AO74" s="50">
        <f t="shared" ca="1" si="91"/>
        <v>0</v>
      </c>
      <c r="AP74" s="50">
        <f t="shared" ca="1" si="92"/>
        <v>0</v>
      </c>
      <c r="AQ74" s="50">
        <f t="shared" ca="1" si="71"/>
        <v>0</v>
      </c>
      <c r="AR74" s="50">
        <f t="shared" ca="1" si="72"/>
        <v>0</v>
      </c>
      <c r="AS74" s="50">
        <f t="shared" si="73"/>
        <v>0</v>
      </c>
      <c r="AT74" s="50">
        <f ca="1">(MAX((MAX(AS74,105%*SUM($AJ$7:AJ74))-AM74*Flag_UL_Type),0)*B74)</f>
        <v>0</v>
      </c>
      <c r="AU74" s="50">
        <f ca="1">(MAX(AS74,AR74,105%*SUM($AJ$7:AJ74))*B74)</f>
        <v>0</v>
      </c>
      <c r="AV74" s="125"/>
      <c r="AW74" s="13"/>
      <c r="AX74" s="13"/>
      <c r="AY74" s="13"/>
      <c r="AZ74" s="13"/>
      <c r="BA74" s="13"/>
      <c r="BG74" s="51">
        <f t="shared" si="74"/>
        <v>0</v>
      </c>
      <c r="BH74" s="51">
        <f t="shared" ca="1" si="75"/>
        <v>0</v>
      </c>
      <c r="BI74" s="51">
        <f t="shared" ca="1" si="76"/>
        <v>0</v>
      </c>
      <c r="BJ74" s="51">
        <f t="shared" ca="1" si="77"/>
        <v>0</v>
      </c>
      <c r="BK74" s="51">
        <f t="shared" si="78"/>
        <v>0</v>
      </c>
      <c r="BL74" s="51">
        <f t="shared" ca="1" si="79"/>
        <v>0</v>
      </c>
      <c r="BM74" s="51">
        <f t="shared" si="80"/>
        <v>0</v>
      </c>
      <c r="BN74" s="51">
        <f t="shared" ca="1" si="81"/>
        <v>0</v>
      </c>
      <c r="BO74" s="51">
        <f t="shared" ca="1" si="82"/>
        <v>0</v>
      </c>
      <c r="BP74" s="51">
        <f t="shared" ca="1" si="83"/>
        <v>0</v>
      </c>
      <c r="BR74" s="32"/>
      <c r="BS74" s="126"/>
      <c r="BT74" s="16"/>
      <c r="BU74" s="58"/>
      <c r="BW74" s="51">
        <f>VLOOKUP(H74,Charges!$AT$4:$AU$33,2,FALSE)*I74</f>
        <v>0</v>
      </c>
      <c r="BX74" s="51">
        <f t="shared" si="84"/>
        <v>0</v>
      </c>
      <c r="BY74" s="51">
        <f t="shared" si="93"/>
        <v>0</v>
      </c>
      <c r="BZ74" s="151"/>
      <c r="CA74" s="151"/>
      <c r="CB74" s="32"/>
      <c r="CC74" s="16">
        <f ca="1">SUM($N$7:$N74)</f>
        <v>0</v>
      </c>
      <c r="CD74" s="16">
        <f t="shared" ca="1" si="85"/>
        <v>0</v>
      </c>
      <c r="CE74" s="16">
        <f t="shared" ca="1" si="86"/>
        <v>0</v>
      </c>
      <c r="CF74" s="7">
        <f t="shared" ca="1" si="94"/>
        <v>0</v>
      </c>
    </row>
    <row r="75" spans="1:84" s="7" customFormat="1" x14ac:dyDescent="0.2">
      <c r="A75" s="149"/>
      <c r="B75" s="14">
        <f t="shared" si="55"/>
        <v>1</v>
      </c>
      <c r="C75" s="12">
        <f t="shared" si="56"/>
        <v>1</v>
      </c>
      <c r="D75" s="17">
        <f t="shared" si="95"/>
        <v>69</v>
      </c>
      <c r="E75" s="17">
        <f t="shared" ca="1" si="57"/>
        <v>65</v>
      </c>
      <c r="F75" s="12">
        <f t="shared" si="53"/>
        <v>8</v>
      </c>
      <c r="G75" s="12">
        <f t="shared" si="52"/>
        <v>12</v>
      </c>
      <c r="H75" s="17">
        <f t="shared" si="54"/>
        <v>6</v>
      </c>
      <c r="I75" s="29">
        <f t="shared" si="58"/>
        <v>0</v>
      </c>
      <c r="J75" s="211">
        <f>IFERROR(VLOOKUP(H75,Charges!$T$6:$U$35,2,0)*C75,0)</f>
        <v>0.98</v>
      </c>
      <c r="K75" s="29">
        <f t="shared" si="59"/>
        <v>0</v>
      </c>
      <c r="L75" s="29">
        <f t="shared" si="60"/>
        <v>0</v>
      </c>
      <c r="M75" s="147">
        <f t="shared" ca="1" si="61"/>
        <v>0</v>
      </c>
      <c r="N75" s="148">
        <f ca="1">IF(AND(Option_SPW="Y",Z74&gt;=SPW_Start_Min_FV,H75&gt;=Lock_In_Period,Z74&gt;SPW_Amount_pa+IF(option="Single",1/5*pr,2*pr),H75&gt;=SPW_Start_Year,H75&lt;=SPW_Start_Year+SPW_Duration-1,F75=0,age+H75&gt;=Legal_Age),SPW_Amount_pa,0)+IFERROR(VLOOKUP(H75,Input!$B$68:$C$74,2,0),0)*(F75=0)*(Option_PW="Y")*(Option_SPW="N")*(age+H75&gt;=Legal_Age)</f>
        <v>0</v>
      </c>
      <c r="O75" s="148">
        <f t="shared" ca="1" si="87"/>
        <v>0</v>
      </c>
      <c r="P75" s="14">
        <f ca="1">(MAX(MAX(sa-CF74*Flag_UL_Type,105%*SUM($I$7:I75))-(AD74+L75-N75)*Flag_UL_Type,0)*B75)</f>
        <v>909615.06508581876</v>
      </c>
      <c r="Q75" s="213">
        <f t="shared" ca="1" si="62"/>
        <v>0</v>
      </c>
      <c r="R75" s="14">
        <f t="shared" ca="1" si="63"/>
        <v>0</v>
      </c>
      <c r="S75" s="14">
        <f t="shared" ca="1" si="64"/>
        <v>0</v>
      </c>
      <c r="T75" s="14">
        <f>IFERROR(IF(WoP_Flag="Y",IF(fq=1,VLOOKUP(ppt*fq-H75,Charges!$AN$41:$AO$59,2,FALSE),IF(fq=2,VLOOKUP(ppt*fq-G75,Charges!$AP$41:$AQ$79,2,FALSE),VLOOKUP(ppt*fq-D75,Charges!$AR$41:$AS$279,2,FALSE)))*pr/fq,0),0)</f>
        <v>0</v>
      </c>
      <c r="U75" s="14">
        <f ca="1">IFERROR(((T75*(VLOOKUP(Input!$D$18+H75-1,Tab_Mort_Charge,IF(Gender_2="M",2,3),FALSE)*(1+_emr2)+_rpm2)/IF(Model_Type="LA_PQIS",1000/0.0833,(12*1000))))*Flag_Mort_Rider_Charge*(T75&gt;0),0)</f>
        <v>0</v>
      </c>
      <c r="V75" s="34">
        <f>ROUND(MIN(IF(H75&gt;=7,Charges!$C$12*(1+Charges!$C$14)^((H75-7+1)),VLOOKUP(H75,Charges!$B$7:$C$12,2,0))*pr,Charges!$C$13)*B75,Round)</f>
        <v>500</v>
      </c>
      <c r="W75" s="14">
        <f t="shared" ca="1" si="65"/>
        <v>2089884.9349141812</v>
      </c>
      <c r="X75" s="14">
        <f t="shared" ca="1" si="66"/>
        <v>2103331.3175118617</v>
      </c>
      <c r="Y75" s="213">
        <f t="shared" ca="1" si="88"/>
        <v>2367.5354682560014</v>
      </c>
      <c r="Z75" s="14">
        <f t="shared" ca="1" si="67"/>
        <v>2100963.7820436056</v>
      </c>
      <c r="AA75" s="14">
        <f>IF(AND($H75=pt,$F75=11),SUM($K$7:K75)*VLOOKUP(pt,ROC,2,FALSE),0)</f>
        <v>0</v>
      </c>
      <c r="AB75" s="14">
        <f>IF(AND($H75=pt,$F75=11),SUM($V$7:V75)*VLOOKUP(pt,ROC,2,FALSE),0)</f>
        <v>0</v>
      </c>
      <c r="AC75" s="14">
        <f>IF(AND($H75=pt,$F75=11),SUM($Q$7:Q75)*VLOOKUP(pt,ROC,2,FALSE),0)</f>
        <v>0</v>
      </c>
      <c r="AD75" s="14">
        <f t="shared" ca="1" si="89"/>
        <v>2100963.7820436056</v>
      </c>
      <c r="AE75" s="14">
        <f ca="1">(MAX(sa-CF74*Flag_UL_Type,105%*SUM($I$7:I75),Z75)+AU75)*B75</f>
        <v>3000000</v>
      </c>
      <c r="AF75" s="136"/>
      <c r="AG75" s="18">
        <v>69</v>
      </c>
      <c r="AH75" s="30">
        <f t="shared" ca="1" si="68"/>
        <v>0</v>
      </c>
      <c r="AI75" s="138"/>
      <c r="AJ75" s="50">
        <f>IF(AND(Option_Sys_TopUp&gt;="Y",H75&gt;=sytp,H75&lt;=(dtp+sytp-1),F75=0,H75&lt;=ppt+1),atp,0)+IFERROR(VLOOKUP(H75,Input!$B$55:$C$61,2,0),0)*(F75=0)*(Option_TopUP="Y")*(Option_Sys_TopUp="N")*B75*(pt&gt;=H75+5)</f>
        <v>0</v>
      </c>
      <c r="AK75" s="50">
        <f t="shared" si="69"/>
        <v>0</v>
      </c>
      <c r="AL75" s="50">
        <f t="shared" si="90"/>
        <v>0</v>
      </c>
      <c r="AM75" s="50">
        <f t="shared" ca="1" si="70"/>
        <v>0</v>
      </c>
      <c r="AN75" s="50">
        <f ca="1">IF(B75=0,0,AT75*(_rpm1+(1+_emr1)*VLOOKUP(E75,Tab_Mort_Charge,IF(Input!$C$12="M",2,3),0))*(0.001*0.0833)*Flag_Mort_Rider_Charge*(AT75&gt;0))</f>
        <v>0</v>
      </c>
      <c r="AO75" s="50">
        <f t="shared" ca="1" si="91"/>
        <v>0</v>
      </c>
      <c r="AP75" s="50">
        <f t="shared" ca="1" si="92"/>
        <v>0</v>
      </c>
      <c r="AQ75" s="50">
        <f t="shared" ca="1" si="71"/>
        <v>0</v>
      </c>
      <c r="AR75" s="50">
        <f t="shared" ca="1" si="72"/>
        <v>0</v>
      </c>
      <c r="AS75" s="50">
        <f t="shared" si="73"/>
        <v>0</v>
      </c>
      <c r="AT75" s="50">
        <f ca="1">(MAX((MAX(AS75,105%*SUM($AJ$7:AJ75))-AM75*Flag_UL_Type),0)*B75)</f>
        <v>0</v>
      </c>
      <c r="AU75" s="50">
        <f ca="1">(MAX(AS75,AR75,105%*SUM($AJ$7:AJ75))*B75)</f>
        <v>0</v>
      </c>
      <c r="AV75" s="125"/>
      <c r="AW75" s="13"/>
      <c r="AX75" s="13"/>
      <c r="AY75" s="13"/>
      <c r="AZ75" s="13"/>
      <c r="BA75" s="13"/>
      <c r="BG75" s="51">
        <f t="shared" si="74"/>
        <v>0</v>
      </c>
      <c r="BH75" s="51">
        <f t="shared" ca="1" si="75"/>
        <v>0</v>
      </c>
      <c r="BI75" s="51">
        <f t="shared" ca="1" si="76"/>
        <v>0</v>
      </c>
      <c r="BJ75" s="51">
        <f t="shared" ca="1" si="77"/>
        <v>0</v>
      </c>
      <c r="BK75" s="51">
        <f t="shared" si="78"/>
        <v>0</v>
      </c>
      <c r="BL75" s="51">
        <f t="shared" ca="1" si="79"/>
        <v>0</v>
      </c>
      <c r="BM75" s="51">
        <f t="shared" si="80"/>
        <v>0</v>
      </c>
      <c r="BN75" s="51">
        <f t="shared" ca="1" si="81"/>
        <v>0</v>
      </c>
      <c r="BO75" s="51">
        <f t="shared" ca="1" si="82"/>
        <v>0</v>
      </c>
      <c r="BP75" s="51">
        <f t="shared" ca="1" si="83"/>
        <v>0</v>
      </c>
      <c r="BR75" s="32"/>
      <c r="BS75" s="126"/>
      <c r="BT75" s="16"/>
      <c r="BU75" s="58"/>
      <c r="BW75" s="51">
        <f>VLOOKUP(H75,Charges!$AT$4:$AU$33,2,FALSE)*I75</f>
        <v>0</v>
      </c>
      <c r="BX75" s="51">
        <f t="shared" si="84"/>
        <v>0</v>
      </c>
      <c r="BY75" s="51">
        <f t="shared" si="93"/>
        <v>0</v>
      </c>
      <c r="BZ75" s="151"/>
      <c r="CA75" s="151"/>
      <c r="CB75" s="32"/>
      <c r="CC75" s="16">
        <f ca="1">SUM($N$7:$N75)</f>
        <v>0</v>
      </c>
      <c r="CD75" s="16">
        <f t="shared" ca="1" si="85"/>
        <v>0</v>
      </c>
      <c r="CE75" s="16">
        <f t="shared" ca="1" si="86"/>
        <v>0</v>
      </c>
      <c r="CF75" s="7">
        <f t="shared" ca="1" si="94"/>
        <v>0</v>
      </c>
    </row>
    <row r="76" spans="1:84" s="7" customFormat="1" x14ac:dyDescent="0.2">
      <c r="A76" s="149"/>
      <c r="B76" s="14">
        <f t="shared" si="55"/>
        <v>1</v>
      </c>
      <c r="C76" s="12">
        <f t="shared" si="56"/>
        <v>1</v>
      </c>
      <c r="D76" s="17">
        <f t="shared" si="95"/>
        <v>70</v>
      </c>
      <c r="E76" s="17">
        <f t="shared" ca="1" si="57"/>
        <v>65</v>
      </c>
      <c r="F76" s="12">
        <f t="shared" si="53"/>
        <v>9</v>
      </c>
      <c r="G76" s="12">
        <f t="shared" si="52"/>
        <v>12</v>
      </c>
      <c r="H76" s="17">
        <f t="shared" si="54"/>
        <v>6</v>
      </c>
      <c r="I76" s="29">
        <f t="shared" si="58"/>
        <v>0</v>
      </c>
      <c r="J76" s="211">
        <f>IFERROR(VLOOKUP(H76,Charges!$T$6:$U$35,2,0)*C76,0)</f>
        <v>0.98</v>
      </c>
      <c r="K76" s="29">
        <f t="shared" si="59"/>
        <v>0</v>
      </c>
      <c r="L76" s="29">
        <f t="shared" si="60"/>
        <v>0</v>
      </c>
      <c r="M76" s="147">
        <f t="shared" ca="1" si="61"/>
        <v>0</v>
      </c>
      <c r="N76" s="148">
        <f ca="1">IF(AND(Option_SPW="Y",Z75&gt;=SPW_Start_Min_FV,H76&gt;=Lock_In_Period,Z75&gt;SPW_Amount_pa+IF(option="Single",1/5*pr,2*pr),H76&gt;=SPW_Start_Year,H76&lt;=SPW_Start_Year+SPW_Duration-1,F76=0,age+H76&gt;=Legal_Age),SPW_Amount_pa,0)+IFERROR(VLOOKUP(H76,Input!$B$68:$C$74,2,0),0)*(F76=0)*(Option_PW="Y")*(Option_SPW="N")*(age+H76&gt;=Legal_Age)</f>
        <v>0</v>
      </c>
      <c r="O76" s="148">
        <f t="shared" ca="1" si="87"/>
        <v>0</v>
      </c>
      <c r="P76" s="14">
        <f ca="1">(MAX(MAX(sa-CF75*Flag_UL_Type,105%*SUM($I$7:I76))-(AD75+L76-N76)*Flag_UL_Type,0)*B76)</f>
        <v>899036.21795639442</v>
      </c>
      <c r="Q76" s="213">
        <f t="shared" ca="1" si="62"/>
        <v>0</v>
      </c>
      <c r="R76" s="14">
        <f t="shared" ca="1" si="63"/>
        <v>0</v>
      </c>
      <c r="S76" s="14">
        <f t="shared" ca="1" si="64"/>
        <v>0</v>
      </c>
      <c r="T76" s="14">
        <f>IFERROR(IF(WoP_Flag="Y",IF(fq=1,VLOOKUP(ppt*fq-H76,Charges!$AN$41:$AO$59,2,FALSE),IF(fq=2,VLOOKUP(ppt*fq-G76,Charges!$AP$41:$AQ$79,2,FALSE),VLOOKUP(ppt*fq-D76,Charges!$AR$41:$AS$279,2,FALSE)))*pr/fq,0),0)</f>
        <v>0</v>
      </c>
      <c r="U76" s="14">
        <f ca="1">IFERROR(((T76*(VLOOKUP(Input!$D$18+H76-1,Tab_Mort_Charge,IF(Gender_2="M",2,3),FALSE)*(1+_emr2)+_rpm2)/IF(Model_Type="LA_PQIS",1000/0.0833,(12*1000))))*Flag_Mort_Rider_Charge*(T76&gt;0),0)</f>
        <v>0</v>
      </c>
      <c r="V76" s="34">
        <f>ROUND(MIN(IF(H76&gt;=7,Charges!$C$12*(1+Charges!$C$14)^((H76-7+1)),VLOOKUP(H76,Charges!$B$7:$C$12,2,0))*pr,Charges!$C$13)*B76,Round)</f>
        <v>500</v>
      </c>
      <c r="W76" s="14">
        <f t="shared" ca="1" si="65"/>
        <v>2100463.7820436056</v>
      </c>
      <c r="X76" s="14">
        <f t="shared" ca="1" si="66"/>
        <v>2113978.2292622458</v>
      </c>
      <c r="Y76" s="213">
        <f t="shared" ca="1" si="88"/>
        <v>2379.5197624024154</v>
      </c>
      <c r="Z76" s="14">
        <f t="shared" ca="1" si="67"/>
        <v>2111598.7094998434</v>
      </c>
      <c r="AA76" s="14">
        <f>IF(AND($H76=pt,$F76=11),SUM($K$7:K76)*VLOOKUP(pt,ROC,2,FALSE),0)</f>
        <v>0</v>
      </c>
      <c r="AB76" s="14">
        <f>IF(AND($H76=pt,$F76=11),SUM($V$7:V76)*VLOOKUP(pt,ROC,2,FALSE),0)</f>
        <v>0</v>
      </c>
      <c r="AC76" s="14">
        <f>IF(AND($H76=pt,$F76=11),SUM($Q$7:Q76)*VLOOKUP(pt,ROC,2,FALSE),0)</f>
        <v>0</v>
      </c>
      <c r="AD76" s="14">
        <f t="shared" ca="1" si="89"/>
        <v>2111598.7094998434</v>
      </c>
      <c r="AE76" s="14">
        <f ca="1">(MAX(sa-CF75*Flag_UL_Type,105%*SUM($I$7:I76),Z76)+AU76)*B76</f>
        <v>3000000</v>
      </c>
      <c r="AF76" s="136"/>
      <c r="AG76" s="18">
        <v>70</v>
      </c>
      <c r="AH76" s="30">
        <f t="shared" ca="1" si="68"/>
        <v>0</v>
      </c>
      <c r="AI76" s="138"/>
      <c r="AJ76" s="50">
        <f>IF(AND(Option_Sys_TopUp&gt;="Y",H76&gt;=sytp,H76&lt;=(dtp+sytp-1),F76=0,H76&lt;=ppt+1),atp,0)+IFERROR(VLOOKUP(H76,Input!$B$55:$C$61,2,0),0)*(F76=0)*(Option_TopUP="Y")*(Option_Sys_TopUp="N")*B76*(pt&gt;=H76+5)</f>
        <v>0</v>
      </c>
      <c r="AK76" s="50">
        <f t="shared" si="69"/>
        <v>0</v>
      </c>
      <c r="AL76" s="50">
        <f t="shared" si="90"/>
        <v>0</v>
      </c>
      <c r="AM76" s="50">
        <f t="shared" ca="1" si="70"/>
        <v>0</v>
      </c>
      <c r="AN76" s="50">
        <f ca="1">IF(B76=0,0,AT76*(_rpm1+(1+_emr1)*VLOOKUP(E76,Tab_Mort_Charge,IF(Input!$C$12="M",2,3),0))*(0.001*0.0833)*Flag_Mort_Rider_Charge*(AT76&gt;0))</f>
        <v>0</v>
      </c>
      <c r="AO76" s="50">
        <f t="shared" ca="1" si="91"/>
        <v>0</v>
      </c>
      <c r="AP76" s="50">
        <f t="shared" ca="1" si="92"/>
        <v>0</v>
      </c>
      <c r="AQ76" s="50">
        <f t="shared" ca="1" si="71"/>
        <v>0</v>
      </c>
      <c r="AR76" s="50">
        <f t="shared" ca="1" si="72"/>
        <v>0</v>
      </c>
      <c r="AS76" s="50">
        <f t="shared" si="73"/>
        <v>0</v>
      </c>
      <c r="AT76" s="50">
        <f ca="1">(MAX((MAX(AS76,105%*SUM($AJ$7:AJ76))-AM76*Flag_UL_Type),0)*B76)</f>
        <v>0</v>
      </c>
      <c r="AU76" s="50">
        <f ca="1">(MAX(AS76,AR76,105%*SUM($AJ$7:AJ76))*B76)</f>
        <v>0</v>
      </c>
      <c r="AV76" s="125"/>
      <c r="AW76" s="13"/>
      <c r="AX76" s="13"/>
      <c r="AY76" s="13"/>
      <c r="AZ76" s="13"/>
      <c r="BA76" s="13"/>
      <c r="BG76" s="51">
        <f t="shared" si="74"/>
        <v>0</v>
      </c>
      <c r="BH76" s="51">
        <f t="shared" ca="1" si="75"/>
        <v>0</v>
      </c>
      <c r="BI76" s="51">
        <f t="shared" ca="1" si="76"/>
        <v>0</v>
      </c>
      <c r="BJ76" s="51">
        <f t="shared" ca="1" si="77"/>
        <v>0</v>
      </c>
      <c r="BK76" s="51">
        <f t="shared" si="78"/>
        <v>0</v>
      </c>
      <c r="BL76" s="51">
        <f t="shared" ca="1" si="79"/>
        <v>0</v>
      </c>
      <c r="BM76" s="51">
        <f t="shared" si="80"/>
        <v>0</v>
      </c>
      <c r="BN76" s="51">
        <f t="shared" ca="1" si="81"/>
        <v>0</v>
      </c>
      <c r="BO76" s="51">
        <f t="shared" ca="1" si="82"/>
        <v>0</v>
      </c>
      <c r="BP76" s="51">
        <f t="shared" ca="1" si="83"/>
        <v>0</v>
      </c>
      <c r="BR76" s="32"/>
      <c r="BS76" s="126"/>
      <c r="BT76" s="16"/>
      <c r="BU76" s="58"/>
      <c r="BW76" s="51">
        <f>VLOOKUP(H76,Charges!$AT$4:$AU$33,2,FALSE)*I76</f>
        <v>0</v>
      </c>
      <c r="BX76" s="51">
        <f t="shared" si="84"/>
        <v>0</v>
      </c>
      <c r="BY76" s="51">
        <f t="shared" si="93"/>
        <v>0</v>
      </c>
      <c r="BZ76" s="151"/>
      <c r="CA76" s="151"/>
      <c r="CB76" s="32"/>
      <c r="CC76" s="16">
        <f ca="1">SUM($N$7:$N76)</f>
        <v>0</v>
      </c>
      <c r="CD76" s="16">
        <f t="shared" ca="1" si="85"/>
        <v>0</v>
      </c>
      <c r="CE76" s="16">
        <f t="shared" ca="1" si="86"/>
        <v>0</v>
      </c>
      <c r="CF76" s="7">
        <f t="shared" ca="1" si="94"/>
        <v>0</v>
      </c>
    </row>
    <row r="77" spans="1:84" s="7" customFormat="1" x14ac:dyDescent="0.2">
      <c r="A77" s="149"/>
      <c r="B77" s="14">
        <f t="shared" si="55"/>
        <v>1</v>
      </c>
      <c r="C77" s="12">
        <f t="shared" si="56"/>
        <v>1</v>
      </c>
      <c r="D77" s="17">
        <f t="shared" si="95"/>
        <v>71</v>
      </c>
      <c r="E77" s="17">
        <f t="shared" ca="1" si="57"/>
        <v>65</v>
      </c>
      <c r="F77" s="12">
        <f t="shared" si="53"/>
        <v>10</v>
      </c>
      <c r="G77" s="12">
        <f t="shared" si="52"/>
        <v>12</v>
      </c>
      <c r="H77" s="17">
        <f t="shared" si="54"/>
        <v>6</v>
      </c>
      <c r="I77" s="29">
        <f t="shared" si="58"/>
        <v>0</v>
      </c>
      <c r="J77" s="211">
        <f>IFERROR(VLOOKUP(H77,Charges!$T$6:$U$35,2,0)*C77,0)</f>
        <v>0.98</v>
      </c>
      <c r="K77" s="29">
        <f t="shared" si="59"/>
        <v>0</v>
      </c>
      <c r="L77" s="29">
        <f t="shared" si="60"/>
        <v>0</v>
      </c>
      <c r="M77" s="147">
        <f t="shared" ca="1" si="61"/>
        <v>0</v>
      </c>
      <c r="N77" s="148">
        <f ca="1">IF(AND(Option_SPW="Y",Z76&gt;=SPW_Start_Min_FV,H77&gt;=Lock_In_Period,Z76&gt;SPW_Amount_pa+IF(option="Single",1/5*pr,2*pr),H77&gt;=SPW_Start_Year,H77&lt;=SPW_Start_Year+SPW_Duration-1,F77=0,age+H77&gt;=Legal_Age),SPW_Amount_pa,0)+IFERROR(VLOOKUP(H77,Input!$B$68:$C$74,2,0),0)*(F77=0)*(Option_PW="Y")*(Option_SPW="N")*(age+H77&gt;=Legal_Age)</f>
        <v>0</v>
      </c>
      <c r="O77" s="148">
        <f t="shared" ca="1" si="87"/>
        <v>0</v>
      </c>
      <c r="P77" s="14">
        <f ca="1">(MAX(MAX(sa-CF76*Flag_UL_Type,105%*SUM($I$7:I77))-(AD76+L77-N77)*Flag_UL_Type,0)*B77)</f>
        <v>888401.29050015658</v>
      </c>
      <c r="Q77" s="213">
        <f t="shared" ca="1" si="62"/>
        <v>0</v>
      </c>
      <c r="R77" s="14">
        <f t="shared" ca="1" si="63"/>
        <v>0</v>
      </c>
      <c r="S77" s="14">
        <f t="shared" ca="1" si="64"/>
        <v>0</v>
      </c>
      <c r="T77" s="14">
        <f>IFERROR(IF(WoP_Flag="Y",IF(fq=1,VLOOKUP(ppt*fq-H77,Charges!$AN$41:$AO$59,2,FALSE),IF(fq=2,VLOOKUP(ppt*fq-G77,Charges!$AP$41:$AQ$79,2,FALSE),VLOOKUP(ppt*fq-D77,Charges!$AR$41:$AS$279,2,FALSE)))*pr/fq,0),0)</f>
        <v>0</v>
      </c>
      <c r="U77" s="14">
        <f ca="1">IFERROR(((T77*(VLOOKUP(Input!$D$18+H77-1,Tab_Mort_Charge,IF(Gender_2="M",2,3),FALSE)*(1+_emr2)+_rpm2)/IF(Model_Type="LA_PQIS",1000/0.0833,(12*1000))))*Flag_Mort_Rider_Charge*(T77&gt;0),0)</f>
        <v>0</v>
      </c>
      <c r="V77" s="34">
        <f>ROUND(MIN(IF(H77&gt;=7,Charges!$C$12*(1+Charges!$C$14)^((H77-7+1)),VLOOKUP(H77,Charges!$B$7:$C$12,2,0))*pr,Charges!$C$13)*B77,Round)</f>
        <v>500</v>
      </c>
      <c r="W77" s="14">
        <f t="shared" ca="1" si="65"/>
        <v>2111098.7094998434</v>
      </c>
      <c r="X77" s="14">
        <f t="shared" ca="1" si="66"/>
        <v>2124681.5821619546</v>
      </c>
      <c r="Y77" s="213">
        <f t="shared" ca="1" si="88"/>
        <v>2391.5675873971468</v>
      </c>
      <c r="Z77" s="14">
        <f t="shared" ca="1" si="67"/>
        <v>2122290.0145745575</v>
      </c>
      <c r="AA77" s="14">
        <f>IF(AND($H77=pt,$F77=11),SUM($K$7:K77)*VLOOKUP(pt,ROC,2,FALSE),0)</f>
        <v>0</v>
      </c>
      <c r="AB77" s="14">
        <f>IF(AND($H77=pt,$F77=11),SUM($V$7:V77)*VLOOKUP(pt,ROC,2,FALSE),0)</f>
        <v>0</v>
      </c>
      <c r="AC77" s="14">
        <f>IF(AND($H77=pt,$F77=11),SUM($Q$7:Q77)*VLOOKUP(pt,ROC,2,FALSE),0)</f>
        <v>0</v>
      </c>
      <c r="AD77" s="14">
        <f t="shared" ca="1" si="89"/>
        <v>2122290.0145745575</v>
      </c>
      <c r="AE77" s="14">
        <f ca="1">(MAX(sa-CF76*Flag_UL_Type,105%*SUM($I$7:I77),Z77)+AU77)*B77</f>
        <v>3000000</v>
      </c>
      <c r="AF77" s="136"/>
      <c r="AG77" s="18">
        <v>71</v>
      </c>
      <c r="AH77" s="30">
        <f t="shared" ca="1" si="68"/>
        <v>0</v>
      </c>
      <c r="AI77" s="138"/>
      <c r="AJ77" s="50">
        <f>IF(AND(Option_Sys_TopUp&gt;="Y",H77&gt;=sytp,H77&lt;=(dtp+sytp-1),F77=0,H77&lt;=ppt+1),atp,0)+IFERROR(VLOOKUP(H77,Input!$B$55:$C$61,2,0),0)*(F77=0)*(Option_TopUP="Y")*(Option_Sys_TopUp="N")*B77*(pt&gt;=H77+5)</f>
        <v>0</v>
      </c>
      <c r="AK77" s="50">
        <f t="shared" si="69"/>
        <v>0</v>
      </c>
      <c r="AL77" s="50">
        <f t="shared" si="90"/>
        <v>0</v>
      </c>
      <c r="AM77" s="50">
        <f t="shared" ca="1" si="70"/>
        <v>0</v>
      </c>
      <c r="AN77" s="50">
        <f ca="1">IF(B77=0,0,AT77*(_rpm1+(1+_emr1)*VLOOKUP(E77,Tab_Mort_Charge,IF(Input!$C$12="M",2,3),0))*(0.001*0.0833)*Flag_Mort_Rider_Charge*(AT77&gt;0))</f>
        <v>0</v>
      </c>
      <c r="AO77" s="50">
        <f t="shared" ca="1" si="91"/>
        <v>0</v>
      </c>
      <c r="AP77" s="50">
        <f t="shared" ca="1" si="92"/>
        <v>0</v>
      </c>
      <c r="AQ77" s="50">
        <f t="shared" ca="1" si="71"/>
        <v>0</v>
      </c>
      <c r="AR77" s="50">
        <f t="shared" ca="1" si="72"/>
        <v>0</v>
      </c>
      <c r="AS77" s="50">
        <f t="shared" si="73"/>
        <v>0</v>
      </c>
      <c r="AT77" s="50">
        <f ca="1">(MAX((MAX(AS77,105%*SUM($AJ$7:AJ77))-AM77*Flag_UL_Type),0)*B77)</f>
        <v>0</v>
      </c>
      <c r="AU77" s="50">
        <f ca="1">(MAX(AS77,AR77,105%*SUM($AJ$7:AJ77))*B77)</f>
        <v>0</v>
      </c>
      <c r="AV77" s="125"/>
      <c r="AW77" s="13"/>
      <c r="AX77" s="13"/>
      <c r="AY77" s="13"/>
      <c r="AZ77" s="13"/>
      <c r="BA77" s="13"/>
      <c r="BG77" s="51">
        <f t="shared" si="74"/>
        <v>0</v>
      </c>
      <c r="BH77" s="51">
        <f t="shared" ca="1" si="75"/>
        <v>0</v>
      </c>
      <c r="BI77" s="51">
        <f t="shared" ca="1" si="76"/>
        <v>0</v>
      </c>
      <c r="BJ77" s="51">
        <f t="shared" ca="1" si="77"/>
        <v>0</v>
      </c>
      <c r="BK77" s="51">
        <f t="shared" si="78"/>
        <v>0</v>
      </c>
      <c r="BL77" s="51">
        <f t="shared" ca="1" si="79"/>
        <v>0</v>
      </c>
      <c r="BM77" s="51">
        <f t="shared" si="80"/>
        <v>0</v>
      </c>
      <c r="BN77" s="51">
        <f t="shared" ca="1" si="81"/>
        <v>0</v>
      </c>
      <c r="BO77" s="51">
        <f t="shared" ca="1" si="82"/>
        <v>0</v>
      </c>
      <c r="BP77" s="51">
        <f t="shared" ca="1" si="83"/>
        <v>0</v>
      </c>
      <c r="BR77" s="32"/>
      <c r="BS77" s="126"/>
      <c r="BT77" s="16"/>
      <c r="BU77" s="58"/>
      <c r="BW77" s="51">
        <f>VLOOKUP(H77,Charges!$AT$4:$AU$33,2,FALSE)*I77</f>
        <v>0</v>
      </c>
      <c r="BX77" s="51">
        <f t="shared" si="84"/>
        <v>0</v>
      </c>
      <c r="BY77" s="51">
        <f t="shared" si="93"/>
        <v>0</v>
      </c>
      <c r="BZ77" s="151"/>
      <c r="CA77" s="151"/>
      <c r="CB77" s="32"/>
      <c r="CC77" s="16">
        <f ca="1">SUM($N$7:$N77)</f>
        <v>0</v>
      </c>
      <c r="CD77" s="16">
        <f t="shared" ca="1" si="85"/>
        <v>0</v>
      </c>
      <c r="CE77" s="16">
        <f t="shared" ca="1" si="86"/>
        <v>0</v>
      </c>
      <c r="CF77" s="7">
        <f t="shared" ca="1" si="94"/>
        <v>0</v>
      </c>
    </row>
    <row r="78" spans="1:84" s="7" customFormat="1" x14ac:dyDescent="0.2">
      <c r="A78" s="149"/>
      <c r="B78" s="14">
        <f t="shared" si="55"/>
        <v>1</v>
      </c>
      <c r="C78" s="12">
        <f t="shared" si="56"/>
        <v>1</v>
      </c>
      <c r="D78" s="17">
        <f t="shared" si="95"/>
        <v>72</v>
      </c>
      <c r="E78" s="17">
        <f t="shared" ca="1" si="57"/>
        <v>65</v>
      </c>
      <c r="F78" s="12">
        <f t="shared" si="53"/>
        <v>11</v>
      </c>
      <c r="G78" s="12">
        <f t="shared" ref="G78:G141" si="96">G72+1</f>
        <v>12</v>
      </c>
      <c r="H78" s="17">
        <f t="shared" si="54"/>
        <v>6</v>
      </c>
      <c r="I78" s="29">
        <f t="shared" si="58"/>
        <v>0</v>
      </c>
      <c r="J78" s="211">
        <f>IFERROR(VLOOKUP(H78,Charges!$T$6:$U$35,2,0)*C78,0)</f>
        <v>0.98</v>
      </c>
      <c r="K78" s="29">
        <f t="shared" si="59"/>
        <v>0</v>
      </c>
      <c r="L78" s="29">
        <f t="shared" si="60"/>
        <v>0</v>
      </c>
      <c r="M78" s="147">
        <f t="shared" ca="1" si="61"/>
        <v>0</v>
      </c>
      <c r="N78" s="148">
        <f ca="1">IF(AND(Option_SPW="Y",Z77&gt;=SPW_Start_Min_FV,H78&gt;=Lock_In_Period,Z77&gt;SPW_Amount_pa+IF(option="Single",1/5*pr,2*pr),H78&gt;=SPW_Start_Year,H78&lt;=SPW_Start_Year+SPW_Duration-1,F78=0,age+H78&gt;=Legal_Age),SPW_Amount_pa,0)+IFERROR(VLOOKUP(H78,Input!$B$68:$C$74,2,0),0)*(F78=0)*(Option_PW="Y")*(Option_SPW="N")*(age+H78&gt;=Legal_Age)</f>
        <v>0</v>
      </c>
      <c r="O78" s="148">
        <f t="shared" ca="1" si="87"/>
        <v>0</v>
      </c>
      <c r="P78" s="14">
        <f ca="1">(MAX(MAX(sa-CF77*Flag_UL_Type,105%*SUM($I$7:I78))-(AD77+L78-N78)*Flag_UL_Type,0)*B78)</f>
        <v>877709.98542544246</v>
      </c>
      <c r="Q78" s="213">
        <f t="shared" ca="1" si="62"/>
        <v>0</v>
      </c>
      <c r="R78" s="14">
        <f t="shared" ca="1" si="63"/>
        <v>0</v>
      </c>
      <c r="S78" s="14">
        <f t="shared" ca="1" si="64"/>
        <v>0</v>
      </c>
      <c r="T78" s="14">
        <f>IFERROR(IF(WoP_Flag="Y",IF(fq=1,VLOOKUP(ppt*fq-H78,Charges!$AN$41:$AO$59,2,FALSE),IF(fq=2,VLOOKUP(ppt*fq-G78,Charges!$AP$41:$AQ$79,2,FALSE),VLOOKUP(ppt*fq-D78,Charges!$AR$41:$AS$279,2,FALSE)))*pr/fq,0),0)</f>
        <v>0</v>
      </c>
      <c r="U78" s="14">
        <f ca="1">IFERROR(((T78*(VLOOKUP(Input!$D$18+H78-1,Tab_Mort_Charge,IF(Gender_2="M",2,3),FALSE)*(1+_emr2)+_rpm2)/IF(Model_Type="LA_PQIS",1000/0.0833,(12*1000))))*Flag_Mort_Rider_Charge*(T78&gt;0),0)</f>
        <v>0</v>
      </c>
      <c r="V78" s="34">
        <f>ROUND(MIN(IF(H78&gt;=7,Charges!$C$12*(1+Charges!$C$14)^((H78-7+1)),VLOOKUP(H78,Charges!$B$7:$C$12,2,0))*pr,Charges!$C$13)*B78,Round)</f>
        <v>500</v>
      </c>
      <c r="W78" s="14">
        <f t="shared" ca="1" si="65"/>
        <v>2121790.0145745575</v>
      </c>
      <c r="X78" s="14">
        <f t="shared" ca="1" si="66"/>
        <v>2135441.6754154349</v>
      </c>
      <c r="Y78" s="213">
        <f t="shared" ca="1" si="88"/>
        <v>2403.6792800283833</v>
      </c>
      <c r="Z78" s="14">
        <f t="shared" ca="1" si="67"/>
        <v>2133037.9961354067</v>
      </c>
      <c r="AA78" s="14">
        <f>IF(AND($H78=pt,$F78=11),SUM($K$7:K78)*VLOOKUP(pt,ROC,2,FALSE),0)</f>
        <v>0</v>
      </c>
      <c r="AB78" s="14">
        <f>IF(AND($H78=pt,$F78=11),SUM($V$7:V78)*VLOOKUP(pt,ROC,2,FALSE),0)</f>
        <v>0</v>
      </c>
      <c r="AC78" s="14">
        <f>IF(AND($H78=pt,$F78=11),SUM($Q$7:Q78)*VLOOKUP(pt,ROC,2,FALSE),0)</f>
        <v>0</v>
      </c>
      <c r="AD78" s="14">
        <f t="shared" ca="1" si="89"/>
        <v>2133037.9961354067</v>
      </c>
      <c r="AE78" s="14">
        <f ca="1">(MAX(sa-CF77*Flag_UL_Type,105%*SUM($I$7:I78),Z78)+AU78)*B78</f>
        <v>3000000</v>
      </c>
      <c r="AF78" s="136"/>
      <c r="AG78" s="18">
        <v>72</v>
      </c>
      <c r="AH78" s="30">
        <f t="shared" ca="1" si="68"/>
        <v>0</v>
      </c>
      <c r="AI78" s="138"/>
      <c r="AJ78" s="50">
        <f>IF(AND(Option_Sys_TopUp&gt;="Y",H78&gt;=sytp,H78&lt;=(dtp+sytp-1),F78=0,H78&lt;=ppt+1),atp,0)+IFERROR(VLOOKUP(H78,Input!$B$55:$C$61,2,0),0)*(F78=0)*(Option_TopUP="Y")*(Option_Sys_TopUp="N")*B78*(pt&gt;=H78+5)</f>
        <v>0</v>
      </c>
      <c r="AK78" s="50">
        <f t="shared" si="69"/>
        <v>0</v>
      </c>
      <c r="AL78" s="50">
        <f t="shared" si="90"/>
        <v>0</v>
      </c>
      <c r="AM78" s="50">
        <f t="shared" ca="1" si="70"/>
        <v>0</v>
      </c>
      <c r="AN78" s="50">
        <f ca="1">IF(B78=0,0,AT78*(_rpm1+(1+_emr1)*VLOOKUP(E78,Tab_Mort_Charge,IF(Input!$C$12="M",2,3),0))*(0.001*0.0833)*Flag_Mort_Rider_Charge*(AT78&gt;0))</f>
        <v>0</v>
      </c>
      <c r="AO78" s="50">
        <f t="shared" ca="1" si="91"/>
        <v>0</v>
      </c>
      <c r="AP78" s="50">
        <f t="shared" ca="1" si="92"/>
        <v>0</v>
      </c>
      <c r="AQ78" s="50">
        <f t="shared" ca="1" si="71"/>
        <v>0</v>
      </c>
      <c r="AR78" s="50">
        <f t="shared" ca="1" si="72"/>
        <v>0</v>
      </c>
      <c r="AS78" s="50">
        <f t="shared" si="73"/>
        <v>0</v>
      </c>
      <c r="AT78" s="50">
        <f ca="1">(MAX((MAX(AS78,105%*SUM($AJ$7:AJ78))-AM78*Flag_UL_Type),0)*B78)</f>
        <v>0</v>
      </c>
      <c r="AU78" s="50">
        <f ca="1">(MAX(AS78,AR78,105%*SUM($AJ$7:AJ78))*B78)</f>
        <v>0</v>
      </c>
      <c r="AV78" s="125"/>
      <c r="AW78" s="13"/>
      <c r="AX78" s="13"/>
      <c r="AY78" s="13"/>
      <c r="AZ78" s="13"/>
      <c r="BA78" s="13"/>
      <c r="BG78" s="51">
        <f t="shared" si="74"/>
        <v>0</v>
      </c>
      <c r="BH78" s="51">
        <f t="shared" ca="1" si="75"/>
        <v>0</v>
      </c>
      <c r="BI78" s="51">
        <f t="shared" ca="1" si="76"/>
        <v>0</v>
      </c>
      <c r="BJ78" s="51">
        <f t="shared" ca="1" si="77"/>
        <v>0</v>
      </c>
      <c r="BK78" s="51">
        <f t="shared" si="78"/>
        <v>0</v>
      </c>
      <c r="BL78" s="51">
        <f t="shared" ca="1" si="79"/>
        <v>0</v>
      </c>
      <c r="BM78" s="51">
        <f t="shared" si="80"/>
        <v>0</v>
      </c>
      <c r="BN78" s="51">
        <f t="shared" ca="1" si="81"/>
        <v>0</v>
      </c>
      <c r="BO78" s="51">
        <f t="shared" ca="1" si="82"/>
        <v>0</v>
      </c>
      <c r="BP78" s="51">
        <f t="shared" ca="1" si="83"/>
        <v>0</v>
      </c>
      <c r="BR78" s="32"/>
      <c r="BS78" s="126"/>
      <c r="BT78" s="16"/>
      <c r="BU78" s="58"/>
      <c r="BW78" s="51">
        <f>VLOOKUP(H78,Charges!$AT$4:$AU$33,2,FALSE)*I78</f>
        <v>0</v>
      </c>
      <c r="BX78" s="51">
        <f t="shared" si="84"/>
        <v>0</v>
      </c>
      <c r="BY78" s="51">
        <f t="shared" si="93"/>
        <v>0</v>
      </c>
      <c r="BZ78" s="151"/>
      <c r="CA78" s="151"/>
      <c r="CB78" s="32"/>
      <c r="CC78" s="16">
        <f ca="1">SUM($N$7:$N78)</f>
        <v>0</v>
      </c>
      <c r="CD78" s="16">
        <f t="shared" ca="1" si="85"/>
        <v>0</v>
      </c>
      <c r="CE78" s="16">
        <f t="shared" ca="1" si="86"/>
        <v>0</v>
      </c>
      <c r="CF78" s="7">
        <f t="shared" ca="1" si="94"/>
        <v>0</v>
      </c>
    </row>
    <row r="79" spans="1:84" s="7" customFormat="1" x14ac:dyDescent="0.2">
      <c r="A79" s="149"/>
      <c r="B79" s="14">
        <f t="shared" si="55"/>
        <v>1</v>
      </c>
      <c r="C79" s="12">
        <f t="shared" si="56"/>
        <v>1</v>
      </c>
      <c r="D79" s="17">
        <f t="shared" si="95"/>
        <v>73</v>
      </c>
      <c r="E79" s="17">
        <f t="shared" ca="1" si="57"/>
        <v>66</v>
      </c>
      <c r="F79" s="12">
        <f t="shared" si="53"/>
        <v>0</v>
      </c>
      <c r="G79" s="12">
        <f t="shared" si="96"/>
        <v>13</v>
      </c>
      <c r="H79" s="17">
        <f t="shared" si="54"/>
        <v>7</v>
      </c>
      <c r="I79" s="29">
        <f t="shared" si="58"/>
        <v>300000</v>
      </c>
      <c r="J79" s="211">
        <f>IFERROR(VLOOKUP(H79,Charges!$T$6:$U$35,2,0)*C79,0)</f>
        <v>0.98</v>
      </c>
      <c r="K79" s="29">
        <f t="shared" si="59"/>
        <v>6000.00000000001</v>
      </c>
      <c r="L79" s="29">
        <f t="shared" si="60"/>
        <v>294000</v>
      </c>
      <c r="M79" s="147">
        <f t="shared" ca="1" si="61"/>
        <v>0</v>
      </c>
      <c r="N79" s="148">
        <f ca="1">IF(AND(Option_SPW="Y",Z78&gt;=SPW_Start_Min_FV,H79&gt;=Lock_In_Period,Z78&gt;SPW_Amount_pa+IF(option="Single",1/5*pr,2*pr),H79&gt;=SPW_Start_Year,H79&lt;=SPW_Start_Year+SPW_Duration-1,F79=0,age+H79&gt;=Legal_Age),SPW_Amount_pa,0)+IFERROR(VLOOKUP(H79,Input!$B$68:$C$74,2,0),0)*(F79=0)*(Option_PW="Y")*(Option_SPW="N")*(age+H79&gt;=Legal_Age)</f>
        <v>0</v>
      </c>
      <c r="O79" s="148">
        <f t="shared" ca="1" si="87"/>
        <v>0</v>
      </c>
      <c r="P79" s="14">
        <f ca="1">(MAX(MAX(sa-CF78*Flag_UL_Type,105%*SUM($I$7:I79))-(AD78+L79-N79)*Flag_UL_Type,0)*B79)</f>
        <v>572962.00386459334</v>
      </c>
      <c r="Q79" s="213">
        <f t="shared" ca="1" si="62"/>
        <v>0</v>
      </c>
      <c r="R79" s="14">
        <f t="shared" ca="1" si="63"/>
        <v>0</v>
      </c>
      <c r="S79" s="14">
        <f t="shared" ca="1" si="64"/>
        <v>0</v>
      </c>
      <c r="T79" s="14">
        <f>IFERROR(IF(WoP_Flag="Y",IF(fq=1,VLOOKUP(ppt*fq-H79,Charges!$AN$41:$AO$59,2,FALSE),IF(fq=2,VLOOKUP(ppt*fq-G79,Charges!$AP$41:$AQ$79,2,FALSE),VLOOKUP(ppt*fq-D79,Charges!$AR$41:$AS$279,2,FALSE)))*pr/fq,0),0)</f>
        <v>0</v>
      </c>
      <c r="U79" s="14">
        <f ca="1">IFERROR(((T79*(VLOOKUP(Input!$D$18+H79-1,Tab_Mort_Charge,IF(Gender_2="M",2,3),FALSE)*(1+_emr2)+_rpm2)/IF(Model_Type="LA_PQIS",1000/0.0833,(12*1000))))*Flag_Mort_Rider_Charge*(T79&gt;0),0)</f>
        <v>0</v>
      </c>
      <c r="V79" s="34">
        <f>ROUND(MIN(IF(H79&gt;=7,Charges!$C$12*(1+Charges!$C$14)^((H79-7+1)),VLOOKUP(H79,Charges!$B$7:$C$12,2,0))*pr,Charges!$C$13)*B79,Round)</f>
        <v>500</v>
      </c>
      <c r="W79" s="14">
        <f t="shared" ca="1" si="65"/>
        <v>2426537.9961354067</v>
      </c>
      <c r="X79" s="14">
        <f t="shared" ca="1" si="66"/>
        <v>2442150.4146656091</v>
      </c>
      <c r="Y79" s="213">
        <f t="shared" ca="1" si="88"/>
        <v>2748.9143899481373</v>
      </c>
      <c r="Z79" s="14">
        <f t="shared" ca="1" si="67"/>
        <v>2439401.5002756608</v>
      </c>
      <c r="AA79" s="14">
        <f>IF(AND($H79=pt,$F79=11),SUM($K$7:K79)*VLOOKUP(pt,ROC,2,FALSE),0)</f>
        <v>0</v>
      </c>
      <c r="AB79" s="14">
        <f>IF(AND($H79=pt,$F79=11),SUM($V$7:V79)*VLOOKUP(pt,ROC,2,FALSE),0)</f>
        <v>0</v>
      </c>
      <c r="AC79" s="14">
        <f>IF(AND($H79=pt,$F79=11),SUM($Q$7:Q79)*VLOOKUP(pt,ROC,2,FALSE),0)</f>
        <v>0</v>
      </c>
      <c r="AD79" s="14">
        <f t="shared" ca="1" si="89"/>
        <v>2439401.5002756608</v>
      </c>
      <c r="AE79" s="14">
        <f ca="1">(MAX(sa-CF78*Flag_UL_Type,105%*SUM($I$7:I79),Z79)+AU79)*B79</f>
        <v>3000000</v>
      </c>
      <c r="AF79" s="136"/>
      <c r="AG79" s="18">
        <v>73</v>
      </c>
      <c r="AH79" s="30">
        <f t="shared" ca="1" si="68"/>
        <v>300000</v>
      </c>
      <c r="AI79" s="138"/>
      <c r="AJ79" s="50">
        <f>IF(AND(Option_Sys_TopUp&gt;="Y",H79&gt;=sytp,H79&lt;=(dtp+sytp-1),F79=0,H79&lt;=ppt+1),atp,0)+IFERROR(VLOOKUP(H79,Input!$B$55:$C$61,2,0),0)*(F79=0)*(Option_TopUP="Y")*(Option_Sys_TopUp="N")*B79*(pt&gt;=H79+5)</f>
        <v>0</v>
      </c>
      <c r="AK79" s="50">
        <f t="shared" si="69"/>
        <v>0</v>
      </c>
      <c r="AL79" s="50">
        <f t="shared" si="90"/>
        <v>0</v>
      </c>
      <c r="AM79" s="50">
        <f t="shared" ca="1" si="70"/>
        <v>0</v>
      </c>
      <c r="AN79" s="50">
        <f ca="1">IF(B79=0,0,AT79*(_rpm1+(1+_emr1)*VLOOKUP(E79,Tab_Mort_Charge,IF(Input!$C$12="M",2,3),0))*(0.001*0.0833)*Flag_Mort_Rider_Charge*(AT79&gt;0))</f>
        <v>0</v>
      </c>
      <c r="AO79" s="50">
        <f t="shared" ca="1" si="91"/>
        <v>0</v>
      </c>
      <c r="AP79" s="50">
        <f t="shared" ca="1" si="92"/>
        <v>0</v>
      </c>
      <c r="AQ79" s="50">
        <f t="shared" ca="1" si="71"/>
        <v>0</v>
      </c>
      <c r="AR79" s="50">
        <f t="shared" ca="1" si="72"/>
        <v>0</v>
      </c>
      <c r="AS79" s="50">
        <f t="shared" si="73"/>
        <v>0</v>
      </c>
      <c r="AT79" s="50">
        <f ca="1">(MAX((MAX(AS79,105%*SUM($AJ$7:AJ79))-AM79*Flag_UL_Type),0)*B79)</f>
        <v>0</v>
      </c>
      <c r="AU79" s="50">
        <f ca="1">(MAX(AS79,AR79,105%*SUM($AJ$7:AJ79))*B79)</f>
        <v>0</v>
      </c>
      <c r="AV79" s="125"/>
      <c r="AW79" s="13"/>
      <c r="AX79" s="13"/>
      <c r="AY79" s="13"/>
      <c r="AZ79" s="13"/>
      <c r="BA79" s="13"/>
      <c r="BG79" s="51">
        <f t="shared" si="74"/>
        <v>0</v>
      </c>
      <c r="BH79" s="51">
        <f t="shared" ca="1" si="75"/>
        <v>0</v>
      </c>
      <c r="BI79" s="51">
        <f t="shared" ca="1" si="76"/>
        <v>0</v>
      </c>
      <c r="BJ79" s="51">
        <f t="shared" ca="1" si="77"/>
        <v>0</v>
      </c>
      <c r="BK79" s="51">
        <f t="shared" si="78"/>
        <v>0</v>
      </c>
      <c r="BL79" s="51">
        <f t="shared" ca="1" si="79"/>
        <v>0</v>
      </c>
      <c r="BM79" s="51">
        <f t="shared" si="80"/>
        <v>0</v>
      </c>
      <c r="BN79" s="51">
        <f t="shared" ca="1" si="81"/>
        <v>0</v>
      </c>
      <c r="BO79" s="51">
        <f t="shared" ca="1" si="82"/>
        <v>0</v>
      </c>
      <c r="BP79" s="51">
        <f t="shared" ca="1" si="83"/>
        <v>0</v>
      </c>
      <c r="BQ79" s="149"/>
      <c r="BR79" s="32"/>
      <c r="BS79" s="126"/>
      <c r="BT79" s="16"/>
      <c r="BU79" s="58"/>
      <c r="BW79" s="51">
        <f>VLOOKUP(H79,Charges!$AT$4:$AU$33,2,FALSE)*I79</f>
        <v>1500</v>
      </c>
      <c r="BX79" s="51">
        <f t="shared" si="84"/>
        <v>0</v>
      </c>
      <c r="BY79" s="51">
        <f t="shared" si="93"/>
        <v>1500</v>
      </c>
      <c r="BZ79" s="151"/>
      <c r="CA79" s="151"/>
      <c r="CB79" s="32"/>
      <c r="CC79" s="16">
        <f ca="1">SUM($N$7:$N79)</f>
        <v>0</v>
      </c>
      <c r="CD79" s="16">
        <f t="shared" ca="1" si="85"/>
        <v>0</v>
      </c>
      <c r="CE79" s="16">
        <f t="shared" ca="1" si="86"/>
        <v>0</v>
      </c>
      <c r="CF79" s="7">
        <f t="shared" ca="1" si="94"/>
        <v>0</v>
      </c>
    </row>
    <row r="80" spans="1:84" s="7" customFormat="1" x14ac:dyDescent="0.2">
      <c r="A80" s="149"/>
      <c r="B80" s="14">
        <f t="shared" si="55"/>
        <v>1</v>
      </c>
      <c r="C80" s="12">
        <f t="shared" si="56"/>
        <v>1</v>
      </c>
      <c r="D80" s="17">
        <f t="shared" si="95"/>
        <v>74</v>
      </c>
      <c r="E80" s="17">
        <f t="shared" ca="1" si="57"/>
        <v>66</v>
      </c>
      <c r="F80" s="12">
        <f t="shared" si="53"/>
        <v>1</v>
      </c>
      <c r="G80" s="12">
        <f t="shared" si="96"/>
        <v>13</v>
      </c>
      <c r="H80" s="17">
        <f t="shared" si="54"/>
        <v>7</v>
      </c>
      <c r="I80" s="29">
        <f t="shared" si="58"/>
        <v>0</v>
      </c>
      <c r="J80" s="211">
        <f>IFERROR(VLOOKUP(H80,Charges!$T$6:$U$35,2,0)*C80,0)</f>
        <v>0.98</v>
      </c>
      <c r="K80" s="29">
        <f t="shared" si="59"/>
        <v>0</v>
      </c>
      <c r="L80" s="29">
        <f t="shared" si="60"/>
        <v>0</v>
      </c>
      <c r="M80" s="147">
        <f t="shared" ca="1" si="61"/>
        <v>0</v>
      </c>
      <c r="N80" s="148">
        <f ca="1">IF(AND(Option_SPW="Y",Z79&gt;=SPW_Start_Min_FV,H80&gt;=Lock_In_Period,Z79&gt;SPW_Amount_pa+IF(option="Single",1/5*pr,2*pr),H80&gt;=SPW_Start_Year,H80&lt;=SPW_Start_Year+SPW_Duration-1,F80=0,age+H80&gt;=Legal_Age),SPW_Amount_pa,0)+IFERROR(VLOOKUP(H80,Input!$B$68:$C$74,2,0),0)*(F80=0)*(Option_PW="Y")*(Option_SPW="N")*(age+H80&gt;=Legal_Age)</f>
        <v>0</v>
      </c>
      <c r="O80" s="148">
        <f t="shared" ca="1" si="87"/>
        <v>0</v>
      </c>
      <c r="P80" s="14">
        <f ca="1">(MAX(MAX(sa-CF79*Flag_UL_Type,105%*SUM($I$7:I80))-(AD79+L80-N80)*Flag_UL_Type,0)*B80)</f>
        <v>560598.49972433923</v>
      </c>
      <c r="Q80" s="213">
        <f t="shared" ca="1" si="62"/>
        <v>0</v>
      </c>
      <c r="R80" s="14">
        <f t="shared" ca="1" si="63"/>
        <v>0</v>
      </c>
      <c r="S80" s="14">
        <f t="shared" ca="1" si="64"/>
        <v>0</v>
      </c>
      <c r="T80" s="14">
        <f>IFERROR(IF(WoP_Flag="Y",IF(fq=1,VLOOKUP(ppt*fq-H80,Charges!$AN$41:$AO$59,2,FALSE),IF(fq=2,VLOOKUP(ppt*fq-G80,Charges!$AP$41:$AQ$79,2,FALSE),VLOOKUP(ppt*fq-D80,Charges!$AR$41:$AS$279,2,FALSE)))*pr/fq,0),0)</f>
        <v>0</v>
      </c>
      <c r="U80" s="14">
        <f ca="1">IFERROR(((T80*(VLOOKUP(Input!$D$18+H80-1,Tab_Mort_Charge,IF(Gender_2="M",2,3),FALSE)*(1+_emr2)+_rpm2)/IF(Model_Type="LA_PQIS",1000/0.0833,(12*1000))))*Flag_Mort_Rider_Charge*(T80&gt;0),0)</f>
        <v>0</v>
      </c>
      <c r="V80" s="34">
        <f>ROUND(MIN(IF(H80&gt;=7,Charges!$C$12*(1+Charges!$C$14)^((H80-7+1)),VLOOKUP(H80,Charges!$B$7:$C$12,2,0))*pr,Charges!$C$13)*B80,Round)</f>
        <v>500</v>
      </c>
      <c r="W80" s="14">
        <f t="shared" ca="1" si="65"/>
        <v>2438901.5002756608</v>
      </c>
      <c r="X80" s="14">
        <f t="shared" ca="1" si="66"/>
        <v>2454593.4659637669</v>
      </c>
      <c r="Y80" s="213">
        <f t="shared" ca="1" si="88"/>
        <v>2762.9204407478596</v>
      </c>
      <c r="Z80" s="14">
        <f t="shared" ca="1" si="67"/>
        <v>2451830.545523019</v>
      </c>
      <c r="AA80" s="14">
        <f>IF(AND($H80=pt,$F80=11),SUM($K$7:K80)*VLOOKUP(pt,ROC,2,FALSE),0)</f>
        <v>0</v>
      </c>
      <c r="AB80" s="14">
        <f>IF(AND($H80=pt,$F80=11),SUM($V$7:V80)*VLOOKUP(pt,ROC,2,FALSE),0)</f>
        <v>0</v>
      </c>
      <c r="AC80" s="14">
        <f>IF(AND($H80=pt,$F80=11),SUM($Q$7:Q80)*VLOOKUP(pt,ROC,2,FALSE),0)</f>
        <v>0</v>
      </c>
      <c r="AD80" s="14">
        <f t="shared" ca="1" si="89"/>
        <v>2451830.545523019</v>
      </c>
      <c r="AE80" s="14">
        <f ca="1">(MAX(sa-CF79*Flag_UL_Type,105%*SUM($I$7:I80),Z80)+AU80)*B80</f>
        <v>3000000</v>
      </c>
      <c r="AF80" s="136"/>
      <c r="AG80" s="18">
        <v>74</v>
      </c>
      <c r="AH80" s="30">
        <f t="shared" ca="1" si="68"/>
        <v>0</v>
      </c>
      <c r="AI80" s="138"/>
      <c r="AJ80" s="50">
        <f>IF(AND(Option_Sys_TopUp&gt;="Y",H80&gt;=sytp,H80&lt;=(dtp+sytp-1),F80=0,H80&lt;=ppt+1),atp,0)+IFERROR(VLOOKUP(H80,Input!$B$55:$C$61,2,0),0)*(F80=0)*(Option_TopUP="Y")*(Option_Sys_TopUp="N")*B80*(pt&gt;=H80+5)</f>
        <v>0</v>
      </c>
      <c r="AK80" s="50">
        <f t="shared" si="69"/>
        <v>0</v>
      </c>
      <c r="AL80" s="50">
        <f t="shared" si="90"/>
        <v>0</v>
      </c>
      <c r="AM80" s="50">
        <f t="shared" ca="1" si="70"/>
        <v>0</v>
      </c>
      <c r="AN80" s="50">
        <f ca="1">IF(B80=0,0,AT80*(_rpm1+(1+_emr1)*VLOOKUP(E80,Tab_Mort_Charge,IF(Input!$C$12="M",2,3),0))*(0.001*0.0833)*Flag_Mort_Rider_Charge*(AT80&gt;0))</f>
        <v>0</v>
      </c>
      <c r="AO80" s="50">
        <f t="shared" ca="1" si="91"/>
        <v>0</v>
      </c>
      <c r="AP80" s="50">
        <f t="shared" ca="1" si="92"/>
        <v>0</v>
      </c>
      <c r="AQ80" s="50">
        <f t="shared" ca="1" si="71"/>
        <v>0</v>
      </c>
      <c r="AR80" s="50">
        <f t="shared" ca="1" si="72"/>
        <v>0</v>
      </c>
      <c r="AS80" s="50">
        <f t="shared" si="73"/>
        <v>0</v>
      </c>
      <c r="AT80" s="50">
        <f ca="1">(MAX((MAX(AS80,105%*SUM($AJ$7:AJ80))-AM80*Flag_UL_Type),0)*B80)</f>
        <v>0</v>
      </c>
      <c r="AU80" s="50">
        <f ca="1">(MAX(AS80,AR80,105%*SUM($AJ$7:AJ80))*B80)</f>
        <v>0</v>
      </c>
      <c r="AV80" s="125"/>
      <c r="AW80" s="13"/>
      <c r="AX80" s="13"/>
      <c r="AY80" s="13"/>
      <c r="AZ80" s="13"/>
      <c r="BA80" s="13"/>
      <c r="BG80" s="51">
        <f t="shared" si="74"/>
        <v>0</v>
      </c>
      <c r="BH80" s="51">
        <f t="shared" ca="1" si="75"/>
        <v>0</v>
      </c>
      <c r="BI80" s="51">
        <f t="shared" ca="1" si="76"/>
        <v>0</v>
      </c>
      <c r="BJ80" s="51">
        <f t="shared" ca="1" si="77"/>
        <v>0</v>
      </c>
      <c r="BK80" s="51">
        <f t="shared" si="78"/>
        <v>0</v>
      </c>
      <c r="BL80" s="51">
        <f t="shared" ca="1" si="79"/>
        <v>0</v>
      </c>
      <c r="BM80" s="51">
        <f t="shared" si="80"/>
        <v>0</v>
      </c>
      <c r="BN80" s="51">
        <f t="shared" ca="1" si="81"/>
        <v>0</v>
      </c>
      <c r="BO80" s="51">
        <f t="shared" ca="1" si="82"/>
        <v>0</v>
      </c>
      <c r="BP80" s="51">
        <f t="shared" ca="1" si="83"/>
        <v>0</v>
      </c>
      <c r="BQ80" s="120"/>
      <c r="BR80" s="32"/>
      <c r="BS80" s="126"/>
      <c r="BT80" s="16"/>
      <c r="BU80" s="58"/>
      <c r="BW80" s="51">
        <f>VLOOKUP(H80,Charges!$AT$4:$AU$33,2,FALSE)*I80</f>
        <v>0</v>
      </c>
      <c r="BX80" s="51">
        <f t="shared" si="84"/>
        <v>0</v>
      </c>
      <c r="BY80" s="51">
        <f t="shared" si="93"/>
        <v>0</v>
      </c>
      <c r="BZ80" s="151"/>
      <c r="CA80" s="151"/>
      <c r="CB80" s="32"/>
      <c r="CC80" s="16">
        <f ca="1">SUM($N$7:$N80)</f>
        <v>0</v>
      </c>
      <c r="CD80" s="16">
        <f t="shared" ca="1" si="85"/>
        <v>0</v>
      </c>
      <c r="CE80" s="16">
        <f t="shared" ca="1" si="86"/>
        <v>0</v>
      </c>
      <c r="CF80" s="7">
        <f t="shared" ca="1" si="94"/>
        <v>0</v>
      </c>
    </row>
    <row r="81" spans="1:84" s="7" customFormat="1" x14ac:dyDescent="0.2">
      <c r="A81" s="149"/>
      <c r="B81" s="14">
        <f t="shared" si="55"/>
        <v>1</v>
      </c>
      <c r="C81" s="12">
        <f t="shared" si="56"/>
        <v>1</v>
      </c>
      <c r="D81" s="17">
        <f t="shared" si="95"/>
        <v>75</v>
      </c>
      <c r="E81" s="17">
        <f t="shared" ca="1" si="57"/>
        <v>66</v>
      </c>
      <c r="F81" s="12">
        <f t="shared" si="53"/>
        <v>2</v>
      </c>
      <c r="G81" s="12">
        <f t="shared" si="96"/>
        <v>13</v>
      </c>
      <c r="H81" s="17">
        <f t="shared" si="54"/>
        <v>7</v>
      </c>
      <c r="I81" s="29">
        <f t="shared" si="58"/>
        <v>0</v>
      </c>
      <c r="J81" s="211">
        <f>IFERROR(VLOOKUP(H81,Charges!$T$6:$U$35,2,0)*C81,0)</f>
        <v>0.98</v>
      </c>
      <c r="K81" s="29">
        <f t="shared" si="59"/>
        <v>0</v>
      </c>
      <c r="L81" s="29">
        <f t="shared" si="60"/>
        <v>0</v>
      </c>
      <c r="M81" s="147">
        <f t="shared" ca="1" si="61"/>
        <v>0</v>
      </c>
      <c r="N81" s="148">
        <f ca="1">IF(AND(Option_SPW="Y",Z80&gt;=SPW_Start_Min_FV,H81&gt;=Lock_In_Period,Z80&gt;SPW_Amount_pa+IF(option="Single",1/5*pr,2*pr),H81&gt;=SPW_Start_Year,H81&lt;=SPW_Start_Year+SPW_Duration-1,F81=0,age+H81&gt;=Legal_Age),SPW_Amount_pa,0)+IFERROR(VLOOKUP(H81,Input!$B$68:$C$74,2,0),0)*(F81=0)*(Option_PW="Y")*(Option_SPW="N")*(age+H81&gt;=Legal_Age)</f>
        <v>0</v>
      </c>
      <c r="O81" s="148">
        <f t="shared" ca="1" si="87"/>
        <v>0</v>
      </c>
      <c r="P81" s="14">
        <f ca="1">(MAX(MAX(sa-CF80*Flag_UL_Type,105%*SUM($I$7:I81))-(AD80+L81-N81)*Flag_UL_Type,0)*B81)</f>
        <v>548169.45447698096</v>
      </c>
      <c r="Q81" s="213">
        <f t="shared" ca="1" si="62"/>
        <v>0</v>
      </c>
      <c r="R81" s="14">
        <f t="shared" ca="1" si="63"/>
        <v>0</v>
      </c>
      <c r="S81" s="14">
        <f t="shared" ca="1" si="64"/>
        <v>0</v>
      </c>
      <c r="T81" s="14">
        <f>IFERROR(IF(WoP_Flag="Y",IF(fq=1,VLOOKUP(ppt*fq-H81,Charges!$AN$41:$AO$59,2,FALSE),IF(fq=2,VLOOKUP(ppt*fq-G81,Charges!$AP$41:$AQ$79,2,FALSE),VLOOKUP(ppt*fq-D81,Charges!$AR$41:$AS$279,2,FALSE)))*pr/fq,0),0)</f>
        <v>0</v>
      </c>
      <c r="U81" s="14">
        <f ca="1">IFERROR(((T81*(VLOOKUP(Input!$D$18+H81-1,Tab_Mort_Charge,IF(Gender_2="M",2,3),FALSE)*(1+_emr2)+_rpm2)/IF(Model_Type="LA_PQIS",1000/0.0833,(12*1000))))*Flag_Mort_Rider_Charge*(T81&gt;0),0)</f>
        <v>0</v>
      </c>
      <c r="V81" s="34">
        <f>ROUND(MIN(IF(H81&gt;=7,Charges!$C$12*(1+Charges!$C$14)^((H81-7+1)),VLOOKUP(H81,Charges!$B$7:$C$12,2,0))*pr,Charges!$C$13)*B81,Round)</f>
        <v>500</v>
      </c>
      <c r="W81" s="14">
        <f t="shared" ca="1" si="65"/>
        <v>2451330.545523019</v>
      </c>
      <c r="X81" s="14">
        <f t="shared" ca="1" si="66"/>
        <v>2467102.4800624852</v>
      </c>
      <c r="Y81" s="213">
        <f t="shared" ca="1" si="88"/>
        <v>2777.0007400830414</v>
      </c>
      <c r="Z81" s="14">
        <f t="shared" ca="1" si="67"/>
        <v>2464325.4793224023</v>
      </c>
      <c r="AA81" s="14">
        <f>IF(AND($H81=pt,$F81=11),SUM($K$7:K81)*VLOOKUP(pt,ROC,2,FALSE),0)</f>
        <v>0</v>
      </c>
      <c r="AB81" s="14">
        <f>IF(AND($H81=pt,$F81=11),SUM($V$7:V81)*VLOOKUP(pt,ROC,2,FALSE),0)</f>
        <v>0</v>
      </c>
      <c r="AC81" s="14">
        <f>IF(AND($H81=pt,$F81=11),SUM($Q$7:Q81)*VLOOKUP(pt,ROC,2,FALSE),0)</f>
        <v>0</v>
      </c>
      <c r="AD81" s="14">
        <f t="shared" ca="1" si="89"/>
        <v>2464325.4793224023</v>
      </c>
      <c r="AE81" s="14">
        <f ca="1">(MAX(sa-CF80*Flag_UL_Type,105%*SUM($I$7:I81),Z81)+AU81)*B81</f>
        <v>3000000</v>
      </c>
      <c r="AF81" s="136"/>
      <c r="AG81" s="18">
        <v>75</v>
      </c>
      <c r="AH81" s="30">
        <f t="shared" ca="1" si="68"/>
        <v>0</v>
      </c>
      <c r="AI81" s="138"/>
      <c r="AJ81" s="50">
        <f>IF(AND(Option_Sys_TopUp&gt;="Y",H81&gt;=sytp,H81&lt;=(dtp+sytp-1),F81=0,H81&lt;=ppt+1),atp,0)+IFERROR(VLOOKUP(H81,Input!$B$55:$C$61,2,0),0)*(F81=0)*(Option_TopUP="Y")*(Option_Sys_TopUp="N")*B81*(pt&gt;=H81+5)</f>
        <v>0</v>
      </c>
      <c r="AK81" s="50">
        <f t="shared" si="69"/>
        <v>0</v>
      </c>
      <c r="AL81" s="50">
        <f t="shared" si="90"/>
        <v>0</v>
      </c>
      <c r="AM81" s="50">
        <f t="shared" ca="1" si="70"/>
        <v>0</v>
      </c>
      <c r="AN81" s="50">
        <f ca="1">IF(B81=0,0,AT81*(_rpm1+(1+_emr1)*VLOOKUP(E81,Tab_Mort_Charge,IF(Input!$C$12="M",2,3),0))*(0.001*0.0833)*Flag_Mort_Rider_Charge*(AT81&gt;0))</f>
        <v>0</v>
      </c>
      <c r="AO81" s="50">
        <f t="shared" ca="1" si="91"/>
        <v>0</v>
      </c>
      <c r="AP81" s="50">
        <f t="shared" ca="1" si="92"/>
        <v>0</v>
      </c>
      <c r="AQ81" s="50">
        <f t="shared" ca="1" si="71"/>
        <v>0</v>
      </c>
      <c r="AR81" s="50">
        <f t="shared" ca="1" si="72"/>
        <v>0</v>
      </c>
      <c r="AS81" s="50">
        <f t="shared" si="73"/>
        <v>0</v>
      </c>
      <c r="AT81" s="50">
        <f ca="1">(MAX((MAX(AS81,105%*SUM($AJ$7:AJ81))-AM81*Flag_UL_Type),0)*B81)</f>
        <v>0</v>
      </c>
      <c r="AU81" s="50">
        <f ca="1">(MAX(AS81,AR81,105%*SUM($AJ$7:AJ81))*B81)</f>
        <v>0</v>
      </c>
      <c r="AV81" s="125"/>
      <c r="AW81" s="13"/>
      <c r="AX81" s="13"/>
      <c r="AY81" s="13"/>
      <c r="AZ81" s="13"/>
      <c r="BA81" s="13"/>
      <c r="BG81" s="51">
        <f t="shared" si="74"/>
        <v>0</v>
      </c>
      <c r="BH81" s="51">
        <f t="shared" ca="1" si="75"/>
        <v>0</v>
      </c>
      <c r="BI81" s="51">
        <f t="shared" ca="1" si="76"/>
        <v>0</v>
      </c>
      <c r="BJ81" s="51">
        <f t="shared" ca="1" si="77"/>
        <v>0</v>
      </c>
      <c r="BK81" s="51">
        <f t="shared" si="78"/>
        <v>0</v>
      </c>
      <c r="BL81" s="51">
        <f t="shared" ca="1" si="79"/>
        <v>0</v>
      </c>
      <c r="BM81" s="51">
        <f t="shared" si="80"/>
        <v>0</v>
      </c>
      <c r="BN81" s="51">
        <f t="shared" ca="1" si="81"/>
        <v>0</v>
      </c>
      <c r="BO81" s="51">
        <f t="shared" ca="1" si="82"/>
        <v>0</v>
      </c>
      <c r="BP81" s="51">
        <f t="shared" ca="1" si="83"/>
        <v>0</v>
      </c>
      <c r="BQ81" s="120"/>
      <c r="BR81" s="32"/>
      <c r="BS81" s="126"/>
      <c r="BT81" s="16"/>
      <c r="BU81" s="58"/>
      <c r="BW81" s="51">
        <f>VLOOKUP(H81,Charges!$AT$4:$AU$33,2,FALSE)*I81</f>
        <v>0</v>
      </c>
      <c r="BX81" s="51">
        <f t="shared" si="84"/>
        <v>0</v>
      </c>
      <c r="BY81" s="51">
        <f t="shared" si="93"/>
        <v>0</v>
      </c>
      <c r="BZ81" s="151"/>
      <c r="CA81" s="151"/>
      <c r="CB81" s="32"/>
      <c r="CC81" s="16">
        <f ca="1">SUM($N$7:$N81)</f>
        <v>0</v>
      </c>
      <c r="CD81" s="16">
        <f t="shared" ca="1" si="85"/>
        <v>0</v>
      </c>
      <c r="CE81" s="16">
        <f t="shared" ca="1" si="86"/>
        <v>0</v>
      </c>
      <c r="CF81" s="7">
        <f t="shared" ca="1" si="94"/>
        <v>0</v>
      </c>
    </row>
    <row r="82" spans="1:84" s="7" customFormat="1" x14ac:dyDescent="0.2">
      <c r="A82" s="149"/>
      <c r="B82" s="14">
        <f t="shared" si="55"/>
        <v>1</v>
      </c>
      <c r="C82" s="12">
        <f t="shared" si="56"/>
        <v>1</v>
      </c>
      <c r="D82" s="17">
        <f t="shared" si="95"/>
        <v>76</v>
      </c>
      <c r="E82" s="17">
        <f t="shared" ca="1" si="57"/>
        <v>66</v>
      </c>
      <c r="F82" s="12">
        <f t="shared" si="53"/>
        <v>3</v>
      </c>
      <c r="G82" s="12">
        <f t="shared" si="96"/>
        <v>13</v>
      </c>
      <c r="H82" s="17">
        <f t="shared" si="54"/>
        <v>7</v>
      </c>
      <c r="I82" s="29">
        <f t="shared" si="58"/>
        <v>0</v>
      </c>
      <c r="J82" s="211">
        <f>IFERROR(VLOOKUP(H82,Charges!$T$6:$U$35,2,0)*C82,0)</f>
        <v>0.98</v>
      </c>
      <c r="K82" s="29">
        <f t="shared" si="59"/>
        <v>0</v>
      </c>
      <c r="L82" s="29">
        <f t="shared" si="60"/>
        <v>0</v>
      </c>
      <c r="M82" s="147">
        <f t="shared" ca="1" si="61"/>
        <v>0</v>
      </c>
      <c r="N82" s="148">
        <f ca="1">IF(AND(Option_SPW="Y",Z81&gt;=SPW_Start_Min_FV,H82&gt;=Lock_In_Period,Z81&gt;SPW_Amount_pa+IF(option="Single",1/5*pr,2*pr),H82&gt;=SPW_Start_Year,H82&lt;=SPW_Start_Year+SPW_Duration-1,F82=0,age+H82&gt;=Legal_Age),SPW_Amount_pa,0)+IFERROR(VLOOKUP(H82,Input!$B$68:$C$74,2,0),0)*(F82=0)*(Option_PW="Y")*(Option_SPW="N")*(age+H82&gt;=Legal_Age)</f>
        <v>0</v>
      </c>
      <c r="O82" s="148">
        <f t="shared" ca="1" si="87"/>
        <v>0</v>
      </c>
      <c r="P82" s="14">
        <f ca="1">(MAX(MAX(sa-CF81*Flag_UL_Type,105%*SUM($I$7:I82))-(AD81+L82-N82)*Flag_UL_Type,0)*B82)</f>
        <v>535674.52067759773</v>
      </c>
      <c r="Q82" s="213">
        <f t="shared" ca="1" si="62"/>
        <v>0</v>
      </c>
      <c r="R82" s="14">
        <f t="shared" ca="1" si="63"/>
        <v>0</v>
      </c>
      <c r="S82" s="14">
        <f t="shared" ca="1" si="64"/>
        <v>0</v>
      </c>
      <c r="T82" s="14">
        <f>IFERROR(IF(WoP_Flag="Y",IF(fq=1,VLOOKUP(ppt*fq-H82,Charges!$AN$41:$AO$59,2,FALSE),IF(fq=2,VLOOKUP(ppt*fq-G82,Charges!$AP$41:$AQ$79,2,FALSE),VLOOKUP(ppt*fq-D82,Charges!$AR$41:$AS$279,2,FALSE)))*pr/fq,0),0)</f>
        <v>0</v>
      </c>
      <c r="U82" s="14">
        <f ca="1">IFERROR(((T82*(VLOOKUP(Input!$D$18+H82-1,Tab_Mort_Charge,IF(Gender_2="M",2,3),FALSE)*(1+_emr2)+_rpm2)/IF(Model_Type="LA_PQIS",1000/0.0833,(12*1000))))*Flag_Mort_Rider_Charge*(T82&gt;0),0)</f>
        <v>0</v>
      </c>
      <c r="V82" s="34">
        <f>ROUND(MIN(IF(H82&gt;=7,Charges!$C$12*(1+Charges!$C$14)^((H82-7+1)),VLOOKUP(H82,Charges!$B$7:$C$12,2,0))*pr,Charges!$C$13)*B82,Round)</f>
        <v>500</v>
      </c>
      <c r="W82" s="14">
        <f t="shared" ca="1" si="65"/>
        <v>2463825.4793224023</v>
      </c>
      <c r="X82" s="14">
        <f t="shared" ca="1" si="66"/>
        <v>2479677.8066421561</v>
      </c>
      <c r="Y82" s="213">
        <f t="shared" ca="1" si="88"/>
        <v>2791.1556815582121</v>
      </c>
      <c r="Z82" s="14">
        <f t="shared" ca="1" si="67"/>
        <v>2476886.6509605977</v>
      </c>
      <c r="AA82" s="14">
        <f>IF(AND($H82=pt,$F82=11),SUM($K$7:K82)*VLOOKUP(pt,ROC,2,FALSE),0)</f>
        <v>0</v>
      </c>
      <c r="AB82" s="14">
        <f>IF(AND($H82=pt,$F82=11),SUM($V$7:V82)*VLOOKUP(pt,ROC,2,FALSE),0)</f>
        <v>0</v>
      </c>
      <c r="AC82" s="14">
        <f>IF(AND($H82=pt,$F82=11),SUM($Q$7:Q82)*VLOOKUP(pt,ROC,2,FALSE),0)</f>
        <v>0</v>
      </c>
      <c r="AD82" s="14">
        <f t="shared" ca="1" si="89"/>
        <v>2476886.6509605977</v>
      </c>
      <c r="AE82" s="14">
        <f ca="1">(MAX(sa-CF81*Flag_UL_Type,105%*SUM($I$7:I82),Z82)+AU82)*B82</f>
        <v>3000000</v>
      </c>
      <c r="AF82" s="136"/>
      <c r="AG82" s="18">
        <v>76</v>
      </c>
      <c r="AH82" s="30">
        <f t="shared" ca="1" si="68"/>
        <v>0</v>
      </c>
      <c r="AI82" s="138"/>
      <c r="AJ82" s="50">
        <f>IF(AND(Option_Sys_TopUp&gt;="Y",H82&gt;=sytp,H82&lt;=(dtp+sytp-1),F82=0,H82&lt;=ppt+1),atp,0)+IFERROR(VLOOKUP(H82,Input!$B$55:$C$61,2,0),0)*(F82=0)*(Option_TopUP="Y")*(Option_Sys_TopUp="N")*B82*(pt&gt;=H82+5)</f>
        <v>0</v>
      </c>
      <c r="AK82" s="50">
        <f t="shared" si="69"/>
        <v>0</v>
      </c>
      <c r="AL82" s="50">
        <f t="shared" si="90"/>
        <v>0</v>
      </c>
      <c r="AM82" s="50">
        <f t="shared" ca="1" si="70"/>
        <v>0</v>
      </c>
      <c r="AN82" s="50">
        <f ca="1">IF(B82=0,0,AT82*(_rpm1+(1+_emr1)*VLOOKUP(E82,Tab_Mort_Charge,IF(Input!$C$12="M",2,3),0))*(0.001*0.0833)*Flag_Mort_Rider_Charge*(AT82&gt;0))</f>
        <v>0</v>
      </c>
      <c r="AO82" s="50">
        <f t="shared" ca="1" si="91"/>
        <v>0</v>
      </c>
      <c r="AP82" s="50">
        <f t="shared" ca="1" si="92"/>
        <v>0</v>
      </c>
      <c r="AQ82" s="50">
        <f t="shared" ca="1" si="71"/>
        <v>0</v>
      </c>
      <c r="AR82" s="50">
        <f t="shared" ca="1" si="72"/>
        <v>0</v>
      </c>
      <c r="AS82" s="50">
        <f t="shared" si="73"/>
        <v>0</v>
      </c>
      <c r="AT82" s="50">
        <f ca="1">(MAX((MAX(AS82,105%*SUM($AJ$7:AJ82))-AM82*Flag_UL_Type),0)*B82)</f>
        <v>0</v>
      </c>
      <c r="AU82" s="50">
        <f ca="1">(MAX(AS82,AR82,105%*SUM($AJ$7:AJ82))*B82)</f>
        <v>0</v>
      </c>
      <c r="AV82" s="125"/>
      <c r="AW82" s="13"/>
      <c r="AX82" s="13"/>
      <c r="AY82" s="13"/>
      <c r="AZ82" s="13"/>
      <c r="BA82" s="13"/>
      <c r="BG82" s="51">
        <f t="shared" si="74"/>
        <v>0</v>
      </c>
      <c r="BH82" s="51">
        <f t="shared" ca="1" si="75"/>
        <v>0</v>
      </c>
      <c r="BI82" s="51">
        <f t="shared" ca="1" si="76"/>
        <v>0</v>
      </c>
      <c r="BJ82" s="51">
        <f t="shared" ca="1" si="77"/>
        <v>0</v>
      </c>
      <c r="BK82" s="51">
        <f t="shared" si="78"/>
        <v>0</v>
      </c>
      <c r="BL82" s="51">
        <f t="shared" ca="1" si="79"/>
        <v>0</v>
      </c>
      <c r="BM82" s="51">
        <f t="shared" si="80"/>
        <v>0</v>
      </c>
      <c r="BN82" s="51">
        <f t="shared" ca="1" si="81"/>
        <v>0</v>
      </c>
      <c r="BO82" s="51">
        <f t="shared" ca="1" si="82"/>
        <v>0</v>
      </c>
      <c r="BP82" s="51">
        <f t="shared" ca="1" si="83"/>
        <v>0</v>
      </c>
      <c r="BQ82" s="120"/>
      <c r="BR82" s="32"/>
      <c r="BS82" s="126"/>
      <c r="BT82" s="16"/>
      <c r="BU82" s="58"/>
      <c r="BW82" s="51">
        <f>VLOOKUP(H82,Charges!$AT$4:$AU$33,2,FALSE)*I82</f>
        <v>0</v>
      </c>
      <c r="BX82" s="51">
        <f t="shared" si="84"/>
        <v>0</v>
      </c>
      <c r="BY82" s="51">
        <f t="shared" si="93"/>
        <v>0</v>
      </c>
      <c r="BZ82" s="151"/>
      <c r="CA82" s="151"/>
      <c r="CB82" s="32"/>
      <c r="CC82" s="16">
        <f ca="1">SUM($N$7:$N82)</f>
        <v>0</v>
      </c>
      <c r="CD82" s="16">
        <f t="shared" ca="1" si="85"/>
        <v>0</v>
      </c>
      <c r="CE82" s="16">
        <f t="shared" ca="1" si="86"/>
        <v>0</v>
      </c>
      <c r="CF82" s="7">
        <f t="shared" ca="1" si="94"/>
        <v>0</v>
      </c>
    </row>
    <row r="83" spans="1:84" s="7" customFormat="1" x14ac:dyDescent="0.2">
      <c r="A83" s="149"/>
      <c r="B83" s="14">
        <f t="shared" si="55"/>
        <v>1</v>
      </c>
      <c r="C83" s="12">
        <f t="shared" si="56"/>
        <v>1</v>
      </c>
      <c r="D83" s="17">
        <f t="shared" si="95"/>
        <v>77</v>
      </c>
      <c r="E83" s="17">
        <f t="shared" ca="1" si="57"/>
        <v>66</v>
      </c>
      <c r="F83" s="12">
        <f t="shared" si="53"/>
        <v>4</v>
      </c>
      <c r="G83" s="12">
        <f t="shared" si="96"/>
        <v>13</v>
      </c>
      <c r="H83" s="17">
        <f t="shared" si="54"/>
        <v>7</v>
      </c>
      <c r="I83" s="29">
        <f t="shared" si="58"/>
        <v>0</v>
      </c>
      <c r="J83" s="211">
        <f>IFERROR(VLOOKUP(H83,Charges!$T$6:$U$35,2,0)*C83,0)</f>
        <v>0.98</v>
      </c>
      <c r="K83" s="29">
        <f t="shared" si="59"/>
        <v>0</v>
      </c>
      <c r="L83" s="29">
        <f t="shared" si="60"/>
        <v>0</v>
      </c>
      <c r="M83" s="147">
        <f t="shared" ca="1" si="61"/>
        <v>0</v>
      </c>
      <c r="N83" s="148">
        <f ca="1">IF(AND(Option_SPW="Y",Z82&gt;=SPW_Start_Min_FV,H83&gt;=Lock_In_Period,Z82&gt;SPW_Amount_pa+IF(option="Single",1/5*pr,2*pr),H83&gt;=SPW_Start_Year,H83&lt;=SPW_Start_Year+SPW_Duration-1,F83=0,age+H83&gt;=Legal_Age),SPW_Amount_pa,0)+IFERROR(VLOOKUP(H83,Input!$B$68:$C$74,2,0),0)*(F83=0)*(Option_PW="Y")*(Option_SPW="N")*(age+H83&gt;=Legal_Age)</f>
        <v>0</v>
      </c>
      <c r="O83" s="148">
        <f t="shared" ca="1" si="87"/>
        <v>0</v>
      </c>
      <c r="P83" s="14">
        <f ca="1">(MAX(MAX(sa-CF82*Flag_UL_Type,105%*SUM($I$7:I83))-(AD82+L83-N83)*Flag_UL_Type,0)*B83)</f>
        <v>523113.34903940232</v>
      </c>
      <c r="Q83" s="213">
        <f t="shared" ca="1" si="62"/>
        <v>0</v>
      </c>
      <c r="R83" s="14">
        <f t="shared" ca="1" si="63"/>
        <v>0</v>
      </c>
      <c r="S83" s="14">
        <f t="shared" ca="1" si="64"/>
        <v>0</v>
      </c>
      <c r="T83" s="14">
        <f>IFERROR(IF(WoP_Flag="Y",IF(fq=1,VLOOKUP(ppt*fq-H83,Charges!$AN$41:$AO$59,2,FALSE),IF(fq=2,VLOOKUP(ppt*fq-G83,Charges!$AP$41:$AQ$79,2,FALSE),VLOOKUP(ppt*fq-D83,Charges!$AR$41:$AS$279,2,FALSE)))*pr/fq,0),0)</f>
        <v>0</v>
      </c>
      <c r="U83" s="14">
        <f ca="1">IFERROR(((T83*(VLOOKUP(Input!$D$18+H83-1,Tab_Mort_Charge,IF(Gender_2="M",2,3),FALSE)*(1+_emr2)+_rpm2)/IF(Model_Type="LA_PQIS",1000/0.0833,(12*1000))))*Flag_Mort_Rider_Charge*(T83&gt;0),0)</f>
        <v>0</v>
      </c>
      <c r="V83" s="34">
        <f>ROUND(MIN(IF(H83&gt;=7,Charges!$C$12*(1+Charges!$C$14)^((H83-7+1)),VLOOKUP(H83,Charges!$B$7:$C$12,2,0))*pr,Charges!$C$13)*B83,Round)</f>
        <v>500</v>
      </c>
      <c r="W83" s="14">
        <f t="shared" ca="1" si="65"/>
        <v>2476386.6509605977</v>
      </c>
      <c r="X83" s="14">
        <f t="shared" ca="1" si="66"/>
        <v>2492319.7972368887</v>
      </c>
      <c r="Y83" s="213">
        <f t="shared" ca="1" si="88"/>
        <v>2805.3856608644651</v>
      </c>
      <c r="Z83" s="14">
        <f t="shared" ca="1" si="67"/>
        <v>2489514.4115760243</v>
      </c>
      <c r="AA83" s="14">
        <f>IF(AND($H83=pt,$F83=11),SUM($K$7:K83)*VLOOKUP(pt,ROC,2,FALSE),0)</f>
        <v>0</v>
      </c>
      <c r="AB83" s="14">
        <f>IF(AND($H83=pt,$F83=11),SUM($V$7:V83)*VLOOKUP(pt,ROC,2,FALSE),0)</f>
        <v>0</v>
      </c>
      <c r="AC83" s="14">
        <f>IF(AND($H83=pt,$F83=11),SUM($Q$7:Q83)*VLOOKUP(pt,ROC,2,FALSE),0)</f>
        <v>0</v>
      </c>
      <c r="AD83" s="14">
        <f t="shared" ca="1" si="89"/>
        <v>2489514.4115760243</v>
      </c>
      <c r="AE83" s="14">
        <f ca="1">(MAX(sa-CF82*Flag_UL_Type,105%*SUM($I$7:I83),Z83)+AU83)*B83</f>
        <v>3000000</v>
      </c>
      <c r="AF83" s="136"/>
      <c r="AG83" s="18">
        <v>77</v>
      </c>
      <c r="AH83" s="30">
        <f t="shared" ca="1" si="68"/>
        <v>0</v>
      </c>
      <c r="AI83" s="138"/>
      <c r="AJ83" s="50">
        <f>IF(AND(Option_Sys_TopUp&gt;="Y",H83&gt;=sytp,H83&lt;=(dtp+sytp-1),F83=0,H83&lt;=ppt+1),atp,0)+IFERROR(VLOOKUP(H83,Input!$B$55:$C$61,2,0),0)*(F83=0)*(Option_TopUP="Y")*(Option_Sys_TopUp="N")*B83*(pt&gt;=H83+5)</f>
        <v>0</v>
      </c>
      <c r="AK83" s="50">
        <f t="shared" si="69"/>
        <v>0</v>
      </c>
      <c r="AL83" s="50">
        <f t="shared" si="90"/>
        <v>0</v>
      </c>
      <c r="AM83" s="50">
        <f t="shared" ca="1" si="70"/>
        <v>0</v>
      </c>
      <c r="AN83" s="50">
        <f ca="1">IF(B83=0,0,AT83*(_rpm1+(1+_emr1)*VLOOKUP(E83,Tab_Mort_Charge,IF(Input!$C$12="M",2,3),0))*(0.001*0.0833)*Flag_Mort_Rider_Charge*(AT83&gt;0))</f>
        <v>0</v>
      </c>
      <c r="AO83" s="50">
        <f t="shared" ca="1" si="91"/>
        <v>0</v>
      </c>
      <c r="AP83" s="50">
        <f t="shared" ca="1" si="92"/>
        <v>0</v>
      </c>
      <c r="AQ83" s="50">
        <f t="shared" ca="1" si="71"/>
        <v>0</v>
      </c>
      <c r="AR83" s="50">
        <f t="shared" ca="1" si="72"/>
        <v>0</v>
      </c>
      <c r="AS83" s="50">
        <f t="shared" si="73"/>
        <v>0</v>
      </c>
      <c r="AT83" s="50">
        <f ca="1">(MAX((MAX(AS83,105%*SUM($AJ$7:AJ83))-AM83*Flag_UL_Type),0)*B83)</f>
        <v>0</v>
      </c>
      <c r="AU83" s="50">
        <f ca="1">(MAX(AS83,AR83,105%*SUM($AJ$7:AJ83))*B83)</f>
        <v>0</v>
      </c>
      <c r="AV83" s="125"/>
      <c r="AW83" s="13"/>
      <c r="AX83" s="13"/>
      <c r="AY83" s="13"/>
      <c r="AZ83" s="13"/>
      <c r="BA83" s="13"/>
      <c r="BG83" s="51">
        <f t="shared" si="74"/>
        <v>0</v>
      </c>
      <c r="BH83" s="51">
        <f t="shared" ca="1" si="75"/>
        <v>0</v>
      </c>
      <c r="BI83" s="51">
        <f t="shared" ca="1" si="76"/>
        <v>0</v>
      </c>
      <c r="BJ83" s="51">
        <f t="shared" ca="1" si="77"/>
        <v>0</v>
      </c>
      <c r="BK83" s="51">
        <f t="shared" si="78"/>
        <v>0</v>
      </c>
      <c r="BL83" s="51">
        <f t="shared" ca="1" si="79"/>
        <v>0</v>
      </c>
      <c r="BM83" s="51">
        <f t="shared" si="80"/>
        <v>0</v>
      </c>
      <c r="BN83" s="51">
        <f t="shared" ca="1" si="81"/>
        <v>0</v>
      </c>
      <c r="BO83" s="51">
        <f t="shared" ca="1" si="82"/>
        <v>0</v>
      </c>
      <c r="BP83" s="51">
        <f t="shared" ca="1" si="83"/>
        <v>0</v>
      </c>
      <c r="BQ83" s="120"/>
      <c r="BR83" s="32"/>
      <c r="BS83" s="126"/>
      <c r="BT83" s="16"/>
      <c r="BU83" s="58"/>
      <c r="BW83" s="51">
        <f>VLOOKUP(H83,Charges!$AT$4:$AU$33,2,FALSE)*I83</f>
        <v>0</v>
      </c>
      <c r="BX83" s="51">
        <f t="shared" si="84"/>
        <v>0</v>
      </c>
      <c r="BY83" s="51">
        <f t="shared" si="93"/>
        <v>0</v>
      </c>
      <c r="BZ83" s="151"/>
      <c r="CA83" s="151"/>
      <c r="CB83" s="32"/>
      <c r="CC83" s="16">
        <f ca="1">SUM($N$7:$N83)</f>
        <v>0</v>
      </c>
      <c r="CD83" s="16">
        <f t="shared" ca="1" si="85"/>
        <v>0</v>
      </c>
      <c r="CE83" s="16">
        <f t="shared" ca="1" si="86"/>
        <v>0</v>
      </c>
      <c r="CF83" s="7">
        <f t="shared" ca="1" si="94"/>
        <v>0</v>
      </c>
    </row>
    <row r="84" spans="1:84" s="7" customFormat="1" x14ac:dyDescent="0.2">
      <c r="A84" s="149"/>
      <c r="B84" s="14">
        <f t="shared" si="55"/>
        <v>1</v>
      </c>
      <c r="C84" s="12">
        <f t="shared" si="56"/>
        <v>1</v>
      </c>
      <c r="D84" s="17">
        <f t="shared" si="95"/>
        <v>78</v>
      </c>
      <c r="E84" s="17">
        <f t="shared" ca="1" si="57"/>
        <v>66</v>
      </c>
      <c r="F84" s="12">
        <f t="shared" ref="F84:F147" si="97">F72</f>
        <v>5</v>
      </c>
      <c r="G84" s="12">
        <f t="shared" si="96"/>
        <v>13</v>
      </c>
      <c r="H84" s="17">
        <f t="shared" ref="H84:H147" si="98">+H72+1</f>
        <v>7</v>
      </c>
      <c r="I84" s="29">
        <f t="shared" si="58"/>
        <v>0</v>
      </c>
      <c r="J84" s="211">
        <f>IFERROR(VLOOKUP(H84,Charges!$T$6:$U$35,2,0)*C84,0)</f>
        <v>0.98</v>
      </c>
      <c r="K84" s="29">
        <f t="shared" si="59"/>
        <v>0</v>
      </c>
      <c r="L84" s="29">
        <f t="shared" si="60"/>
        <v>0</v>
      </c>
      <c r="M84" s="147">
        <f t="shared" ca="1" si="61"/>
        <v>0</v>
      </c>
      <c r="N84" s="148">
        <f ca="1">IF(AND(Option_SPW="Y",Z83&gt;=SPW_Start_Min_FV,H84&gt;=Lock_In_Period,Z83&gt;SPW_Amount_pa+IF(option="Single",1/5*pr,2*pr),H84&gt;=SPW_Start_Year,H84&lt;=SPW_Start_Year+SPW_Duration-1,F84=0,age+H84&gt;=Legal_Age),SPW_Amount_pa,0)+IFERROR(VLOOKUP(H84,Input!$B$68:$C$74,2,0),0)*(F84=0)*(Option_PW="Y")*(Option_SPW="N")*(age+H84&gt;=Legal_Age)</f>
        <v>0</v>
      </c>
      <c r="O84" s="148">
        <f t="shared" ca="1" si="87"/>
        <v>0</v>
      </c>
      <c r="P84" s="14">
        <f ca="1">(MAX(MAX(sa-CF83*Flag_UL_Type,105%*SUM($I$7:I84))-(AD83+L84-N84)*Flag_UL_Type,0)*B84)</f>
        <v>510485.58842397574</v>
      </c>
      <c r="Q84" s="213">
        <f t="shared" ca="1" si="62"/>
        <v>0</v>
      </c>
      <c r="R84" s="14">
        <f t="shared" ca="1" si="63"/>
        <v>0</v>
      </c>
      <c r="S84" s="14">
        <f t="shared" ca="1" si="64"/>
        <v>0</v>
      </c>
      <c r="T84" s="14">
        <f>IFERROR(IF(WoP_Flag="Y",IF(fq=1,VLOOKUP(ppt*fq-H84,Charges!$AN$41:$AO$59,2,FALSE),IF(fq=2,VLOOKUP(ppt*fq-G84,Charges!$AP$41:$AQ$79,2,FALSE),VLOOKUP(ppt*fq-D84,Charges!$AR$41:$AS$279,2,FALSE)))*pr/fq,0),0)</f>
        <v>0</v>
      </c>
      <c r="U84" s="14">
        <f ca="1">IFERROR(((T84*(VLOOKUP(Input!$D$18+H84-1,Tab_Mort_Charge,IF(Gender_2="M",2,3),FALSE)*(1+_emr2)+_rpm2)/IF(Model_Type="LA_PQIS",1000/0.0833,(12*1000))))*Flag_Mort_Rider_Charge*(T84&gt;0),0)</f>
        <v>0</v>
      </c>
      <c r="V84" s="34">
        <f>ROUND(MIN(IF(H84&gt;=7,Charges!$C$12*(1+Charges!$C$14)^((H84-7+1)),VLOOKUP(H84,Charges!$B$7:$C$12,2,0))*pr,Charges!$C$13)*B84,Round)</f>
        <v>500</v>
      </c>
      <c r="W84" s="14">
        <f t="shared" ca="1" si="65"/>
        <v>2489014.4115760243</v>
      </c>
      <c r="X84" s="14">
        <f t="shared" ca="1" si="66"/>
        <v>2505028.8052443368</v>
      </c>
      <c r="Y84" s="213">
        <f t="shared" ca="1" si="88"/>
        <v>2819.6910757905248</v>
      </c>
      <c r="Z84" s="14">
        <f t="shared" ca="1" si="67"/>
        <v>2502209.1141685462</v>
      </c>
      <c r="AA84" s="14">
        <f>IF(AND($H84=pt,$F84=11),SUM($K$7:K84)*VLOOKUP(pt,ROC,2,FALSE),0)</f>
        <v>0</v>
      </c>
      <c r="AB84" s="14">
        <f>IF(AND($H84=pt,$F84=11),SUM($V$7:V84)*VLOOKUP(pt,ROC,2,FALSE),0)</f>
        <v>0</v>
      </c>
      <c r="AC84" s="14">
        <f>IF(AND($H84=pt,$F84=11),SUM($Q$7:Q84)*VLOOKUP(pt,ROC,2,FALSE),0)</f>
        <v>0</v>
      </c>
      <c r="AD84" s="14">
        <f t="shared" ca="1" si="89"/>
        <v>2502209.1141685462</v>
      </c>
      <c r="AE84" s="14">
        <f ca="1">(MAX(sa-CF83*Flag_UL_Type,105%*SUM($I$7:I84),Z84)+AU84)*B84</f>
        <v>3000000</v>
      </c>
      <c r="AF84" s="136"/>
      <c r="AG84" s="18">
        <v>78</v>
      </c>
      <c r="AH84" s="30">
        <f t="shared" ca="1" si="68"/>
        <v>0</v>
      </c>
      <c r="AI84" s="138"/>
      <c r="AJ84" s="50">
        <f>IF(AND(Option_Sys_TopUp&gt;="Y",H84&gt;=sytp,H84&lt;=(dtp+sytp-1),F84=0,H84&lt;=ppt+1),atp,0)+IFERROR(VLOOKUP(H84,Input!$B$55:$C$61,2,0),0)*(F84=0)*(Option_TopUP="Y")*(Option_Sys_TopUp="N")*B84*(pt&gt;=H84+5)</f>
        <v>0</v>
      </c>
      <c r="AK84" s="50">
        <f t="shared" si="69"/>
        <v>0</v>
      </c>
      <c r="AL84" s="50">
        <f t="shared" si="90"/>
        <v>0</v>
      </c>
      <c r="AM84" s="50">
        <f t="shared" ca="1" si="70"/>
        <v>0</v>
      </c>
      <c r="AN84" s="50">
        <f ca="1">IF(B84=0,0,AT84*(_rpm1+(1+_emr1)*VLOOKUP(E84,Tab_Mort_Charge,IF(Input!$C$12="M",2,3),0))*(0.001*0.0833)*Flag_Mort_Rider_Charge*(AT84&gt;0))</f>
        <v>0</v>
      </c>
      <c r="AO84" s="50">
        <f t="shared" ca="1" si="91"/>
        <v>0</v>
      </c>
      <c r="AP84" s="50">
        <f t="shared" ca="1" si="92"/>
        <v>0</v>
      </c>
      <c r="AQ84" s="50">
        <f t="shared" ca="1" si="71"/>
        <v>0</v>
      </c>
      <c r="AR84" s="50">
        <f t="shared" ca="1" si="72"/>
        <v>0</v>
      </c>
      <c r="AS84" s="50">
        <f t="shared" si="73"/>
        <v>0</v>
      </c>
      <c r="AT84" s="50">
        <f ca="1">(MAX((MAX(AS84,105%*SUM($AJ$7:AJ84))-AM84*Flag_UL_Type),0)*B84)</f>
        <v>0</v>
      </c>
      <c r="AU84" s="50">
        <f ca="1">(MAX(AS84,AR84,105%*SUM($AJ$7:AJ84))*B84)</f>
        <v>0</v>
      </c>
      <c r="AV84" s="125"/>
      <c r="AW84" s="13"/>
      <c r="AX84" s="13"/>
      <c r="AY84" s="13"/>
      <c r="AZ84" s="13"/>
      <c r="BA84" s="13"/>
      <c r="BG84" s="51">
        <f t="shared" si="74"/>
        <v>0</v>
      </c>
      <c r="BH84" s="51">
        <f t="shared" ca="1" si="75"/>
        <v>0</v>
      </c>
      <c r="BI84" s="51">
        <f t="shared" ca="1" si="76"/>
        <v>0</v>
      </c>
      <c r="BJ84" s="51">
        <f t="shared" ca="1" si="77"/>
        <v>0</v>
      </c>
      <c r="BK84" s="51">
        <f t="shared" si="78"/>
        <v>0</v>
      </c>
      <c r="BL84" s="51">
        <f t="shared" ca="1" si="79"/>
        <v>0</v>
      </c>
      <c r="BM84" s="51">
        <f t="shared" si="80"/>
        <v>0</v>
      </c>
      <c r="BN84" s="51">
        <f t="shared" ca="1" si="81"/>
        <v>0</v>
      </c>
      <c r="BO84" s="51">
        <f t="shared" ca="1" si="82"/>
        <v>0</v>
      </c>
      <c r="BP84" s="51">
        <f t="shared" ca="1" si="83"/>
        <v>0</v>
      </c>
      <c r="BQ84" s="120"/>
      <c r="BR84" s="32"/>
      <c r="BS84" s="126"/>
      <c r="BT84" s="16"/>
      <c r="BU84" s="58"/>
      <c r="BW84" s="51">
        <f>VLOOKUP(H84,Charges!$AT$4:$AU$33,2,FALSE)*I84</f>
        <v>0</v>
      </c>
      <c r="BX84" s="51">
        <f t="shared" si="84"/>
        <v>0</v>
      </c>
      <c r="BY84" s="51">
        <f t="shared" si="93"/>
        <v>0</v>
      </c>
      <c r="BZ84" s="151"/>
      <c r="CA84" s="151"/>
      <c r="CB84" s="32"/>
      <c r="CC84" s="16">
        <f ca="1">SUM($N$7:$N84)</f>
        <v>0</v>
      </c>
      <c r="CD84" s="16">
        <f t="shared" ca="1" si="85"/>
        <v>0</v>
      </c>
      <c r="CE84" s="16">
        <f t="shared" ca="1" si="86"/>
        <v>0</v>
      </c>
      <c r="CF84" s="7">
        <f t="shared" ca="1" si="94"/>
        <v>0</v>
      </c>
    </row>
    <row r="85" spans="1:84" s="7" customFormat="1" x14ac:dyDescent="0.2">
      <c r="A85" s="149"/>
      <c r="B85" s="14">
        <f t="shared" si="55"/>
        <v>1</v>
      </c>
      <c r="C85" s="12">
        <f t="shared" si="56"/>
        <v>1</v>
      </c>
      <c r="D85" s="17">
        <f t="shared" si="95"/>
        <v>79</v>
      </c>
      <c r="E85" s="17">
        <f t="shared" ca="1" si="57"/>
        <v>66</v>
      </c>
      <c r="F85" s="12">
        <f t="shared" si="97"/>
        <v>6</v>
      </c>
      <c r="G85" s="12">
        <f t="shared" si="96"/>
        <v>14</v>
      </c>
      <c r="H85" s="17">
        <f t="shared" si="98"/>
        <v>7</v>
      </c>
      <c r="I85" s="29">
        <f t="shared" si="58"/>
        <v>0</v>
      </c>
      <c r="J85" s="211">
        <f>IFERROR(VLOOKUP(H85,Charges!$T$6:$U$35,2,0)*C85,0)</f>
        <v>0.98</v>
      </c>
      <c r="K85" s="29">
        <f t="shared" si="59"/>
        <v>0</v>
      </c>
      <c r="L85" s="29">
        <f t="shared" si="60"/>
        <v>0</v>
      </c>
      <c r="M85" s="147">
        <f t="shared" ca="1" si="61"/>
        <v>0</v>
      </c>
      <c r="N85" s="148">
        <f ca="1">IF(AND(Option_SPW="Y",Z84&gt;=SPW_Start_Min_FV,H85&gt;=Lock_In_Period,Z84&gt;SPW_Amount_pa+IF(option="Single",1/5*pr,2*pr),H85&gt;=SPW_Start_Year,H85&lt;=SPW_Start_Year+SPW_Duration-1,F85=0,age+H85&gt;=Legal_Age),SPW_Amount_pa,0)+IFERROR(VLOOKUP(H85,Input!$B$68:$C$74,2,0),0)*(F85=0)*(Option_PW="Y")*(Option_SPW="N")*(age+H85&gt;=Legal_Age)</f>
        <v>0</v>
      </c>
      <c r="O85" s="148">
        <f t="shared" ca="1" si="87"/>
        <v>0</v>
      </c>
      <c r="P85" s="14">
        <f ca="1">(MAX(MAX(sa-CF84*Flag_UL_Type,105%*SUM($I$7:I85))-(AD84+L85-N85)*Flag_UL_Type,0)*B85)</f>
        <v>497790.88583145384</v>
      </c>
      <c r="Q85" s="213">
        <f t="shared" ca="1" si="62"/>
        <v>0</v>
      </c>
      <c r="R85" s="14">
        <f t="shared" ca="1" si="63"/>
        <v>0</v>
      </c>
      <c r="S85" s="14">
        <f t="shared" ca="1" si="64"/>
        <v>0</v>
      </c>
      <c r="T85" s="14">
        <f>IFERROR(IF(WoP_Flag="Y",IF(fq=1,VLOOKUP(ppt*fq-H85,Charges!$AN$41:$AO$59,2,FALSE),IF(fq=2,VLOOKUP(ppt*fq-G85,Charges!$AP$41:$AQ$79,2,FALSE),VLOOKUP(ppt*fq-D85,Charges!$AR$41:$AS$279,2,FALSE)))*pr/fq,0),0)</f>
        <v>0</v>
      </c>
      <c r="U85" s="14">
        <f ca="1">IFERROR(((T85*(VLOOKUP(Input!$D$18+H85-1,Tab_Mort_Charge,IF(Gender_2="M",2,3),FALSE)*(1+_emr2)+_rpm2)/IF(Model_Type="LA_PQIS",1000/0.0833,(12*1000))))*Flag_Mort_Rider_Charge*(T85&gt;0),0)</f>
        <v>0</v>
      </c>
      <c r="V85" s="34">
        <f>ROUND(MIN(IF(H85&gt;=7,Charges!$C$12*(1+Charges!$C$14)^((H85-7+1)),VLOOKUP(H85,Charges!$B$7:$C$12,2,0))*pr,Charges!$C$13)*B85,Round)</f>
        <v>500</v>
      </c>
      <c r="W85" s="14">
        <f t="shared" ca="1" si="65"/>
        <v>2501709.1141685462</v>
      </c>
      <c r="X85" s="14">
        <f t="shared" ca="1" si="66"/>
        <v>2517805.1859355764</v>
      </c>
      <c r="Y85" s="213">
        <f t="shared" ca="1" si="88"/>
        <v>2834.0723262338615</v>
      </c>
      <c r="Z85" s="14">
        <f t="shared" ca="1" si="67"/>
        <v>2514971.1136093424</v>
      </c>
      <c r="AA85" s="14">
        <f>IF(AND($H85=pt,$F85=11),SUM($K$7:K85)*VLOOKUP(pt,ROC,2,FALSE),0)</f>
        <v>0</v>
      </c>
      <c r="AB85" s="14">
        <f>IF(AND($H85=pt,$F85=11),SUM($V$7:V85)*VLOOKUP(pt,ROC,2,FALSE),0)</f>
        <v>0</v>
      </c>
      <c r="AC85" s="14">
        <f>IF(AND($H85=pt,$F85=11),SUM($Q$7:Q85)*VLOOKUP(pt,ROC,2,FALSE),0)</f>
        <v>0</v>
      </c>
      <c r="AD85" s="14">
        <f t="shared" ca="1" si="89"/>
        <v>2514971.1136093424</v>
      </c>
      <c r="AE85" s="14">
        <f ca="1">(MAX(sa-CF84*Flag_UL_Type,105%*SUM($I$7:I85),Z85)+AU85)*B85</f>
        <v>3000000</v>
      </c>
      <c r="AF85" s="136"/>
      <c r="AG85" s="18">
        <v>79</v>
      </c>
      <c r="AH85" s="30">
        <f t="shared" ca="1" si="68"/>
        <v>0</v>
      </c>
      <c r="AI85" s="138"/>
      <c r="AJ85" s="50">
        <f>IF(AND(Option_Sys_TopUp&gt;="Y",H85&gt;=sytp,H85&lt;=(dtp+sytp-1),F85=0,H85&lt;=ppt+1),atp,0)+IFERROR(VLOOKUP(H85,Input!$B$55:$C$61,2,0),0)*(F85=0)*(Option_TopUP="Y")*(Option_Sys_TopUp="N")*B85*(pt&gt;=H85+5)</f>
        <v>0</v>
      </c>
      <c r="AK85" s="50">
        <f t="shared" si="69"/>
        <v>0</v>
      </c>
      <c r="AL85" s="50">
        <f t="shared" si="90"/>
        <v>0</v>
      </c>
      <c r="AM85" s="50">
        <f t="shared" ca="1" si="70"/>
        <v>0</v>
      </c>
      <c r="AN85" s="50">
        <f ca="1">IF(B85=0,0,AT85*(_rpm1+(1+_emr1)*VLOOKUP(E85,Tab_Mort_Charge,IF(Input!$C$12="M",2,3),0))*(0.001*0.0833)*Flag_Mort_Rider_Charge*(AT85&gt;0))</f>
        <v>0</v>
      </c>
      <c r="AO85" s="50">
        <f t="shared" ca="1" si="91"/>
        <v>0</v>
      </c>
      <c r="AP85" s="50">
        <f t="shared" ca="1" si="92"/>
        <v>0</v>
      </c>
      <c r="AQ85" s="50">
        <f t="shared" ca="1" si="71"/>
        <v>0</v>
      </c>
      <c r="AR85" s="50">
        <f t="shared" ca="1" si="72"/>
        <v>0</v>
      </c>
      <c r="AS85" s="50">
        <f t="shared" si="73"/>
        <v>0</v>
      </c>
      <c r="AT85" s="50">
        <f ca="1">(MAX((MAX(AS85,105%*SUM($AJ$7:AJ85))-AM85*Flag_UL_Type),0)*B85)</f>
        <v>0</v>
      </c>
      <c r="AU85" s="50">
        <f ca="1">(MAX(AS85,AR85,105%*SUM($AJ$7:AJ85))*B85)</f>
        <v>0</v>
      </c>
      <c r="AV85" s="125"/>
      <c r="AW85" s="13"/>
      <c r="AX85" s="13"/>
      <c r="AY85" s="13"/>
      <c r="AZ85" s="13"/>
      <c r="BA85" s="13"/>
      <c r="BG85" s="51">
        <f t="shared" si="74"/>
        <v>0</v>
      </c>
      <c r="BH85" s="51">
        <f t="shared" ca="1" si="75"/>
        <v>0</v>
      </c>
      <c r="BI85" s="51">
        <f t="shared" ca="1" si="76"/>
        <v>0</v>
      </c>
      <c r="BJ85" s="51">
        <f t="shared" ca="1" si="77"/>
        <v>0</v>
      </c>
      <c r="BK85" s="51">
        <f t="shared" si="78"/>
        <v>0</v>
      </c>
      <c r="BL85" s="51">
        <f t="shared" ca="1" si="79"/>
        <v>0</v>
      </c>
      <c r="BM85" s="51">
        <f t="shared" si="80"/>
        <v>0</v>
      </c>
      <c r="BN85" s="51">
        <f t="shared" ca="1" si="81"/>
        <v>0</v>
      </c>
      <c r="BO85" s="51">
        <f t="shared" ca="1" si="82"/>
        <v>0</v>
      </c>
      <c r="BP85" s="51">
        <f t="shared" ca="1" si="83"/>
        <v>0</v>
      </c>
      <c r="BQ85" s="120"/>
      <c r="BR85" s="32"/>
      <c r="BS85" s="126"/>
      <c r="BT85" s="16"/>
      <c r="BU85" s="58"/>
      <c r="BW85" s="51">
        <f>VLOOKUP(H85,Charges!$AT$4:$AU$33,2,FALSE)*I85</f>
        <v>0</v>
      </c>
      <c r="BX85" s="51">
        <f t="shared" si="84"/>
        <v>0</v>
      </c>
      <c r="BY85" s="51">
        <f t="shared" si="93"/>
        <v>0</v>
      </c>
      <c r="BZ85" s="151"/>
      <c r="CA85" s="151"/>
      <c r="CB85" s="32"/>
      <c r="CC85" s="16">
        <f ca="1">SUM($N$7:$N85)</f>
        <v>0</v>
      </c>
      <c r="CD85" s="16">
        <f t="shared" ca="1" si="85"/>
        <v>0</v>
      </c>
      <c r="CE85" s="16">
        <f t="shared" ca="1" si="86"/>
        <v>0</v>
      </c>
      <c r="CF85" s="7">
        <f t="shared" ca="1" si="94"/>
        <v>0</v>
      </c>
    </row>
    <row r="86" spans="1:84" s="7" customFormat="1" x14ac:dyDescent="0.2">
      <c r="A86" s="149"/>
      <c r="B86" s="14">
        <f t="shared" si="55"/>
        <v>1</v>
      </c>
      <c r="C86" s="12">
        <f t="shared" si="56"/>
        <v>1</v>
      </c>
      <c r="D86" s="17">
        <f t="shared" si="95"/>
        <v>80</v>
      </c>
      <c r="E86" s="17">
        <f t="shared" ca="1" si="57"/>
        <v>66</v>
      </c>
      <c r="F86" s="12">
        <f t="shared" si="97"/>
        <v>7</v>
      </c>
      <c r="G86" s="12">
        <f t="shared" si="96"/>
        <v>14</v>
      </c>
      <c r="H86" s="17">
        <f t="shared" si="98"/>
        <v>7</v>
      </c>
      <c r="I86" s="29">
        <f t="shared" si="58"/>
        <v>0</v>
      </c>
      <c r="J86" s="211">
        <f>IFERROR(VLOOKUP(H86,Charges!$T$6:$U$35,2,0)*C86,0)</f>
        <v>0.98</v>
      </c>
      <c r="K86" s="29">
        <f t="shared" si="59"/>
        <v>0</v>
      </c>
      <c r="L86" s="29">
        <f t="shared" si="60"/>
        <v>0</v>
      </c>
      <c r="M86" s="147">
        <f t="shared" ca="1" si="61"/>
        <v>0</v>
      </c>
      <c r="N86" s="148">
        <f ca="1">IF(AND(Option_SPW="Y",Z85&gt;=SPW_Start_Min_FV,H86&gt;=Lock_In_Period,Z85&gt;SPW_Amount_pa+IF(option="Single",1/5*pr,2*pr),H86&gt;=SPW_Start_Year,H86&lt;=SPW_Start_Year+SPW_Duration-1,F86=0,age+H86&gt;=Legal_Age),SPW_Amount_pa,0)+IFERROR(VLOOKUP(H86,Input!$B$68:$C$74,2,0),0)*(F86=0)*(Option_PW="Y")*(Option_SPW="N")*(age+H86&gt;=Legal_Age)</f>
        <v>0</v>
      </c>
      <c r="O86" s="148">
        <f t="shared" ca="1" si="87"/>
        <v>0</v>
      </c>
      <c r="P86" s="14">
        <f ca="1">(MAX(MAX(sa-CF85*Flag_UL_Type,105%*SUM($I$7:I86))-(AD85+L86-N86)*Flag_UL_Type,0)*B86)</f>
        <v>485028.88639065763</v>
      </c>
      <c r="Q86" s="213">
        <f t="shared" ca="1" si="62"/>
        <v>0</v>
      </c>
      <c r="R86" s="14">
        <f t="shared" ca="1" si="63"/>
        <v>0</v>
      </c>
      <c r="S86" s="14">
        <f t="shared" ca="1" si="64"/>
        <v>0</v>
      </c>
      <c r="T86" s="14">
        <f>IFERROR(IF(WoP_Flag="Y",IF(fq=1,VLOOKUP(ppt*fq-H86,Charges!$AN$41:$AO$59,2,FALSE),IF(fq=2,VLOOKUP(ppt*fq-G86,Charges!$AP$41:$AQ$79,2,FALSE),VLOOKUP(ppt*fq-D86,Charges!$AR$41:$AS$279,2,FALSE)))*pr/fq,0),0)</f>
        <v>0</v>
      </c>
      <c r="U86" s="14">
        <f ca="1">IFERROR(((T86*(VLOOKUP(Input!$D$18+H86-1,Tab_Mort_Charge,IF(Gender_2="M",2,3),FALSE)*(1+_emr2)+_rpm2)/IF(Model_Type="LA_PQIS",1000/0.0833,(12*1000))))*Flag_Mort_Rider_Charge*(T86&gt;0),0)</f>
        <v>0</v>
      </c>
      <c r="V86" s="34">
        <f>ROUND(MIN(IF(H86&gt;=7,Charges!$C$12*(1+Charges!$C$14)^((H86-7+1)),VLOOKUP(H86,Charges!$B$7:$C$12,2,0))*pr,Charges!$C$13)*B86,Round)</f>
        <v>500</v>
      </c>
      <c r="W86" s="14">
        <f t="shared" ca="1" si="65"/>
        <v>2514471.1136093424</v>
      </c>
      <c r="X86" s="14">
        <f t="shared" ca="1" si="66"/>
        <v>2530649.2964650388</v>
      </c>
      <c r="Y86" s="213">
        <f t="shared" ca="1" si="88"/>
        <v>2848.5298142118727</v>
      </c>
      <c r="Z86" s="14">
        <f t="shared" ca="1" si="67"/>
        <v>2527800.7666508271</v>
      </c>
      <c r="AA86" s="14">
        <f>IF(AND($H86=pt,$F86=11),SUM($K$7:K86)*VLOOKUP(pt,ROC,2,FALSE),0)</f>
        <v>0</v>
      </c>
      <c r="AB86" s="14">
        <f>IF(AND($H86=pt,$F86=11),SUM($V$7:V86)*VLOOKUP(pt,ROC,2,FALSE),0)</f>
        <v>0</v>
      </c>
      <c r="AC86" s="14">
        <f>IF(AND($H86=pt,$F86=11),SUM($Q$7:Q86)*VLOOKUP(pt,ROC,2,FALSE),0)</f>
        <v>0</v>
      </c>
      <c r="AD86" s="14">
        <f t="shared" ca="1" si="89"/>
        <v>2527800.7666508271</v>
      </c>
      <c r="AE86" s="14">
        <f ca="1">(MAX(sa-CF85*Flag_UL_Type,105%*SUM($I$7:I86),Z86)+AU86)*B86</f>
        <v>3000000</v>
      </c>
      <c r="AF86" s="136"/>
      <c r="AG86" s="18">
        <v>80</v>
      </c>
      <c r="AH86" s="30">
        <f t="shared" ca="1" si="68"/>
        <v>0</v>
      </c>
      <c r="AI86" s="138"/>
      <c r="AJ86" s="50">
        <f>IF(AND(Option_Sys_TopUp&gt;="Y",H86&gt;=sytp,H86&lt;=(dtp+sytp-1),F86=0,H86&lt;=ppt+1),atp,0)+IFERROR(VLOOKUP(H86,Input!$B$55:$C$61,2,0),0)*(F86=0)*(Option_TopUP="Y")*(Option_Sys_TopUp="N")*B86*(pt&gt;=H86+5)</f>
        <v>0</v>
      </c>
      <c r="AK86" s="50">
        <f t="shared" si="69"/>
        <v>0</v>
      </c>
      <c r="AL86" s="50">
        <f t="shared" si="90"/>
        <v>0</v>
      </c>
      <c r="AM86" s="50">
        <f t="shared" ca="1" si="70"/>
        <v>0</v>
      </c>
      <c r="AN86" s="50">
        <f ca="1">IF(B86=0,0,AT86*(_rpm1+(1+_emr1)*VLOOKUP(E86,Tab_Mort_Charge,IF(Input!$C$12="M",2,3),0))*(0.001*0.0833)*Flag_Mort_Rider_Charge*(AT86&gt;0))</f>
        <v>0</v>
      </c>
      <c r="AO86" s="50">
        <f t="shared" ca="1" si="91"/>
        <v>0</v>
      </c>
      <c r="AP86" s="50">
        <f t="shared" ca="1" si="92"/>
        <v>0</v>
      </c>
      <c r="AQ86" s="50">
        <f t="shared" ca="1" si="71"/>
        <v>0</v>
      </c>
      <c r="AR86" s="50">
        <f t="shared" ca="1" si="72"/>
        <v>0</v>
      </c>
      <c r="AS86" s="50">
        <f t="shared" si="73"/>
        <v>0</v>
      </c>
      <c r="AT86" s="50">
        <f ca="1">(MAX((MAX(AS86,105%*SUM($AJ$7:AJ86))-AM86*Flag_UL_Type),0)*B86)</f>
        <v>0</v>
      </c>
      <c r="AU86" s="50">
        <f ca="1">(MAX(AS86,AR86,105%*SUM($AJ$7:AJ86))*B86)</f>
        <v>0</v>
      </c>
      <c r="AV86" s="125"/>
      <c r="AW86" s="13"/>
      <c r="AX86" s="13"/>
      <c r="AY86" s="13"/>
      <c r="AZ86" s="13"/>
      <c r="BA86" s="13"/>
      <c r="BG86" s="51">
        <f t="shared" si="74"/>
        <v>0</v>
      </c>
      <c r="BH86" s="51">
        <f t="shared" ca="1" si="75"/>
        <v>0</v>
      </c>
      <c r="BI86" s="51">
        <f t="shared" ca="1" si="76"/>
        <v>0</v>
      </c>
      <c r="BJ86" s="51">
        <f t="shared" ca="1" si="77"/>
        <v>0</v>
      </c>
      <c r="BK86" s="51">
        <f t="shared" si="78"/>
        <v>0</v>
      </c>
      <c r="BL86" s="51">
        <f t="shared" ca="1" si="79"/>
        <v>0</v>
      </c>
      <c r="BM86" s="51">
        <f t="shared" si="80"/>
        <v>0</v>
      </c>
      <c r="BN86" s="51">
        <f t="shared" ca="1" si="81"/>
        <v>0</v>
      </c>
      <c r="BO86" s="51">
        <f t="shared" ca="1" si="82"/>
        <v>0</v>
      </c>
      <c r="BP86" s="51">
        <f t="shared" ca="1" si="83"/>
        <v>0</v>
      </c>
      <c r="BQ86" s="120"/>
      <c r="BR86" s="32"/>
      <c r="BS86" s="126"/>
      <c r="BT86" s="16"/>
      <c r="BU86" s="58"/>
      <c r="BW86" s="51">
        <f>VLOOKUP(H86,Charges!$AT$4:$AU$33,2,FALSE)*I86</f>
        <v>0</v>
      </c>
      <c r="BX86" s="51">
        <f t="shared" si="84"/>
        <v>0</v>
      </c>
      <c r="BY86" s="51">
        <f t="shared" si="93"/>
        <v>0</v>
      </c>
      <c r="BZ86" s="151"/>
      <c r="CA86" s="151"/>
      <c r="CB86" s="32"/>
      <c r="CC86" s="16">
        <f ca="1">SUM($N$7:$N86)</f>
        <v>0</v>
      </c>
      <c r="CD86" s="16">
        <f t="shared" ca="1" si="85"/>
        <v>0</v>
      </c>
      <c r="CE86" s="16">
        <f t="shared" ca="1" si="86"/>
        <v>0</v>
      </c>
      <c r="CF86" s="7">
        <f t="shared" ca="1" si="94"/>
        <v>0</v>
      </c>
    </row>
    <row r="87" spans="1:84" s="7" customFormat="1" x14ac:dyDescent="0.2">
      <c r="A87" s="149"/>
      <c r="B87" s="14">
        <f t="shared" si="55"/>
        <v>1</v>
      </c>
      <c r="C87" s="12">
        <f t="shared" si="56"/>
        <v>1</v>
      </c>
      <c r="D87" s="17">
        <f t="shared" si="95"/>
        <v>81</v>
      </c>
      <c r="E87" s="17">
        <f t="shared" ca="1" si="57"/>
        <v>66</v>
      </c>
      <c r="F87" s="12">
        <f t="shared" si="97"/>
        <v>8</v>
      </c>
      <c r="G87" s="12">
        <f t="shared" si="96"/>
        <v>14</v>
      </c>
      <c r="H87" s="17">
        <f t="shared" si="98"/>
        <v>7</v>
      </c>
      <c r="I87" s="29">
        <f t="shared" si="58"/>
        <v>0</v>
      </c>
      <c r="J87" s="211">
        <f>IFERROR(VLOOKUP(H87,Charges!$T$6:$U$35,2,0)*C87,0)</f>
        <v>0.98</v>
      </c>
      <c r="K87" s="29">
        <f t="shared" si="59"/>
        <v>0</v>
      </c>
      <c r="L87" s="29">
        <f t="shared" si="60"/>
        <v>0</v>
      </c>
      <c r="M87" s="147">
        <f t="shared" ca="1" si="61"/>
        <v>0</v>
      </c>
      <c r="N87" s="148">
        <f ca="1">IF(AND(Option_SPW="Y",Z86&gt;=SPW_Start_Min_FV,H87&gt;=Lock_In_Period,Z86&gt;SPW_Amount_pa+IF(option="Single",1/5*pr,2*pr),H87&gt;=SPW_Start_Year,H87&lt;=SPW_Start_Year+SPW_Duration-1,F87=0,age+H87&gt;=Legal_Age),SPW_Amount_pa,0)+IFERROR(VLOOKUP(H87,Input!$B$68:$C$74,2,0),0)*(F87=0)*(Option_PW="Y")*(Option_SPW="N")*(age+H87&gt;=Legal_Age)</f>
        <v>0</v>
      </c>
      <c r="O87" s="148">
        <f t="shared" ca="1" si="87"/>
        <v>0</v>
      </c>
      <c r="P87" s="14">
        <f ca="1">(MAX(MAX(sa-CF86*Flag_UL_Type,105%*SUM($I$7:I87))-(AD86+L87-N87)*Flag_UL_Type,0)*B87)</f>
        <v>472199.23334917286</v>
      </c>
      <c r="Q87" s="213">
        <f t="shared" ca="1" si="62"/>
        <v>0</v>
      </c>
      <c r="R87" s="14">
        <f t="shared" ca="1" si="63"/>
        <v>0</v>
      </c>
      <c r="S87" s="14">
        <f t="shared" ca="1" si="64"/>
        <v>0</v>
      </c>
      <c r="T87" s="14">
        <f>IFERROR(IF(WoP_Flag="Y",IF(fq=1,VLOOKUP(ppt*fq-H87,Charges!$AN$41:$AO$59,2,FALSE),IF(fq=2,VLOOKUP(ppt*fq-G87,Charges!$AP$41:$AQ$79,2,FALSE),VLOOKUP(ppt*fq-D87,Charges!$AR$41:$AS$279,2,FALSE)))*pr/fq,0),0)</f>
        <v>0</v>
      </c>
      <c r="U87" s="14">
        <f ca="1">IFERROR(((T87*(VLOOKUP(Input!$D$18+H87-1,Tab_Mort_Charge,IF(Gender_2="M",2,3),FALSE)*(1+_emr2)+_rpm2)/IF(Model_Type="LA_PQIS",1000/0.0833,(12*1000))))*Flag_Mort_Rider_Charge*(T87&gt;0),0)</f>
        <v>0</v>
      </c>
      <c r="V87" s="34">
        <f>ROUND(MIN(IF(H87&gt;=7,Charges!$C$12*(1+Charges!$C$14)^((H87-7+1)),VLOOKUP(H87,Charges!$B$7:$C$12,2,0))*pr,Charges!$C$13)*B87,Round)</f>
        <v>500</v>
      </c>
      <c r="W87" s="14">
        <f t="shared" ca="1" si="65"/>
        <v>2527300.7666508271</v>
      </c>
      <c r="X87" s="14">
        <f t="shared" ca="1" si="66"/>
        <v>2543561.4958804934</v>
      </c>
      <c r="Y87" s="213">
        <f t="shared" ca="1" si="88"/>
        <v>2863.0639438731218</v>
      </c>
      <c r="Z87" s="14">
        <f t="shared" ca="1" si="67"/>
        <v>2540698.4319366203</v>
      </c>
      <c r="AA87" s="14">
        <f>IF(AND($H87=pt,$F87=11),SUM($K$7:K87)*VLOOKUP(pt,ROC,2,FALSE),0)</f>
        <v>0</v>
      </c>
      <c r="AB87" s="14">
        <f>IF(AND($H87=pt,$F87=11),SUM($V$7:V87)*VLOOKUP(pt,ROC,2,FALSE),0)</f>
        <v>0</v>
      </c>
      <c r="AC87" s="14">
        <f>IF(AND($H87=pt,$F87=11),SUM($Q$7:Q87)*VLOOKUP(pt,ROC,2,FALSE),0)</f>
        <v>0</v>
      </c>
      <c r="AD87" s="14">
        <f t="shared" ca="1" si="89"/>
        <v>2540698.4319366203</v>
      </c>
      <c r="AE87" s="14">
        <f ca="1">(MAX(sa-CF86*Flag_UL_Type,105%*SUM($I$7:I87),Z87)+AU87)*B87</f>
        <v>3000000</v>
      </c>
      <c r="AF87" s="136"/>
      <c r="AG87" s="18">
        <v>81</v>
      </c>
      <c r="AH87" s="30">
        <f t="shared" ca="1" si="68"/>
        <v>0</v>
      </c>
      <c r="AI87" s="138"/>
      <c r="AJ87" s="50">
        <f>IF(AND(Option_Sys_TopUp&gt;="Y",H87&gt;=sytp,H87&lt;=(dtp+sytp-1),F87=0,H87&lt;=ppt+1),atp,0)+IFERROR(VLOOKUP(H87,Input!$B$55:$C$61,2,0),0)*(F87=0)*(Option_TopUP="Y")*(Option_Sys_TopUp="N")*B87*(pt&gt;=H87+5)</f>
        <v>0</v>
      </c>
      <c r="AK87" s="50">
        <f t="shared" si="69"/>
        <v>0</v>
      </c>
      <c r="AL87" s="50">
        <f t="shared" si="90"/>
        <v>0</v>
      </c>
      <c r="AM87" s="50">
        <f t="shared" ca="1" si="70"/>
        <v>0</v>
      </c>
      <c r="AN87" s="50">
        <f ca="1">IF(B87=0,0,AT87*(_rpm1+(1+_emr1)*VLOOKUP(E87,Tab_Mort_Charge,IF(Input!$C$12="M",2,3),0))*(0.001*0.0833)*Flag_Mort_Rider_Charge*(AT87&gt;0))</f>
        <v>0</v>
      </c>
      <c r="AO87" s="50">
        <f t="shared" ca="1" si="91"/>
        <v>0</v>
      </c>
      <c r="AP87" s="50">
        <f t="shared" ca="1" si="92"/>
        <v>0</v>
      </c>
      <c r="AQ87" s="50">
        <f t="shared" ca="1" si="71"/>
        <v>0</v>
      </c>
      <c r="AR87" s="50">
        <f t="shared" ca="1" si="72"/>
        <v>0</v>
      </c>
      <c r="AS87" s="50">
        <f t="shared" si="73"/>
        <v>0</v>
      </c>
      <c r="AT87" s="50">
        <f ca="1">(MAX((MAX(AS87,105%*SUM($AJ$7:AJ87))-AM87*Flag_UL_Type),0)*B87)</f>
        <v>0</v>
      </c>
      <c r="AU87" s="50">
        <f ca="1">(MAX(AS87,AR87,105%*SUM($AJ$7:AJ87))*B87)</f>
        <v>0</v>
      </c>
      <c r="AV87" s="125"/>
      <c r="AW87" s="13"/>
      <c r="AX87" s="13"/>
      <c r="AY87" s="13"/>
      <c r="AZ87" s="13"/>
      <c r="BA87" s="13"/>
      <c r="BG87" s="51">
        <f t="shared" si="74"/>
        <v>0</v>
      </c>
      <c r="BH87" s="51">
        <f t="shared" ca="1" si="75"/>
        <v>0</v>
      </c>
      <c r="BI87" s="51">
        <f t="shared" ca="1" si="76"/>
        <v>0</v>
      </c>
      <c r="BJ87" s="51">
        <f t="shared" ca="1" si="77"/>
        <v>0</v>
      </c>
      <c r="BK87" s="51">
        <f t="shared" si="78"/>
        <v>0</v>
      </c>
      <c r="BL87" s="51">
        <f t="shared" ca="1" si="79"/>
        <v>0</v>
      </c>
      <c r="BM87" s="51">
        <f t="shared" si="80"/>
        <v>0</v>
      </c>
      <c r="BN87" s="51">
        <f t="shared" ca="1" si="81"/>
        <v>0</v>
      </c>
      <c r="BO87" s="51">
        <f t="shared" ca="1" si="82"/>
        <v>0</v>
      </c>
      <c r="BP87" s="51">
        <f t="shared" ca="1" si="83"/>
        <v>0</v>
      </c>
      <c r="BQ87" s="120"/>
      <c r="BR87" s="32"/>
      <c r="BS87" s="126"/>
      <c r="BT87" s="16"/>
      <c r="BU87" s="58"/>
      <c r="BW87" s="51">
        <f>VLOOKUP(H87,Charges!$AT$4:$AU$33,2,FALSE)*I87</f>
        <v>0</v>
      </c>
      <c r="BX87" s="51">
        <f t="shared" si="84"/>
        <v>0</v>
      </c>
      <c r="BY87" s="51">
        <f t="shared" si="93"/>
        <v>0</v>
      </c>
      <c r="BZ87" s="151"/>
      <c r="CA87" s="151"/>
      <c r="CB87" s="32"/>
      <c r="CC87" s="16">
        <f ca="1">SUM($N$7:$N87)</f>
        <v>0</v>
      </c>
      <c r="CD87" s="16">
        <f t="shared" ca="1" si="85"/>
        <v>0</v>
      </c>
      <c r="CE87" s="16">
        <f t="shared" ca="1" si="86"/>
        <v>0</v>
      </c>
      <c r="CF87" s="7">
        <f t="shared" ca="1" si="94"/>
        <v>0</v>
      </c>
    </row>
    <row r="88" spans="1:84" s="7" customFormat="1" x14ac:dyDescent="0.2">
      <c r="A88" s="149"/>
      <c r="B88" s="14">
        <f t="shared" si="55"/>
        <v>1</v>
      </c>
      <c r="C88" s="12">
        <f t="shared" si="56"/>
        <v>1</v>
      </c>
      <c r="D88" s="17">
        <f t="shared" si="95"/>
        <v>82</v>
      </c>
      <c r="E88" s="17">
        <f t="shared" ca="1" si="57"/>
        <v>66</v>
      </c>
      <c r="F88" s="12">
        <f t="shared" si="97"/>
        <v>9</v>
      </c>
      <c r="G88" s="12">
        <f t="shared" si="96"/>
        <v>14</v>
      </c>
      <c r="H88" s="17">
        <f t="shared" si="98"/>
        <v>7</v>
      </c>
      <c r="I88" s="29">
        <f t="shared" si="58"/>
        <v>0</v>
      </c>
      <c r="J88" s="211">
        <f>IFERROR(VLOOKUP(H88,Charges!$T$6:$U$35,2,0)*C88,0)</f>
        <v>0.98</v>
      </c>
      <c r="K88" s="29">
        <f t="shared" si="59"/>
        <v>0</v>
      </c>
      <c r="L88" s="29">
        <f t="shared" si="60"/>
        <v>0</v>
      </c>
      <c r="M88" s="147">
        <f t="shared" ca="1" si="61"/>
        <v>0</v>
      </c>
      <c r="N88" s="148">
        <f ca="1">IF(AND(Option_SPW="Y",Z87&gt;=SPW_Start_Min_FV,H88&gt;=Lock_In_Period,Z87&gt;SPW_Amount_pa+IF(option="Single",1/5*pr,2*pr),H88&gt;=SPW_Start_Year,H88&lt;=SPW_Start_Year+SPW_Duration-1,F88=0,age+H88&gt;=Legal_Age),SPW_Amount_pa,0)+IFERROR(VLOOKUP(H88,Input!$B$68:$C$74,2,0),0)*(F88=0)*(Option_PW="Y")*(Option_SPW="N")*(age+H88&gt;=Legal_Age)</f>
        <v>0</v>
      </c>
      <c r="O88" s="148">
        <f t="shared" ca="1" si="87"/>
        <v>0</v>
      </c>
      <c r="P88" s="14">
        <f ca="1">(MAX(MAX(sa-CF87*Flag_UL_Type,105%*SUM($I$7:I88))-(AD87+L88-N88)*Flag_UL_Type,0)*B88)</f>
        <v>459301.56806337973</v>
      </c>
      <c r="Q88" s="213">
        <f t="shared" ca="1" si="62"/>
        <v>0</v>
      </c>
      <c r="R88" s="14">
        <f t="shared" ca="1" si="63"/>
        <v>0</v>
      </c>
      <c r="S88" s="14">
        <f t="shared" ca="1" si="64"/>
        <v>0</v>
      </c>
      <c r="T88" s="14">
        <f>IFERROR(IF(WoP_Flag="Y",IF(fq=1,VLOOKUP(ppt*fq-H88,Charges!$AN$41:$AO$59,2,FALSE),IF(fq=2,VLOOKUP(ppt*fq-G88,Charges!$AP$41:$AQ$79,2,FALSE),VLOOKUP(ppt*fq-D88,Charges!$AR$41:$AS$279,2,FALSE)))*pr/fq,0),0)</f>
        <v>0</v>
      </c>
      <c r="U88" s="14">
        <f ca="1">IFERROR(((T88*(VLOOKUP(Input!$D$18+H88-1,Tab_Mort_Charge,IF(Gender_2="M",2,3),FALSE)*(1+_emr2)+_rpm2)/IF(Model_Type="LA_PQIS",1000/0.0833,(12*1000))))*Flag_Mort_Rider_Charge*(T88&gt;0),0)</f>
        <v>0</v>
      </c>
      <c r="V88" s="34">
        <f>ROUND(MIN(IF(H88&gt;=7,Charges!$C$12*(1+Charges!$C$14)^((H88-7+1)),VLOOKUP(H88,Charges!$B$7:$C$12,2,0))*pr,Charges!$C$13)*B88,Round)</f>
        <v>500</v>
      </c>
      <c r="W88" s="14">
        <f t="shared" ca="1" si="65"/>
        <v>2540198.4319366203</v>
      </c>
      <c r="X88" s="14">
        <f t="shared" ca="1" si="66"/>
        <v>2556542.1451330842</v>
      </c>
      <c r="Y88" s="213">
        <f t="shared" ca="1" si="88"/>
        <v>2877.6751215086329</v>
      </c>
      <c r="Z88" s="14">
        <f t="shared" ca="1" si="67"/>
        <v>2553664.4700115756</v>
      </c>
      <c r="AA88" s="14">
        <f>IF(AND($H88=pt,$F88=11),SUM($K$7:K88)*VLOOKUP(pt,ROC,2,FALSE),0)</f>
        <v>0</v>
      </c>
      <c r="AB88" s="14">
        <f>IF(AND($H88=pt,$F88=11),SUM($V$7:V88)*VLOOKUP(pt,ROC,2,FALSE),0)</f>
        <v>0</v>
      </c>
      <c r="AC88" s="14">
        <f>IF(AND($H88=pt,$F88=11),SUM($Q$7:Q88)*VLOOKUP(pt,ROC,2,FALSE),0)</f>
        <v>0</v>
      </c>
      <c r="AD88" s="14">
        <f t="shared" ca="1" si="89"/>
        <v>2553664.4700115756</v>
      </c>
      <c r="AE88" s="14">
        <f ca="1">(MAX(sa-CF87*Flag_UL_Type,105%*SUM($I$7:I88),Z88)+AU88)*B88</f>
        <v>3000000</v>
      </c>
      <c r="AF88" s="136"/>
      <c r="AG88" s="18">
        <v>82</v>
      </c>
      <c r="AH88" s="30">
        <f t="shared" ca="1" si="68"/>
        <v>0</v>
      </c>
      <c r="AI88" s="138"/>
      <c r="AJ88" s="50">
        <f>IF(AND(Option_Sys_TopUp&gt;="Y",H88&gt;=sytp,H88&lt;=(dtp+sytp-1),F88=0,H88&lt;=ppt+1),atp,0)+IFERROR(VLOOKUP(H88,Input!$B$55:$C$61,2,0),0)*(F88=0)*(Option_TopUP="Y")*(Option_Sys_TopUp="N")*B88*(pt&gt;=H88+5)</f>
        <v>0</v>
      </c>
      <c r="AK88" s="50">
        <f t="shared" si="69"/>
        <v>0</v>
      </c>
      <c r="AL88" s="50">
        <f t="shared" si="90"/>
        <v>0</v>
      </c>
      <c r="AM88" s="50">
        <f t="shared" ca="1" si="70"/>
        <v>0</v>
      </c>
      <c r="AN88" s="50">
        <f ca="1">IF(B88=0,0,AT88*(_rpm1+(1+_emr1)*VLOOKUP(E88,Tab_Mort_Charge,IF(Input!$C$12="M",2,3),0))*(0.001*0.0833)*Flag_Mort_Rider_Charge*(AT88&gt;0))</f>
        <v>0</v>
      </c>
      <c r="AO88" s="50">
        <f t="shared" ca="1" si="91"/>
        <v>0</v>
      </c>
      <c r="AP88" s="50">
        <f t="shared" ca="1" si="92"/>
        <v>0</v>
      </c>
      <c r="AQ88" s="50">
        <f t="shared" ca="1" si="71"/>
        <v>0</v>
      </c>
      <c r="AR88" s="50">
        <f t="shared" ca="1" si="72"/>
        <v>0</v>
      </c>
      <c r="AS88" s="50">
        <f t="shared" si="73"/>
        <v>0</v>
      </c>
      <c r="AT88" s="50">
        <f ca="1">(MAX((MAX(AS88,105%*SUM($AJ$7:AJ88))-AM88*Flag_UL_Type),0)*B88)</f>
        <v>0</v>
      </c>
      <c r="AU88" s="50">
        <f ca="1">(MAX(AS88,AR88,105%*SUM($AJ$7:AJ88))*B88)</f>
        <v>0</v>
      </c>
      <c r="AV88" s="125"/>
      <c r="AW88" s="13"/>
      <c r="AX88" s="13"/>
      <c r="AY88" s="13"/>
      <c r="AZ88" s="13"/>
      <c r="BA88" s="13"/>
      <c r="BG88" s="51">
        <f t="shared" si="74"/>
        <v>0</v>
      </c>
      <c r="BH88" s="51">
        <f t="shared" ca="1" si="75"/>
        <v>0</v>
      </c>
      <c r="BI88" s="51">
        <f t="shared" ca="1" si="76"/>
        <v>0</v>
      </c>
      <c r="BJ88" s="51">
        <f t="shared" ca="1" si="77"/>
        <v>0</v>
      </c>
      <c r="BK88" s="51">
        <f t="shared" si="78"/>
        <v>0</v>
      </c>
      <c r="BL88" s="51">
        <f t="shared" ca="1" si="79"/>
        <v>0</v>
      </c>
      <c r="BM88" s="51">
        <f t="shared" si="80"/>
        <v>0</v>
      </c>
      <c r="BN88" s="51">
        <f t="shared" ca="1" si="81"/>
        <v>0</v>
      </c>
      <c r="BO88" s="51">
        <f t="shared" ca="1" si="82"/>
        <v>0</v>
      </c>
      <c r="BP88" s="51">
        <f t="shared" ca="1" si="83"/>
        <v>0</v>
      </c>
      <c r="BQ88" s="120"/>
      <c r="BR88" s="32"/>
      <c r="BS88" s="126"/>
      <c r="BT88" s="16"/>
      <c r="BU88" s="58"/>
      <c r="BW88" s="51">
        <f>VLOOKUP(H88,Charges!$AT$4:$AU$33,2,FALSE)*I88</f>
        <v>0</v>
      </c>
      <c r="BX88" s="51">
        <f t="shared" si="84"/>
        <v>0</v>
      </c>
      <c r="BY88" s="51">
        <f t="shared" si="93"/>
        <v>0</v>
      </c>
      <c r="BZ88" s="151"/>
      <c r="CA88" s="151"/>
      <c r="CB88" s="32"/>
      <c r="CC88" s="16">
        <f ca="1">SUM($N$7:$N88)</f>
        <v>0</v>
      </c>
      <c r="CD88" s="16">
        <f t="shared" ca="1" si="85"/>
        <v>0</v>
      </c>
      <c r="CE88" s="16">
        <f t="shared" ca="1" si="86"/>
        <v>0</v>
      </c>
      <c r="CF88" s="7">
        <f t="shared" ca="1" si="94"/>
        <v>0</v>
      </c>
    </row>
    <row r="89" spans="1:84" s="7" customFormat="1" x14ac:dyDescent="0.2">
      <c r="A89" s="149"/>
      <c r="B89" s="14">
        <f t="shared" si="55"/>
        <v>1</v>
      </c>
      <c r="C89" s="12">
        <f t="shared" si="56"/>
        <v>1</v>
      </c>
      <c r="D89" s="17">
        <f t="shared" si="95"/>
        <v>83</v>
      </c>
      <c r="E89" s="17">
        <f t="shared" ca="1" si="57"/>
        <v>66</v>
      </c>
      <c r="F89" s="12">
        <f t="shared" si="97"/>
        <v>10</v>
      </c>
      <c r="G89" s="12">
        <f t="shared" si="96"/>
        <v>14</v>
      </c>
      <c r="H89" s="17">
        <f t="shared" si="98"/>
        <v>7</v>
      </c>
      <c r="I89" s="29">
        <f t="shared" si="58"/>
        <v>0</v>
      </c>
      <c r="J89" s="211">
        <f>IFERROR(VLOOKUP(H89,Charges!$T$6:$U$35,2,0)*C89,0)</f>
        <v>0.98</v>
      </c>
      <c r="K89" s="29">
        <f t="shared" si="59"/>
        <v>0</v>
      </c>
      <c r="L89" s="29">
        <f t="shared" si="60"/>
        <v>0</v>
      </c>
      <c r="M89" s="147">
        <f t="shared" ca="1" si="61"/>
        <v>0</v>
      </c>
      <c r="N89" s="148">
        <f ca="1">IF(AND(Option_SPW="Y",Z88&gt;=SPW_Start_Min_FV,H89&gt;=Lock_In_Period,Z88&gt;SPW_Amount_pa+IF(option="Single",1/5*pr,2*pr),H89&gt;=SPW_Start_Year,H89&lt;=SPW_Start_Year+SPW_Duration-1,F89=0,age+H89&gt;=Legal_Age),SPW_Amount_pa,0)+IFERROR(VLOOKUP(H89,Input!$B$68:$C$74,2,0),0)*(F89=0)*(Option_PW="Y")*(Option_SPW="N")*(age+H89&gt;=Legal_Age)</f>
        <v>0</v>
      </c>
      <c r="O89" s="148">
        <f t="shared" ca="1" si="87"/>
        <v>0</v>
      </c>
      <c r="P89" s="14">
        <f ca="1">(MAX(MAX(sa-CF88*Flag_UL_Type,105%*SUM($I$7:I89))-(AD88+L89-N89)*Flag_UL_Type,0)*B89)</f>
        <v>446335.52998842439</v>
      </c>
      <c r="Q89" s="213">
        <f t="shared" ca="1" si="62"/>
        <v>0</v>
      </c>
      <c r="R89" s="14">
        <f t="shared" ca="1" si="63"/>
        <v>0</v>
      </c>
      <c r="S89" s="14">
        <f t="shared" ca="1" si="64"/>
        <v>0</v>
      </c>
      <c r="T89" s="14">
        <f>IFERROR(IF(WoP_Flag="Y",IF(fq=1,VLOOKUP(ppt*fq-H89,Charges!$AN$41:$AO$59,2,FALSE),IF(fq=2,VLOOKUP(ppt*fq-G89,Charges!$AP$41:$AQ$79,2,FALSE),VLOOKUP(ppt*fq-D89,Charges!$AR$41:$AS$279,2,FALSE)))*pr/fq,0),0)</f>
        <v>0</v>
      </c>
      <c r="U89" s="14">
        <f ca="1">IFERROR(((T89*(VLOOKUP(Input!$D$18+H89-1,Tab_Mort_Charge,IF(Gender_2="M",2,3),FALSE)*(1+_emr2)+_rpm2)/IF(Model_Type="LA_PQIS",1000/0.0833,(12*1000))))*Flag_Mort_Rider_Charge*(T89&gt;0),0)</f>
        <v>0</v>
      </c>
      <c r="V89" s="34">
        <f>ROUND(MIN(IF(H89&gt;=7,Charges!$C$12*(1+Charges!$C$14)^((H89-7+1)),VLOOKUP(H89,Charges!$B$7:$C$12,2,0))*pr,Charges!$C$13)*B89,Round)</f>
        <v>500</v>
      </c>
      <c r="W89" s="14">
        <f t="shared" ca="1" si="65"/>
        <v>2553164.4700115756</v>
      </c>
      <c r="X89" s="14">
        <f t="shared" ca="1" si="66"/>
        <v>2569591.6070874212</v>
      </c>
      <c r="Y89" s="213">
        <f t="shared" ca="1" si="88"/>
        <v>2892.3637555632513</v>
      </c>
      <c r="Z89" s="14">
        <f t="shared" ca="1" si="67"/>
        <v>2566699.243331858</v>
      </c>
      <c r="AA89" s="14">
        <f>IF(AND($H89=pt,$F89=11),SUM($K$7:K89)*VLOOKUP(pt,ROC,2,FALSE),0)</f>
        <v>0</v>
      </c>
      <c r="AB89" s="14">
        <f>IF(AND($H89=pt,$F89=11),SUM($V$7:V89)*VLOOKUP(pt,ROC,2,FALSE),0)</f>
        <v>0</v>
      </c>
      <c r="AC89" s="14">
        <f>IF(AND($H89=pt,$F89=11),SUM($Q$7:Q89)*VLOOKUP(pt,ROC,2,FALSE),0)</f>
        <v>0</v>
      </c>
      <c r="AD89" s="14">
        <f t="shared" ca="1" si="89"/>
        <v>2566699.243331858</v>
      </c>
      <c r="AE89" s="14">
        <f ca="1">(MAX(sa-CF88*Flag_UL_Type,105%*SUM($I$7:I89),Z89)+AU89)*B89</f>
        <v>3000000</v>
      </c>
      <c r="AF89" s="136"/>
      <c r="AG89" s="18">
        <v>83</v>
      </c>
      <c r="AH89" s="30">
        <f t="shared" ca="1" si="68"/>
        <v>0</v>
      </c>
      <c r="AI89" s="138"/>
      <c r="AJ89" s="50">
        <f>IF(AND(Option_Sys_TopUp&gt;="Y",H89&gt;=sytp,H89&lt;=(dtp+sytp-1),F89=0,H89&lt;=ppt+1),atp,0)+IFERROR(VLOOKUP(H89,Input!$B$55:$C$61,2,0),0)*(F89=0)*(Option_TopUP="Y")*(Option_Sys_TopUp="N")*B89*(pt&gt;=H89+5)</f>
        <v>0</v>
      </c>
      <c r="AK89" s="50">
        <f t="shared" si="69"/>
        <v>0</v>
      </c>
      <c r="AL89" s="50">
        <f t="shared" si="90"/>
        <v>0</v>
      </c>
      <c r="AM89" s="50">
        <f t="shared" ca="1" si="70"/>
        <v>0</v>
      </c>
      <c r="AN89" s="50">
        <f ca="1">IF(B89=0,0,AT89*(_rpm1+(1+_emr1)*VLOOKUP(E89,Tab_Mort_Charge,IF(Input!$C$12="M",2,3),0))*(0.001*0.0833)*Flag_Mort_Rider_Charge*(AT89&gt;0))</f>
        <v>0</v>
      </c>
      <c r="AO89" s="50">
        <f t="shared" ca="1" si="91"/>
        <v>0</v>
      </c>
      <c r="AP89" s="50">
        <f t="shared" ca="1" si="92"/>
        <v>0</v>
      </c>
      <c r="AQ89" s="50">
        <f t="shared" ca="1" si="71"/>
        <v>0</v>
      </c>
      <c r="AR89" s="50">
        <f t="shared" ca="1" si="72"/>
        <v>0</v>
      </c>
      <c r="AS89" s="50">
        <f t="shared" si="73"/>
        <v>0</v>
      </c>
      <c r="AT89" s="50">
        <f ca="1">(MAX((MAX(AS89,105%*SUM($AJ$7:AJ89))-AM89*Flag_UL_Type),0)*B89)</f>
        <v>0</v>
      </c>
      <c r="AU89" s="50">
        <f ca="1">(MAX(AS89,AR89,105%*SUM($AJ$7:AJ89))*B89)</f>
        <v>0</v>
      </c>
      <c r="AV89" s="125"/>
      <c r="AW89" s="13"/>
      <c r="AX89" s="13"/>
      <c r="AY89" s="13"/>
      <c r="AZ89" s="13"/>
      <c r="BA89" s="13"/>
      <c r="BG89" s="51">
        <f t="shared" si="74"/>
        <v>0</v>
      </c>
      <c r="BH89" s="51">
        <f t="shared" ca="1" si="75"/>
        <v>0</v>
      </c>
      <c r="BI89" s="51">
        <f t="shared" ca="1" si="76"/>
        <v>0</v>
      </c>
      <c r="BJ89" s="51">
        <f t="shared" ca="1" si="77"/>
        <v>0</v>
      </c>
      <c r="BK89" s="51">
        <f t="shared" si="78"/>
        <v>0</v>
      </c>
      <c r="BL89" s="51">
        <f t="shared" ca="1" si="79"/>
        <v>0</v>
      </c>
      <c r="BM89" s="51">
        <f t="shared" si="80"/>
        <v>0</v>
      </c>
      <c r="BN89" s="51">
        <f t="shared" ca="1" si="81"/>
        <v>0</v>
      </c>
      <c r="BO89" s="51">
        <f t="shared" ca="1" si="82"/>
        <v>0</v>
      </c>
      <c r="BP89" s="51">
        <f t="shared" ca="1" si="83"/>
        <v>0</v>
      </c>
      <c r="BQ89" s="120"/>
      <c r="BR89" s="32"/>
      <c r="BS89" s="126"/>
      <c r="BT89" s="16"/>
      <c r="BU89" s="58"/>
      <c r="BW89" s="51">
        <f>VLOOKUP(H89,Charges!$AT$4:$AU$33,2,FALSE)*I89</f>
        <v>0</v>
      </c>
      <c r="BX89" s="51">
        <f t="shared" si="84"/>
        <v>0</v>
      </c>
      <c r="BY89" s="51">
        <f t="shared" si="93"/>
        <v>0</v>
      </c>
      <c r="BZ89" s="151"/>
      <c r="CA89" s="151"/>
      <c r="CB89" s="32"/>
      <c r="CC89" s="16">
        <f ca="1">SUM($N$7:$N89)</f>
        <v>0</v>
      </c>
      <c r="CD89" s="16">
        <f t="shared" ca="1" si="85"/>
        <v>0</v>
      </c>
      <c r="CE89" s="16">
        <f t="shared" ca="1" si="86"/>
        <v>0</v>
      </c>
      <c r="CF89" s="7">
        <f t="shared" ca="1" si="94"/>
        <v>0</v>
      </c>
    </row>
    <row r="90" spans="1:84" s="7" customFormat="1" x14ac:dyDescent="0.2">
      <c r="A90" s="149"/>
      <c r="B90" s="14">
        <f t="shared" si="55"/>
        <v>1</v>
      </c>
      <c r="C90" s="12">
        <f t="shared" si="56"/>
        <v>1</v>
      </c>
      <c r="D90" s="17">
        <f t="shared" si="95"/>
        <v>84</v>
      </c>
      <c r="E90" s="17">
        <f t="shared" ca="1" si="57"/>
        <v>66</v>
      </c>
      <c r="F90" s="12">
        <f t="shared" si="97"/>
        <v>11</v>
      </c>
      <c r="G90" s="12">
        <f t="shared" si="96"/>
        <v>14</v>
      </c>
      <c r="H90" s="17">
        <f t="shared" si="98"/>
        <v>7</v>
      </c>
      <c r="I90" s="29">
        <f t="shared" si="58"/>
        <v>0</v>
      </c>
      <c r="J90" s="211">
        <f>IFERROR(VLOOKUP(H90,Charges!$T$6:$U$35,2,0)*C90,0)</f>
        <v>0.98</v>
      </c>
      <c r="K90" s="29">
        <f t="shared" si="59"/>
        <v>0</v>
      </c>
      <c r="L90" s="29">
        <f t="shared" si="60"/>
        <v>0</v>
      </c>
      <c r="M90" s="147">
        <f t="shared" ca="1" si="61"/>
        <v>0</v>
      </c>
      <c r="N90" s="148">
        <f ca="1">IF(AND(Option_SPW="Y",Z89&gt;=SPW_Start_Min_FV,H90&gt;=Lock_In_Period,Z89&gt;SPW_Amount_pa+IF(option="Single",1/5*pr,2*pr),H90&gt;=SPW_Start_Year,H90&lt;=SPW_Start_Year+SPW_Duration-1,F90=0,age+H90&gt;=Legal_Age),SPW_Amount_pa,0)+IFERROR(VLOOKUP(H90,Input!$B$68:$C$74,2,0),0)*(F90=0)*(Option_PW="Y")*(Option_SPW="N")*(age+H90&gt;=Legal_Age)</f>
        <v>0</v>
      </c>
      <c r="O90" s="148">
        <f t="shared" ca="1" si="87"/>
        <v>0</v>
      </c>
      <c r="P90" s="14">
        <f ca="1">(MAX(MAX(sa-CF89*Flag_UL_Type,105%*SUM($I$7:I90))-(AD89+L90-N90)*Flag_UL_Type,0)*B90)</f>
        <v>433300.75666814204</v>
      </c>
      <c r="Q90" s="213">
        <f t="shared" ca="1" si="62"/>
        <v>0</v>
      </c>
      <c r="R90" s="14">
        <f t="shared" ca="1" si="63"/>
        <v>0</v>
      </c>
      <c r="S90" s="14">
        <f t="shared" ca="1" si="64"/>
        <v>0</v>
      </c>
      <c r="T90" s="14">
        <f>IFERROR(IF(WoP_Flag="Y",IF(fq=1,VLOOKUP(ppt*fq-H90,Charges!$AN$41:$AO$59,2,FALSE),IF(fq=2,VLOOKUP(ppt*fq-G90,Charges!$AP$41:$AQ$79,2,FALSE),VLOOKUP(ppt*fq-D90,Charges!$AR$41:$AS$279,2,FALSE)))*pr/fq,0),0)</f>
        <v>0</v>
      </c>
      <c r="U90" s="14">
        <f ca="1">IFERROR(((T90*(VLOOKUP(Input!$D$18+H90-1,Tab_Mort_Charge,IF(Gender_2="M",2,3),FALSE)*(1+_emr2)+_rpm2)/IF(Model_Type="LA_PQIS",1000/0.0833,(12*1000))))*Flag_Mort_Rider_Charge*(T90&gt;0),0)</f>
        <v>0</v>
      </c>
      <c r="V90" s="34">
        <f>ROUND(MIN(IF(H90&gt;=7,Charges!$C$12*(1+Charges!$C$14)^((H90-7+1)),VLOOKUP(H90,Charges!$B$7:$C$12,2,0))*pr,Charges!$C$13)*B90,Round)</f>
        <v>500</v>
      </c>
      <c r="W90" s="14">
        <f t="shared" ca="1" si="65"/>
        <v>2566199.243331858</v>
      </c>
      <c r="X90" s="14">
        <f t="shared" ca="1" si="66"/>
        <v>2582710.2465317231</v>
      </c>
      <c r="Y90" s="213">
        <f t="shared" ca="1" si="88"/>
        <v>2907.1302566470595</v>
      </c>
      <c r="Z90" s="14">
        <f t="shared" ca="1" si="67"/>
        <v>2579803.1162750758</v>
      </c>
      <c r="AA90" s="14">
        <f>IF(AND($H90=pt,$F90=11),SUM($K$7:K90)*VLOOKUP(pt,ROC,2,FALSE),0)</f>
        <v>0</v>
      </c>
      <c r="AB90" s="14">
        <f>IF(AND($H90=pt,$F90=11),SUM($V$7:V90)*VLOOKUP(pt,ROC,2,FALSE),0)</f>
        <v>0</v>
      </c>
      <c r="AC90" s="14">
        <f>IF(AND($H90=pt,$F90=11),SUM($Q$7:Q90)*VLOOKUP(pt,ROC,2,FALSE),0)</f>
        <v>0</v>
      </c>
      <c r="AD90" s="14">
        <f t="shared" ca="1" si="89"/>
        <v>2579803.1162750758</v>
      </c>
      <c r="AE90" s="14">
        <f ca="1">(MAX(sa-CF89*Flag_UL_Type,105%*SUM($I$7:I90),Z90)+AU90)*B90</f>
        <v>3000000</v>
      </c>
      <c r="AF90" s="136"/>
      <c r="AG90" s="18">
        <v>84</v>
      </c>
      <c r="AH90" s="30">
        <f t="shared" ca="1" si="68"/>
        <v>0</v>
      </c>
      <c r="AI90" s="138"/>
      <c r="AJ90" s="50">
        <f>IF(AND(Option_Sys_TopUp&gt;="Y",H90&gt;=sytp,H90&lt;=(dtp+sytp-1),F90=0,H90&lt;=ppt+1),atp,0)+IFERROR(VLOOKUP(H90,Input!$B$55:$C$61,2,0),0)*(F90=0)*(Option_TopUP="Y")*(Option_Sys_TopUp="N")*B90*(pt&gt;=H90+5)</f>
        <v>0</v>
      </c>
      <c r="AK90" s="50">
        <f t="shared" si="69"/>
        <v>0</v>
      </c>
      <c r="AL90" s="50">
        <f t="shared" si="90"/>
        <v>0</v>
      </c>
      <c r="AM90" s="50">
        <f t="shared" ca="1" si="70"/>
        <v>0</v>
      </c>
      <c r="AN90" s="50">
        <f ca="1">IF(B90=0,0,AT90*(_rpm1+(1+_emr1)*VLOOKUP(E90,Tab_Mort_Charge,IF(Input!$C$12="M",2,3),0))*(0.001*0.0833)*Flag_Mort_Rider_Charge*(AT90&gt;0))</f>
        <v>0</v>
      </c>
      <c r="AO90" s="50">
        <f t="shared" ca="1" si="91"/>
        <v>0</v>
      </c>
      <c r="AP90" s="50">
        <f t="shared" ca="1" si="92"/>
        <v>0</v>
      </c>
      <c r="AQ90" s="50">
        <f t="shared" ca="1" si="71"/>
        <v>0</v>
      </c>
      <c r="AR90" s="50">
        <f t="shared" ca="1" si="72"/>
        <v>0</v>
      </c>
      <c r="AS90" s="50">
        <f t="shared" si="73"/>
        <v>0</v>
      </c>
      <c r="AT90" s="50">
        <f ca="1">(MAX((MAX(AS90,105%*SUM($AJ$7:AJ90))-AM90*Flag_UL_Type),0)*B90)</f>
        <v>0</v>
      </c>
      <c r="AU90" s="50">
        <f ca="1">(MAX(AS90,AR90,105%*SUM($AJ$7:AJ90))*B90)</f>
        <v>0</v>
      </c>
      <c r="AV90" s="125"/>
      <c r="AW90" s="13"/>
      <c r="AX90" s="13"/>
      <c r="AY90" s="13"/>
      <c r="AZ90" s="13"/>
      <c r="BA90" s="13"/>
      <c r="BG90" s="51">
        <f t="shared" si="74"/>
        <v>0</v>
      </c>
      <c r="BH90" s="51">
        <f t="shared" ca="1" si="75"/>
        <v>0</v>
      </c>
      <c r="BI90" s="51">
        <f t="shared" ca="1" si="76"/>
        <v>0</v>
      </c>
      <c r="BJ90" s="51">
        <f t="shared" ca="1" si="77"/>
        <v>0</v>
      </c>
      <c r="BK90" s="51">
        <f t="shared" si="78"/>
        <v>0</v>
      </c>
      <c r="BL90" s="51">
        <f t="shared" ca="1" si="79"/>
        <v>0</v>
      </c>
      <c r="BM90" s="51">
        <f t="shared" si="80"/>
        <v>0</v>
      </c>
      <c r="BN90" s="51">
        <f t="shared" ca="1" si="81"/>
        <v>0</v>
      </c>
      <c r="BO90" s="51">
        <f t="shared" ca="1" si="82"/>
        <v>0</v>
      </c>
      <c r="BP90" s="51">
        <f t="shared" ca="1" si="83"/>
        <v>0</v>
      </c>
      <c r="BQ90" s="120"/>
      <c r="BR90" s="32"/>
      <c r="BS90" s="126"/>
      <c r="BT90" s="16"/>
      <c r="BU90" s="58"/>
      <c r="BW90" s="51">
        <f>VLOOKUP(H90,Charges!$AT$4:$AU$33,2,FALSE)*I90</f>
        <v>0</v>
      </c>
      <c r="BX90" s="51">
        <f t="shared" si="84"/>
        <v>0</v>
      </c>
      <c r="BY90" s="51">
        <f t="shared" si="93"/>
        <v>0</v>
      </c>
      <c r="BZ90" s="151"/>
      <c r="CA90" s="151"/>
      <c r="CB90" s="32"/>
      <c r="CC90" s="16">
        <f ca="1">SUM($N$7:$N90)</f>
        <v>0</v>
      </c>
      <c r="CD90" s="16">
        <f t="shared" ca="1" si="85"/>
        <v>0</v>
      </c>
      <c r="CE90" s="16">
        <f t="shared" ca="1" si="86"/>
        <v>0</v>
      </c>
      <c r="CF90" s="7">
        <f t="shared" ca="1" si="94"/>
        <v>0</v>
      </c>
    </row>
    <row r="91" spans="1:84" s="7" customFormat="1" x14ac:dyDescent="0.2">
      <c r="A91" s="149"/>
      <c r="B91" s="14">
        <f t="shared" si="55"/>
        <v>1</v>
      </c>
      <c r="C91" s="12">
        <f t="shared" si="56"/>
        <v>1</v>
      </c>
      <c r="D91" s="17">
        <f t="shared" si="95"/>
        <v>85</v>
      </c>
      <c r="E91" s="17">
        <f t="shared" ca="1" si="57"/>
        <v>67</v>
      </c>
      <c r="F91" s="12">
        <f t="shared" si="97"/>
        <v>0</v>
      </c>
      <c r="G91" s="12">
        <f t="shared" si="96"/>
        <v>15</v>
      </c>
      <c r="H91" s="17">
        <f t="shared" si="98"/>
        <v>8</v>
      </c>
      <c r="I91" s="29">
        <f t="shared" si="58"/>
        <v>300000</v>
      </c>
      <c r="J91" s="211">
        <f>IFERROR(VLOOKUP(H91,Charges!$T$6:$U$35,2,0)*C91,0)</f>
        <v>0.98</v>
      </c>
      <c r="K91" s="29">
        <f t="shared" si="59"/>
        <v>6000.00000000001</v>
      </c>
      <c r="L91" s="29">
        <f t="shared" si="60"/>
        <v>294000</v>
      </c>
      <c r="M91" s="147">
        <f t="shared" ca="1" si="61"/>
        <v>0</v>
      </c>
      <c r="N91" s="148">
        <f ca="1">IF(AND(Option_SPW="Y",Z90&gt;=SPW_Start_Min_FV,H91&gt;=Lock_In_Period,Z90&gt;SPW_Amount_pa+IF(option="Single",1/5*pr,2*pr),H91&gt;=SPW_Start_Year,H91&lt;=SPW_Start_Year+SPW_Duration-1,F91=0,age+H91&gt;=Legal_Age),SPW_Amount_pa,0)+IFERROR(VLOOKUP(H91,Input!$B$68:$C$74,2,0),0)*(F91=0)*(Option_PW="Y")*(Option_SPW="N")*(age+H91&gt;=Legal_Age)</f>
        <v>0</v>
      </c>
      <c r="O91" s="148">
        <f t="shared" ca="1" si="87"/>
        <v>0</v>
      </c>
      <c r="P91" s="14">
        <f ca="1">(MAX(MAX(sa-CF90*Flag_UL_Type,105%*SUM($I$7:I91))-(AD90+L91-N91)*Flag_UL_Type,0)*B91)</f>
        <v>126196.88372492418</v>
      </c>
      <c r="Q91" s="213">
        <f t="shared" ca="1" si="62"/>
        <v>0</v>
      </c>
      <c r="R91" s="14">
        <f t="shared" ca="1" si="63"/>
        <v>0</v>
      </c>
      <c r="S91" s="14">
        <f t="shared" ca="1" si="64"/>
        <v>0</v>
      </c>
      <c r="T91" s="14">
        <f>IFERROR(IF(WoP_Flag="Y",IF(fq=1,VLOOKUP(ppt*fq-H91,Charges!$AN$41:$AO$59,2,FALSE),IF(fq=2,VLOOKUP(ppt*fq-G91,Charges!$AP$41:$AQ$79,2,FALSE),VLOOKUP(ppt*fq-D91,Charges!$AR$41:$AS$279,2,FALSE)))*pr/fq,0),0)</f>
        <v>0</v>
      </c>
      <c r="U91" s="14">
        <f ca="1">IFERROR(((T91*(VLOOKUP(Input!$D$18+H91-1,Tab_Mort_Charge,IF(Gender_2="M",2,3),FALSE)*(1+_emr2)+_rpm2)/IF(Model_Type="LA_PQIS",1000/0.0833,(12*1000))))*Flag_Mort_Rider_Charge*(T91&gt;0),0)</f>
        <v>0</v>
      </c>
      <c r="V91" s="34">
        <f>ROUND(MIN(IF(H91&gt;=7,Charges!$C$12*(1+Charges!$C$14)^((H91-7+1)),VLOOKUP(H91,Charges!$B$7:$C$12,2,0))*pr,Charges!$C$13)*B91,Round)</f>
        <v>500</v>
      </c>
      <c r="W91" s="14">
        <f t="shared" ca="1" si="65"/>
        <v>2873303.1162750758</v>
      </c>
      <c r="X91" s="14">
        <f t="shared" ca="1" si="66"/>
        <v>2891790.0350403562</v>
      </c>
      <c r="Y91" s="213">
        <f t="shared" ca="1" si="88"/>
        <v>3255.0342486253116</v>
      </c>
      <c r="Z91" s="14">
        <f t="shared" ca="1" si="67"/>
        <v>2888535.0007917308</v>
      </c>
      <c r="AA91" s="14">
        <f>IF(AND($H91=pt,$F91=11),SUM($K$7:K91)*VLOOKUP(pt,ROC,2,FALSE),0)</f>
        <v>0</v>
      </c>
      <c r="AB91" s="14">
        <f>IF(AND($H91=pt,$F91=11),SUM($V$7:V91)*VLOOKUP(pt,ROC,2,FALSE),0)</f>
        <v>0</v>
      </c>
      <c r="AC91" s="14">
        <f>IF(AND($H91=pt,$F91=11),SUM($Q$7:Q91)*VLOOKUP(pt,ROC,2,FALSE),0)</f>
        <v>0</v>
      </c>
      <c r="AD91" s="14">
        <f t="shared" ca="1" si="89"/>
        <v>2888535.0007917308</v>
      </c>
      <c r="AE91" s="14">
        <f ca="1">(MAX(sa-CF90*Flag_UL_Type,105%*SUM($I$7:I91),Z91)+AU91)*B91</f>
        <v>3000000</v>
      </c>
      <c r="AF91" s="136"/>
      <c r="AG91" s="18">
        <v>85</v>
      </c>
      <c r="AH91" s="30">
        <f t="shared" ca="1" si="68"/>
        <v>300000</v>
      </c>
      <c r="AI91" s="138"/>
      <c r="AJ91" s="50">
        <f>IF(AND(Option_Sys_TopUp&gt;="Y",H91&gt;=sytp,H91&lt;=(dtp+sytp-1),F91=0,H91&lt;=ppt+1),atp,0)+IFERROR(VLOOKUP(H91,Input!$B$55:$C$61,2,0),0)*(F91=0)*(Option_TopUP="Y")*(Option_Sys_TopUp="N")*B91*(pt&gt;=H91+5)</f>
        <v>0</v>
      </c>
      <c r="AK91" s="50">
        <f t="shared" si="69"/>
        <v>0</v>
      </c>
      <c r="AL91" s="50">
        <f t="shared" si="90"/>
        <v>0</v>
      </c>
      <c r="AM91" s="50">
        <f t="shared" ca="1" si="70"/>
        <v>0</v>
      </c>
      <c r="AN91" s="50">
        <f ca="1">IF(B91=0,0,AT91*(_rpm1+(1+_emr1)*VLOOKUP(E91,Tab_Mort_Charge,IF(Input!$C$12="M",2,3),0))*(0.001*0.0833)*Flag_Mort_Rider_Charge*(AT91&gt;0))</f>
        <v>0</v>
      </c>
      <c r="AO91" s="50">
        <f t="shared" ca="1" si="91"/>
        <v>0</v>
      </c>
      <c r="AP91" s="50">
        <f ca="1">AO91*(1+$F$3)*B91</f>
        <v>0</v>
      </c>
      <c r="AQ91" s="50">
        <f t="shared" ca="1" si="71"/>
        <v>0</v>
      </c>
      <c r="AR91" s="50">
        <f t="shared" ca="1" si="72"/>
        <v>0</v>
      </c>
      <c r="AS91" s="50">
        <f t="shared" si="73"/>
        <v>0</v>
      </c>
      <c r="AT91" s="50">
        <f ca="1">(MAX((MAX(AS91,105%*SUM($AJ$7:AJ91))-AM91*Flag_UL_Type),0)*B91)</f>
        <v>0</v>
      </c>
      <c r="AU91" s="50">
        <f ca="1">(MAX(AS91,AR91,105%*SUM($AJ$7:AJ91))*B91)</f>
        <v>0</v>
      </c>
      <c r="AV91" s="125"/>
      <c r="AW91" s="13"/>
      <c r="AX91" s="13"/>
      <c r="AY91" s="13"/>
      <c r="AZ91" s="13"/>
      <c r="BA91" s="13"/>
      <c r="BG91" s="51">
        <f t="shared" si="74"/>
        <v>0</v>
      </c>
      <c r="BH91" s="51">
        <f t="shared" ca="1" si="75"/>
        <v>0</v>
      </c>
      <c r="BI91" s="51">
        <f t="shared" ca="1" si="76"/>
        <v>0</v>
      </c>
      <c r="BJ91" s="51">
        <f t="shared" ca="1" si="77"/>
        <v>0</v>
      </c>
      <c r="BK91" s="51">
        <f t="shared" si="78"/>
        <v>0</v>
      </c>
      <c r="BL91" s="51">
        <f t="shared" ca="1" si="79"/>
        <v>0</v>
      </c>
      <c r="BM91" s="51">
        <f t="shared" si="80"/>
        <v>0</v>
      </c>
      <c r="BN91" s="51">
        <f t="shared" ca="1" si="81"/>
        <v>0</v>
      </c>
      <c r="BO91" s="51">
        <f t="shared" ca="1" si="82"/>
        <v>0</v>
      </c>
      <c r="BP91" s="51">
        <f t="shared" ca="1" si="83"/>
        <v>0</v>
      </c>
      <c r="BQ91" s="120"/>
      <c r="BR91" s="32"/>
      <c r="BS91" s="126"/>
      <c r="BT91" s="16"/>
      <c r="BU91" s="58"/>
      <c r="BW91" s="51">
        <f>VLOOKUP(H91,Charges!$AT$4:$AU$33,2,FALSE)*I91</f>
        <v>1500</v>
      </c>
      <c r="BX91" s="51">
        <f t="shared" si="84"/>
        <v>0</v>
      </c>
      <c r="BY91" s="51">
        <f t="shared" si="93"/>
        <v>1500</v>
      </c>
      <c r="BZ91" s="151"/>
      <c r="CA91" s="151"/>
      <c r="CB91" s="32"/>
      <c r="CC91" s="16">
        <f ca="1">SUM($N$7:$N91)</f>
        <v>0</v>
      </c>
      <c r="CD91" s="16">
        <f t="shared" ca="1" si="85"/>
        <v>0</v>
      </c>
      <c r="CE91" s="16">
        <f t="shared" ca="1" si="86"/>
        <v>0</v>
      </c>
      <c r="CF91" s="7">
        <f t="shared" ca="1" si="94"/>
        <v>0</v>
      </c>
    </row>
    <row r="92" spans="1:84" s="7" customFormat="1" x14ac:dyDescent="0.2">
      <c r="A92" s="149"/>
      <c r="B92" s="14">
        <f t="shared" si="55"/>
        <v>1</v>
      </c>
      <c r="C92" s="12">
        <f t="shared" si="56"/>
        <v>1</v>
      </c>
      <c r="D92" s="17">
        <f t="shared" si="95"/>
        <v>86</v>
      </c>
      <c r="E92" s="17">
        <f t="shared" ca="1" si="57"/>
        <v>67</v>
      </c>
      <c r="F92" s="12">
        <f t="shared" si="97"/>
        <v>1</v>
      </c>
      <c r="G92" s="12">
        <f t="shared" si="96"/>
        <v>15</v>
      </c>
      <c r="H92" s="17">
        <f t="shared" si="98"/>
        <v>8</v>
      </c>
      <c r="I92" s="29">
        <f t="shared" si="58"/>
        <v>0</v>
      </c>
      <c r="J92" s="211">
        <f>IFERROR(VLOOKUP(H92,Charges!$T$6:$U$35,2,0)*C92,0)</f>
        <v>0.98</v>
      </c>
      <c r="K92" s="29">
        <f t="shared" si="59"/>
        <v>0</v>
      </c>
      <c r="L92" s="29">
        <f t="shared" si="60"/>
        <v>0</v>
      </c>
      <c r="M92" s="147">
        <f t="shared" ca="1" si="61"/>
        <v>0</v>
      </c>
      <c r="N92" s="148">
        <f ca="1">IF(AND(Option_SPW="Y",Z91&gt;=SPW_Start_Min_FV,H92&gt;=Lock_In_Period,Z91&gt;SPW_Amount_pa+IF(option="Single",1/5*pr,2*pr),H92&gt;=SPW_Start_Year,H92&lt;=SPW_Start_Year+SPW_Duration-1,F92=0,age+H92&gt;=Legal_Age),SPW_Amount_pa,0)+IFERROR(VLOOKUP(H92,Input!$B$68:$C$74,2,0),0)*(F92=0)*(Option_PW="Y")*(Option_SPW="N")*(age+H92&gt;=Legal_Age)</f>
        <v>0</v>
      </c>
      <c r="O92" s="148">
        <f t="shared" ca="1" si="87"/>
        <v>0</v>
      </c>
      <c r="P92" s="14">
        <f ca="1">(MAX(MAX(sa-CF91*Flag_UL_Type,105%*SUM($I$7:I92))-(AD91+L92-N92)*Flag_UL_Type,0)*B92)</f>
        <v>111464.99920826918</v>
      </c>
      <c r="Q92" s="213">
        <f t="shared" ca="1" si="62"/>
        <v>0</v>
      </c>
      <c r="R92" s="14">
        <f t="shared" ca="1" si="63"/>
        <v>0</v>
      </c>
      <c r="S92" s="14">
        <f t="shared" ca="1" si="64"/>
        <v>0</v>
      </c>
      <c r="T92" s="14">
        <f>IFERROR(IF(WoP_Flag="Y",IF(fq=1,VLOOKUP(ppt*fq-H92,Charges!$AN$41:$AO$59,2,FALSE),IF(fq=2,VLOOKUP(ppt*fq-G92,Charges!$AP$41:$AQ$79,2,FALSE),VLOOKUP(ppt*fq-D92,Charges!$AR$41:$AS$279,2,FALSE)))*pr/fq,0),0)</f>
        <v>0</v>
      </c>
      <c r="U92" s="14">
        <f ca="1">IFERROR(((T92*(VLOOKUP(Input!$D$18+H92-1,Tab_Mort_Charge,IF(Gender_2="M",2,3),FALSE)*(1+_emr2)+_rpm2)/IF(Model_Type="LA_PQIS",1000/0.0833,(12*1000))))*Flag_Mort_Rider_Charge*(T92&gt;0),0)</f>
        <v>0</v>
      </c>
      <c r="V92" s="34">
        <f>ROUND(MIN(IF(H92&gt;=7,Charges!$C$12*(1+Charges!$C$14)^((H92-7+1)),VLOOKUP(H92,Charges!$B$7:$C$12,2,0))*pr,Charges!$C$13)*B92,Round)</f>
        <v>500</v>
      </c>
      <c r="W92" s="14">
        <f t="shared" ca="1" si="65"/>
        <v>2888035.0007917308</v>
      </c>
      <c r="X92" s="14">
        <f t="shared" ca="1" si="66"/>
        <v>2906616.7049455685</v>
      </c>
      <c r="Y92" s="213">
        <f t="shared" ca="1" si="88"/>
        <v>3271.7233296961144</v>
      </c>
      <c r="Z92" s="14">
        <f t="shared" ca="1" si="67"/>
        <v>2903344.9816158721</v>
      </c>
      <c r="AA92" s="14">
        <f>IF(AND($H92=pt,$F92=11),SUM($K$7:K92)*VLOOKUP(pt,ROC,2,FALSE),0)</f>
        <v>0</v>
      </c>
      <c r="AB92" s="14">
        <f>IF(AND($H92=pt,$F92=11),SUM($V$7:V92)*VLOOKUP(pt,ROC,2,FALSE),0)</f>
        <v>0</v>
      </c>
      <c r="AC92" s="14">
        <f>IF(AND($H92=pt,$F92=11),SUM($Q$7:Q92)*VLOOKUP(pt,ROC,2,FALSE),0)</f>
        <v>0</v>
      </c>
      <c r="AD92" s="14">
        <f t="shared" ca="1" si="89"/>
        <v>2903344.9816158721</v>
      </c>
      <c r="AE92" s="14">
        <f ca="1">(MAX(sa-CF91*Flag_UL_Type,105%*SUM($I$7:I92),Z92)+AU92)*B92</f>
        <v>3000000</v>
      </c>
      <c r="AF92" s="136"/>
      <c r="AG92" s="18">
        <v>86</v>
      </c>
      <c r="AH92" s="30">
        <f t="shared" ca="1" si="68"/>
        <v>0</v>
      </c>
      <c r="AI92" s="138"/>
      <c r="AJ92" s="50">
        <f>IF(AND(Option_Sys_TopUp&gt;="Y",H92&gt;=sytp,H92&lt;=(dtp+sytp-1),F92=0,H92&lt;=ppt+1),atp,0)+IFERROR(VLOOKUP(H92,Input!$B$55:$C$61,2,0),0)*(F92=0)*(Option_TopUP="Y")*(Option_Sys_TopUp="N")*B92*(pt&gt;=H92+5)</f>
        <v>0</v>
      </c>
      <c r="AK92" s="50">
        <f t="shared" si="69"/>
        <v>0</v>
      </c>
      <c r="AL92" s="50">
        <f t="shared" si="90"/>
        <v>0</v>
      </c>
      <c r="AM92" s="50">
        <f t="shared" ca="1" si="70"/>
        <v>0</v>
      </c>
      <c r="AN92" s="50">
        <f ca="1">IF(B92=0,0,AT92*(_rpm1+(1+_emr1)*VLOOKUP(E92,Tab_Mort_Charge,IF(Input!$C$12="M",2,3),0))*(0.001*0.0833)*Flag_Mort_Rider_Charge*(AT92&gt;0))</f>
        <v>0</v>
      </c>
      <c r="AO92" s="50">
        <f t="shared" ca="1" si="91"/>
        <v>0</v>
      </c>
      <c r="AP92" s="50">
        <f t="shared" ref="AP92:AP155" ca="1" si="99">AO92*(1+$F$3)*B92</f>
        <v>0</v>
      </c>
      <c r="AQ92" s="50">
        <f t="shared" ca="1" si="71"/>
        <v>0</v>
      </c>
      <c r="AR92" s="50">
        <f t="shared" ca="1" si="72"/>
        <v>0</v>
      </c>
      <c r="AS92" s="50">
        <f t="shared" si="73"/>
        <v>0</v>
      </c>
      <c r="AT92" s="50">
        <f ca="1">(MAX((MAX(AS92,105%*SUM($AJ$7:AJ92))-AM92*Flag_UL_Type),0)*B92)</f>
        <v>0</v>
      </c>
      <c r="AU92" s="50">
        <f ca="1">(MAX(AS92,AR92,105%*SUM($AJ$7:AJ92))*B92)</f>
        <v>0</v>
      </c>
      <c r="AV92" s="125"/>
      <c r="AW92" s="13"/>
      <c r="AX92" s="13"/>
      <c r="AY92" s="13"/>
      <c r="AZ92" s="13"/>
      <c r="BA92" s="13"/>
      <c r="BG92" s="51">
        <f t="shared" si="74"/>
        <v>0</v>
      </c>
      <c r="BH92" s="51">
        <f t="shared" ca="1" si="75"/>
        <v>0</v>
      </c>
      <c r="BI92" s="51">
        <f t="shared" ca="1" si="76"/>
        <v>0</v>
      </c>
      <c r="BJ92" s="51">
        <f t="shared" ca="1" si="77"/>
        <v>0</v>
      </c>
      <c r="BK92" s="51">
        <f t="shared" si="78"/>
        <v>0</v>
      </c>
      <c r="BL92" s="51">
        <f t="shared" ca="1" si="79"/>
        <v>0</v>
      </c>
      <c r="BM92" s="51">
        <f t="shared" si="80"/>
        <v>0</v>
      </c>
      <c r="BN92" s="51">
        <f t="shared" ca="1" si="81"/>
        <v>0</v>
      </c>
      <c r="BO92" s="51">
        <f t="shared" ca="1" si="82"/>
        <v>0</v>
      </c>
      <c r="BP92" s="51">
        <f t="shared" ca="1" si="83"/>
        <v>0</v>
      </c>
      <c r="BQ92" s="120"/>
      <c r="BR92" s="32"/>
      <c r="BS92" s="126"/>
      <c r="BT92" s="16"/>
      <c r="BU92" s="58"/>
      <c r="BW92" s="51">
        <f>VLOOKUP(H92,Charges!$AT$4:$AU$33,2,FALSE)*I92</f>
        <v>0</v>
      </c>
      <c r="BX92" s="51">
        <f t="shared" si="84"/>
        <v>0</v>
      </c>
      <c r="BY92" s="51">
        <f t="shared" si="93"/>
        <v>0</v>
      </c>
      <c r="BZ92" s="151"/>
      <c r="CA92" s="151"/>
      <c r="CB92" s="32"/>
      <c r="CC92" s="16">
        <f ca="1">SUM($N$7:$N92)</f>
        <v>0</v>
      </c>
      <c r="CD92" s="16">
        <f t="shared" ca="1" si="85"/>
        <v>0</v>
      </c>
      <c r="CE92" s="16">
        <f t="shared" ca="1" si="86"/>
        <v>0</v>
      </c>
      <c r="CF92" s="7">
        <f t="shared" ca="1" si="94"/>
        <v>0</v>
      </c>
    </row>
    <row r="93" spans="1:84" s="7" customFormat="1" x14ac:dyDescent="0.2">
      <c r="A93" s="149"/>
      <c r="B93" s="14">
        <f t="shared" si="55"/>
        <v>1</v>
      </c>
      <c r="C93" s="12">
        <f t="shared" si="56"/>
        <v>1</v>
      </c>
      <c r="D93" s="17">
        <f t="shared" si="95"/>
        <v>87</v>
      </c>
      <c r="E93" s="17">
        <f t="shared" ca="1" si="57"/>
        <v>67</v>
      </c>
      <c r="F93" s="12">
        <f t="shared" si="97"/>
        <v>2</v>
      </c>
      <c r="G93" s="12">
        <f t="shared" si="96"/>
        <v>15</v>
      </c>
      <c r="H93" s="17">
        <f t="shared" si="98"/>
        <v>8</v>
      </c>
      <c r="I93" s="29">
        <f t="shared" si="58"/>
        <v>0</v>
      </c>
      <c r="J93" s="211">
        <f>IFERROR(VLOOKUP(H93,Charges!$T$6:$U$35,2,0)*C93,0)</f>
        <v>0.98</v>
      </c>
      <c r="K93" s="29">
        <f t="shared" si="59"/>
        <v>0</v>
      </c>
      <c r="L93" s="29">
        <f t="shared" si="60"/>
        <v>0</v>
      </c>
      <c r="M93" s="147">
        <f t="shared" ca="1" si="61"/>
        <v>0</v>
      </c>
      <c r="N93" s="148">
        <f ca="1">IF(AND(Option_SPW="Y",Z92&gt;=SPW_Start_Min_FV,H93&gt;=Lock_In_Period,Z92&gt;SPW_Amount_pa+IF(option="Single",1/5*pr,2*pr),H93&gt;=SPW_Start_Year,H93&lt;=SPW_Start_Year+SPW_Duration-1,F93=0,age+H93&gt;=Legal_Age),SPW_Amount_pa,0)+IFERROR(VLOOKUP(H93,Input!$B$68:$C$74,2,0),0)*(F93=0)*(Option_PW="Y")*(Option_SPW="N")*(age+H93&gt;=Legal_Age)</f>
        <v>0</v>
      </c>
      <c r="O93" s="148">
        <f t="shared" ca="1" si="87"/>
        <v>0</v>
      </c>
      <c r="P93" s="14">
        <f ca="1">(MAX(MAX(sa-CF92*Flag_UL_Type,105%*SUM($I$7:I93))-(AD92+L93-N93)*Flag_UL_Type,0)*B93)</f>
        <v>96655.018384127878</v>
      </c>
      <c r="Q93" s="213">
        <f t="shared" ca="1" si="62"/>
        <v>0</v>
      </c>
      <c r="R93" s="14">
        <f t="shared" ca="1" si="63"/>
        <v>0</v>
      </c>
      <c r="S93" s="14">
        <f t="shared" ca="1" si="64"/>
        <v>0</v>
      </c>
      <c r="T93" s="14">
        <f>IFERROR(IF(WoP_Flag="Y",IF(fq=1,VLOOKUP(ppt*fq-H93,Charges!$AN$41:$AO$59,2,FALSE),IF(fq=2,VLOOKUP(ppt*fq-G93,Charges!$AP$41:$AQ$79,2,FALSE),VLOOKUP(ppt*fq-D93,Charges!$AR$41:$AS$279,2,FALSE)))*pr/fq,0),0)</f>
        <v>0</v>
      </c>
      <c r="U93" s="14">
        <f ca="1">IFERROR(((T93*(VLOOKUP(Input!$D$18+H93-1,Tab_Mort_Charge,IF(Gender_2="M",2,3),FALSE)*(1+_emr2)+_rpm2)/IF(Model_Type="LA_PQIS",1000/0.0833,(12*1000))))*Flag_Mort_Rider_Charge*(T93&gt;0),0)</f>
        <v>0</v>
      </c>
      <c r="V93" s="34">
        <f>ROUND(MIN(IF(H93&gt;=7,Charges!$C$12*(1+Charges!$C$14)^((H93-7+1)),VLOOKUP(H93,Charges!$B$7:$C$12,2,0))*pr,Charges!$C$13)*B93,Round)</f>
        <v>500</v>
      </c>
      <c r="W93" s="14">
        <f t="shared" ca="1" si="65"/>
        <v>2902844.9816158721</v>
      </c>
      <c r="X93" s="14">
        <f t="shared" ca="1" si="66"/>
        <v>2921521.9736322612</v>
      </c>
      <c r="Y93" s="213">
        <f t="shared" ca="1" si="88"/>
        <v>3288.5008825171199</v>
      </c>
      <c r="Z93" s="14">
        <f t="shared" ca="1" si="67"/>
        <v>2918233.4727497441</v>
      </c>
      <c r="AA93" s="14">
        <f>IF(AND($H93=pt,$F93=11),SUM($K$7:K93)*VLOOKUP(pt,ROC,2,FALSE),0)</f>
        <v>0</v>
      </c>
      <c r="AB93" s="14">
        <f>IF(AND($H93=pt,$F93=11),SUM($V$7:V93)*VLOOKUP(pt,ROC,2,FALSE),0)</f>
        <v>0</v>
      </c>
      <c r="AC93" s="14">
        <f>IF(AND($H93=pt,$F93=11),SUM($Q$7:Q93)*VLOOKUP(pt,ROC,2,FALSE),0)</f>
        <v>0</v>
      </c>
      <c r="AD93" s="14">
        <f t="shared" ca="1" si="89"/>
        <v>2918233.4727497441</v>
      </c>
      <c r="AE93" s="14">
        <f ca="1">(MAX(sa-CF92*Flag_UL_Type,105%*SUM($I$7:I93),Z93)+AU93)*B93</f>
        <v>3000000</v>
      </c>
      <c r="AF93" s="136"/>
      <c r="AG93" s="18">
        <v>87</v>
      </c>
      <c r="AH93" s="30">
        <f t="shared" ca="1" si="68"/>
        <v>0</v>
      </c>
      <c r="AI93" s="138"/>
      <c r="AJ93" s="50">
        <f>IF(AND(Option_Sys_TopUp&gt;="Y",H93&gt;=sytp,H93&lt;=(dtp+sytp-1),F93=0,H93&lt;=ppt+1),atp,0)+IFERROR(VLOOKUP(H93,Input!$B$55:$C$61,2,0),0)*(F93=0)*(Option_TopUP="Y")*(Option_Sys_TopUp="N")*B93*(pt&gt;=H93+5)</f>
        <v>0</v>
      </c>
      <c r="AK93" s="50">
        <f t="shared" si="69"/>
        <v>0</v>
      </c>
      <c r="AL93" s="50">
        <f t="shared" si="90"/>
        <v>0</v>
      </c>
      <c r="AM93" s="50">
        <f t="shared" ca="1" si="70"/>
        <v>0</v>
      </c>
      <c r="AN93" s="50">
        <f ca="1">IF(B93=0,0,AT93*(_rpm1+(1+_emr1)*VLOOKUP(E93,Tab_Mort_Charge,IF(Input!$C$12="M",2,3),0))*(0.001*0.0833)*Flag_Mort_Rider_Charge*(AT93&gt;0))</f>
        <v>0</v>
      </c>
      <c r="AO93" s="50">
        <f t="shared" ca="1" si="91"/>
        <v>0</v>
      </c>
      <c r="AP93" s="50">
        <f t="shared" ca="1" si="99"/>
        <v>0</v>
      </c>
      <c r="AQ93" s="50">
        <f t="shared" ca="1" si="71"/>
        <v>0</v>
      </c>
      <c r="AR93" s="50">
        <f t="shared" ca="1" si="72"/>
        <v>0</v>
      </c>
      <c r="AS93" s="50">
        <f t="shared" si="73"/>
        <v>0</v>
      </c>
      <c r="AT93" s="50">
        <f ca="1">(MAX((MAX(AS93,105%*SUM($AJ$7:AJ93))-AM93*Flag_UL_Type),0)*B93)</f>
        <v>0</v>
      </c>
      <c r="AU93" s="50">
        <f ca="1">(MAX(AS93,AR93,105%*SUM($AJ$7:AJ93))*B93)</f>
        <v>0</v>
      </c>
      <c r="AV93" s="125"/>
      <c r="AW93" s="13"/>
      <c r="AX93" s="13"/>
      <c r="AY93" s="13"/>
      <c r="AZ93" s="13"/>
      <c r="BA93" s="13"/>
      <c r="BG93" s="51">
        <f t="shared" si="74"/>
        <v>0</v>
      </c>
      <c r="BH93" s="51">
        <f t="shared" ca="1" si="75"/>
        <v>0</v>
      </c>
      <c r="BI93" s="51">
        <f t="shared" ca="1" si="76"/>
        <v>0</v>
      </c>
      <c r="BJ93" s="51">
        <f t="shared" ca="1" si="77"/>
        <v>0</v>
      </c>
      <c r="BK93" s="51">
        <f t="shared" si="78"/>
        <v>0</v>
      </c>
      <c r="BL93" s="51">
        <f t="shared" ca="1" si="79"/>
        <v>0</v>
      </c>
      <c r="BM93" s="51">
        <f t="shared" si="80"/>
        <v>0</v>
      </c>
      <c r="BN93" s="51">
        <f t="shared" ca="1" si="81"/>
        <v>0</v>
      </c>
      <c r="BO93" s="51">
        <f t="shared" ca="1" si="82"/>
        <v>0</v>
      </c>
      <c r="BP93" s="51">
        <f t="shared" ca="1" si="83"/>
        <v>0</v>
      </c>
      <c r="BQ93" s="120"/>
      <c r="BR93" s="32"/>
      <c r="BS93" s="126"/>
      <c r="BT93" s="16"/>
      <c r="BU93" s="58"/>
      <c r="BW93" s="51">
        <f>VLOOKUP(H93,Charges!$AT$4:$AU$33,2,FALSE)*I93</f>
        <v>0</v>
      </c>
      <c r="BX93" s="51">
        <f t="shared" si="84"/>
        <v>0</v>
      </c>
      <c r="BY93" s="51">
        <f t="shared" si="93"/>
        <v>0</v>
      </c>
      <c r="BZ93" s="151"/>
      <c r="CA93" s="151"/>
      <c r="CB93" s="32"/>
      <c r="CC93" s="16">
        <f ca="1">SUM($N$7:$N93)</f>
        <v>0</v>
      </c>
      <c r="CD93" s="16">
        <f t="shared" ca="1" si="85"/>
        <v>0</v>
      </c>
      <c r="CE93" s="16">
        <f t="shared" ca="1" si="86"/>
        <v>0</v>
      </c>
      <c r="CF93" s="7">
        <f t="shared" ca="1" si="94"/>
        <v>0</v>
      </c>
    </row>
    <row r="94" spans="1:84" s="7" customFormat="1" x14ac:dyDescent="0.2">
      <c r="A94" s="149"/>
      <c r="B94" s="14">
        <f t="shared" si="55"/>
        <v>1</v>
      </c>
      <c r="C94" s="12">
        <f t="shared" si="56"/>
        <v>1</v>
      </c>
      <c r="D94" s="17">
        <f t="shared" si="95"/>
        <v>88</v>
      </c>
      <c r="E94" s="17">
        <f t="shared" ca="1" si="57"/>
        <v>67</v>
      </c>
      <c r="F94" s="12">
        <f t="shared" si="97"/>
        <v>3</v>
      </c>
      <c r="G94" s="12">
        <f t="shared" si="96"/>
        <v>15</v>
      </c>
      <c r="H94" s="17">
        <f t="shared" si="98"/>
        <v>8</v>
      </c>
      <c r="I94" s="29">
        <f t="shared" si="58"/>
        <v>0</v>
      </c>
      <c r="J94" s="211">
        <f>IFERROR(VLOOKUP(H94,Charges!$T$6:$U$35,2,0)*C94,0)</f>
        <v>0.98</v>
      </c>
      <c r="K94" s="29">
        <f t="shared" si="59"/>
        <v>0</v>
      </c>
      <c r="L94" s="29">
        <f t="shared" si="60"/>
        <v>0</v>
      </c>
      <c r="M94" s="147">
        <f t="shared" ca="1" si="61"/>
        <v>0</v>
      </c>
      <c r="N94" s="148">
        <f ca="1">IF(AND(Option_SPW="Y",Z93&gt;=SPW_Start_Min_FV,H94&gt;=Lock_In_Period,Z93&gt;SPW_Amount_pa+IF(option="Single",1/5*pr,2*pr),H94&gt;=SPW_Start_Year,H94&lt;=SPW_Start_Year+SPW_Duration-1,F94=0,age+H94&gt;=Legal_Age),SPW_Amount_pa,0)+IFERROR(VLOOKUP(H94,Input!$B$68:$C$74,2,0),0)*(F94=0)*(Option_PW="Y")*(Option_SPW="N")*(age+H94&gt;=Legal_Age)</f>
        <v>0</v>
      </c>
      <c r="O94" s="148">
        <f t="shared" ca="1" si="87"/>
        <v>0</v>
      </c>
      <c r="P94" s="14">
        <f ca="1">(MAX(MAX(sa-CF93*Flag_UL_Type,105%*SUM($I$7:I94))-(AD93+L94-N94)*Flag_UL_Type,0)*B94)</f>
        <v>81766.527250255924</v>
      </c>
      <c r="Q94" s="213">
        <f t="shared" ca="1" si="62"/>
        <v>0</v>
      </c>
      <c r="R94" s="14">
        <f t="shared" ca="1" si="63"/>
        <v>0</v>
      </c>
      <c r="S94" s="14">
        <f t="shared" ca="1" si="64"/>
        <v>0</v>
      </c>
      <c r="T94" s="14">
        <f>IFERROR(IF(WoP_Flag="Y",IF(fq=1,VLOOKUP(ppt*fq-H94,Charges!$AN$41:$AO$59,2,FALSE),IF(fq=2,VLOOKUP(ppt*fq-G94,Charges!$AP$41:$AQ$79,2,FALSE),VLOOKUP(ppt*fq-D94,Charges!$AR$41:$AS$279,2,FALSE)))*pr/fq,0),0)</f>
        <v>0</v>
      </c>
      <c r="U94" s="14">
        <f ca="1">IFERROR(((T94*(VLOOKUP(Input!$D$18+H94-1,Tab_Mort_Charge,IF(Gender_2="M",2,3),FALSE)*(1+_emr2)+_rpm2)/IF(Model_Type="LA_PQIS",1000/0.0833,(12*1000))))*Flag_Mort_Rider_Charge*(T94&gt;0),0)</f>
        <v>0</v>
      </c>
      <c r="V94" s="34">
        <f>ROUND(MIN(IF(H94&gt;=7,Charges!$C$12*(1+Charges!$C$14)^((H94-7+1)),VLOOKUP(H94,Charges!$B$7:$C$12,2,0))*pr,Charges!$C$13)*B94,Round)</f>
        <v>500</v>
      </c>
      <c r="W94" s="14">
        <f t="shared" ca="1" si="65"/>
        <v>2917733.4727497441</v>
      </c>
      <c r="X94" s="14">
        <f t="shared" ca="1" si="66"/>
        <v>2936506.2577663809</v>
      </c>
      <c r="Y94" s="213">
        <f t="shared" ca="1" si="88"/>
        <v>3305.3673760926163</v>
      </c>
      <c r="Z94" s="14">
        <f t="shared" ca="1" si="67"/>
        <v>2933200.8903902881</v>
      </c>
      <c r="AA94" s="14">
        <f>IF(AND($H94=pt,$F94=11),SUM($K$7:K94)*VLOOKUP(pt,ROC,2,FALSE),0)</f>
        <v>0</v>
      </c>
      <c r="AB94" s="14">
        <f>IF(AND($H94=pt,$F94=11),SUM($V$7:V94)*VLOOKUP(pt,ROC,2,FALSE),0)</f>
        <v>0</v>
      </c>
      <c r="AC94" s="14">
        <f>IF(AND($H94=pt,$F94=11),SUM($Q$7:Q94)*VLOOKUP(pt,ROC,2,FALSE),0)</f>
        <v>0</v>
      </c>
      <c r="AD94" s="14">
        <f t="shared" ca="1" si="89"/>
        <v>2933200.8903902881</v>
      </c>
      <c r="AE94" s="14">
        <f ca="1">(MAX(sa-CF93*Flag_UL_Type,105%*SUM($I$7:I94),Z94)+AU94)*B94</f>
        <v>3000000</v>
      </c>
      <c r="AF94" s="136"/>
      <c r="AG94" s="18">
        <v>88</v>
      </c>
      <c r="AH94" s="30">
        <f t="shared" ca="1" si="68"/>
        <v>0</v>
      </c>
      <c r="AI94" s="138"/>
      <c r="AJ94" s="50">
        <f>IF(AND(Option_Sys_TopUp&gt;="Y",H94&gt;=sytp,H94&lt;=(dtp+sytp-1),F94=0,H94&lt;=ppt+1),atp,0)+IFERROR(VLOOKUP(H94,Input!$B$55:$C$61,2,0),0)*(F94=0)*(Option_TopUP="Y")*(Option_Sys_TopUp="N")*B94*(pt&gt;=H94+5)</f>
        <v>0</v>
      </c>
      <c r="AK94" s="50">
        <f t="shared" si="69"/>
        <v>0</v>
      </c>
      <c r="AL94" s="50">
        <f t="shared" si="90"/>
        <v>0</v>
      </c>
      <c r="AM94" s="50">
        <f t="shared" ca="1" si="70"/>
        <v>0</v>
      </c>
      <c r="AN94" s="50">
        <f ca="1">IF(B94=0,0,AT94*(_rpm1+(1+_emr1)*VLOOKUP(E94,Tab_Mort_Charge,IF(Input!$C$12="M",2,3),0))*(0.001*0.0833)*Flag_Mort_Rider_Charge*(AT94&gt;0))</f>
        <v>0</v>
      </c>
      <c r="AO94" s="50">
        <f t="shared" ca="1" si="91"/>
        <v>0</v>
      </c>
      <c r="AP94" s="50">
        <f t="shared" ca="1" si="99"/>
        <v>0</v>
      </c>
      <c r="AQ94" s="50">
        <f t="shared" ca="1" si="71"/>
        <v>0</v>
      </c>
      <c r="AR94" s="50">
        <f t="shared" ca="1" si="72"/>
        <v>0</v>
      </c>
      <c r="AS94" s="50">
        <f t="shared" si="73"/>
        <v>0</v>
      </c>
      <c r="AT94" s="50">
        <f ca="1">(MAX((MAX(AS94,105%*SUM($AJ$7:AJ94))-AM94*Flag_UL_Type),0)*B94)</f>
        <v>0</v>
      </c>
      <c r="AU94" s="50">
        <f ca="1">(MAX(AS94,AR94,105%*SUM($AJ$7:AJ94))*B94)</f>
        <v>0</v>
      </c>
      <c r="AV94" s="125"/>
      <c r="AW94" s="13"/>
      <c r="AX94" s="13"/>
      <c r="AY94" s="13"/>
      <c r="AZ94" s="13"/>
      <c r="BA94" s="13"/>
      <c r="BG94" s="51">
        <f t="shared" si="74"/>
        <v>0</v>
      </c>
      <c r="BH94" s="51">
        <f t="shared" ca="1" si="75"/>
        <v>0</v>
      </c>
      <c r="BI94" s="51">
        <f t="shared" ca="1" si="76"/>
        <v>0</v>
      </c>
      <c r="BJ94" s="51">
        <f t="shared" ca="1" si="77"/>
        <v>0</v>
      </c>
      <c r="BK94" s="51">
        <f t="shared" si="78"/>
        <v>0</v>
      </c>
      <c r="BL94" s="51">
        <f t="shared" ca="1" si="79"/>
        <v>0</v>
      </c>
      <c r="BM94" s="51">
        <f t="shared" si="80"/>
        <v>0</v>
      </c>
      <c r="BN94" s="51">
        <f t="shared" ca="1" si="81"/>
        <v>0</v>
      </c>
      <c r="BO94" s="51">
        <f t="shared" ca="1" si="82"/>
        <v>0</v>
      </c>
      <c r="BP94" s="51">
        <f t="shared" ca="1" si="83"/>
        <v>0</v>
      </c>
      <c r="BQ94" s="120"/>
      <c r="BR94" s="32"/>
      <c r="BS94" s="126"/>
      <c r="BT94" s="16"/>
      <c r="BU94" s="58"/>
      <c r="BW94" s="51">
        <f>VLOOKUP(H94,Charges!$AT$4:$AU$33,2,FALSE)*I94</f>
        <v>0</v>
      </c>
      <c r="BX94" s="51">
        <f t="shared" si="84"/>
        <v>0</v>
      </c>
      <c r="BY94" s="51">
        <f t="shared" si="93"/>
        <v>0</v>
      </c>
      <c r="BZ94" s="151"/>
      <c r="CA94" s="151"/>
      <c r="CB94" s="32"/>
      <c r="CC94" s="16">
        <f ca="1">SUM($N$7:$N94)</f>
        <v>0</v>
      </c>
      <c r="CD94" s="16">
        <f t="shared" ca="1" si="85"/>
        <v>0</v>
      </c>
      <c r="CE94" s="16">
        <f t="shared" ca="1" si="86"/>
        <v>0</v>
      </c>
      <c r="CF94" s="7">
        <f t="shared" ca="1" si="94"/>
        <v>0</v>
      </c>
    </row>
    <row r="95" spans="1:84" s="7" customFormat="1" x14ac:dyDescent="0.2">
      <c r="A95" s="149"/>
      <c r="B95" s="14">
        <f t="shared" si="55"/>
        <v>1</v>
      </c>
      <c r="C95" s="12">
        <f t="shared" si="56"/>
        <v>1</v>
      </c>
      <c r="D95" s="17">
        <f t="shared" si="95"/>
        <v>89</v>
      </c>
      <c r="E95" s="17">
        <f t="shared" ca="1" si="57"/>
        <v>67</v>
      </c>
      <c r="F95" s="12">
        <f t="shared" si="97"/>
        <v>4</v>
      </c>
      <c r="G95" s="12">
        <f t="shared" si="96"/>
        <v>15</v>
      </c>
      <c r="H95" s="17">
        <f t="shared" si="98"/>
        <v>8</v>
      </c>
      <c r="I95" s="29">
        <f t="shared" si="58"/>
        <v>0</v>
      </c>
      <c r="J95" s="211">
        <f>IFERROR(VLOOKUP(H95,Charges!$T$6:$U$35,2,0)*C95,0)</f>
        <v>0.98</v>
      </c>
      <c r="K95" s="29">
        <f t="shared" si="59"/>
        <v>0</v>
      </c>
      <c r="L95" s="29">
        <f t="shared" si="60"/>
        <v>0</v>
      </c>
      <c r="M95" s="147">
        <f t="shared" ca="1" si="61"/>
        <v>0</v>
      </c>
      <c r="N95" s="148">
        <f ca="1">IF(AND(Option_SPW="Y",Z94&gt;=SPW_Start_Min_FV,H95&gt;=Lock_In_Period,Z94&gt;SPW_Amount_pa+IF(option="Single",1/5*pr,2*pr),H95&gt;=SPW_Start_Year,H95&lt;=SPW_Start_Year+SPW_Duration-1,F95=0,age+H95&gt;=Legal_Age),SPW_Amount_pa,0)+IFERROR(VLOOKUP(H95,Input!$B$68:$C$74,2,0),0)*(F95=0)*(Option_PW="Y")*(Option_SPW="N")*(age+H95&gt;=Legal_Age)</f>
        <v>0</v>
      </c>
      <c r="O95" s="148">
        <f t="shared" ca="1" si="87"/>
        <v>0</v>
      </c>
      <c r="P95" s="14">
        <f ca="1">(MAX(MAX(sa-CF94*Flag_UL_Type,105%*SUM($I$7:I95))-(AD94+L95-N95)*Flag_UL_Type,0)*B95)</f>
        <v>66799.109609711915</v>
      </c>
      <c r="Q95" s="213">
        <f t="shared" ca="1" si="62"/>
        <v>0</v>
      </c>
      <c r="R95" s="14">
        <f t="shared" ca="1" si="63"/>
        <v>0</v>
      </c>
      <c r="S95" s="14">
        <f t="shared" ca="1" si="64"/>
        <v>0</v>
      </c>
      <c r="T95" s="14">
        <f>IFERROR(IF(WoP_Flag="Y",IF(fq=1,VLOOKUP(ppt*fq-H95,Charges!$AN$41:$AO$59,2,FALSE),IF(fq=2,VLOOKUP(ppt*fq-G95,Charges!$AP$41:$AQ$79,2,FALSE),VLOOKUP(ppt*fq-D95,Charges!$AR$41:$AS$279,2,FALSE)))*pr/fq,0),0)</f>
        <v>0</v>
      </c>
      <c r="U95" s="14">
        <f ca="1">IFERROR(((T95*(VLOOKUP(Input!$D$18+H95-1,Tab_Mort_Charge,IF(Gender_2="M",2,3),FALSE)*(1+_emr2)+_rpm2)/IF(Model_Type="LA_PQIS",1000/0.0833,(12*1000))))*Flag_Mort_Rider_Charge*(T95&gt;0),0)</f>
        <v>0</v>
      </c>
      <c r="V95" s="34">
        <f>ROUND(MIN(IF(H95&gt;=7,Charges!$C$12*(1+Charges!$C$14)^((H95-7+1)),VLOOKUP(H95,Charges!$B$7:$C$12,2,0))*pr,Charges!$C$13)*B95,Round)</f>
        <v>500</v>
      </c>
      <c r="W95" s="14">
        <f t="shared" ca="1" si="65"/>
        <v>2932700.8903902881</v>
      </c>
      <c r="X95" s="14">
        <f t="shared" ca="1" si="66"/>
        <v>2951569.976222693</v>
      </c>
      <c r="Y95" s="213">
        <f t="shared" ca="1" si="88"/>
        <v>3322.3232819131649</v>
      </c>
      <c r="Z95" s="14">
        <f t="shared" ca="1" si="67"/>
        <v>2948247.6529407799</v>
      </c>
      <c r="AA95" s="14">
        <f>IF(AND($H95=pt,$F95=11),SUM($K$7:K95)*VLOOKUP(pt,ROC,2,FALSE),0)</f>
        <v>0</v>
      </c>
      <c r="AB95" s="14">
        <f>IF(AND($H95=pt,$F95=11),SUM($V$7:V95)*VLOOKUP(pt,ROC,2,FALSE),0)</f>
        <v>0</v>
      </c>
      <c r="AC95" s="14">
        <f>IF(AND($H95=pt,$F95=11),SUM($Q$7:Q95)*VLOOKUP(pt,ROC,2,FALSE),0)</f>
        <v>0</v>
      </c>
      <c r="AD95" s="14">
        <f t="shared" ca="1" si="89"/>
        <v>2948247.6529407799</v>
      </c>
      <c r="AE95" s="14">
        <f ca="1">(MAX(sa-CF94*Flag_UL_Type,105%*SUM($I$7:I95),Z95)+AU95)*B95</f>
        <v>3000000</v>
      </c>
      <c r="AF95" s="136"/>
      <c r="AG95" s="18">
        <v>89</v>
      </c>
      <c r="AH95" s="30">
        <f t="shared" ca="1" si="68"/>
        <v>0</v>
      </c>
      <c r="AI95" s="138"/>
      <c r="AJ95" s="50">
        <f>IF(AND(Option_Sys_TopUp&gt;="Y",H95&gt;=sytp,H95&lt;=(dtp+sytp-1),F95=0,H95&lt;=ppt+1),atp,0)+IFERROR(VLOOKUP(H95,Input!$B$55:$C$61,2,0),0)*(F95=0)*(Option_TopUP="Y")*(Option_Sys_TopUp="N")*B95*(pt&gt;=H95+5)</f>
        <v>0</v>
      </c>
      <c r="AK95" s="50">
        <f t="shared" si="69"/>
        <v>0</v>
      </c>
      <c r="AL95" s="50">
        <f t="shared" si="90"/>
        <v>0</v>
      </c>
      <c r="AM95" s="50">
        <f t="shared" ca="1" si="70"/>
        <v>0</v>
      </c>
      <c r="AN95" s="50">
        <f ca="1">IF(B95=0,0,AT95*(_rpm1+(1+_emr1)*VLOOKUP(E95,Tab_Mort_Charge,IF(Input!$C$12="M",2,3),0))*(0.001*0.0833)*Flag_Mort_Rider_Charge*(AT95&gt;0))</f>
        <v>0</v>
      </c>
      <c r="AO95" s="50">
        <f t="shared" ca="1" si="91"/>
        <v>0</v>
      </c>
      <c r="AP95" s="50">
        <f t="shared" ca="1" si="99"/>
        <v>0</v>
      </c>
      <c r="AQ95" s="50">
        <f t="shared" ca="1" si="71"/>
        <v>0</v>
      </c>
      <c r="AR95" s="50">
        <f t="shared" ca="1" si="72"/>
        <v>0</v>
      </c>
      <c r="AS95" s="50">
        <f t="shared" si="73"/>
        <v>0</v>
      </c>
      <c r="AT95" s="50">
        <f ca="1">(MAX((MAX(AS95,105%*SUM($AJ$7:AJ95))-AM95*Flag_UL_Type),0)*B95)</f>
        <v>0</v>
      </c>
      <c r="AU95" s="50">
        <f ca="1">(MAX(AS95,AR95,105%*SUM($AJ$7:AJ95))*B95)</f>
        <v>0</v>
      </c>
      <c r="AV95" s="125"/>
      <c r="AW95" s="13"/>
      <c r="AX95" s="13"/>
      <c r="AY95" s="13"/>
      <c r="AZ95" s="13"/>
      <c r="BA95" s="13"/>
      <c r="BG95" s="51">
        <f t="shared" si="74"/>
        <v>0</v>
      </c>
      <c r="BH95" s="51">
        <f t="shared" ca="1" si="75"/>
        <v>0</v>
      </c>
      <c r="BI95" s="51">
        <f t="shared" ca="1" si="76"/>
        <v>0</v>
      </c>
      <c r="BJ95" s="51">
        <f t="shared" ca="1" si="77"/>
        <v>0</v>
      </c>
      <c r="BK95" s="51">
        <f t="shared" si="78"/>
        <v>0</v>
      </c>
      <c r="BL95" s="51">
        <f t="shared" ca="1" si="79"/>
        <v>0</v>
      </c>
      <c r="BM95" s="51">
        <f t="shared" si="80"/>
        <v>0</v>
      </c>
      <c r="BN95" s="51">
        <f t="shared" ca="1" si="81"/>
        <v>0</v>
      </c>
      <c r="BO95" s="51">
        <f t="shared" ca="1" si="82"/>
        <v>0</v>
      </c>
      <c r="BP95" s="51">
        <f t="shared" ca="1" si="83"/>
        <v>0</v>
      </c>
      <c r="BQ95" s="120"/>
      <c r="BR95" s="32"/>
      <c r="BS95" s="126"/>
      <c r="BT95" s="16"/>
      <c r="BU95" s="58"/>
      <c r="BW95" s="51">
        <f>VLOOKUP(H95,Charges!$AT$4:$AU$33,2,FALSE)*I95</f>
        <v>0</v>
      </c>
      <c r="BX95" s="51">
        <f t="shared" si="84"/>
        <v>0</v>
      </c>
      <c r="BY95" s="51">
        <f t="shared" si="93"/>
        <v>0</v>
      </c>
      <c r="BZ95" s="151"/>
      <c r="CA95" s="151"/>
      <c r="CB95" s="32"/>
      <c r="CC95" s="16">
        <f ca="1">SUM($N$7:$N95)</f>
        <v>0</v>
      </c>
      <c r="CD95" s="16">
        <f t="shared" ca="1" si="85"/>
        <v>0</v>
      </c>
      <c r="CE95" s="16">
        <f t="shared" ca="1" si="86"/>
        <v>0</v>
      </c>
      <c r="CF95" s="7">
        <f t="shared" ca="1" si="94"/>
        <v>0</v>
      </c>
    </row>
    <row r="96" spans="1:84" s="7" customFormat="1" x14ac:dyDescent="0.2">
      <c r="A96" s="149"/>
      <c r="B96" s="14">
        <f t="shared" si="55"/>
        <v>1</v>
      </c>
      <c r="C96" s="12">
        <f t="shared" si="56"/>
        <v>1</v>
      </c>
      <c r="D96" s="17">
        <f t="shared" si="95"/>
        <v>90</v>
      </c>
      <c r="E96" s="17">
        <f t="shared" ca="1" si="57"/>
        <v>67</v>
      </c>
      <c r="F96" s="12">
        <f t="shared" si="97"/>
        <v>5</v>
      </c>
      <c r="G96" s="12">
        <f t="shared" si="96"/>
        <v>15</v>
      </c>
      <c r="H96" s="17">
        <f t="shared" si="98"/>
        <v>8</v>
      </c>
      <c r="I96" s="29">
        <f t="shared" si="58"/>
        <v>0</v>
      </c>
      <c r="J96" s="211">
        <f>IFERROR(VLOOKUP(H96,Charges!$T$6:$U$35,2,0)*C96,0)</f>
        <v>0.98</v>
      </c>
      <c r="K96" s="29">
        <f t="shared" si="59"/>
        <v>0</v>
      </c>
      <c r="L96" s="29">
        <f t="shared" si="60"/>
        <v>0</v>
      </c>
      <c r="M96" s="147">
        <f t="shared" ca="1" si="61"/>
        <v>0</v>
      </c>
      <c r="N96" s="148">
        <f ca="1">IF(AND(Option_SPW="Y",Z95&gt;=SPW_Start_Min_FV,H96&gt;=Lock_In_Period,Z95&gt;SPW_Amount_pa+IF(option="Single",1/5*pr,2*pr),H96&gt;=SPW_Start_Year,H96&lt;=SPW_Start_Year+SPW_Duration-1,F96=0,age+H96&gt;=Legal_Age),SPW_Amount_pa,0)+IFERROR(VLOOKUP(H96,Input!$B$68:$C$74,2,0),0)*(F96=0)*(Option_PW="Y")*(Option_SPW="N")*(age+H96&gt;=Legal_Age)</f>
        <v>0</v>
      </c>
      <c r="O96" s="148">
        <f t="shared" ca="1" si="87"/>
        <v>0</v>
      </c>
      <c r="P96" s="14">
        <f ca="1">(MAX(MAX(sa-CF95*Flag_UL_Type,105%*SUM($I$7:I96))-(AD95+L96-N96)*Flag_UL_Type,0)*B96)</f>
        <v>51752.347059220076</v>
      </c>
      <c r="Q96" s="213">
        <f t="shared" ca="1" si="62"/>
        <v>0</v>
      </c>
      <c r="R96" s="14">
        <f t="shared" ca="1" si="63"/>
        <v>0</v>
      </c>
      <c r="S96" s="14">
        <f t="shared" ca="1" si="64"/>
        <v>0</v>
      </c>
      <c r="T96" s="14">
        <f>IFERROR(IF(WoP_Flag="Y",IF(fq=1,VLOOKUP(ppt*fq-H96,Charges!$AN$41:$AO$59,2,FALSE),IF(fq=2,VLOOKUP(ppt*fq-G96,Charges!$AP$41:$AQ$79,2,FALSE),VLOOKUP(ppt*fq-D96,Charges!$AR$41:$AS$279,2,FALSE)))*pr/fq,0),0)</f>
        <v>0</v>
      </c>
      <c r="U96" s="14">
        <f ca="1">IFERROR(((T96*(VLOOKUP(Input!$D$18+H96-1,Tab_Mort_Charge,IF(Gender_2="M",2,3),FALSE)*(1+_emr2)+_rpm2)/IF(Model_Type="LA_PQIS",1000/0.0833,(12*1000))))*Flag_Mort_Rider_Charge*(T96&gt;0),0)</f>
        <v>0</v>
      </c>
      <c r="V96" s="34">
        <f>ROUND(MIN(IF(H96&gt;=7,Charges!$C$12*(1+Charges!$C$14)^((H96-7+1)),VLOOKUP(H96,Charges!$B$7:$C$12,2,0))*pr,Charges!$C$13)*B96,Round)</f>
        <v>500</v>
      </c>
      <c r="W96" s="14">
        <f t="shared" ca="1" si="65"/>
        <v>2947747.6529407799</v>
      </c>
      <c r="X96" s="14">
        <f t="shared" ca="1" si="66"/>
        <v>2966713.5500964927</v>
      </c>
      <c r="Y96" s="213">
        <f t="shared" ca="1" si="88"/>
        <v>3339.3690739687827</v>
      </c>
      <c r="Z96" s="14">
        <f t="shared" ca="1" si="67"/>
        <v>2963374.1810225239</v>
      </c>
      <c r="AA96" s="14">
        <f>IF(AND($H96=pt,$F96=11),SUM($K$7:K96)*VLOOKUP(pt,ROC,2,FALSE),0)</f>
        <v>0</v>
      </c>
      <c r="AB96" s="14">
        <f>IF(AND($H96=pt,$F96=11),SUM($V$7:V96)*VLOOKUP(pt,ROC,2,FALSE),0)</f>
        <v>0</v>
      </c>
      <c r="AC96" s="14">
        <f>IF(AND($H96=pt,$F96=11),SUM($Q$7:Q96)*VLOOKUP(pt,ROC,2,FALSE),0)</f>
        <v>0</v>
      </c>
      <c r="AD96" s="14">
        <f t="shared" ca="1" si="89"/>
        <v>2963374.1810225239</v>
      </c>
      <c r="AE96" s="14">
        <f ca="1">(MAX(sa-CF95*Flag_UL_Type,105%*SUM($I$7:I96),Z96)+AU96)*B96</f>
        <v>3000000</v>
      </c>
      <c r="AF96" s="136"/>
      <c r="AG96" s="18">
        <v>90</v>
      </c>
      <c r="AH96" s="30">
        <f t="shared" ca="1" si="68"/>
        <v>0</v>
      </c>
      <c r="AI96" s="138"/>
      <c r="AJ96" s="50">
        <f>IF(AND(Option_Sys_TopUp&gt;="Y",H96&gt;=sytp,H96&lt;=(dtp+sytp-1),F96=0,H96&lt;=ppt+1),atp,0)+IFERROR(VLOOKUP(H96,Input!$B$55:$C$61,2,0),0)*(F96=0)*(Option_TopUP="Y")*(Option_Sys_TopUp="N")*B96*(pt&gt;=H96+5)</f>
        <v>0</v>
      </c>
      <c r="AK96" s="50">
        <f t="shared" si="69"/>
        <v>0</v>
      </c>
      <c r="AL96" s="50">
        <f t="shared" si="90"/>
        <v>0</v>
      </c>
      <c r="AM96" s="50">
        <f t="shared" ca="1" si="70"/>
        <v>0</v>
      </c>
      <c r="AN96" s="50">
        <f ca="1">IF(B96=0,0,AT96*(_rpm1+(1+_emr1)*VLOOKUP(E96,Tab_Mort_Charge,IF(Input!$C$12="M",2,3),0))*(0.001*0.0833)*Flag_Mort_Rider_Charge*(AT96&gt;0))</f>
        <v>0</v>
      </c>
      <c r="AO96" s="50">
        <f t="shared" ca="1" si="91"/>
        <v>0</v>
      </c>
      <c r="AP96" s="50">
        <f t="shared" ca="1" si="99"/>
        <v>0</v>
      </c>
      <c r="AQ96" s="50">
        <f t="shared" ca="1" si="71"/>
        <v>0</v>
      </c>
      <c r="AR96" s="50">
        <f t="shared" ca="1" si="72"/>
        <v>0</v>
      </c>
      <c r="AS96" s="50">
        <f t="shared" si="73"/>
        <v>0</v>
      </c>
      <c r="AT96" s="50">
        <f ca="1">(MAX((MAX(AS96,105%*SUM($AJ$7:AJ96))-AM96*Flag_UL_Type),0)*B96)</f>
        <v>0</v>
      </c>
      <c r="AU96" s="50">
        <f ca="1">(MAX(AS96,AR96,105%*SUM($AJ$7:AJ96))*B96)</f>
        <v>0</v>
      </c>
      <c r="AV96" s="125"/>
      <c r="AW96" s="13"/>
      <c r="AX96" s="13"/>
      <c r="AY96" s="13"/>
      <c r="AZ96" s="13"/>
      <c r="BA96" s="13"/>
      <c r="BG96" s="51">
        <f t="shared" si="74"/>
        <v>0</v>
      </c>
      <c r="BH96" s="51">
        <f t="shared" ca="1" si="75"/>
        <v>0</v>
      </c>
      <c r="BI96" s="51">
        <f t="shared" ca="1" si="76"/>
        <v>0</v>
      </c>
      <c r="BJ96" s="51">
        <f t="shared" ca="1" si="77"/>
        <v>0</v>
      </c>
      <c r="BK96" s="51">
        <f t="shared" si="78"/>
        <v>0</v>
      </c>
      <c r="BL96" s="51">
        <f t="shared" ca="1" si="79"/>
        <v>0</v>
      </c>
      <c r="BM96" s="51">
        <f t="shared" si="80"/>
        <v>0</v>
      </c>
      <c r="BN96" s="51">
        <f t="shared" ca="1" si="81"/>
        <v>0</v>
      </c>
      <c r="BO96" s="51">
        <f t="shared" ca="1" si="82"/>
        <v>0</v>
      </c>
      <c r="BP96" s="51">
        <f t="shared" ca="1" si="83"/>
        <v>0</v>
      </c>
      <c r="BQ96" s="120"/>
      <c r="BR96" s="32"/>
      <c r="BS96" s="126"/>
      <c r="BT96" s="16"/>
      <c r="BU96" s="58"/>
      <c r="BW96" s="51">
        <f>VLOOKUP(H96,Charges!$AT$4:$AU$33,2,FALSE)*I96</f>
        <v>0</v>
      </c>
      <c r="BX96" s="51">
        <f t="shared" si="84"/>
        <v>0</v>
      </c>
      <c r="BY96" s="51">
        <f t="shared" si="93"/>
        <v>0</v>
      </c>
      <c r="BZ96" s="151"/>
      <c r="CA96" s="151"/>
      <c r="CB96" s="32"/>
      <c r="CC96" s="16">
        <f ca="1">SUM($N$7:$N96)</f>
        <v>0</v>
      </c>
      <c r="CD96" s="16">
        <f t="shared" ca="1" si="85"/>
        <v>0</v>
      </c>
      <c r="CE96" s="16">
        <f t="shared" ca="1" si="86"/>
        <v>0</v>
      </c>
      <c r="CF96" s="7">
        <f t="shared" ca="1" si="94"/>
        <v>0</v>
      </c>
    </row>
    <row r="97" spans="1:84" s="7" customFormat="1" x14ac:dyDescent="0.2">
      <c r="A97" s="149"/>
      <c r="B97" s="14">
        <f t="shared" si="55"/>
        <v>1</v>
      </c>
      <c r="C97" s="12">
        <f t="shared" si="56"/>
        <v>1</v>
      </c>
      <c r="D97" s="17">
        <f t="shared" si="95"/>
        <v>91</v>
      </c>
      <c r="E97" s="17">
        <f t="shared" ca="1" si="57"/>
        <v>67</v>
      </c>
      <c r="F97" s="12">
        <f t="shared" si="97"/>
        <v>6</v>
      </c>
      <c r="G97" s="12">
        <f t="shared" si="96"/>
        <v>16</v>
      </c>
      <c r="H97" s="17">
        <f t="shared" si="98"/>
        <v>8</v>
      </c>
      <c r="I97" s="29">
        <f t="shared" si="58"/>
        <v>0</v>
      </c>
      <c r="J97" s="211">
        <f>IFERROR(VLOOKUP(H97,Charges!$T$6:$U$35,2,0)*C97,0)</f>
        <v>0.98</v>
      </c>
      <c r="K97" s="29">
        <f t="shared" si="59"/>
        <v>0</v>
      </c>
      <c r="L97" s="29">
        <f t="shared" si="60"/>
        <v>0</v>
      </c>
      <c r="M97" s="147">
        <f t="shared" ca="1" si="61"/>
        <v>0</v>
      </c>
      <c r="N97" s="148">
        <f ca="1">IF(AND(Option_SPW="Y",Z96&gt;=SPW_Start_Min_FV,H97&gt;=Lock_In_Period,Z96&gt;SPW_Amount_pa+IF(option="Single",1/5*pr,2*pr),H97&gt;=SPW_Start_Year,H97&lt;=SPW_Start_Year+SPW_Duration-1,F97=0,age+H97&gt;=Legal_Age),SPW_Amount_pa,0)+IFERROR(VLOOKUP(H97,Input!$B$68:$C$74,2,0),0)*(F97=0)*(Option_PW="Y")*(Option_SPW="N")*(age+H97&gt;=Legal_Age)</f>
        <v>0</v>
      </c>
      <c r="O97" s="148">
        <f t="shared" ca="1" si="87"/>
        <v>0</v>
      </c>
      <c r="P97" s="14">
        <f ca="1">(MAX(MAX(sa-CF96*Flag_UL_Type,105%*SUM($I$7:I97))-(AD96+L97-N97)*Flag_UL_Type,0)*B97)</f>
        <v>36625.818977476098</v>
      </c>
      <c r="Q97" s="213">
        <f t="shared" ca="1" si="62"/>
        <v>0</v>
      </c>
      <c r="R97" s="14">
        <f t="shared" ca="1" si="63"/>
        <v>0</v>
      </c>
      <c r="S97" s="14">
        <f t="shared" ca="1" si="64"/>
        <v>0</v>
      </c>
      <c r="T97" s="14">
        <f>IFERROR(IF(WoP_Flag="Y",IF(fq=1,VLOOKUP(ppt*fq-H97,Charges!$AN$41:$AO$59,2,FALSE),IF(fq=2,VLOOKUP(ppt*fq-G97,Charges!$AP$41:$AQ$79,2,FALSE),VLOOKUP(ppt*fq-D97,Charges!$AR$41:$AS$279,2,FALSE)))*pr/fq,0),0)</f>
        <v>0</v>
      </c>
      <c r="U97" s="14">
        <f ca="1">IFERROR(((T97*(VLOOKUP(Input!$D$18+H97-1,Tab_Mort_Charge,IF(Gender_2="M",2,3),FALSE)*(1+_emr2)+_rpm2)/IF(Model_Type="LA_PQIS",1000/0.0833,(12*1000))))*Flag_Mort_Rider_Charge*(T97&gt;0),0)</f>
        <v>0</v>
      </c>
      <c r="V97" s="34">
        <f>ROUND(MIN(IF(H97&gt;=7,Charges!$C$12*(1+Charges!$C$14)^((H97-7+1)),VLOOKUP(H97,Charges!$B$7:$C$12,2,0))*pr,Charges!$C$13)*B97,Round)</f>
        <v>500</v>
      </c>
      <c r="W97" s="14">
        <f t="shared" ca="1" si="65"/>
        <v>2962874.1810225239</v>
      </c>
      <c r="X97" s="14">
        <f t="shared" ca="1" si="66"/>
        <v>2981937.4027153747</v>
      </c>
      <c r="Y97" s="213">
        <f t="shared" ca="1" si="88"/>
        <v>3356.5052287621902</v>
      </c>
      <c r="Z97" s="14">
        <f t="shared" ca="1" si="67"/>
        <v>2978580.8974866127</v>
      </c>
      <c r="AA97" s="14">
        <f>IF(AND($H97=pt,$F97=11),SUM($K$7:K97)*VLOOKUP(pt,ROC,2,FALSE),0)</f>
        <v>0</v>
      </c>
      <c r="AB97" s="14">
        <f>IF(AND($H97=pt,$F97=11),SUM($V$7:V97)*VLOOKUP(pt,ROC,2,FALSE),0)</f>
        <v>0</v>
      </c>
      <c r="AC97" s="14">
        <f>IF(AND($H97=pt,$F97=11),SUM($Q$7:Q97)*VLOOKUP(pt,ROC,2,FALSE),0)</f>
        <v>0</v>
      </c>
      <c r="AD97" s="14">
        <f t="shared" ca="1" si="89"/>
        <v>2978580.8974866127</v>
      </c>
      <c r="AE97" s="14">
        <f ca="1">(MAX(sa-CF96*Flag_UL_Type,105%*SUM($I$7:I97),Z97)+AU97)*B97</f>
        <v>3000000</v>
      </c>
      <c r="AF97" s="136"/>
      <c r="AG97" s="18">
        <v>91</v>
      </c>
      <c r="AH97" s="30">
        <f t="shared" ca="1" si="68"/>
        <v>0</v>
      </c>
      <c r="AI97" s="138"/>
      <c r="AJ97" s="50">
        <f>IF(AND(Option_Sys_TopUp&gt;="Y",H97&gt;=sytp,H97&lt;=(dtp+sytp-1),F97=0,H97&lt;=ppt+1),atp,0)+IFERROR(VLOOKUP(H97,Input!$B$55:$C$61,2,0),0)*(F97=0)*(Option_TopUP="Y")*(Option_Sys_TopUp="N")*B97*(pt&gt;=H97+5)</f>
        <v>0</v>
      </c>
      <c r="AK97" s="50">
        <f t="shared" si="69"/>
        <v>0</v>
      </c>
      <c r="AL97" s="50">
        <f t="shared" si="90"/>
        <v>0</v>
      </c>
      <c r="AM97" s="50">
        <f t="shared" ca="1" si="70"/>
        <v>0</v>
      </c>
      <c r="AN97" s="50">
        <f ca="1">IF(B97=0,0,AT97*(_rpm1+(1+_emr1)*VLOOKUP(E97,Tab_Mort_Charge,IF(Input!$C$12="M",2,3),0))*(0.001*0.0833)*Flag_Mort_Rider_Charge*(AT97&gt;0))</f>
        <v>0</v>
      </c>
      <c r="AO97" s="50">
        <f t="shared" ca="1" si="91"/>
        <v>0</v>
      </c>
      <c r="AP97" s="50">
        <f t="shared" ca="1" si="99"/>
        <v>0</v>
      </c>
      <c r="AQ97" s="50">
        <f t="shared" ca="1" si="71"/>
        <v>0</v>
      </c>
      <c r="AR97" s="50">
        <f t="shared" ca="1" si="72"/>
        <v>0</v>
      </c>
      <c r="AS97" s="50">
        <f t="shared" si="73"/>
        <v>0</v>
      </c>
      <c r="AT97" s="50">
        <f ca="1">(MAX((MAX(AS97,105%*SUM($AJ$7:AJ97))-AM97*Flag_UL_Type),0)*B97)</f>
        <v>0</v>
      </c>
      <c r="AU97" s="50">
        <f ca="1">(MAX(AS97,AR97,105%*SUM($AJ$7:AJ97))*B97)</f>
        <v>0</v>
      </c>
      <c r="AV97" s="125"/>
      <c r="AW97" s="13"/>
      <c r="AX97" s="13"/>
      <c r="AY97" s="13"/>
      <c r="AZ97" s="13"/>
      <c r="BA97" s="13"/>
      <c r="BG97" s="51">
        <f t="shared" si="74"/>
        <v>0</v>
      </c>
      <c r="BH97" s="51">
        <f t="shared" ca="1" si="75"/>
        <v>0</v>
      </c>
      <c r="BI97" s="51">
        <f t="shared" ca="1" si="76"/>
        <v>0</v>
      </c>
      <c r="BJ97" s="51">
        <f t="shared" ca="1" si="77"/>
        <v>0</v>
      </c>
      <c r="BK97" s="51">
        <f t="shared" si="78"/>
        <v>0</v>
      </c>
      <c r="BL97" s="51">
        <f t="shared" ca="1" si="79"/>
        <v>0</v>
      </c>
      <c r="BM97" s="51">
        <f t="shared" si="80"/>
        <v>0</v>
      </c>
      <c r="BN97" s="51">
        <f t="shared" ca="1" si="81"/>
        <v>0</v>
      </c>
      <c r="BO97" s="51">
        <f t="shared" ca="1" si="82"/>
        <v>0</v>
      </c>
      <c r="BP97" s="51">
        <f t="shared" ca="1" si="83"/>
        <v>0</v>
      </c>
      <c r="BQ97" s="120"/>
      <c r="BR97" s="32"/>
      <c r="BS97" s="126"/>
      <c r="BT97" s="16"/>
      <c r="BU97" s="58"/>
      <c r="BW97" s="51">
        <f>VLOOKUP(H97,Charges!$AT$4:$AU$33,2,FALSE)*I97</f>
        <v>0</v>
      </c>
      <c r="BX97" s="51">
        <f t="shared" si="84"/>
        <v>0</v>
      </c>
      <c r="BY97" s="51">
        <f t="shared" si="93"/>
        <v>0</v>
      </c>
      <c r="BZ97" s="151"/>
      <c r="CA97" s="151"/>
      <c r="CB97" s="32"/>
      <c r="CC97" s="16">
        <f ca="1">SUM($N$7:$N97)</f>
        <v>0</v>
      </c>
      <c r="CD97" s="16">
        <f t="shared" ca="1" si="85"/>
        <v>0</v>
      </c>
      <c r="CE97" s="16">
        <f t="shared" ca="1" si="86"/>
        <v>0</v>
      </c>
      <c r="CF97" s="7">
        <f t="shared" ca="1" si="94"/>
        <v>0</v>
      </c>
    </row>
    <row r="98" spans="1:84" s="7" customFormat="1" x14ac:dyDescent="0.2">
      <c r="A98" s="149"/>
      <c r="B98" s="14">
        <f t="shared" si="55"/>
        <v>1</v>
      </c>
      <c r="C98" s="12">
        <f t="shared" si="56"/>
        <v>1</v>
      </c>
      <c r="D98" s="17">
        <f t="shared" si="95"/>
        <v>92</v>
      </c>
      <c r="E98" s="17">
        <f t="shared" ca="1" si="57"/>
        <v>67</v>
      </c>
      <c r="F98" s="12">
        <f t="shared" si="97"/>
        <v>7</v>
      </c>
      <c r="G98" s="12">
        <f t="shared" si="96"/>
        <v>16</v>
      </c>
      <c r="H98" s="17">
        <f t="shared" si="98"/>
        <v>8</v>
      </c>
      <c r="I98" s="29">
        <f t="shared" si="58"/>
        <v>0</v>
      </c>
      <c r="J98" s="211">
        <f>IFERROR(VLOOKUP(H98,Charges!$T$6:$U$35,2,0)*C98,0)</f>
        <v>0.98</v>
      </c>
      <c r="K98" s="29">
        <f t="shared" si="59"/>
        <v>0</v>
      </c>
      <c r="L98" s="29">
        <f t="shared" si="60"/>
        <v>0</v>
      </c>
      <c r="M98" s="147">
        <f t="shared" ca="1" si="61"/>
        <v>0</v>
      </c>
      <c r="N98" s="148">
        <f ca="1">IF(AND(Option_SPW="Y",Z97&gt;=SPW_Start_Min_FV,H98&gt;=Lock_In_Period,Z97&gt;SPW_Amount_pa+IF(option="Single",1/5*pr,2*pr),H98&gt;=SPW_Start_Year,H98&lt;=SPW_Start_Year+SPW_Duration-1,F98=0,age+H98&gt;=Legal_Age),SPW_Amount_pa,0)+IFERROR(VLOOKUP(H98,Input!$B$68:$C$74,2,0),0)*(F98=0)*(Option_PW="Y")*(Option_SPW="N")*(age+H98&gt;=Legal_Age)</f>
        <v>0</v>
      </c>
      <c r="O98" s="148">
        <f t="shared" ca="1" si="87"/>
        <v>0</v>
      </c>
      <c r="P98" s="14">
        <f ca="1">(MAX(MAX(sa-CF97*Flag_UL_Type,105%*SUM($I$7:I98))-(AD97+L98-N98)*Flag_UL_Type,0)*B98)</f>
        <v>21419.102513387334</v>
      </c>
      <c r="Q98" s="213">
        <f t="shared" ca="1" si="62"/>
        <v>0</v>
      </c>
      <c r="R98" s="14">
        <f t="shared" ca="1" si="63"/>
        <v>0</v>
      </c>
      <c r="S98" s="14">
        <f t="shared" ca="1" si="64"/>
        <v>0</v>
      </c>
      <c r="T98" s="14">
        <f>IFERROR(IF(WoP_Flag="Y",IF(fq=1,VLOOKUP(ppt*fq-H98,Charges!$AN$41:$AO$59,2,FALSE),IF(fq=2,VLOOKUP(ppt*fq-G98,Charges!$AP$41:$AQ$79,2,FALSE),VLOOKUP(ppt*fq-D98,Charges!$AR$41:$AS$279,2,FALSE)))*pr/fq,0),0)</f>
        <v>0</v>
      </c>
      <c r="U98" s="14">
        <f ca="1">IFERROR(((T98*(VLOOKUP(Input!$D$18+H98-1,Tab_Mort_Charge,IF(Gender_2="M",2,3),FALSE)*(1+_emr2)+_rpm2)/IF(Model_Type="LA_PQIS",1000/0.0833,(12*1000))))*Flag_Mort_Rider_Charge*(T98&gt;0),0)</f>
        <v>0</v>
      </c>
      <c r="V98" s="34">
        <f>ROUND(MIN(IF(H98&gt;=7,Charges!$C$12*(1+Charges!$C$14)^((H98-7+1)),VLOOKUP(H98,Charges!$B$7:$C$12,2,0))*pr,Charges!$C$13)*B98,Round)</f>
        <v>500</v>
      </c>
      <c r="W98" s="14">
        <f t="shared" ca="1" si="65"/>
        <v>2978080.8974866127</v>
      </c>
      <c r="X98" s="14">
        <f t="shared" ca="1" si="66"/>
        <v>2997241.9596510674</v>
      </c>
      <c r="Y98" s="213">
        <f t="shared" ca="1" si="88"/>
        <v>3373.7322253221323</v>
      </c>
      <c r="Z98" s="14">
        <f t="shared" ca="1" si="67"/>
        <v>2993868.2274257452</v>
      </c>
      <c r="AA98" s="14">
        <f>IF(AND($H98=pt,$F98=11),SUM($K$7:K98)*VLOOKUP(pt,ROC,2,FALSE),0)</f>
        <v>0</v>
      </c>
      <c r="AB98" s="14">
        <f>IF(AND($H98=pt,$F98=11),SUM($V$7:V98)*VLOOKUP(pt,ROC,2,FALSE),0)</f>
        <v>0</v>
      </c>
      <c r="AC98" s="14">
        <f>IF(AND($H98=pt,$F98=11),SUM($Q$7:Q98)*VLOOKUP(pt,ROC,2,FALSE),0)</f>
        <v>0</v>
      </c>
      <c r="AD98" s="14">
        <f t="shared" ca="1" si="89"/>
        <v>2993868.2274257452</v>
      </c>
      <c r="AE98" s="14">
        <f ca="1">(MAX(sa-CF97*Flag_UL_Type,105%*SUM($I$7:I98),Z98)+AU98)*B98</f>
        <v>3000000</v>
      </c>
      <c r="AF98" s="136"/>
      <c r="AG98" s="18">
        <v>92</v>
      </c>
      <c r="AH98" s="30">
        <f t="shared" ca="1" si="68"/>
        <v>0</v>
      </c>
      <c r="AI98" s="138"/>
      <c r="AJ98" s="50">
        <f>IF(AND(Option_Sys_TopUp&gt;="Y",H98&gt;=sytp,H98&lt;=(dtp+sytp-1),F98=0,H98&lt;=ppt+1),atp,0)+IFERROR(VLOOKUP(H98,Input!$B$55:$C$61,2,0),0)*(F98=0)*(Option_TopUP="Y")*(Option_Sys_TopUp="N")*B98*(pt&gt;=H98+5)</f>
        <v>0</v>
      </c>
      <c r="AK98" s="50">
        <f t="shared" si="69"/>
        <v>0</v>
      </c>
      <c r="AL98" s="50">
        <f t="shared" si="90"/>
        <v>0</v>
      </c>
      <c r="AM98" s="50">
        <f t="shared" ca="1" si="70"/>
        <v>0</v>
      </c>
      <c r="AN98" s="50">
        <f ca="1">IF(B98=0,0,AT98*(_rpm1+(1+_emr1)*VLOOKUP(E98,Tab_Mort_Charge,IF(Input!$C$12="M",2,3),0))*(0.001*0.0833)*Flag_Mort_Rider_Charge*(AT98&gt;0))</f>
        <v>0</v>
      </c>
      <c r="AO98" s="50">
        <f t="shared" ca="1" si="91"/>
        <v>0</v>
      </c>
      <c r="AP98" s="50">
        <f t="shared" ca="1" si="99"/>
        <v>0</v>
      </c>
      <c r="AQ98" s="50">
        <f t="shared" ca="1" si="71"/>
        <v>0</v>
      </c>
      <c r="AR98" s="50">
        <f t="shared" ca="1" si="72"/>
        <v>0</v>
      </c>
      <c r="AS98" s="50">
        <f t="shared" si="73"/>
        <v>0</v>
      </c>
      <c r="AT98" s="50">
        <f ca="1">(MAX((MAX(AS98,105%*SUM($AJ$7:AJ98))-AM98*Flag_UL_Type),0)*B98)</f>
        <v>0</v>
      </c>
      <c r="AU98" s="50">
        <f ca="1">(MAX(AS98,AR98,105%*SUM($AJ$7:AJ98))*B98)</f>
        <v>0</v>
      </c>
      <c r="AV98" s="125"/>
      <c r="AW98" s="13"/>
      <c r="AX98" s="13"/>
      <c r="AY98" s="13"/>
      <c r="AZ98" s="13"/>
      <c r="BA98" s="13"/>
      <c r="BG98" s="51">
        <f t="shared" si="74"/>
        <v>0</v>
      </c>
      <c r="BH98" s="51">
        <f t="shared" ca="1" si="75"/>
        <v>0</v>
      </c>
      <c r="BI98" s="51">
        <f t="shared" ca="1" si="76"/>
        <v>0</v>
      </c>
      <c r="BJ98" s="51">
        <f t="shared" ca="1" si="77"/>
        <v>0</v>
      </c>
      <c r="BK98" s="51">
        <f t="shared" si="78"/>
        <v>0</v>
      </c>
      <c r="BL98" s="51">
        <f t="shared" ca="1" si="79"/>
        <v>0</v>
      </c>
      <c r="BM98" s="51">
        <f t="shared" si="80"/>
        <v>0</v>
      </c>
      <c r="BN98" s="51">
        <f t="shared" ca="1" si="81"/>
        <v>0</v>
      </c>
      <c r="BO98" s="51">
        <f t="shared" ca="1" si="82"/>
        <v>0</v>
      </c>
      <c r="BP98" s="51">
        <f t="shared" ca="1" si="83"/>
        <v>0</v>
      </c>
      <c r="BQ98" s="120"/>
      <c r="BR98" s="32"/>
      <c r="BS98" s="126"/>
      <c r="BT98" s="16"/>
      <c r="BU98" s="58"/>
      <c r="BW98" s="51">
        <f>VLOOKUP(H98,Charges!$AT$4:$AU$33,2,FALSE)*I98</f>
        <v>0</v>
      </c>
      <c r="BX98" s="51">
        <f t="shared" si="84"/>
        <v>0</v>
      </c>
      <c r="BY98" s="51">
        <f t="shared" si="93"/>
        <v>0</v>
      </c>
      <c r="BZ98" s="151"/>
      <c r="CA98" s="151"/>
      <c r="CB98" s="32"/>
      <c r="CC98" s="16">
        <f ca="1">SUM($N$7:$N98)</f>
        <v>0</v>
      </c>
      <c r="CD98" s="16">
        <f t="shared" ca="1" si="85"/>
        <v>0</v>
      </c>
      <c r="CE98" s="16">
        <f t="shared" ca="1" si="86"/>
        <v>0</v>
      </c>
      <c r="CF98" s="7">
        <f t="shared" ca="1" si="94"/>
        <v>0</v>
      </c>
    </row>
    <row r="99" spans="1:84" s="7" customFormat="1" x14ac:dyDescent="0.2">
      <c r="A99" s="149"/>
      <c r="B99" s="14">
        <f t="shared" si="55"/>
        <v>1</v>
      </c>
      <c r="C99" s="12">
        <f t="shared" si="56"/>
        <v>1</v>
      </c>
      <c r="D99" s="17">
        <f t="shared" si="95"/>
        <v>93</v>
      </c>
      <c r="E99" s="17">
        <f t="shared" ca="1" si="57"/>
        <v>67</v>
      </c>
      <c r="F99" s="12">
        <f t="shared" si="97"/>
        <v>8</v>
      </c>
      <c r="G99" s="12">
        <f t="shared" si="96"/>
        <v>16</v>
      </c>
      <c r="H99" s="17">
        <f t="shared" si="98"/>
        <v>8</v>
      </c>
      <c r="I99" s="29">
        <f t="shared" si="58"/>
        <v>0</v>
      </c>
      <c r="J99" s="211">
        <f>IFERROR(VLOOKUP(H99,Charges!$T$6:$U$35,2,0)*C99,0)</f>
        <v>0.98</v>
      </c>
      <c r="K99" s="29">
        <f t="shared" si="59"/>
        <v>0</v>
      </c>
      <c r="L99" s="29">
        <f t="shared" si="60"/>
        <v>0</v>
      </c>
      <c r="M99" s="147">
        <f t="shared" ca="1" si="61"/>
        <v>0</v>
      </c>
      <c r="N99" s="148">
        <f ca="1">IF(AND(Option_SPW="Y",Z98&gt;=SPW_Start_Min_FV,H99&gt;=Lock_In_Period,Z98&gt;SPW_Amount_pa+IF(option="Single",1/5*pr,2*pr),H99&gt;=SPW_Start_Year,H99&lt;=SPW_Start_Year+SPW_Duration-1,F99=0,age+H99&gt;=Legal_Age),SPW_Amount_pa,0)+IFERROR(VLOOKUP(H99,Input!$B$68:$C$74,2,0),0)*(F99=0)*(Option_PW="Y")*(Option_SPW="N")*(age+H99&gt;=Legal_Age)</f>
        <v>0</v>
      </c>
      <c r="O99" s="148">
        <f t="shared" ca="1" si="87"/>
        <v>0</v>
      </c>
      <c r="P99" s="14">
        <f ca="1">(MAX(MAX(sa-CF98*Flag_UL_Type,105%*SUM($I$7:I99))-(AD98+L99-N99)*Flag_UL_Type,0)*B99)</f>
        <v>6131.7725742547773</v>
      </c>
      <c r="Q99" s="213">
        <f t="shared" ca="1" si="62"/>
        <v>0</v>
      </c>
      <c r="R99" s="14">
        <f t="shared" ca="1" si="63"/>
        <v>0</v>
      </c>
      <c r="S99" s="14">
        <f t="shared" ca="1" si="64"/>
        <v>0</v>
      </c>
      <c r="T99" s="14">
        <f>IFERROR(IF(WoP_Flag="Y",IF(fq=1,VLOOKUP(ppt*fq-H99,Charges!$AN$41:$AO$59,2,FALSE),IF(fq=2,VLOOKUP(ppt*fq-G99,Charges!$AP$41:$AQ$79,2,FALSE),VLOOKUP(ppt*fq-D99,Charges!$AR$41:$AS$279,2,FALSE)))*pr/fq,0),0)</f>
        <v>0</v>
      </c>
      <c r="U99" s="14">
        <f ca="1">IFERROR(((T99*(VLOOKUP(Input!$D$18+H99-1,Tab_Mort_Charge,IF(Gender_2="M",2,3),FALSE)*(1+_emr2)+_rpm2)/IF(Model_Type="LA_PQIS",1000/0.0833,(12*1000))))*Flag_Mort_Rider_Charge*(T99&gt;0),0)</f>
        <v>0</v>
      </c>
      <c r="V99" s="34">
        <f>ROUND(MIN(IF(H99&gt;=7,Charges!$C$12*(1+Charges!$C$14)^((H99-7+1)),VLOOKUP(H99,Charges!$B$7:$C$12,2,0))*pr,Charges!$C$13)*B99,Round)</f>
        <v>500</v>
      </c>
      <c r="W99" s="14">
        <f t="shared" ca="1" si="65"/>
        <v>2993368.2274257452</v>
      </c>
      <c r="X99" s="14">
        <f t="shared" ca="1" si="66"/>
        <v>3012627.6487313299</v>
      </c>
      <c r="Y99" s="213">
        <f t="shared" ca="1" si="88"/>
        <v>3391.0505452167704</v>
      </c>
      <c r="Z99" s="14">
        <f t="shared" ca="1" si="67"/>
        <v>3009236.5981861134</v>
      </c>
      <c r="AA99" s="14">
        <f>IF(AND($H99=pt,$F99=11),SUM($K$7:K99)*VLOOKUP(pt,ROC,2,FALSE),0)</f>
        <v>0</v>
      </c>
      <c r="AB99" s="14">
        <f>IF(AND($H99=pt,$F99=11),SUM($V$7:V99)*VLOOKUP(pt,ROC,2,FALSE),0)</f>
        <v>0</v>
      </c>
      <c r="AC99" s="14">
        <f>IF(AND($H99=pt,$F99=11),SUM($Q$7:Q99)*VLOOKUP(pt,ROC,2,FALSE),0)</f>
        <v>0</v>
      </c>
      <c r="AD99" s="14">
        <f t="shared" ca="1" si="89"/>
        <v>3009236.5981861134</v>
      </c>
      <c r="AE99" s="14">
        <f ca="1">(MAX(sa-CF98*Flag_UL_Type,105%*SUM($I$7:I99),Z99)+AU99)*B99</f>
        <v>3009236.5981861134</v>
      </c>
      <c r="AF99" s="136"/>
      <c r="AG99" s="18">
        <v>93</v>
      </c>
      <c r="AH99" s="30">
        <f t="shared" ca="1" si="68"/>
        <v>0</v>
      </c>
      <c r="AI99" s="138"/>
      <c r="AJ99" s="50">
        <f>IF(AND(Option_Sys_TopUp&gt;="Y",H99&gt;=sytp,H99&lt;=(dtp+sytp-1),F99=0,H99&lt;=ppt+1),atp,0)+IFERROR(VLOOKUP(H99,Input!$B$55:$C$61,2,0),0)*(F99=0)*(Option_TopUP="Y")*(Option_Sys_TopUp="N")*B99*(pt&gt;=H99+5)</f>
        <v>0</v>
      </c>
      <c r="AK99" s="50">
        <f t="shared" si="69"/>
        <v>0</v>
      </c>
      <c r="AL99" s="50">
        <f t="shared" si="90"/>
        <v>0</v>
      </c>
      <c r="AM99" s="50">
        <f t="shared" ca="1" si="70"/>
        <v>0</v>
      </c>
      <c r="AN99" s="50">
        <f ca="1">IF(B99=0,0,AT99*(_rpm1+(1+_emr1)*VLOOKUP(E99,Tab_Mort_Charge,IF(Input!$C$12="M",2,3),0))*(0.001*0.0833)*Flag_Mort_Rider_Charge*(AT99&gt;0))</f>
        <v>0</v>
      </c>
      <c r="AO99" s="50">
        <f t="shared" ca="1" si="91"/>
        <v>0</v>
      </c>
      <c r="AP99" s="50">
        <f t="shared" ca="1" si="99"/>
        <v>0</v>
      </c>
      <c r="AQ99" s="50">
        <f t="shared" ca="1" si="71"/>
        <v>0</v>
      </c>
      <c r="AR99" s="50">
        <f t="shared" ca="1" si="72"/>
        <v>0</v>
      </c>
      <c r="AS99" s="50">
        <f t="shared" si="73"/>
        <v>0</v>
      </c>
      <c r="AT99" s="50">
        <f ca="1">(MAX((MAX(AS99,105%*SUM($AJ$7:AJ99))-AM99*Flag_UL_Type),0)*B99)</f>
        <v>0</v>
      </c>
      <c r="AU99" s="50">
        <f ca="1">(MAX(AS99,AR99,105%*SUM($AJ$7:AJ99))*B99)</f>
        <v>0</v>
      </c>
      <c r="AV99" s="125"/>
      <c r="AW99" s="13"/>
      <c r="AX99" s="13"/>
      <c r="AY99" s="13"/>
      <c r="AZ99" s="13"/>
      <c r="BA99" s="13"/>
      <c r="BG99" s="51">
        <f t="shared" si="74"/>
        <v>0</v>
      </c>
      <c r="BH99" s="51">
        <f t="shared" ca="1" si="75"/>
        <v>0</v>
      </c>
      <c r="BI99" s="51">
        <f t="shared" ca="1" si="76"/>
        <v>0</v>
      </c>
      <c r="BJ99" s="51">
        <f t="shared" ca="1" si="77"/>
        <v>0</v>
      </c>
      <c r="BK99" s="51">
        <f t="shared" si="78"/>
        <v>0</v>
      </c>
      <c r="BL99" s="51">
        <f t="shared" ca="1" si="79"/>
        <v>0</v>
      </c>
      <c r="BM99" s="51">
        <f t="shared" si="80"/>
        <v>0</v>
      </c>
      <c r="BN99" s="51">
        <f t="shared" ca="1" si="81"/>
        <v>0</v>
      </c>
      <c r="BO99" s="51">
        <f t="shared" ca="1" si="82"/>
        <v>0</v>
      </c>
      <c r="BP99" s="51">
        <f t="shared" ca="1" si="83"/>
        <v>0</v>
      </c>
      <c r="BQ99" s="120"/>
      <c r="BR99" s="32"/>
      <c r="BS99" s="126"/>
      <c r="BT99" s="16"/>
      <c r="BU99" s="58"/>
      <c r="BW99" s="51">
        <f>VLOOKUP(H99,Charges!$AT$4:$AU$33,2,FALSE)*I99</f>
        <v>0</v>
      </c>
      <c r="BX99" s="51">
        <f t="shared" si="84"/>
        <v>0</v>
      </c>
      <c r="BY99" s="51">
        <f t="shared" si="93"/>
        <v>0</v>
      </c>
      <c r="BZ99" s="151"/>
      <c r="CA99" s="151"/>
      <c r="CB99" s="32"/>
      <c r="CC99" s="16">
        <f ca="1">SUM($N$7:$N99)</f>
        <v>0</v>
      </c>
      <c r="CD99" s="16">
        <f t="shared" ca="1" si="85"/>
        <v>0</v>
      </c>
      <c r="CE99" s="16">
        <f t="shared" ca="1" si="86"/>
        <v>0</v>
      </c>
      <c r="CF99" s="7">
        <f t="shared" ca="1" si="94"/>
        <v>0</v>
      </c>
    </row>
    <row r="100" spans="1:84" s="7" customFormat="1" x14ac:dyDescent="0.2">
      <c r="A100" s="149"/>
      <c r="B100" s="14">
        <f t="shared" si="55"/>
        <v>1</v>
      </c>
      <c r="C100" s="12">
        <f t="shared" si="56"/>
        <v>1</v>
      </c>
      <c r="D100" s="17">
        <f t="shared" si="95"/>
        <v>94</v>
      </c>
      <c r="E100" s="17">
        <f t="shared" ca="1" si="57"/>
        <v>67</v>
      </c>
      <c r="F100" s="12">
        <f t="shared" si="97"/>
        <v>9</v>
      </c>
      <c r="G100" s="12">
        <f t="shared" si="96"/>
        <v>16</v>
      </c>
      <c r="H100" s="17">
        <f t="shared" si="98"/>
        <v>8</v>
      </c>
      <c r="I100" s="29">
        <f t="shared" si="58"/>
        <v>0</v>
      </c>
      <c r="J100" s="211">
        <f>IFERROR(VLOOKUP(H100,Charges!$T$6:$U$35,2,0)*C100,0)</f>
        <v>0.98</v>
      </c>
      <c r="K100" s="29">
        <f t="shared" si="59"/>
        <v>0</v>
      </c>
      <c r="L100" s="29">
        <f t="shared" si="60"/>
        <v>0</v>
      </c>
      <c r="M100" s="147">
        <f t="shared" ca="1" si="61"/>
        <v>0</v>
      </c>
      <c r="N100" s="148">
        <f ca="1">IF(AND(Option_SPW="Y",Z99&gt;=SPW_Start_Min_FV,H100&gt;=Lock_In_Period,Z99&gt;SPW_Amount_pa+IF(option="Single",1/5*pr,2*pr),H100&gt;=SPW_Start_Year,H100&lt;=SPW_Start_Year+SPW_Duration-1,F100=0,age+H100&gt;=Legal_Age),SPW_Amount_pa,0)+IFERROR(VLOOKUP(H100,Input!$B$68:$C$74,2,0),0)*(F100=0)*(Option_PW="Y")*(Option_SPW="N")*(age+H100&gt;=Legal_Age)</f>
        <v>0</v>
      </c>
      <c r="O100" s="148">
        <f t="shared" ca="1" si="87"/>
        <v>0</v>
      </c>
      <c r="P100" s="14">
        <f ca="1">(MAX(MAX(sa-CF99*Flag_UL_Type,105%*SUM($I$7:I100))-(AD99+L100-N100)*Flag_UL_Type,0)*B100)</f>
        <v>0</v>
      </c>
      <c r="Q100" s="213">
        <f t="shared" ca="1" si="62"/>
        <v>0</v>
      </c>
      <c r="R100" s="14">
        <f t="shared" ca="1" si="63"/>
        <v>0</v>
      </c>
      <c r="S100" s="14">
        <f t="shared" ca="1" si="64"/>
        <v>0</v>
      </c>
      <c r="T100" s="14">
        <f>IFERROR(IF(WoP_Flag="Y",IF(fq=1,VLOOKUP(ppt*fq-H100,Charges!$AN$41:$AO$59,2,FALSE),IF(fq=2,VLOOKUP(ppt*fq-G100,Charges!$AP$41:$AQ$79,2,FALSE),VLOOKUP(ppt*fq-D100,Charges!$AR$41:$AS$279,2,FALSE)))*pr/fq,0),0)</f>
        <v>0</v>
      </c>
      <c r="U100" s="14">
        <f ca="1">IFERROR(((T100*(VLOOKUP(Input!$D$18+H100-1,Tab_Mort_Charge,IF(Gender_2="M",2,3),FALSE)*(1+_emr2)+_rpm2)/IF(Model_Type="LA_PQIS",1000/0.0833,(12*1000))))*Flag_Mort_Rider_Charge*(T100&gt;0),0)</f>
        <v>0</v>
      </c>
      <c r="V100" s="34">
        <f>ROUND(MIN(IF(H100&gt;=7,Charges!$C$12*(1+Charges!$C$14)^((H100-7+1)),VLOOKUP(H100,Charges!$B$7:$C$12,2,0))*pr,Charges!$C$13)*B100,Round)</f>
        <v>500</v>
      </c>
      <c r="W100" s="14">
        <f t="shared" ca="1" si="65"/>
        <v>3008736.5981861134</v>
      </c>
      <c r="X100" s="14">
        <f t="shared" ca="1" si="66"/>
        <v>3028094.9000519123</v>
      </c>
      <c r="Y100" s="213">
        <f t="shared" ca="1" si="88"/>
        <v>3408.4606725671429</v>
      </c>
      <c r="Z100" s="14">
        <f t="shared" ca="1" si="67"/>
        <v>3024686.4393793452</v>
      </c>
      <c r="AA100" s="14">
        <f>IF(AND($H100=pt,$F100=11),SUM($K$7:K100)*VLOOKUP(pt,ROC,2,FALSE),0)</f>
        <v>0</v>
      </c>
      <c r="AB100" s="14">
        <f>IF(AND($H100=pt,$F100=11),SUM($V$7:V100)*VLOOKUP(pt,ROC,2,FALSE),0)</f>
        <v>0</v>
      </c>
      <c r="AC100" s="14">
        <f>IF(AND($H100=pt,$F100=11),SUM($Q$7:Q100)*VLOOKUP(pt,ROC,2,FALSE),0)</f>
        <v>0</v>
      </c>
      <c r="AD100" s="14">
        <f t="shared" ca="1" si="89"/>
        <v>3024686.4393793452</v>
      </c>
      <c r="AE100" s="14">
        <f ca="1">(MAX(sa-CF99*Flag_UL_Type,105%*SUM($I$7:I100),Z100)+AU100)*B100</f>
        <v>3024686.4393793452</v>
      </c>
      <c r="AF100" s="136"/>
      <c r="AG100" s="18">
        <v>94</v>
      </c>
      <c r="AH100" s="30">
        <f t="shared" ca="1" si="68"/>
        <v>0</v>
      </c>
      <c r="AI100" s="58"/>
      <c r="AJ100" s="50">
        <f>IF(AND(Option_Sys_TopUp&gt;="Y",H100&gt;=sytp,H100&lt;=(dtp+sytp-1),F100=0,H100&lt;=ppt+1),atp,0)+IFERROR(VLOOKUP(H100,Input!$B$55:$C$61,2,0),0)*(F100=0)*(Option_TopUP="Y")*(Option_Sys_TopUp="N")*B100*(pt&gt;=H100+5)</f>
        <v>0</v>
      </c>
      <c r="AK100" s="50">
        <f t="shared" si="69"/>
        <v>0</v>
      </c>
      <c r="AL100" s="50">
        <f t="shared" si="90"/>
        <v>0</v>
      </c>
      <c r="AM100" s="50">
        <f t="shared" ca="1" si="70"/>
        <v>0</v>
      </c>
      <c r="AN100" s="50">
        <f ca="1">IF(B100=0,0,AT100*(_rpm1+(1+_emr1)*VLOOKUP(E100,Tab_Mort_Charge,IF(Input!$C$12="M",2,3),0))*(0.001*0.0833)*Flag_Mort_Rider_Charge*(AT100&gt;0))</f>
        <v>0</v>
      </c>
      <c r="AO100" s="50">
        <f t="shared" ca="1" si="91"/>
        <v>0</v>
      </c>
      <c r="AP100" s="50">
        <f t="shared" ca="1" si="99"/>
        <v>0</v>
      </c>
      <c r="AQ100" s="50">
        <f t="shared" ca="1" si="71"/>
        <v>0</v>
      </c>
      <c r="AR100" s="50">
        <f t="shared" ca="1" si="72"/>
        <v>0</v>
      </c>
      <c r="AS100" s="50">
        <f t="shared" si="73"/>
        <v>0</v>
      </c>
      <c r="AT100" s="50">
        <f ca="1">(MAX((MAX(AS100,105%*SUM($AJ$7:AJ100))-AM100*Flag_UL_Type),0)*B100)</f>
        <v>0</v>
      </c>
      <c r="AU100" s="50">
        <f ca="1">(MAX(AS100,AR100,105%*SUM($AJ$7:AJ100))*B100)</f>
        <v>0</v>
      </c>
      <c r="AV100" s="125"/>
      <c r="AW100" s="13"/>
      <c r="AX100" s="13"/>
      <c r="AY100" s="13"/>
      <c r="AZ100" s="13"/>
      <c r="BA100" s="13"/>
      <c r="BG100" s="51">
        <f t="shared" si="74"/>
        <v>0</v>
      </c>
      <c r="BH100" s="51">
        <f t="shared" ca="1" si="75"/>
        <v>0</v>
      </c>
      <c r="BI100" s="51">
        <f t="shared" ca="1" si="76"/>
        <v>0</v>
      </c>
      <c r="BJ100" s="51">
        <f t="shared" ca="1" si="77"/>
        <v>0</v>
      </c>
      <c r="BK100" s="51">
        <f t="shared" si="78"/>
        <v>0</v>
      </c>
      <c r="BL100" s="51">
        <f t="shared" ca="1" si="79"/>
        <v>0</v>
      </c>
      <c r="BM100" s="51">
        <f t="shared" si="80"/>
        <v>0</v>
      </c>
      <c r="BN100" s="51">
        <f t="shared" ca="1" si="81"/>
        <v>0</v>
      </c>
      <c r="BO100" s="51">
        <f t="shared" ca="1" si="82"/>
        <v>0</v>
      </c>
      <c r="BP100" s="51">
        <f t="shared" ca="1" si="83"/>
        <v>0</v>
      </c>
      <c r="BQ100" s="120"/>
      <c r="BR100" s="32"/>
      <c r="BS100" s="126"/>
      <c r="BT100" s="16"/>
      <c r="BU100" s="58"/>
      <c r="BW100" s="51">
        <f>VLOOKUP(H100,Charges!$AT$4:$AU$33,2,FALSE)*I100</f>
        <v>0</v>
      </c>
      <c r="BX100" s="51">
        <f t="shared" si="84"/>
        <v>0</v>
      </c>
      <c r="BY100" s="51">
        <f t="shared" si="93"/>
        <v>0</v>
      </c>
      <c r="BZ100" s="151"/>
      <c r="CA100" s="151"/>
      <c r="CB100" s="32"/>
      <c r="CC100" s="16">
        <f ca="1">SUM($N$7:$N100)</f>
        <v>0</v>
      </c>
      <c r="CD100" s="16">
        <f t="shared" ca="1" si="85"/>
        <v>0</v>
      </c>
      <c r="CE100" s="16">
        <f t="shared" ca="1" si="86"/>
        <v>0</v>
      </c>
      <c r="CF100" s="7">
        <f t="shared" ca="1" si="94"/>
        <v>0</v>
      </c>
    </row>
    <row r="101" spans="1:84" s="7" customFormat="1" x14ac:dyDescent="0.2">
      <c r="A101" s="149"/>
      <c r="B101" s="14">
        <f t="shared" si="55"/>
        <v>1</v>
      </c>
      <c r="C101" s="12">
        <f t="shared" si="56"/>
        <v>1</v>
      </c>
      <c r="D101" s="17">
        <f t="shared" si="95"/>
        <v>95</v>
      </c>
      <c r="E101" s="17">
        <f t="shared" ca="1" si="57"/>
        <v>67</v>
      </c>
      <c r="F101" s="12">
        <f t="shared" si="97"/>
        <v>10</v>
      </c>
      <c r="G101" s="12">
        <f t="shared" si="96"/>
        <v>16</v>
      </c>
      <c r="H101" s="17">
        <f t="shared" si="98"/>
        <v>8</v>
      </c>
      <c r="I101" s="29">
        <f t="shared" si="58"/>
        <v>0</v>
      </c>
      <c r="J101" s="211">
        <f>IFERROR(VLOOKUP(H101,Charges!$T$6:$U$35,2,0)*C101,0)</f>
        <v>0.98</v>
      </c>
      <c r="K101" s="29">
        <f t="shared" si="59"/>
        <v>0</v>
      </c>
      <c r="L101" s="29">
        <f t="shared" si="60"/>
        <v>0</v>
      </c>
      <c r="M101" s="147">
        <f t="shared" ca="1" si="61"/>
        <v>0</v>
      </c>
      <c r="N101" s="148">
        <f ca="1">IF(AND(Option_SPW="Y",Z100&gt;=SPW_Start_Min_FV,H101&gt;=Lock_In_Period,Z100&gt;SPW_Amount_pa+IF(option="Single",1/5*pr,2*pr),H101&gt;=SPW_Start_Year,H101&lt;=SPW_Start_Year+SPW_Duration-1,F101=0,age+H101&gt;=Legal_Age),SPW_Amount_pa,0)+IFERROR(VLOOKUP(H101,Input!$B$68:$C$74,2,0),0)*(F101=0)*(Option_PW="Y")*(Option_SPW="N")*(age+H101&gt;=Legal_Age)</f>
        <v>0</v>
      </c>
      <c r="O101" s="148">
        <f t="shared" ca="1" si="87"/>
        <v>0</v>
      </c>
      <c r="P101" s="14">
        <f ca="1">(MAX(MAX(sa-CF100*Flag_UL_Type,105%*SUM($I$7:I101))-(AD100+L101-N101)*Flag_UL_Type,0)*B101)</f>
        <v>0</v>
      </c>
      <c r="Q101" s="213">
        <f t="shared" ca="1" si="62"/>
        <v>0</v>
      </c>
      <c r="R101" s="14">
        <f t="shared" ca="1" si="63"/>
        <v>0</v>
      </c>
      <c r="S101" s="14">
        <f t="shared" ca="1" si="64"/>
        <v>0</v>
      </c>
      <c r="T101" s="14">
        <f>IFERROR(IF(WoP_Flag="Y",IF(fq=1,VLOOKUP(ppt*fq-H101,Charges!$AN$41:$AO$59,2,FALSE),IF(fq=2,VLOOKUP(ppt*fq-G101,Charges!$AP$41:$AQ$79,2,FALSE),VLOOKUP(ppt*fq-D101,Charges!$AR$41:$AS$279,2,FALSE)))*pr/fq,0),0)</f>
        <v>0</v>
      </c>
      <c r="U101" s="14">
        <f ca="1">IFERROR(((T101*(VLOOKUP(Input!$D$18+H101-1,Tab_Mort_Charge,IF(Gender_2="M",2,3),FALSE)*(1+_emr2)+_rpm2)/IF(Model_Type="LA_PQIS",1000/0.0833,(12*1000))))*Flag_Mort_Rider_Charge*(T101&gt;0),0)</f>
        <v>0</v>
      </c>
      <c r="V101" s="34">
        <f>ROUND(MIN(IF(H101&gt;=7,Charges!$C$12*(1+Charges!$C$14)^((H101-7+1)),VLOOKUP(H101,Charges!$B$7:$C$12,2,0))*pr,Charges!$C$13)*B101,Round)</f>
        <v>500</v>
      </c>
      <c r="W101" s="14">
        <f t="shared" ca="1" si="65"/>
        <v>3024186.4393793452</v>
      </c>
      <c r="X101" s="14">
        <f t="shared" ca="1" si="66"/>
        <v>3043644.1459885761</v>
      </c>
      <c r="Y101" s="213">
        <f t="shared" ca="1" si="88"/>
        <v>3425.963094060698</v>
      </c>
      <c r="Z101" s="14">
        <f t="shared" ca="1" si="67"/>
        <v>3040218.1828945153</v>
      </c>
      <c r="AA101" s="14">
        <f>IF(AND($H101=pt,$F101=11),SUM($K$7:K101)*VLOOKUP(pt,ROC,2,FALSE),0)</f>
        <v>0</v>
      </c>
      <c r="AB101" s="14">
        <f>IF(AND($H101=pt,$F101=11),SUM($V$7:V101)*VLOOKUP(pt,ROC,2,FALSE),0)</f>
        <v>0</v>
      </c>
      <c r="AC101" s="14">
        <f>IF(AND($H101=pt,$F101=11),SUM($Q$7:Q101)*VLOOKUP(pt,ROC,2,FALSE),0)</f>
        <v>0</v>
      </c>
      <c r="AD101" s="14">
        <f t="shared" ca="1" si="89"/>
        <v>3040218.1828945153</v>
      </c>
      <c r="AE101" s="14">
        <f ca="1">(MAX(sa-CF100*Flag_UL_Type,105%*SUM($I$7:I101),Z101)+AU101)*B101</f>
        <v>3040218.1828945153</v>
      </c>
      <c r="AF101" s="136"/>
      <c r="AG101" s="18">
        <v>95</v>
      </c>
      <c r="AH101" s="30">
        <f t="shared" ca="1" si="68"/>
        <v>0</v>
      </c>
      <c r="AI101" s="58"/>
      <c r="AJ101" s="50">
        <f>IF(AND(Option_Sys_TopUp&gt;="Y",H101&gt;=sytp,H101&lt;=(dtp+sytp-1),F101=0,H101&lt;=ppt+1),atp,0)+IFERROR(VLOOKUP(H101,Input!$B$55:$C$61,2,0),0)*(F101=0)*(Option_TopUP="Y")*(Option_Sys_TopUp="N")*B101*(pt&gt;=H101+5)</f>
        <v>0</v>
      </c>
      <c r="AK101" s="50">
        <f t="shared" si="69"/>
        <v>0</v>
      </c>
      <c r="AL101" s="50">
        <f t="shared" si="90"/>
        <v>0</v>
      </c>
      <c r="AM101" s="50">
        <f t="shared" ca="1" si="70"/>
        <v>0</v>
      </c>
      <c r="AN101" s="50">
        <f ca="1">IF(B101=0,0,AT101*(_rpm1+(1+_emr1)*VLOOKUP(E101,Tab_Mort_Charge,IF(Input!$C$12="M",2,3),0))*(0.001*0.0833)*Flag_Mort_Rider_Charge*(AT101&gt;0))</f>
        <v>0</v>
      </c>
      <c r="AO101" s="50">
        <f t="shared" ca="1" si="91"/>
        <v>0</v>
      </c>
      <c r="AP101" s="50">
        <f t="shared" ca="1" si="99"/>
        <v>0</v>
      </c>
      <c r="AQ101" s="50">
        <f t="shared" ca="1" si="71"/>
        <v>0</v>
      </c>
      <c r="AR101" s="50">
        <f t="shared" ca="1" si="72"/>
        <v>0</v>
      </c>
      <c r="AS101" s="50">
        <f t="shared" si="73"/>
        <v>0</v>
      </c>
      <c r="AT101" s="50">
        <f ca="1">(MAX((MAX(AS101,105%*SUM($AJ$7:AJ101))-AM101*Flag_UL_Type),0)*B101)</f>
        <v>0</v>
      </c>
      <c r="AU101" s="50">
        <f ca="1">(MAX(AS101,AR101,105%*SUM($AJ$7:AJ101))*B101)</f>
        <v>0</v>
      </c>
      <c r="AV101" s="125"/>
      <c r="AW101" s="13"/>
      <c r="AX101" s="13"/>
      <c r="AY101" s="13"/>
      <c r="AZ101" s="13"/>
      <c r="BA101" s="13"/>
      <c r="BG101" s="51">
        <f t="shared" si="74"/>
        <v>0</v>
      </c>
      <c r="BH101" s="51">
        <f t="shared" ca="1" si="75"/>
        <v>0</v>
      </c>
      <c r="BI101" s="51">
        <f t="shared" ca="1" si="76"/>
        <v>0</v>
      </c>
      <c r="BJ101" s="51">
        <f t="shared" ca="1" si="77"/>
        <v>0</v>
      </c>
      <c r="BK101" s="51">
        <f t="shared" si="78"/>
        <v>0</v>
      </c>
      <c r="BL101" s="51">
        <f t="shared" ca="1" si="79"/>
        <v>0</v>
      </c>
      <c r="BM101" s="51">
        <f t="shared" si="80"/>
        <v>0</v>
      </c>
      <c r="BN101" s="51">
        <f t="shared" ca="1" si="81"/>
        <v>0</v>
      </c>
      <c r="BO101" s="51">
        <f t="shared" ca="1" si="82"/>
        <v>0</v>
      </c>
      <c r="BP101" s="51">
        <f t="shared" ca="1" si="83"/>
        <v>0</v>
      </c>
      <c r="BQ101" s="120"/>
      <c r="BR101" s="32"/>
      <c r="BS101" s="126"/>
      <c r="BT101" s="16"/>
      <c r="BU101" s="58"/>
      <c r="BW101" s="51">
        <f>VLOOKUP(H101,Charges!$AT$4:$AU$33,2,FALSE)*I101</f>
        <v>0</v>
      </c>
      <c r="BX101" s="51">
        <f t="shared" si="84"/>
        <v>0</v>
      </c>
      <c r="BY101" s="51">
        <f t="shared" si="93"/>
        <v>0</v>
      </c>
      <c r="BZ101" s="151"/>
      <c r="CA101" s="151"/>
      <c r="CB101" s="32"/>
      <c r="CC101" s="16">
        <f ca="1">SUM($N$7:$N101)</f>
        <v>0</v>
      </c>
      <c r="CD101" s="16">
        <f t="shared" ca="1" si="85"/>
        <v>0</v>
      </c>
      <c r="CE101" s="16">
        <f t="shared" ca="1" si="86"/>
        <v>0</v>
      </c>
      <c r="CF101" s="7">
        <f t="shared" ca="1" si="94"/>
        <v>0</v>
      </c>
    </row>
    <row r="102" spans="1:84" s="7" customFormat="1" x14ac:dyDescent="0.2">
      <c r="A102" s="149"/>
      <c r="B102" s="14">
        <f t="shared" si="55"/>
        <v>1</v>
      </c>
      <c r="C102" s="12">
        <f t="shared" si="56"/>
        <v>1</v>
      </c>
      <c r="D102" s="17">
        <f t="shared" si="95"/>
        <v>96</v>
      </c>
      <c r="E102" s="17">
        <f t="shared" ca="1" si="57"/>
        <v>67</v>
      </c>
      <c r="F102" s="12">
        <f t="shared" si="97"/>
        <v>11</v>
      </c>
      <c r="G102" s="12">
        <f t="shared" si="96"/>
        <v>16</v>
      </c>
      <c r="H102" s="17">
        <f t="shared" si="98"/>
        <v>8</v>
      </c>
      <c r="I102" s="29">
        <f t="shared" si="58"/>
        <v>0</v>
      </c>
      <c r="J102" s="211">
        <f>IFERROR(VLOOKUP(H102,Charges!$T$6:$U$35,2,0)*C102,0)</f>
        <v>0.98</v>
      </c>
      <c r="K102" s="29">
        <f t="shared" si="59"/>
        <v>0</v>
      </c>
      <c r="L102" s="29">
        <f t="shared" si="60"/>
        <v>0</v>
      </c>
      <c r="M102" s="147">
        <f t="shared" ca="1" si="61"/>
        <v>0</v>
      </c>
      <c r="N102" s="148">
        <f ca="1">IF(AND(Option_SPW="Y",Z101&gt;=SPW_Start_Min_FV,H102&gt;=Lock_In_Period,Z101&gt;SPW_Amount_pa+IF(option="Single",1/5*pr,2*pr),H102&gt;=SPW_Start_Year,H102&lt;=SPW_Start_Year+SPW_Duration-1,F102=0,age+H102&gt;=Legal_Age),SPW_Amount_pa,0)+IFERROR(VLOOKUP(H102,Input!$B$68:$C$74,2,0),0)*(F102=0)*(Option_PW="Y")*(Option_SPW="N")*(age+H102&gt;=Legal_Age)</f>
        <v>0</v>
      </c>
      <c r="O102" s="148">
        <f t="shared" ca="1" si="87"/>
        <v>0</v>
      </c>
      <c r="P102" s="14">
        <f ca="1">(MAX(MAX(sa-CF101*Flag_UL_Type,105%*SUM($I$7:I102))-(AD101+L102-N102)*Flag_UL_Type,0)*B102)</f>
        <v>0</v>
      </c>
      <c r="Q102" s="213">
        <f t="shared" ca="1" si="62"/>
        <v>0</v>
      </c>
      <c r="R102" s="14">
        <f t="shared" ca="1" si="63"/>
        <v>0</v>
      </c>
      <c r="S102" s="14">
        <f t="shared" ca="1" si="64"/>
        <v>0</v>
      </c>
      <c r="T102" s="14">
        <f>IFERROR(IF(WoP_Flag="Y",IF(fq=1,VLOOKUP(ppt*fq-H102,Charges!$AN$41:$AO$59,2,FALSE),IF(fq=2,VLOOKUP(ppt*fq-G102,Charges!$AP$41:$AQ$79,2,FALSE),VLOOKUP(ppt*fq-D102,Charges!$AR$41:$AS$279,2,FALSE)))*pr/fq,0),0)</f>
        <v>0</v>
      </c>
      <c r="U102" s="14">
        <f ca="1">IFERROR(((T102*(VLOOKUP(Input!$D$18+H102-1,Tab_Mort_Charge,IF(Gender_2="M",2,3),FALSE)*(1+_emr2)+_rpm2)/IF(Model_Type="LA_PQIS",1000/0.0833,(12*1000))))*Flag_Mort_Rider_Charge*(T102&gt;0),0)</f>
        <v>0</v>
      </c>
      <c r="V102" s="34">
        <f>ROUND(MIN(IF(H102&gt;=7,Charges!$C$12*(1+Charges!$C$14)^((H102-7+1)),VLOOKUP(H102,Charges!$B$7:$C$12,2,0))*pr,Charges!$C$13)*B102,Round)</f>
        <v>500</v>
      </c>
      <c r="W102" s="14">
        <f t="shared" ca="1" si="65"/>
        <v>3039718.1828945153</v>
      </c>
      <c r="X102" s="14">
        <f t="shared" ca="1" si="66"/>
        <v>3059275.8212091834</v>
      </c>
      <c r="Y102" s="213">
        <f t="shared" ca="1" si="88"/>
        <v>3443.5582989648997</v>
      </c>
      <c r="Z102" s="14">
        <f t="shared" ca="1" si="67"/>
        <v>3055832.2629102184</v>
      </c>
      <c r="AA102" s="14">
        <f>IF(AND($H102=pt,$F102=11),SUM($K$7:K102)*VLOOKUP(pt,ROC,2,FALSE),0)</f>
        <v>0</v>
      </c>
      <c r="AB102" s="14">
        <f>IF(AND($H102=pt,$F102=11),SUM($V$7:V102)*VLOOKUP(pt,ROC,2,FALSE),0)</f>
        <v>0</v>
      </c>
      <c r="AC102" s="14">
        <f>IF(AND($H102=pt,$F102=11),SUM($Q$7:Q102)*VLOOKUP(pt,ROC,2,FALSE),0)</f>
        <v>0</v>
      </c>
      <c r="AD102" s="14">
        <f t="shared" ca="1" si="89"/>
        <v>3055832.2629102184</v>
      </c>
      <c r="AE102" s="14">
        <f ca="1">(MAX(sa-CF101*Flag_UL_Type,105%*SUM($I$7:I102),Z102)+AU102)*B102</f>
        <v>3055832.2629102184</v>
      </c>
      <c r="AF102" s="136"/>
      <c r="AG102" s="18">
        <v>96</v>
      </c>
      <c r="AH102" s="30">
        <f t="shared" ca="1" si="68"/>
        <v>0</v>
      </c>
      <c r="AI102" s="58"/>
      <c r="AJ102" s="50">
        <f>IF(AND(Option_Sys_TopUp&gt;="Y",H102&gt;=sytp,H102&lt;=(dtp+sytp-1),F102=0,H102&lt;=ppt+1),atp,0)+IFERROR(VLOOKUP(H102,Input!$B$55:$C$61,2,0),0)*(F102=0)*(Option_TopUP="Y")*(Option_Sys_TopUp="N")*B102*(pt&gt;=H102+5)</f>
        <v>0</v>
      </c>
      <c r="AK102" s="50">
        <f t="shared" si="69"/>
        <v>0</v>
      </c>
      <c r="AL102" s="50">
        <f t="shared" si="90"/>
        <v>0</v>
      </c>
      <c r="AM102" s="50">
        <f t="shared" ca="1" si="70"/>
        <v>0</v>
      </c>
      <c r="AN102" s="50">
        <f ca="1">IF(B102=0,0,AT102*(_rpm1+(1+_emr1)*VLOOKUP(E102,Tab_Mort_Charge,IF(Input!$C$12="M",2,3),0))*(0.001*0.0833)*Flag_Mort_Rider_Charge*(AT102&gt;0))</f>
        <v>0</v>
      </c>
      <c r="AO102" s="50">
        <f t="shared" ca="1" si="91"/>
        <v>0</v>
      </c>
      <c r="AP102" s="50">
        <f t="shared" ca="1" si="99"/>
        <v>0</v>
      </c>
      <c r="AQ102" s="50">
        <f t="shared" ca="1" si="71"/>
        <v>0</v>
      </c>
      <c r="AR102" s="50">
        <f t="shared" ca="1" si="72"/>
        <v>0</v>
      </c>
      <c r="AS102" s="50">
        <f t="shared" si="73"/>
        <v>0</v>
      </c>
      <c r="AT102" s="50">
        <f ca="1">(MAX((MAX(AS102,105%*SUM($AJ$7:AJ102))-AM102*Flag_UL_Type),0)*B102)</f>
        <v>0</v>
      </c>
      <c r="AU102" s="50">
        <f ca="1">(MAX(AS102,AR102,105%*SUM($AJ$7:AJ102))*B102)</f>
        <v>0</v>
      </c>
      <c r="AV102" s="125"/>
      <c r="AW102" s="13"/>
      <c r="AX102" s="13"/>
      <c r="AY102" s="13"/>
      <c r="AZ102" s="13"/>
      <c r="BA102" s="13"/>
      <c r="BG102" s="51">
        <f t="shared" si="74"/>
        <v>0</v>
      </c>
      <c r="BH102" s="51">
        <f t="shared" ca="1" si="75"/>
        <v>0</v>
      </c>
      <c r="BI102" s="51">
        <f t="shared" ca="1" si="76"/>
        <v>0</v>
      </c>
      <c r="BJ102" s="51">
        <f t="shared" ca="1" si="77"/>
        <v>0</v>
      </c>
      <c r="BK102" s="51">
        <f t="shared" si="78"/>
        <v>0</v>
      </c>
      <c r="BL102" s="51">
        <f t="shared" ca="1" si="79"/>
        <v>0</v>
      </c>
      <c r="BM102" s="51">
        <f t="shared" si="80"/>
        <v>0</v>
      </c>
      <c r="BN102" s="51">
        <f t="shared" ca="1" si="81"/>
        <v>0</v>
      </c>
      <c r="BO102" s="51">
        <f t="shared" ca="1" si="82"/>
        <v>0</v>
      </c>
      <c r="BP102" s="51">
        <f t="shared" ca="1" si="83"/>
        <v>0</v>
      </c>
      <c r="BQ102" s="120"/>
      <c r="BR102" s="32"/>
      <c r="BS102" s="126"/>
      <c r="BT102" s="16"/>
      <c r="BU102" s="58"/>
      <c r="BW102" s="51">
        <f>VLOOKUP(H102,Charges!$AT$4:$AU$33,2,FALSE)*I102</f>
        <v>0</v>
      </c>
      <c r="BX102" s="51">
        <f t="shared" si="84"/>
        <v>0</v>
      </c>
      <c r="BY102" s="51">
        <f t="shared" si="93"/>
        <v>0</v>
      </c>
      <c r="BZ102" s="151"/>
      <c r="CA102" s="151"/>
      <c r="CB102" s="32"/>
      <c r="CC102" s="16">
        <f ca="1">SUM($N$7:$N102)</f>
        <v>0</v>
      </c>
      <c r="CD102" s="16">
        <f t="shared" ca="1" si="85"/>
        <v>0</v>
      </c>
      <c r="CE102" s="16">
        <f t="shared" ca="1" si="86"/>
        <v>0</v>
      </c>
      <c r="CF102" s="7">
        <f t="shared" ca="1" si="94"/>
        <v>0</v>
      </c>
    </row>
    <row r="103" spans="1:84" s="7" customFormat="1" x14ac:dyDescent="0.2">
      <c r="A103" s="149"/>
      <c r="B103" s="14">
        <f t="shared" si="55"/>
        <v>1</v>
      </c>
      <c r="C103" s="12">
        <f t="shared" si="56"/>
        <v>1</v>
      </c>
      <c r="D103" s="17">
        <f t="shared" si="95"/>
        <v>97</v>
      </c>
      <c r="E103" s="17">
        <f t="shared" ca="1" si="57"/>
        <v>68</v>
      </c>
      <c r="F103" s="12">
        <f t="shared" si="97"/>
        <v>0</v>
      </c>
      <c r="G103" s="12">
        <f t="shared" si="96"/>
        <v>17</v>
      </c>
      <c r="H103" s="17">
        <f t="shared" si="98"/>
        <v>9</v>
      </c>
      <c r="I103" s="29">
        <f t="shared" si="58"/>
        <v>300000</v>
      </c>
      <c r="J103" s="211">
        <f>IFERROR(VLOOKUP(H103,Charges!$T$6:$U$35,2,0)*C103,0)</f>
        <v>0.98</v>
      </c>
      <c r="K103" s="29">
        <f t="shared" si="59"/>
        <v>6000.00000000001</v>
      </c>
      <c r="L103" s="29">
        <f t="shared" si="60"/>
        <v>294000</v>
      </c>
      <c r="M103" s="147">
        <f t="shared" ca="1" si="61"/>
        <v>0</v>
      </c>
      <c r="N103" s="148">
        <f ca="1">IF(AND(Option_SPW="Y",Z102&gt;=SPW_Start_Min_FV,H103&gt;=Lock_In_Period,Z102&gt;SPW_Amount_pa+IF(option="Single",1/5*pr,2*pr),H103&gt;=SPW_Start_Year,H103&lt;=SPW_Start_Year+SPW_Duration-1,F103=0,age+H103&gt;=Legal_Age),SPW_Amount_pa,0)+IFERROR(VLOOKUP(H103,Input!$B$68:$C$74,2,0),0)*(F103=0)*(Option_PW="Y")*(Option_SPW="N")*(age+H103&gt;=Legal_Age)</f>
        <v>0</v>
      </c>
      <c r="O103" s="148">
        <f t="shared" ca="1" si="87"/>
        <v>0</v>
      </c>
      <c r="P103" s="14">
        <f ca="1">(MAX(MAX(sa-CF102*Flag_UL_Type,105%*SUM($I$7:I103))-(AD102+L103-N103)*Flag_UL_Type,0)*B103)</f>
        <v>0</v>
      </c>
      <c r="Q103" s="213">
        <f t="shared" ca="1" si="62"/>
        <v>0</v>
      </c>
      <c r="R103" s="14">
        <f t="shared" ca="1" si="63"/>
        <v>0</v>
      </c>
      <c r="S103" s="14">
        <f t="shared" ca="1" si="64"/>
        <v>0</v>
      </c>
      <c r="T103" s="14">
        <f>IFERROR(IF(WoP_Flag="Y",IF(fq=1,VLOOKUP(ppt*fq-H103,Charges!$AN$41:$AO$59,2,FALSE),IF(fq=2,VLOOKUP(ppt*fq-G103,Charges!$AP$41:$AQ$79,2,FALSE),VLOOKUP(ppt*fq-D103,Charges!$AR$41:$AS$279,2,FALSE)))*pr/fq,0),0)</f>
        <v>0</v>
      </c>
      <c r="U103" s="14">
        <f ca="1">IFERROR(((T103*(VLOOKUP(Input!$D$18+H103-1,Tab_Mort_Charge,IF(Gender_2="M",2,3),FALSE)*(1+_emr2)+_rpm2)/IF(Model_Type="LA_PQIS",1000/0.0833,(12*1000))))*Flag_Mort_Rider_Charge*(T103&gt;0),0)</f>
        <v>0</v>
      </c>
      <c r="V103" s="34">
        <f>ROUND(MIN(IF(H103&gt;=7,Charges!$C$12*(1+Charges!$C$14)^((H103-7+1)),VLOOKUP(H103,Charges!$B$7:$C$12,2,0))*pr,Charges!$C$13)*B103,Round)</f>
        <v>500</v>
      </c>
      <c r="W103" s="14">
        <f t="shared" ca="1" si="65"/>
        <v>3349332.2629102184</v>
      </c>
      <c r="X103" s="14">
        <f t="shared" ca="1" si="66"/>
        <v>3370881.9675381887</v>
      </c>
      <c r="Y103" s="213">
        <f t="shared" ca="1" si="88"/>
        <v>3794.3059902193609</v>
      </c>
      <c r="Z103" s="14">
        <f t="shared" ca="1" si="67"/>
        <v>3367087.6615479691</v>
      </c>
      <c r="AA103" s="14">
        <f>IF(AND($H103=pt,$F103=11),SUM($K$7:K103)*VLOOKUP(pt,ROC,2,FALSE),0)</f>
        <v>0</v>
      </c>
      <c r="AB103" s="14">
        <f>IF(AND($H103=pt,$F103=11),SUM($V$7:V103)*VLOOKUP(pt,ROC,2,FALSE),0)</f>
        <v>0</v>
      </c>
      <c r="AC103" s="14">
        <f>IF(AND($H103=pt,$F103=11),SUM($Q$7:Q103)*VLOOKUP(pt,ROC,2,FALSE),0)</f>
        <v>0</v>
      </c>
      <c r="AD103" s="14">
        <f t="shared" ca="1" si="89"/>
        <v>3367087.6615479691</v>
      </c>
      <c r="AE103" s="14">
        <f ca="1">(MAX(sa-CF102*Flag_UL_Type,105%*SUM($I$7:I103),Z103)+AU103)*B103</f>
        <v>3367087.6615479691</v>
      </c>
      <c r="AF103" s="136"/>
      <c r="AG103" s="18">
        <v>97</v>
      </c>
      <c r="AH103" s="30">
        <f t="shared" ca="1" si="68"/>
        <v>300000</v>
      </c>
      <c r="AI103" s="58"/>
      <c r="AJ103" s="50">
        <f>IF(AND(Option_Sys_TopUp&gt;="Y",H103&gt;=sytp,H103&lt;=(dtp+sytp-1),F103=0,H103&lt;=ppt+1),atp,0)+IFERROR(VLOOKUP(H103,Input!$B$55:$C$61,2,0),0)*(F103=0)*(Option_TopUP="Y")*(Option_Sys_TopUp="N")*B103*(pt&gt;=H103+5)</f>
        <v>0</v>
      </c>
      <c r="AK103" s="50">
        <f t="shared" si="69"/>
        <v>0</v>
      </c>
      <c r="AL103" s="50">
        <f t="shared" si="90"/>
        <v>0</v>
      </c>
      <c r="AM103" s="50">
        <f t="shared" ca="1" si="70"/>
        <v>0</v>
      </c>
      <c r="AN103" s="50">
        <f ca="1">IF(B103=0,0,AT103*(_rpm1+(1+_emr1)*VLOOKUP(E103,Tab_Mort_Charge,IF(Input!$C$12="M",2,3),0))*(0.001*0.0833)*Flag_Mort_Rider_Charge*(AT103&gt;0))</f>
        <v>0</v>
      </c>
      <c r="AO103" s="50">
        <f t="shared" ca="1" si="91"/>
        <v>0</v>
      </c>
      <c r="AP103" s="50">
        <f t="shared" ca="1" si="99"/>
        <v>0</v>
      </c>
      <c r="AQ103" s="50">
        <f t="shared" ca="1" si="71"/>
        <v>0</v>
      </c>
      <c r="AR103" s="50">
        <f t="shared" ca="1" si="72"/>
        <v>0</v>
      </c>
      <c r="AS103" s="50">
        <f t="shared" si="73"/>
        <v>0</v>
      </c>
      <c r="AT103" s="50">
        <f ca="1">(MAX((MAX(AS103,105%*SUM($AJ$7:AJ103))-AM103*Flag_UL_Type),0)*B103)</f>
        <v>0</v>
      </c>
      <c r="AU103" s="50">
        <f ca="1">(MAX(AS103,AR103,105%*SUM($AJ$7:AJ103))*B103)</f>
        <v>0</v>
      </c>
      <c r="AV103" s="125"/>
      <c r="AW103" s="13"/>
      <c r="AX103" s="13"/>
      <c r="AY103" s="13"/>
      <c r="AZ103" s="13"/>
      <c r="BA103" s="13"/>
      <c r="BG103" s="51">
        <f t="shared" si="74"/>
        <v>0</v>
      </c>
      <c r="BH103" s="51">
        <f t="shared" ca="1" si="75"/>
        <v>0</v>
      </c>
      <c r="BI103" s="51">
        <f t="shared" ca="1" si="76"/>
        <v>0</v>
      </c>
      <c r="BJ103" s="51">
        <f t="shared" ca="1" si="77"/>
        <v>0</v>
      </c>
      <c r="BK103" s="51">
        <f t="shared" si="78"/>
        <v>0</v>
      </c>
      <c r="BL103" s="51">
        <f t="shared" ca="1" si="79"/>
        <v>0</v>
      </c>
      <c r="BM103" s="51">
        <f t="shared" si="80"/>
        <v>0</v>
      </c>
      <c r="BN103" s="51">
        <f t="shared" ca="1" si="81"/>
        <v>0</v>
      </c>
      <c r="BO103" s="51">
        <f t="shared" ca="1" si="82"/>
        <v>0</v>
      </c>
      <c r="BP103" s="51">
        <f t="shared" ca="1" si="83"/>
        <v>0</v>
      </c>
      <c r="BQ103" s="120"/>
      <c r="BR103" s="32"/>
      <c r="BS103" s="126"/>
      <c r="BT103" s="16"/>
      <c r="BU103" s="58"/>
      <c r="BW103" s="51">
        <f>VLOOKUP(H103,Charges!$AT$4:$AU$33,2,FALSE)*I103</f>
        <v>1500</v>
      </c>
      <c r="BX103" s="51">
        <f t="shared" si="84"/>
        <v>0</v>
      </c>
      <c r="BY103" s="51">
        <f t="shared" si="93"/>
        <v>1500</v>
      </c>
      <c r="BZ103" s="151"/>
      <c r="CA103" s="151"/>
      <c r="CB103" s="32"/>
      <c r="CC103" s="16">
        <f ca="1">SUM($N$7:$N103)</f>
        <v>0</v>
      </c>
      <c r="CD103" s="16">
        <f t="shared" ca="1" si="85"/>
        <v>0</v>
      </c>
      <c r="CE103" s="16">
        <f t="shared" ca="1" si="86"/>
        <v>0</v>
      </c>
      <c r="CF103" s="7">
        <f t="shared" ca="1" si="94"/>
        <v>0</v>
      </c>
    </row>
    <row r="104" spans="1:84" s="7" customFormat="1" x14ac:dyDescent="0.2">
      <c r="A104" s="149"/>
      <c r="B104" s="14">
        <f t="shared" si="55"/>
        <v>1</v>
      </c>
      <c r="C104" s="12">
        <f t="shared" si="56"/>
        <v>1</v>
      </c>
      <c r="D104" s="17">
        <f t="shared" si="95"/>
        <v>98</v>
      </c>
      <c r="E104" s="17">
        <f t="shared" ca="1" si="57"/>
        <v>68</v>
      </c>
      <c r="F104" s="12">
        <f t="shared" si="97"/>
        <v>1</v>
      </c>
      <c r="G104" s="12">
        <f t="shared" si="96"/>
        <v>17</v>
      </c>
      <c r="H104" s="17">
        <f t="shared" si="98"/>
        <v>9</v>
      </c>
      <c r="I104" s="29">
        <f t="shared" si="58"/>
        <v>0</v>
      </c>
      <c r="J104" s="211">
        <f>IFERROR(VLOOKUP(H104,Charges!$T$6:$U$35,2,0)*C104,0)</f>
        <v>0.98</v>
      </c>
      <c r="K104" s="29">
        <f t="shared" si="59"/>
        <v>0</v>
      </c>
      <c r="L104" s="29">
        <f t="shared" si="60"/>
        <v>0</v>
      </c>
      <c r="M104" s="147">
        <f t="shared" ca="1" si="61"/>
        <v>0</v>
      </c>
      <c r="N104" s="148">
        <f ca="1">IF(AND(Option_SPW="Y",Z103&gt;=SPW_Start_Min_FV,H104&gt;=Lock_In_Period,Z103&gt;SPW_Amount_pa+IF(option="Single",1/5*pr,2*pr),H104&gt;=SPW_Start_Year,H104&lt;=SPW_Start_Year+SPW_Duration-1,F104=0,age+H104&gt;=Legal_Age),SPW_Amount_pa,0)+IFERROR(VLOOKUP(H104,Input!$B$68:$C$74,2,0),0)*(F104=0)*(Option_PW="Y")*(Option_SPW="N")*(age+H104&gt;=Legal_Age)</f>
        <v>0</v>
      </c>
      <c r="O104" s="148">
        <f t="shared" ca="1" si="87"/>
        <v>0</v>
      </c>
      <c r="P104" s="14">
        <f ca="1">(MAX(MAX(sa-CF103*Flag_UL_Type,105%*SUM($I$7:I104))-(AD103+L104-N104)*Flag_UL_Type,0)*B104)</f>
        <v>0</v>
      </c>
      <c r="Q104" s="213">
        <f t="shared" ca="1" si="62"/>
        <v>0</v>
      </c>
      <c r="R104" s="14">
        <f t="shared" ca="1" si="63"/>
        <v>0</v>
      </c>
      <c r="S104" s="14">
        <f t="shared" ca="1" si="64"/>
        <v>0</v>
      </c>
      <c r="T104" s="14">
        <f>IFERROR(IF(WoP_Flag="Y",IF(fq=1,VLOOKUP(ppt*fq-H104,Charges!$AN$41:$AO$59,2,FALSE),IF(fq=2,VLOOKUP(ppt*fq-G104,Charges!$AP$41:$AQ$79,2,FALSE),VLOOKUP(ppt*fq-D104,Charges!$AR$41:$AS$279,2,FALSE)))*pr/fq,0),0)</f>
        <v>0</v>
      </c>
      <c r="U104" s="14">
        <f ca="1">IFERROR(((T104*(VLOOKUP(Input!$D$18+H104-1,Tab_Mort_Charge,IF(Gender_2="M",2,3),FALSE)*(1+_emr2)+_rpm2)/IF(Model_Type="LA_PQIS",1000/0.0833,(12*1000))))*Flag_Mort_Rider_Charge*(T104&gt;0),0)</f>
        <v>0</v>
      </c>
      <c r="V104" s="34">
        <f>ROUND(MIN(IF(H104&gt;=7,Charges!$C$12*(1+Charges!$C$14)^((H104-7+1)),VLOOKUP(H104,Charges!$B$7:$C$12,2,0))*pr,Charges!$C$13)*B104,Round)</f>
        <v>500</v>
      </c>
      <c r="W104" s="14">
        <f t="shared" ca="1" si="65"/>
        <v>3366587.6615479691</v>
      </c>
      <c r="X104" s="14">
        <f t="shared" ca="1" si="66"/>
        <v>3388248.3879303345</v>
      </c>
      <c r="Y104" s="213">
        <f t="shared" ca="1" si="88"/>
        <v>3813.8538455157332</v>
      </c>
      <c r="Z104" s="14">
        <f t="shared" ca="1" si="67"/>
        <v>3384434.5340848188</v>
      </c>
      <c r="AA104" s="14">
        <f>IF(AND($H104=pt,$F104=11),SUM($K$7:K104)*VLOOKUP(pt,ROC,2,FALSE),0)</f>
        <v>0</v>
      </c>
      <c r="AB104" s="14">
        <f>IF(AND($H104=pt,$F104=11),SUM($V$7:V104)*VLOOKUP(pt,ROC,2,FALSE),0)</f>
        <v>0</v>
      </c>
      <c r="AC104" s="14">
        <f>IF(AND($H104=pt,$F104=11),SUM($Q$7:Q104)*VLOOKUP(pt,ROC,2,FALSE),0)</f>
        <v>0</v>
      </c>
      <c r="AD104" s="14">
        <f t="shared" ca="1" si="89"/>
        <v>3384434.5340848188</v>
      </c>
      <c r="AE104" s="14">
        <f ca="1">(MAX(sa-CF103*Flag_UL_Type,105%*SUM($I$7:I104),Z104)+AU104)*B104</f>
        <v>3384434.5340848188</v>
      </c>
      <c r="AF104" s="136"/>
      <c r="AG104" s="18">
        <v>98</v>
      </c>
      <c r="AH104" s="30">
        <f t="shared" ca="1" si="68"/>
        <v>0</v>
      </c>
      <c r="AI104" s="58"/>
      <c r="AJ104" s="50">
        <f>IF(AND(Option_Sys_TopUp&gt;="Y",H104&gt;=sytp,H104&lt;=(dtp+sytp-1),F104=0,H104&lt;=ppt+1),atp,0)+IFERROR(VLOOKUP(H104,Input!$B$55:$C$61,2,0),0)*(F104=0)*(Option_TopUP="Y")*(Option_Sys_TopUp="N")*B104*(pt&gt;=H104+5)</f>
        <v>0</v>
      </c>
      <c r="AK104" s="50">
        <f t="shared" si="69"/>
        <v>0</v>
      </c>
      <c r="AL104" s="50">
        <f t="shared" si="90"/>
        <v>0</v>
      </c>
      <c r="AM104" s="50">
        <f t="shared" ca="1" si="70"/>
        <v>0</v>
      </c>
      <c r="AN104" s="50">
        <f ca="1">IF(B104=0,0,AT104*(_rpm1+(1+_emr1)*VLOOKUP(E104,Tab_Mort_Charge,IF(Input!$C$12="M",2,3),0))*(0.001*0.0833)*Flag_Mort_Rider_Charge*(AT104&gt;0))</f>
        <v>0</v>
      </c>
      <c r="AO104" s="50">
        <f t="shared" ca="1" si="91"/>
        <v>0</v>
      </c>
      <c r="AP104" s="50">
        <f t="shared" ca="1" si="99"/>
        <v>0</v>
      </c>
      <c r="AQ104" s="50">
        <f t="shared" ca="1" si="71"/>
        <v>0</v>
      </c>
      <c r="AR104" s="50">
        <f t="shared" ca="1" si="72"/>
        <v>0</v>
      </c>
      <c r="AS104" s="50">
        <f t="shared" si="73"/>
        <v>0</v>
      </c>
      <c r="AT104" s="50">
        <f ca="1">(MAX((MAX(AS104,105%*SUM($AJ$7:AJ104))-AM104*Flag_UL_Type),0)*B104)</f>
        <v>0</v>
      </c>
      <c r="AU104" s="50">
        <f ca="1">(MAX(AS104,AR104,105%*SUM($AJ$7:AJ104))*B104)</f>
        <v>0</v>
      </c>
      <c r="AV104" s="125"/>
      <c r="AW104" s="13"/>
      <c r="AX104" s="13"/>
      <c r="AY104" s="13"/>
      <c r="AZ104" s="13"/>
      <c r="BA104" s="13"/>
      <c r="BG104" s="51">
        <f t="shared" si="74"/>
        <v>0</v>
      </c>
      <c r="BH104" s="51">
        <f t="shared" ca="1" si="75"/>
        <v>0</v>
      </c>
      <c r="BI104" s="51">
        <f t="shared" ca="1" si="76"/>
        <v>0</v>
      </c>
      <c r="BJ104" s="51">
        <f t="shared" ca="1" si="77"/>
        <v>0</v>
      </c>
      <c r="BK104" s="51">
        <f t="shared" si="78"/>
        <v>0</v>
      </c>
      <c r="BL104" s="51">
        <f t="shared" ca="1" si="79"/>
        <v>0</v>
      </c>
      <c r="BM104" s="51">
        <f t="shared" si="80"/>
        <v>0</v>
      </c>
      <c r="BN104" s="51">
        <f t="shared" ca="1" si="81"/>
        <v>0</v>
      </c>
      <c r="BO104" s="51">
        <f t="shared" ca="1" si="82"/>
        <v>0</v>
      </c>
      <c r="BP104" s="51">
        <f t="shared" ca="1" si="83"/>
        <v>0</v>
      </c>
      <c r="BQ104" s="120"/>
      <c r="BR104" s="32"/>
      <c r="BS104" s="126"/>
      <c r="BT104" s="16"/>
      <c r="BU104" s="58"/>
      <c r="BW104" s="51">
        <f>VLOOKUP(H104,Charges!$AT$4:$AU$33,2,FALSE)*I104</f>
        <v>0</v>
      </c>
      <c r="BX104" s="51">
        <f t="shared" si="84"/>
        <v>0</v>
      </c>
      <c r="BY104" s="51">
        <f t="shared" si="93"/>
        <v>0</v>
      </c>
      <c r="BZ104" s="151"/>
      <c r="CA104" s="151"/>
      <c r="CB104" s="32"/>
      <c r="CC104" s="16">
        <f ca="1">SUM($N$7:$N104)</f>
        <v>0</v>
      </c>
      <c r="CD104" s="16">
        <f t="shared" ca="1" si="85"/>
        <v>0</v>
      </c>
      <c r="CE104" s="16">
        <f t="shared" ca="1" si="86"/>
        <v>0</v>
      </c>
      <c r="CF104" s="7">
        <f t="shared" ca="1" si="94"/>
        <v>0</v>
      </c>
    </row>
    <row r="105" spans="1:84" s="7" customFormat="1" x14ac:dyDescent="0.2">
      <c r="A105" s="149"/>
      <c r="B105" s="14">
        <f t="shared" si="55"/>
        <v>1</v>
      </c>
      <c r="C105" s="12">
        <f t="shared" si="56"/>
        <v>1</v>
      </c>
      <c r="D105" s="17">
        <f t="shared" si="95"/>
        <v>99</v>
      </c>
      <c r="E105" s="17">
        <f t="shared" ca="1" si="57"/>
        <v>68</v>
      </c>
      <c r="F105" s="12">
        <f t="shared" si="97"/>
        <v>2</v>
      </c>
      <c r="G105" s="12">
        <f t="shared" si="96"/>
        <v>17</v>
      </c>
      <c r="H105" s="17">
        <f t="shared" si="98"/>
        <v>9</v>
      </c>
      <c r="I105" s="29">
        <f t="shared" si="58"/>
        <v>0</v>
      </c>
      <c r="J105" s="211">
        <f>IFERROR(VLOOKUP(H105,Charges!$T$6:$U$35,2,0)*C105,0)</f>
        <v>0.98</v>
      </c>
      <c r="K105" s="29">
        <f t="shared" si="59"/>
        <v>0</v>
      </c>
      <c r="L105" s="29">
        <f t="shared" si="60"/>
        <v>0</v>
      </c>
      <c r="M105" s="147">
        <f t="shared" ca="1" si="61"/>
        <v>0</v>
      </c>
      <c r="N105" s="148">
        <f ca="1">IF(AND(Option_SPW="Y",Z104&gt;=SPW_Start_Min_FV,H105&gt;=Lock_In_Period,Z104&gt;SPW_Amount_pa+IF(option="Single",1/5*pr,2*pr),H105&gt;=SPW_Start_Year,H105&lt;=SPW_Start_Year+SPW_Duration-1,F105=0,age+H105&gt;=Legal_Age),SPW_Amount_pa,0)+IFERROR(VLOOKUP(H105,Input!$B$68:$C$74,2,0),0)*(F105=0)*(Option_PW="Y")*(Option_SPW="N")*(age+H105&gt;=Legal_Age)</f>
        <v>0</v>
      </c>
      <c r="O105" s="148">
        <f t="shared" ca="1" si="87"/>
        <v>0</v>
      </c>
      <c r="P105" s="14">
        <f ca="1">(MAX(MAX(sa-CF104*Flag_UL_Type,105%*SUM($I$7:I105))-(AD104+L105-N105)*Flag_UL_Type,0)*B105)</f>
        <v>0</v>
      </c>
      <c r="Q105" s="213">
        <f t="shared" ca="1" si="62"/>
        <v>0</v>
      </c>
      <c r="R105" s="14">
        <f t="shared" ca="1" si="63"/>
        <v>0</v>
      </c>
      <c r="S105" s="14">
        <f t="shared" ca="1" si="64"/>
        <v>0</v>
      </c>
      <c r="T105" s="14">
        <f>IFERROR(IF(WoP_Flag="Y",IF(fq=1,VLOOKUP(ppt*fq-H105,Charges!$AN$41:$AO$59,2,FALSE),IF(fq=2,VLOOKUP(ppt*fq-G105,Charges!$AP$41:$AQ$79,2,FALSE),VLOOKUP(ppt*fq-D105,Charges!$AR$41:$AS$279,2,FALSE)))*pr/fq,0),0)</f>
        <v>0</v>
      </c>
      <c r="U105" s="14">
        <f ca="1">IFERROR(((T105*(VLOOKUP(Input!$D$18+H105-1,Tab_Mort_Charge,IF(Gender_2="M",2,3),FALSE)*(1+_emr2)+_rpm2)/IF(Model_Type="LA_PQIS",1000/0.0833,(12*1000))))*Flag_Mort_Rider_Charge*(T105&gt;0),0)</f>
        <v>0</v>
      </c>
      <c r="V105" s="34">
        <f>ROUND(MIN(IF(H105&gt;=7,Charges!$C$12*(1+Charges!$C$14)^((H105-7+1)),VLOOKUP(H105,Charges!$B$7:$C$12,2,0))*pr,Charges!$C$13)*B105,Round)</f>
        <v>500</v>
      </c>
      <c r="W105" s="14">
        <f t="shared" ca="1" si="65"/>
        <v>3383934.5340848188</v>
      </c>
      <c r="X105" s="14">
        <f t="shared" ca="1" si="66"/>
        <v>3405706.8707674011</v>
      </c>
      <c r="Y105" s="213">
        <f t="shared" ca="1" si="88"/>
        <v>3833.5053274266234</v>
      </c>
      <c r="Z105" s="14">
        <f t="shared" ca="1" si="67"/>
        <v>3401873.3654399742</v>
      </c>
      <c r="AA105" s="14">
        <f>IF(AND($H105=pt,$F105=11),SUM($K$7:K105)*VLOOKUP(pt,ROC,2,FALSE),0)</f>
        <v>0</v>
      </c>
      <c r="AB105" s="14">
        <f>IF(AND($H105=pt,$F105=11),SUM($V$7:V105)*VLOOKUP(pt,ROC,2,FALSE),0)</f>
        <v>0</v>
      </c>
      <c r="AC105" s="14">
        <f>IF(AND($H105=pt,$F105=11),SUM($Q$7:Q105)*VLOOKUP(pt,ROC,2,FALSE),0)</f>
        <v>0</v>
      </c>
      <c r="AD105" s="14">
        <f t="shared" ca="1" si="89"/>
        <v>3401873.3654399742</v>
      </c>
      <c r="AE105" s="14">
        <f ca="1">(MAX(sa-CF104*Flag_UL_Type,105%*SUM($I$7:I105),Z105)+AU105)*B105</f>
        <v>3401873.3654399742</v>
      </c>
      <c r="AF105" s="136"/>
      <c r="AG105" s="18">
        <v>99</v>
      </c>
      <c r="AH105" s="30">
        <f t="shared" ca="1" si="68"/>
        <v>0</v>
      </c>
      <c r="AI105" s="58"/>
      <c r="AJ105" s="50">
        <f>IF(AND(Option_Sys_TopUp&gt;="Y",H105&gt;=sytp,H105&lt;=(dtp+sytp-1),F105=0,H105&lt;=ppt+1),atp,0)+IFERROR(VLOOKUP(H105,Input!$B$55:$C$61,2,0),0)*(F105=0)*(Option_TopUP="Y")*(Option_Sys_TopUp="N")*B105*(pt&gt;=H105+5)</f>
        <v>0</v>
      </c>
      <c r="AK105" s="50">
        <f t="shared" si="69"/>
        <v>0</v>
      </c>
      <c r="AL105" s="50">
        <f t="shared" si="90"/>
        <v>0</v>
      </c>
      <c r="AM105" s="50">
        <f t="shared" ca="1" si="70"/>
        <v>0</v>
      </c>
      <c r="AN105" s="50">
        <f ca="1">IF(B105=0,0,AT105*(_rpm1+(1+_emr1)*VLOOKUP(E105,Tab_Mort_Charge,IF(Input!$C$12="M",2,3),0))*(0.001*0.0833)*Flag_Mort_Rider_Charge*(AT105&gt;0))</f>
        <v>0</v>
      </c>
      <c r="AO105" s="50">
        <f t="shared" ca="1" si="91"/>
        <v>0</v>
      </c>
      <c r="AP105" s="50">
        <f t="shared" ca="1" si="99"/>
        <v>0</v>
      </c>
      <c r="AQ105" s="50">
        <f t="shared" ca="1" si="71"/>
        <v>0</v>
      </c>
      <c r="AR105" s="50">
        <f t="shared" ca="1" si="72"/>
        <v>0</v>
      </c>
      <c r="AS105" s="50">
        <f t="shared" si="73"/>
        <v>0</v>
      </c>
      <c r="AT105" s="50">
        <f ca="1">(MAX((MAX(AS105,105%*SUM($AJ$7:AJ105))-AM105*Flag_UL_Type),0)*B105)</f>
        <v>0</v>
      </c>
      <c r="AU105" s="50">
        <f ca="1">(MAX(AS105,AR105,105%*SUM($AJ$7:AJ105))*B105)</f>
        <v>0</v>
      </c>
      <c r="AV105" s="125"/>
      <c r="AW105" s="13"/>
      <c r="AX105" s="13"/>
      <c r="AY105" s="13"/>
      <c r="AZ105" s="13"/>
      <c r="BA105" s="13"/>
      <c r="BG105" s="51">
        <f t="shared" si="74"/>
        <v>0</v>
      </c>
      <c r="BH105" s="51">
        <f t="shared" ca="1" si="75"/>
        <v>0</v>
      </c>
      <c r="BI105" s="51">
        <f t="shared" ca="1" si="76"/>
        <v>0</v>
      </c>
      <c r="BJ105" s="51">
        <f t="shared" ca="1" si="77"/>
        <v>0</v>
      </c>
      <c r="BK105" s="51">
        <f t="shared" si="78"/>
        <v>0</v>
      </c>
      <c r="BL105" s="51">
        <f t="shared" ca="1" si="79"/>
        <v>0</v>
      </c>
      <c r="BM105" s="51">
        <f t="shared" si="80"/>
        <v>0</v>
      </c>
      <c r="BN105" s="51">
        <f t="shared" ca="1" si="81"/>
        <v>0</v>
      </c>
      <c r="BO105" s="51">
        <f t="shared" ca="1" si="82"/>
        <v>0</v>
      </c>
      <c r="BP105" s="51">
        <f t="shared" ca="1" si="83"/>
        <v>0</v>
      </c>
      <c r="BQ105" s="120"/>
      <c r="BR105" s="32"/>
      <c r="BS105" s="126"/>
      <c r="BT105" s="16"/>
      <c r="BU105" s="58"/>
      <c r="BW105" s="51">
        <f>VLOOKUP(H105,Charges!$AT$4:$AU$33,2,FALSE)*I105</f>
        <v>0</v>
      </c>
      <c r="BX105" s="51">
        <f t="shared" si="84"/>
        <v>0</v>
      </c>
      <c r="BY105" s="51">
        <f t="shared" si="93"/>
        <v>0</v>
      </c>
      <c r="BZ105" s="151"/>
      <c r="CA105" s="151"/>
      <c r="CB105" s="32"/>
      <c r="CC105" s="16">
        <f ca="1">SUM($N$7:$N105)</f>
        <v>0</v>
      </c>
      <c r="CD105" s="16">
        <f t="shared" ca="1" si="85"/>
        <v>0</v>
      </c>
      <c r="CE105" s="16">
        <f t="shared" ca="1" si="86"/>
        <v>0</v>
      </c>
      <c r="CF105" s="7">
        <f t="shared" ca="1" si="94"/>
        <v>0</v>
      </c>
    </row>
    <row r="106" spans="1:84" s="7" customFormat="1" x14ac:dyDescent="0.2">
      <c r="A106" s="149"/>
      <c r="B106" s="14">
        <f t="shared" si="55"/>
        <v>1</v>
      </c>
      <c r="C106" s="12">
        <f t="shared" si="56"/>
        <v>1</v>
      </c>
      <c r="D106" s="17">
        <f t="shared" si="95"/>
        <v>100</v>
      </c>
      <c r="E106" s="17">
        <f t="shared" ca="1" si="57"/>
        <v>68</v>
      </c>
      <c r="F106" s="12">
        <f t="shared" si="97"/>
        <v>3</v>
      </c>
      <c r="G106" s="12">
        <f t="shared" si="96"/>
        <v>17</v>
      </c>
      <c r="H106" s="17">
        <f t="shared" si="98"/>
        <v>9</v>
      </c>
      <c r="I106" s="29">
        <f t="shared" si="58"/>
        <v>0</v>
      </c>
      <c r="J106" s="211">
        <f>IFERROR(VLOOKUP(H106,Charges!$T$6:$U$35,2,0)*C106,0)</f>
        <v>0.98</v>
      </c>
      <c r="K106" s="29">
        <f t="shared" si="59"/>
        <v>0</v>
      </c>
      <c r="L106" s="29">
        <f t="shared" si="60"/>
        <v>0</v>
      </c>
      <c r="M106" s="147">
        <f t="shared" ca="1" si="61"/>
        <v>0</v>
      </c>
      <c r="N106" s="148">
        <f ca="1">IF(AND(Option_SPW="Y",Z105&gt;=SPW_Start_Min_FV,H106&gt;=Lock_In_Period,Z105&gt;SPW_Amount_pa+IF(option="Single",1/5*pr,2*pr),H106&gt;=SPW_Start_Year,H106&lt;=SPW_Start_Year+SPW_Duration-1,F106=0,age+H106&gt;=Legal_Age),SPW_Amount_pa,0)+IFERROR(VLOOKUP(H106,Input!$B$68:$C$74,2,0),0)*(F106=0)*(Option_PW="Y")*(Option_SPW="N")*(age+H106&gt;=Legal_Age)</f>
        <v>0</v>
      </c>
      <c r="O106" s="148">
        <f t="shared" ca="1" si="87"/>
        <v>0</v>
      </c>
      <c r="P106" s="14">
        <f ca="1">(MAX(MAX(sa-CF105*Flag_UL_Type,105%*SUM($I$7:I106))-(AD105+L106-N106)*Flag_UL_Type,0)*B106)</f>
        <v>0</v>
      </c>
      <c r="Q106" s="213">
        <f t="shared" ca="1" si="62"/>
        <v>0</v>
      </c>
      <c r="R106" s="14">
        <f t="shared" ca="1" si="63"/>
        <v>0</v>
      </c>
      <c r="S106" s="14">
        <f t="shared" ca="1" si="64"/>
        <v>0</v>
      </c>
      <c r="T106" s="14">
        <f>IFERROR(IF(WoP_Flag="Y",IF(fq=1,VLOOKUP(ppt*fq-H106,Charges!$AN$41:$AO$59,2,FALSE),IF(fq=2,VLOOKUP(ppt*fq-G106,Charges!$AP$41:$AQ$79,2,FALSE),VLOOKUP(ppt*fq-D106,Charges!$AR$41:$AS$279,2,FALSE)))*pr/fq,0),0)</f>
        <v>0</v>
      </c>
      <c r="U106" s="14">
        <f ca="1">IFERROR(((T106*(VLOOKUP(Input!$D$18+H106-1,Tab_Mort_Charge,IF(Gender_2="M",2,3),FALSE)*(1+_emr2)+_rpm2)/IF(Model_Type="LA_PQIS",1000/0.0833,(12*1000))))*Flag_Mort_Rider_Charge*(T106&gt;0),0)</f>
        <v>0</v>
      </c>
      <c r="V106" s="34">
        <f>ROUND(MIN(IF(H106&gt;=7,Charges!$C$12*(1+Charges!$C$14)^((H106-7+1)),VLOOKUP(H106,Charges!$B$7:$C$12,2,0))*pr,Charges!$C$13)*B106,Round)</f>
        <v>500</v>
      </c>
      <c r="W106" s="14">
        <f t="shared" ca="1" si="65"/>
        <v>3401373.3654399742</v>
      </c>
      <c r="X106" s="14">
        <f t="shared" ca="1" si="66"/>
        <v>3423257.9040885787</v>
      </c>
      <c r="Y106" s="213">
        <f t="shared" ca="1" si="88"/>
        <v>3853.2609852949167</v>
      </c>
      <c r="Z106" s="14">
        <f t="shared" ca="1" si="67"/>
        <v>3419404.6431032838</v>
      </c>
      <c r="AA106" s="14">
        <f>IF(AND($H106=pt,$F106=11),SUM($K$7:K106)*VLOOKUP(pt,ROC,2,FALSE),0)</f>
        <v>0</v>
      </c>
      <c r="AB106" s="14">
        <f>IF(AND($H106=pt,$F106=11),SUM($V$7:V106)*VLOOKUP(pt,ROC,2,FALSE),0)</f>
        <v>0</v>
      </c>
      <c r="AC106" s="14">
        <f>IF(AND($H106=pt,$F106=11),SUM($Q$7:Q106)*VLOOKUP(pt,ROC,2,FALSE),0)</f>
        <v>0</v>
      </c>
      <c r="AD106" s="14">
        <f t="shared" ca="1" si="89"/>
        <v>3419404.6431032838</v>
      </c>
      <c r="AE106" s="14">
        <f ca="1">(MAX(sa-CF105*Flag_UL_Type,105%*SUM($I$7:I106),Z106)+AU106)*B106</f>
        <v>3419404.6431032838</v>
      </c>
      <c r="AF106" s="136"/>
      <c r="AG106" s="18">
        <v>100</v>
      </c>
      <c r="AH106" s="30">
        <f t="shared" ca="1" si="68"/>
        <v>0</v>
      </c>
      <c r="AI106" s="58"/>
      <c r="AJ106" s="50">
        <f>IF(AND(Option_Sys_TopUp&gt;="Y",H106&gt;=sytp,H106&lt;=(dtp+sytp-1),F106=0,H106&lt;=ppt+1),atp,0)+IFERROR(VLOOKUP(H106,Input!$B$55:$C$61,2,0),0)*(F106=0)*(Option_TopUP="Y")*(Option_Sys_TopUp="N")*B106*(pt&gt;=H106+5)</f>
        <v>0</v>
      </c>
      <c r="AK106" s="50">
        <f t="shared" si="69"/>
        <v>0</v>
      </c>
      <c r="AL106" s="50">
        <f t="shared" si="90"/>
        <v>0</v>
      </c>
      <c r="AM106" s="50">
        <f t="shared" ca="1" si="70"/>
        <v>0</v>
      </c>
      <c r="AN106" s="50">
        <f ca="1">IF(B106=0,0,AT106*(_rpm1+(1+_emr1)*VLOOKUP(E106,Tab_Mort_Charge,IF(Input!$C$12="M",2,3),0))*(0.001*0.0833)*Flag_Mort_Rider_Charge*(AT106&gt;0))</f>
        <v>0</v>
      </c>
      <c r="AO106" s="50">
        <f t="shared" ca="1" si="91"/>
        <v>0</v>
      </c>
      <c r="AP106" s="50">
        <f t="shared" ca="1" si="99"/>
        <v>0</v>
      </c>
      <c r="AQ106" s="50">
        <f t="shared" ca="1" si="71"/>
        <v>0</v>
      </c>
      <c r="AR106" s="50">
        <f t="shared" ca="1" si="72"/>
        <v>0</v>
      </c>
      <c r="AS106" s="50">
        <f t="shared" si="73"/>
        <v>0</v>
      </c>
      <c r="AT106" s="50">
        <f ca="1">(MAX((MAX(AS106,105%*SUM($AJ$7:AJ106))-AM106*Flag_UL_Type),0)*B106)</f>
        <v>0</v>
      </c>
      <c r="AU106" s="50">
        <f ca="1">(MAX(AS106,AR106,105%*SUM($AJ$7:AJ106))*B106)</f>
        <v>0</v>
      </c>
      <c r="AV106" s="125"/>
      <c r="AW106" s="13"/>
      <c r="AX106" s="13"/>
      <c r="AY106" s="13"/>
      <c r="AZ106" s="13"/>
      <c r="BA106" s="13"/>
      <c r="BG106" s="51">
        <f t="shared" si="74"/>
        <v>0</v>
      </c>
      <c r="BH106" s="51">
        <f t="shared" ca="1" si="75"/>
        <v>0</v>
      </c>
      <c r="BI106" s="51">
        <f t="shared" ca="1" si="76"/>
        <v>0</v>
      </c>
      <c r="BJ106" s="51">
        <f t="shared" ca="1" si="77"/>
        <v>0</v>
      </c>
      <c r="BK106" s="51">
        <f t="shared" si="78"/>
        <v>0</v>
      </c>
      <c r="BL106" s="51">
        <f t="shared" ca="1" si="79"/>
        <v>0</v>
      </c>
      <c r="BM106" s="51">
        <f t="shared" si="80"/>
        <v>0</v>
      </c>
      <c r="BN106" s="51">
        <f t="shared" ca="1" si="81"/>
        <v>0</v>
      </c>
      <c r="BO106" s="51">
        <f t="shared" ca="1" si="82"/>
        <v>0</v>
      </c>
      <c r="BP106" s="51">
        <f t="shared" ca="1" si="83"/>
        <v>0</v>
      </c>
      <c r="BQ106" s="120"/>
      <c r="BR106" s="32"/>
      <c r="BS106" s="126"/>
      <c r="BT106" s="16"/>
      <c r="BU106" s="58"/>
      <c r="BW106" s="51">
        <f>VLOOKUP(H106,Charges!$AT$4:$AU$33,2,FALSE)*I106</f>
        <v>0</v>
      </c>
      <c r="BX106" s="51">
        <f t="shared" si="84"/>
        <v>0</v>
      </c>
      <c r="BY106" s="51">
        <f t="shared" si="93"/>
        <v>0</v>
      </c>
      <c r="BZ106" s="151"/>
      <c r="CA106" s="151"/>
      <c r="CB106" s="32"/>
      <c r="CC106" s="16">
        <f ca="1">SUM($N$7:$N106)</f>
        <v>0</v>
      </c>
      <c r="CD106" s="16">
        <f t="shared" ca="1" si="85"/>
        <v>0</v>
      </c>
      <c r="CE106" s="16">
        <f t="shared" ca="1" si="86"/>
        <v>0</v>
      </c>
      <c r="CF106" s="7">
        <f t="shared" ca="1" si="94"/>
        <v>0</v>
      </c>
    </row>
    <row r="107" spans="1:84" s="7" customFormat="1" x14ac:dyDescent="0.2">
      <c r="A107" s="149"/>
      <c r="B107" s="14">
        <f t="shared" si="55"/>
        <v>1</v>
      </c>
      <c r="C107" s="12">
        <f t="shared" si="56"/>
        <v>1</v>
      </c>
      <c r="D107" s="17">
        <f t="shared" si="95"/>
        <v>101</v>
      </c>
      <c r="E107" s="17">
        <f t="shared" ca="1" si="57"/>
        <v>68</v>
      </c>
      <c r="F107" s="12">
        <f t="shared" si="97"/>
        <v>4</v>
      </c>
      <c r="G107" s="12">
        <f t="shared" si="96"/>
        <v>17</v>
      </c>
      <c r="H107" s="17">
        <f t="shared" si="98"/>
        <v>9</v>
      </c>
      <c r="I107" s="29">
        <f t="shared" si="58"/>
        <v>0</v>
      </c>
      <c r="J107" s="211">
        <f>IFERROR(VLOOKUP(H107,Charges!$T$6:$U$35,2,0)*C107,0)</f>
        <v>0.98</v>
      </c>
      <c r="K107" s="29">
        <f t="shared" si="59"/>
        <v>0</v>
      </c>
      <c r="L107" s="29">
        <f t="shared" si="60"/>
        <v>0</v>
      </c>
      <c r="M107" s="147">
        <f t="shared" ca="1" si="61"/>
        <v>0</v>
      </c>
      <c r="N107" s="148">
        <f ca="1">IF(AND(Option_SPW="Y",Z106&gt;=SPW_Start_Min_FV,H107&gt;=Lock_In_Period,Z106&gt;SPW_Amount_pa+IF(option="Single",1/5*pr,2*pr),H107&gt;=SPW_Start_Year,H107&lt;=SPW_Start_Year+SPW_Duration-1,F107=0,age+H107&gt;=Legal_Age),SPW_Amount_pa,0)+IFERROR(VLOOKUP(H107,Input!$B$68:$C$74,2,0),0)*(F107=0)*(Option_PW="Y")*(Option_SPW="N")*(age+H107&gt;=Legal_Age)</f>
        <v>0</v>
      </c>
      <c r="O107" s="148">
        <f t="shared" ca="1" si="87"/>
        <v>0</v>
      </c>
      <c r="P107" s="14">
        <f ca="1">(MAX(MAX(sa-CF106*Flag_UL_Type,105%*SUM($I$7:I107))-(AD106+L107-N107)*Flag_UL_Type,0)*B107)</f>
        <v>0</v>
      </c>
      <c r="Q107" s="213">
        <f t="shared" ca="1" si="62"/>
        <v>0</v>
      </c>
      <c r="R107" s="14">
        <f t="shared" ca="1" si="63"/>
        <v>0</v>
      </c>
      <c r="S107" s="14">
        <f t="shared" ca="1" si="64"/>
        <v>0</v>
      </c>
      <c r="T107" s="14">
        <f>IFERROR(IF(WoP_Flag="Y",IF(fq=1,VLOOKUP(ppt*fq-H107,Charges!$AN$41:$AO$59,2,FALSE),IF(fq=2,VLOOKUP(ppt*fq-G107,Charges!$AP$41:$AQ$79,2,FALSE),VLOOKUP(ppt*fq-D107,Charges!$AR$41:$AS$279,2,FALSE)))*pr/fq,0),0)</f>
        <v>0</v>
      </c>
      <c r="U107" s="14">
        <f ca="1">IFERROR(((T107*(VLOOKUP(Input!$D$18+H107-1,Tab_Mort_Charge,IF(Gender_2="M",2,3),FALSE)*(1+_emr2)+_rpm2)/IF(Model_Type="LA_PQIS",1000/0.0833,(12*1000))))*Flag_Mort_Rider_Charge*(T107&gt;0),0)</f>
        <v>0</v>
      </c>
      <c r="V107" s="34">
        <f>ROUND(MIN(IF(H107&gt;=7,Charges!$C$12*(1+Charges!$C$14)^((H107-7+1)),VLOOKUP(H107,Charges!$B$7:$C$12,2,0))*pr,Charges!$C$13)*B107,Round)</f>
        <v>500</v>
      </c>
      <c r="W107" s="14">
        <f t="shared" ca="1" si="65"/>
        <v>3418904.6431032838</v>
      </c>
      <c r="X107" s="14">
        <f t="shared" ca="1" si="66"/>
        <v>3440901.9785202411</v>
      </c>
      <c r="Y107" s="213">
        <f t="shared" ca="1" si="88"/>
        <v>3873.1213713756629</v>
      </c>
      <c r="Z107" s="14">
        <f t="shared" ca="1" si="67"/>
        <v>3437028.8571488652</v>
      </c>
      <c r="AA107" s="14">
        <f>IF(AND($H107=pt,$F107=11),SUM($K$7:K107)*VLOOKUP(pt,ROC,2,FALSE),0)</f>
        <v>0</v>
      </c>
      <c r="AB107" s="14">
        <f>IF(AND($H107=pt,$F107=11),SUM($V$7:V107)*VLOOKUP(pt,ROC,2,FALSE),0)</f>
        <v>0</v>
      </c>
      <c r="AC107" s="14">
        <f>IF(AND($H107=pt,$F107=11),SUM($Q$7:Q107)*VLOOKUP(pt,ROC,2,FALSE),0)</f>
        <v>0</v>
      </c>
      <c r="AD107" s="14">
        <f t="shared" ca="1" si="89"/>
        <v>3437028.8571488652</v>
      </c>
      <c r="AE107" s="14">
        <f ca="1">(MAX(sa-CF106*Flag_UL_Type,105%*SUM($I$7:I107),Z107)+AU107)*B107</f>
        <v>3437028.8571488652</v>
      </c>
      <c r="AF107" s="136"/>
      <c r="AG107" s="18">
        <v>101</v>
      </c>
      <c r="AH107" s="30">
        <f t="shared" ca="1" si="68"/>
        <v>0</v>
      </c>
      <c r="AI107" s="58"/>
      <c r="AJ107" s="50">
        <f>IF(AND(Option_Sys_TopUp&gt;="Y",H107&gt;=sytp,H107&lt;=(dtp+sytp-1),F107=0,H107&lt;=ppt+1),atp,0)+IFERROR(VLOOKUP(H107,Input!$B$55:$C$61,2,0),0)*(F107=0)*(Option_TopUP="Y")*(Option_Sys_TopUp="N")*B107*(pt&gt;=H107+5)</f>
        <v>0</v>
      </c>
      <c r="AK107" s="50">
        <f t="shared" si="69"/>
        <v>0</v>
      </c>
      <c r="AL107" s="50">
        <f t="shared" si="90"/>
        <v>0</v>
      </c>
      <c r="AM107" s="50">
        <f t="shared" ca="1" si="70"/>
        <v>0</v>
      </c>
      <c r="AN107" s="50">
        <f ca="1">IF(B107=0,0,AT107*(_rpm1+(1+_emr1)*VLOOKUP(E107,Tab_Mort_Charge,IF(Input!$C$12="M",2,3),0))*(0.001*0.0833)*Flag_Mort_Rider_Charge*(AT107&gt;0))</f>
        <v>0</v>
      </c>
      <c r="AO107" s="50">
        <f t="shared" ca="1" si="91"/>
        <v>0</v>
      </c>
      <c r="AP107" s="50">
        <f t="shared" ca="1" si="99"/>
        <v>0</v>
      </c>
      <c r="AQ107" s="50">
        <f t="shared" ca="1" si="71"/>
        <v>0</v>
      </c>
      <c r="AR107" s="50">
        <f t="shared" ca="1" si="72"/>
        <v>0</v>
      </c>
      <c r="AS107" s="50">
        <f t="shared" si="73"/>
        <v>0</v>
      </c>
      <c r="AT107" s="50">
        <f ca="1">(MAX((MAX(AS107,105%*SUM($AJ$7:AJ107))-AM107*Flag_UL_Type),0)*B107)</f>
        <v>0</v>
      </c>
      <c r="AU107" s="50">
        <f ca="1">(MAX(AS107,AR107,105%*SUM($AJ$7:AJ107))*B107)</f>
        <v>0</v>
      </c>
      <c r="AV107" s="125"/>
      <c r="AW107" s="13"/>
      <c r="AX107" s="13"/>
      <c r="AY107" s="13"/>
      <c r="AZ107" s="13"/>
      <c r="BA107" s="13"/>
      <c r="BG107" s="51">
        <f t="shared" si="74"/>
        <v>0</v>
      </c>
      <c r="BH107" s="51">
        <f t="shared" ca="1" si="75"/>
        <v>0</v>
      </c>
      <c r="BI107" s="51">
        <f t="shared" ca="1" si="76"/>
        <v>0</v>
      </c>
      <c r="BJ107" s="51">
        <f t="shared" ca="1" si="77"/>
        <v>0</v>
      </c>
      <c r="BK107" s="51">
        <f t="shared" si="78"/>
        <v>0</v>
      </c>
      <c r="BL107" s="51">
        <f t="shared" ca="1" si="79"/>
        <v>0</v>
      </c>
      <c r="BM107" s="51">
        <f t="shared" si="80"/>
        <v>0</v>
      </c>
      <c r="BN107" s="51">
        <f t="shared" ca="1" si="81"/>
        <v>0</v>
      </c>
      <c r="BO107" s="51">
        <f t="shared" ca="1" si="82"/>
        <v>0</v>
      </c>
      <c r="BP107" s="51">
        <f t="shared" ca="1" si="83"/>
        <v>0</v>
      </c>
      <c r="BQ107" s="120"/>
      <c r="BR107" s="32"/>
      <c r="BS107" s="126"/>
      <c r="BT107" s="16"/>
      <c r="BU107" s="58"/>
      <c r="BW107" s="51">
        <f>VLOOKUP(H107,Charges!$AT$4:$AU$33,2,FALSE)*I107</f>
        <v>0</v>
      </c>
      <c r="BX107" s="51">
        <f t="shared" si="84"/>
        <v>0</v>
      </c>
      <c r="BY107" s="51">
        <f t="shared" si="93"/>
        <v>0</v>
      </c>
      <c r="BZ107" s="151"/>
      <c r="CA107" s="151"/>
      <c r="CB107" s="32"/>
      <c r="CC107" s="16">
        <f ca="1">SUM($N$7:$N107)</f>
        <v>0</v>
      </c>
      <c r="CD107" s="16">
        <f t="shared" ca="1" si="85"/>
        <v>0</v>
      </c>
      <c r="CE107" s="16">
        <f t="shared" ca="1" si="86"/>
        <v>0</v>
      </c>
      <c r="CF107" s="7">
        <f t="shared" ca="1" si="94"/>
        <v>0</v>
      </c>
    </row>
    <row r="108" spans="1:84" s="7" customFormat="1" x14ac:dyDescent="0.2">
      <c r="A108" s="149"/>
      <c r="B108" s="14">
        <f t="shared" si="55"/>
        <v>1</v>
      </c>
      <c r="C108" s="12">
        <f t="shared" si="56"/>
        <v>1</v>
      </c>
      <c r="D108" s="17">
        <f t="shared" si="95"/>
        <v>102</v>
      </c>
      <c r="E108" s="17">
        <f t="shared" ca="1" si="57"/>
        <v>68</v>
      </c>
      <c r="F108" s="12">
        <f t="shared" si="97"/>
        <v>5</v>
      </c>
      <c r="G108" s="12">
        <f t="shared" si="96"/>
        <v>17</v>
      </c>
      <c r="H108" s="17">
        <f t="shared" si="98"/>
        <v>9</v>
      </c>
      <c r="I108" s="29">
        <f t="shared" si="58"/>
        <v>0</v>
      </c>
      <c r="J108" s="211">
        <f>IFERROR(VLOOKUP(H108,Charges!$T$6:$U$35,2,0)*C108,0)</f>
        <v>0.98</v>
      </c>
      <c r="K108" s="29">
        <f t="shared" si="59"/>
        <v>0</v>
      </c>
      <c r="L108" s="29">
        <f t="shared" si="60"/>
        <v>0</v>
      </c>
      <c r="M108" s="147">
        <f t="shared" ca="1" si="61"/>
        <v>0</v>
      </c>
      <c r="N108" s="148">
        <f ca="1">IF(AND(Option_SPW="Y",Z107&gt;=SPW_Start_Min_FV,H108&gt;=Lock_In_Period,Z107&gt;SPW_Amount_pa+IF(option="Single",1/5*pr,2*pr),H108&gt;=SPW_Start_Year,H108&lt;=SPW_Start_Year+SPW_Duration-1,F108=0,age+H108&gt;=Legal_Age),SPW_Amount_pa,0)+IFERROR(VLOOKUP(H108,Input!$B$68:$C$74,2,0),0)*(F108=0)*(Option_PW="Y")*(Option_SPW="N")*(age+H108&gt;=Legal_Age)</f>
        <v>0</v>
      </c>
      <c r="O108" s="148">
        <f t="shared" ca="1" si="87"/>
        <v>0</v>
      </c>
      <c r="P108" s="14">
        <f ca="1">(MAX(MAX(sa-CF107*Flag_UL_Type,105%*SUM($I$7:I108))-(AD107+L108-N108)*Flag_UL_Type,0)*B108)</f>
        <v>0</v>
      </c>
      <c r="Q108" s="213">
        <f t="shared" ca="1" si="62"/>
        <v>0</v>
      </c>
      <c r="R108" s="14">
        <f t="shared" ca="1" si="63"/>
        <v>0</v>
      </c>
      <c r="S108" s="14">
        <f t="shared" ca="1" si="64"/>
        <v>0</v>
      </c>
      <c r="T108" s="14">
        <f>IFERROR(IF(WoP_Flag="Y",IF(fq=1,VLOOKUP(ppt*fq-H108,Charges!$AN$41:$AO$59,2,FALSE),IF(fq=2,VLOOKUP(ppt*fq-G108,Charges!$AP$41:$AQ$79,2,FALSE),VLOOKUP(ppt*fq-D108,Charges!$AR$41:$AS$279,2,FALSE)))*pr/fq,0),0)</f>
        <v>0</v>
      </c>
      <c r="U108" s="14">
        <f ca="1">IFERROR(((T108*(VLOOKUP(Input!$D$18+H108-1,Tab_Mort_Charge,IF(Gender_2="M",2,3),FALSE)*(1+_emr2)+_rpm2)/IF(Model_Type="LA_PQIS",1000/0.0833,(12*1000))))*Flag_Mort_Rider_Charge*(T108&gt;0),0)</f>
        <v>0</v>
      </c>
      <c r="V108" s="34">
        <f>ROUND(MIN(IF(H108&gt;=7,Charges!$C$12*(1+Charges!$C$14)^((H108-7+1)),VLOOKUP(H108,Charges!$B$7:$C$12,2,0))*pr,Charges!$C$13)*B108,Round)</f>
        <v>500</v>
      </c>
      <c r="W108" s="14">
        <f t="shared" ca="1" si="65"/>
        <v>3436528.8571488652</v>
      </c>
      <c r="X108" s="14">
        <f t="shared" ca="1" si="66"/>
        <v>3458639.5872896565</v>
      </c>
      <c r="Y108" s="213">
        <f t="shared" ca="1" si="88"/>
        <v>3893.0870408515098</v>
      </c>
      <c r="Z108" s="14">
        <f t="shared" ca="1" si="67"/>
        <v>3454746.5002488052</v>
      </c>
      <c r="AA108" s="14">
        <f>IF(AND($H108=pt,$F108=11),SUM($K$7:K108)*VLOOKUP(pt,ROC,2,FALSE),0)</f>
        <v>0</v>
      </c>
      <c r="AB108" s="14">
        <f>IF(AND($H108=pt,$F108=11),SUM($V$7:V108)*VLOOKUP(pt,ROC,2,FALSE),0)</f>
        <v>0</v>
      </c>
      <c r="AC108" s="14">
        <f>IF(AND($H108=pt,$F108=11),SUM($Q$7:Q108)*VLOOKUP(pt,ROC,2,FALSE),0)</f>
        <v>0</v>
      </c>
      <c r="AD108" s="14">
        <f t="shared" ca="1" si="89"/>
        <v>3454746.5002488052</v>
      </c>
      <c r="AE108" s="14">
        <f ca="1">(MAX(sa-CF107*Flag_UL_Type,105%*SUM($I$7:I108),Z108)+AU108)*B108</f>
        <v>3454746.5002488052</v>
      </c>
      <c r="AF108" s="136"/>
      <c r="AG108" s="18">
        <v>102</v>
      </c>
      <c r="AH108" s="30">
        <f t="shared" ca="1" si="68"/>
        <v>0</v>
      </c>
      <c r="AI108" s="58"/>
      <c r="AJ108" s="50">
        <f>IF(AND(Option_Sys_TopUp&gt;="Y",H108&gt;=sytp,H108&lt;=(dtp+sytp-1),F108=0,H108&lt;=ppt+1),atp,0)+IFERROR(VLOOKUP(H108,Input!$B$55:$C$61,2,0),0)*(F108=0)*(Option_TopUP="Y")*(Option_Sys_TopUp="N")*B108*(pt&gt;=H108+5)</f>
        <v>0</v>
      </c>
      <c r="AK108" s="50">
        <f t="shared" si="69"/>
        <v>0</v>
      </c>
      <c r="AL108" s="50">
        <f t="shared" si="90"/>
        <v>0</v>
      </c>
      <c r="AM108" s="50">
        <f t="shared" ca="1" si="70"/>
        <v>0</v>
      </c>
      <c r="AN108" s="50">
        <f ca="1">IF(B108=0,0,AT108*(_rpm1+(1+_emr1)*VLOOKUP(E108,Tab_Mort_Charge,IF(Input!$C$12="M",2,3),0))*(0.001*0.0833)*Flag_Mort_Rider_Charge*(AT108&gt;0))</f>
        <v>0</v>
      </c>
      <c r="AO108" s="50">
        <f t="shared" ca="1" si="91"/>
        <v>0</v>
      </c>
      <c r="AP108" s="50">
        <f t="shared" ca="1" si="99"/>
        <v>0</v>
      </c>
      <c r="AQ108" s="50">
        <f t="shared" ca="1" si="71"/>
        <v>0</v>
      </c>
      <c r="AR108" s="50">
        <f t="shared" ca="1" si="72"/>
        <v>0</v>
      </c>
      <c r="AS108" s="50">
        <f t="shared" si="73"/>
        <v>0</v>
      </c>
      <c r="AT108" s="50">
        <f ca="1">(MAX((MAX(AS108,105%*SUM($AJ$7:AJ108))-AM108*Flag_UL_Type),0)*B108)</f>
        <v>0</v>
      </c>
      <c r="AU108" s="50">
        <f ca="1">(MAX(AS108,AR108,105%*SUM($AJ$7:AJ108))*B108)</f>
        <v>0</v>
      </c>
      <c r="AV108" s="125"/>
      <c r="AW108" s="13"/>
      <c r="AX108" s="13"/>
      <c r="AY108" s="13"/>
      <c r="AZ108" s="13"/>
      <c r="BA108" s="13"/>
      <c r="BG108" s="51">
        <f t="shared" si="74"/>
        <v>0</v>
      </c>
      <c r="BH108" s="51">
        <f t="shared" ca="1" si="75"/>
        <v>0</v>
      </c>
      <c r="BI108" s="51">
        <f t="shared" ca="1" si="76"/>
        <v>0</v>
      </c>
      <c r="BJ108" s="51">
        <f t="shared" ca="1" si="77"/>
        <v>0</v>
      </c>
      <c r="BK108" s="51">
        <f t="shared" si="78"/>
        <v>0</v>
      </c>
      <c r="BL108" s="51">
        <f t="shared" ca="1" si="79"/>
        <v>0</v>
      </c>
      <c r="BM108" s="51">
        <f t="shared" si="80"/>
        <v>0</v>
      </c>
      <c r="BN108" s="51">
        <f t="shared" ca="1" si="81"/>
        <v>0</v>
      </c>
      <c r="BO108" s="51">
        <f t="shared" ca="1" si="82"/>
        <v>0</v>
      </c>
      <c r="BP108" s="51">
        <f t="shared" ca="1" si="83"/>
        <v>0</v>
      </c>
      <c r="BQ108" s="120"/>
      <c r="BR108" s="32"/>
      <c r="BS108" s="126"/>
      <c r="BT108" s="16"/>
      <c r="BU108" s="58"/>
      <c r="BW108" s="51">
        <f>VLOOKUP(H108,Charges!$AT$4:$AU$33,2,FALSE)*I108</f>
        <v>0</v>
      </c>
      <c r="BX108" s="51">
        <f t="shared" si="84"/>
        <v>0</v>
      </c>
      <c r="BY108" s="51">
        <f t="shared" si="93"/>
        <v>0</v>
      </c>
      <c r="BZ108" s="151"/>
      <c r="CA108" s="151"/>
      <c r="CB108" s="32"/>
      <c r="CC108" s="16">
        <f ca="1">SUM($N$7:$N108)</f>
        <v>0</v>
      </c>
      <c r="CD108" s="16">
        <f t="shared" ca="1" si="85"/>
        <v>0</v>
      </c>
      <c r="CE108" s="16">
        <f t="shared" ca="1" si="86"/>
        <v>0</v>
      </c>
      <c r="CF108" s="7">
        <f t="shared" ca="1" si="94"/>
        <v>0</v>
      </c>
    </row>
    <row r="109" spans="1:84" s="7" customFormat="1" x14ac:dyDescent="0.2">
      <c r="A109" s="149"/>
      <c r="B109" s="14">
        <f t="shared" si="55"/>
        <v>1</v>
      </c>
      <c r="C109" s="12">
        <f t="shared" si="56"/>
        <v>1</v>
      </c>
      <c r="D109" s="17">
        <f t="shared" si="95"/>
        <v>103</v>
      </c>
      <c r="E109" s="17">
        <f t="shared" ca="1" si="57"/>
        <v>68</v>
      </c>
      <c r="F109" s="12">
        <f t="shared" si="97"/>
        <v>6</v>
      </c>
      <c r="G109" s="12">
        <f t="shared" si="96"/>
        <v>18</v>
      </c>
      <c r="H109" s="17">
        <f t="shared" si="98"/>
        <v>9</v>
      </c>
      <c r="I109" s="29">
        <f t="shared" si="58"/>
        <v>0</v>
      </c>
      <c r="J109" s="211">
        <f>IFERROR(VLOOKUP(H109,Charges!$T$6:$U$35,2,0)*C109,0)</f>
        <v>0.98</v>
      </c>
      <c r="K109" s="29">
        <f t="shared" si="59"/>
        <v>0</v>
      </c>
      <c r="L109" s="29">
        <f t="shared" si="60"/>
        <v>0</v>
      </c>
      <c r="M109" s="147">
        <f t="shared" ca="1" si="61"/>
        <v>0</v>
      </c>
      <c r="N109" s="148">
        <f ca="1">IF(AND(Option_SPW="Y",Z108&gt;=SPW_Start_Min_FV,H109&gt;=Lock_In_Period,Z108&gt;SPW_Amount_pa+IF(option="Single",1/5*pr,2*pr),H109&gt;=SPW_Start_Year,H109&lt;=SPW_Start_Year+SPW_Duration-1,F109=0,age+H109&gt;=Legal_Age),SPW_Amount_pa,0)+IFERROR(VLOOKUP(H109,Input!$B$68:$C$74,2,0),0)*(F109=0)*(Option_PW="Y")*(Option_SPW="N")*(age+H109&gt;=Legal_Age)</f>
        <v>0</v>
      </c>
      <c r="O109" s="148">
        <f t="shared" ca="1" si="87"/>
        <v>0</v>
      </c>
      <c r="P109" s="14">
        <f ca="1">(MAX(MAX(sa-CF108*Flag_UL_Type,105%*SUM($I$7:I109))-(AD108+L109-N109)*Flag_UL_Type,0)*B109)</f>
        <v>0</v>
      </c>
      <c r="Q109" s="213">
        <f t="shared" ca="1" si="62"/>
        <v>0</v>
      </c>
      <c r="R109" s="14">
        <f t="shared" ca="1" si="63"/>
        <v>0</v>
      </c>
      <c r="S109" s="14">
        <f t="shared" ca="1" si="64"/>
        <v>0</v>
      </c>
      <c r="T109" s="14">
        <f>IFERROR(IF(WoP_Flag="Y",IF(fq=1,VLOOKUP(ppt*fq-H109,Charges!$AN$41:$AO$59,2,FALSE),IF(fq=2,VLOOKUP(ppt*fq-G109,Charges!$AP$41:$AQ$79,2,FALSE),VLOOKUP(ppt*fq-D109,Charges!$AR$41:$AS$279,2,FALSE)))*pr/fq,0),0)</f>
        <v>0</v>
      </c>
      <c r="U109" s="14">
        <f ca="1">IFERROR(((T109*(VLOOKUP(Input!$D$18+H109-1,Tab_Mort_Charge,IF(Gender_2="M",2,3),FALSE)*(1+_emr2)+_rpm2)/IF(Model_Type="LA_PQIS",1000/0.0833,(12*1000))))*Flag_Mort_Rider_Charge*(T109&gt;0),0)</f>
        <v>0</v>
      </c>
      <c r="V109" s="34">
        <f>ROUND(MIN(IF(H109&gt;=7,Charges!$C$12*(1+Charges!$C$14)^((H109-7+1)),VLOOKUP(H109,Charges!$B$7:$C$12,2,0))*pr,Charges!$C$13)*B109,Round)</f>
        <v>500</v>
      </c>
      <c r="W109" s="14">
        <f t="shared" ca="1" si="65"/>
        <v>3454246.5002488052</v>
      </c>
      <c r="X109" s="14">
        <f t="shared" ca="1" si="66"/>
        <v>3476471.2262387797</v>
      </c>
      <c r="Y109" s="213">
        <f t="shared" ca="1" si="88"/>
        <v>3913.1585518482298</v>
      </c>
      <c r="Z109" s="14">
        <f t="shared" ca="1" si="67"/>
        <v>3472558.0676869317</v>
      </c>
      <c r="AA109" s="14">
        <f>IF(AND($H109=pt,$F109=11),SUM($K$7:K109)*VLOOKUP(pt,ROC,2,FALSE),0)</f>
        <v>0</v>
      </c>
      <c r="AB109" s="14">
        <f>IF(AND($H109=pt,$F109=11),SUM($V$7:V109)*VLOOKUP(pt,ROC,2,FALSE),0)</f>
        <v>0</v>
      </c>
      <c r="AC109" s="14">
        <f>IF(AND($H109=pt,$F109=11),SUM($Q$7:Q109)*VLOOKUP(pt,ROC,2,FALSE),0)</f>
        <v>0</v>
      </c>
      <c r="AD109" s="14">
        <f t="shared" ca="1" si="89"/>
        <v>3472558.0676869317</v>
      </c>
      <c r="AE109" s="14">
        <f ca="1">(MAX(sa-CF108*Flag_UL_Type,105%*SUM($I$7:I109),Z109)+AU109)*B109</f>
        <v>3472558.0676869317</v>
      </c>
      <c r="AF109" s="136"/>
      <c r="AG109" s="18">
        <v>103</v>
      </c>
      <c r="AH109" s="30">
        <f t="shared" ca="1" si="68"/>
        <v>0</v>
      </c>
      <c r="AI109" s="58"/>
      <c r="AJ109" s="50">
        <f>IF(AND(Option_Sys_TopUp&gt;="Y",H109&gt;=sytp,H109&lt;=(dtp+sytp-1),F109=0,H109&lt;=ppt+1),atp,0)+IFERROR(VLOOKUP(H109,Input!$B$55:$C$61,2,0),0)*(F109=0)*(Option_TopUP="Y")*(Option_Sys_TopUp="N")*B109*(pt&gt;=H109+5)</f>
        <v>0</v>
      </c>
      <c r="AK109" s="50">
        <f t="shared" si="69"/>
        <v>0</v>
      </c>
      <c r="AL109" s="50">
        <f t="shared" si="90"/>
        <v>0</v>
      </c>
      <c r="AM109" s="50">
        <f t="shared" ca="1" si="70"/>
        <v>0</v>
      </c>
      <c r="AN109" s="50">
        <f ca="1">IF(B109=0,0,AT109*(_rpm1+(1+_emr1)*VLOOKUP(E109,Tab_Mort_Charge,IF(Input!$C$12="M",2,3),0))*(0.001*0.0833)*Flag_Mort_Rider_Charge*(AT109&gt;0))</f>
        <v>0</v>
      </c>
      <c r="AO109" s="50">
        <f t="shared" ca="1" si="91"/>
        <v>0</v>
      </c>
      <c r="AP109" s="50">
        <f t="shared" ca="1" si="99"/>
        <v>0</v>
      </c>
      <c r="AQ109" s="50">
        <f t="shared" ca="1" si="71"/>
        <v>0</v>
      </c>
      <c r="AR109" s="50">
        <f t="shared" ca="1" si="72"/>
        <v>0</v>
      </c>
      <c r="AS109" s="50">
        <f t="shared" si="73"/>
        <v>0</v>
      </c>
      <c r="AT109" s="50">
        <f ca="1">(MAX((MAX(AS109,105%*SUM($AJ$7:AJ109))-AM109*Flag_UL_Type),0)*B109)</f>
        <v>0</v>
      </c>
      <c r="AU109" s="50">
        <f ca="1">(MAX(AS109,AR109,105%*SUM($AJ$7:AJ109))*B109)</f>
        <v>0</v>
      </c>
      <c r="AV109" s="125"/>
      <c r="AW109" s="13"/>
      <c r="AX109" s="13"/>
      <c r="AY109" s="13"/>
      <c r="AZ109" s="13"/>
      <c r="BA109" s="13"/>
      <c r="BG109" s="51">
        <f t="shared" si="74"/>
        <v>0</v>
      </c>
      <c r="BH109" s="51">
        <f t="shared" ca="1" si="75"/>
        <v>0</v>
      </c>
      <c r="BI109" s="51">
        <f t="shared" ca="1" si="76"/>
        <v>0</v>
      </c>
      <c r="BJ109" s="51">
        <f t="shared" ca="1" si="77"/>
        <v>0</v>
      </c>
      <c r="BK109" s="51">
        <f t="shared" si="78"/>
        <v>0</v>
      </c>
      <c r="BL109" s="51">
        <f t="shared" ca="1" si="79"/>
        <v>0</v>
      </c>
      <c r="BM109" s="51">
        <f t="shared" si="80"/>
        <v>0</v>
      </c>
      <c r="BN109" s="51">
        <f t="shared" ca="1" si="81"/>
        <v>0</v>
      </c>
      <c r="BO109" s="51">
        <f t="shared" ca="1" si="82"/>
        <v>0</v>
      </c>
      <c r="BP109" s="51">
        <f t="shared" ca="1" si="83"/>
        <v>0</v>
      </c>
      <c r="BQ109" s="120"/>
      <c r="BR109" s="32"/>
      <c r="BS109" s="126"/>
      <c r="BT109" s="16"/>
      <c r="BU109" s="58"/>
      <c r="BW109" s="51">
        <f>VLOOKUP(H109,Charges!$AT$4:$AU$33,2,FALSE)*I109</f>
        <v>0</v>
      </c>
      <c r="BX109" s="51">
        <f t="shared" si="84"/>
        <v>0</v>
      </c>
      <c r="BY109" s="51">
        <f t="shared" si="93"/>
        <v>0</v>
      </c>
      <c r="BZ109" s="151"/>
      <c r="CA109" s="151"/>
      <c r="CB109" s="32"/>
      <c r="CC109" s="16">
        <f ca="1">SUM($N$7:$N109)</f>
        <v>0</v>
      </c>
      <c r="CD109" s="16">
        <f t="shared" ca="1" si="85"/>
        <v>0</v>
      </c>
      <c r="CE109" s="16">
        <f t="shared" ca="1" si="86"/>
        <v>0</v>
      </c>
      <c r="CF109" s="7">
        <f t="shared" ca="1" si="94"/>
        <v>0</v>
      </c>
    </row>
    <row r="110" spans="1:84" s="7" customFormat="1" x14ac:dyDescent="0.2">
      <c r="A110" s="149"/>
      <c r="B110" s="14">
        <f t="shared" si="55"/>
        <v>1</v>
      </c>
      <c r="C110" s="12">
        <f t="shared" si="56"/>
        <v>1</v>
      </c>
      <c r="D110" s="17">
        <f t="shared" si="95"/>
        <v>104</v>
      </c>
      <c r="E110" s="17">
        <f t="shared" ca="1" si="57"/>
        <v>68</v>
      </c>
      <c r="F110" s="12">
        <f t="shared" si="97"/>
        <v>7</v>
      </c>
      <c r="G110" s="12">
        <f t="shared" si="96"/>
        <v>18</v>
      </c>
      <c r="H110" s="17">
        <f t="shared" si="98"/>
        <v>9</v>
      </c>
      <c r="I110" s="29">
        <f t="shared" si="58"/>
        <v>0</v>
      </c>
      <c r="J110" s="211">
        <f>IFERROR(VLOOKUP(H110,Charges!$T$6:$U$35,2,0)*C110,0)</f>
        <v>0.98</v>
      </c>
      <c r="K110" s="29">
        <f t="shared" si="59"/>
        <v>0</v>
      </c>
      <c r="L110" s="29">
        <f t="shared" si="60"/>
        <v>0</v>
      </c>
      <c r="M110" s="147">
        <f t="shared" ca="1" si="61"/>
        <v>0</v>
      </c>
      <c r="N110" s="148">
        <f ca="1">IF(AND(Option_SPW="Y",Z109&gt;=SPW_Start_Min_FV,H110&gt;=Lock_In_Period,Z109&gt;SPW_Amount_pa+IF(option="Single",1/5*pr,2*pr),H110&gt;=SPW_Start_Year,H110&lt;=SPW_Start_Year+SPW_Duration-1,F110=0,age+H110&gt;=Legal_Age),SPW_Amount_pa,0)+IFERROR(VLOOKUP(H110,Input!$B$68:$C$74,2,0),0)*(F110=0)*(Option_PW="Y")*(Option_SPW="N")*(age+H110&gt;=Legal_Age)</f>
        <v>0</v>
      </c>
      <c r="O110" s="148">
        <f t="shared" ca="1" si="87"/>
        <v>0</v>
      </c>
      <c r="P110" s="14">
        <f ca="1">(MAX(MAX(sa-CF109*Flag_UL_Type,105%*SUM($I$7:I110))-(AD109+L110-N110)*Flag_UL_Type,0)*B110)</f>
        <v>0</v>
      </c>
      <c r="Q110" s="213">
        <f t="shared" ca="1" si="62"/>
        <v>0</v>
      </c>
      <c r="R110" s="14">
        <f t="shared" ca="1" si="63"/>
        <v>0</v>
      </c>
      <c r="S110" s="14">
        <f t="shared" ca="1" si="64"/>
        <v>0</v>
      </c>
      <c r="T110" s="14">
        <f>IFERROR(IF(WoP_Flag="Y",IF(fq=1,VLOOKUP(ppt*fq-H110,Charges!$AN$41:$AO$59,2,FALSE),IF(fq=2,VLOOKUP(ppt*fq-G110,Charges!$AP$41:$AQ$79,2,FALSE),VLOOKUP(ppt*fq-D110,Charges!$AR$41:$AS$279,2,FALSE)))*pr/fq,0),0)</f>
        <v>0</v>
      </c>
      <c r="U110" s="14">
        <f ca="1">IFERROR(((T110*(VLOOKUP(Input!$D$18+H110-1,Tab_Mort_Charge,IF(Gender_2="M",2,3),FALSE)*(1+_emr2)+_rpm2)/IF(Model_Type="LA_PQIS",1000/0.0833,(12*1000))))*Flag_Mort_Rider_Charge*(T110&gt;0),0)</f>
        <v>0</v>
      </c>
      <c r="V110" s="34">
        <f>ROUND(MIN(IF(H110&gt;=7,Charges!$C$12*(1+Charges!$C$14)^((H110-7+1)),VLOOKUP(H110,Charges!$B$7:$C$12,2,0))*pr,Charges!$C$13)*B110,Round)</f>
        <v>500</v>
      </c>
      <c r="W110" s="14">
        <f t="shared" ca="1" si="65"/>
        <v>3472058.0676869317</v>
      </c>
      <c r="X110" s="14">
        <f t="shared" ca="1" si="66"/>
        <v>3494397.3938381099</v>
      </c>
      <c r="Y110" s="213">
        <f t="shared" ca="1" si="88"/>
        <v>3933.3364654503152</v>
      </c>
      <c r="Z110" s="14">
        <f t="shared" ca="1" si="67"/>
        <v>3490464.0573726594</v>
      </c>
      <c r="AA110" s="14">
        <f>IF(AND($H110=pt,$F110=11),SUM($K$7:K110)*VLOOKUP(pt,ROC,2,FALSE),0)</f>
        <v>0</v>
      </c>
      <c r="AB110" s="14">
        <f>IF(AND($H110=pt,$F110=11),SUM($V$7:V110)*VLOOKUP(pt,ROC,2,FALSE),0)</f>
        <v>0</v>
      </c>
      <c r="AC110" s="14">
        <f>IF(AND($H110=pt,$F110=11),SUM($Q$7:Q110)*VLOOKUP(pt,ROC,2,FALSE),0)</f>
        <v>0</v>
      </c>
      <c r="AD110" s="14">
        <f t="shared" ca="1" si="89"/>
        <v>3490464.0573726594</v>
      </c>
      <c r="AE110" s="14">
        <f ca="1">(MAX(sa-CF109*Flag_UL_Type,105%*SUM($I$7:I110),Z110)+AU110)*B110</f>
        <v>3490464.0573726594</v>
      </c>
      <c r="AF110" s="136"/>
      <c r="AG110" s="18">
        <v>104</v>
      </c>
      <c r="AH110" s="30">
        <f t="shared" ca="1" si="68"/>
        <v>0</v>
      </c>
      <c r="AI110" s="58"/>
      <c r="AJ110" s="50">
        <f>IF(AND(Option_Sys_TopUp&gt;="Y",H110&gt;=sytp,H110&lt;=(dtp+sytp-1),F110=0,H110&lt;=ppt+1),atp,0)+IFERROR(VLOOKUP(H110,Input!$B$55:$C$61,2,0),0)*(F110=0)*(Option_TopUP="Y")*(Option_Sys_TopUp="N")*B110*(pt&gt;=H110+5)</f>
        <v>0</v>
      </c>
      <c r="AK110" s="50">
        <f t="shared" si="69"/>
        <v>0</v>
      </c>
      <c r="AL110" s="50">
        <f t="shared" si="90"/>
        <v>0</v>
      </c>
      <c r="AM110" s="50">
        <f t="shared" ca="1" si="70"/>
        <v>0</v>
      </c>
      <c r="AN110" s="50">
        <f ca="1">IF(B110=0,0,AT110*(_rpm1+(1+_emr1)*VLOOKUP(E110,Tab_Mort_Charge,IF(Input!$C$12="M",2,3),0))*(0.001*0.0833)*Flag_Mort_Rider_Charge*(AT110&gt;0))</f>
        <v>0</v>
      </c>
      <c r="AO110" s="50">
        <f t="shared" ca="1" si="91"/>
        <v>0</v>
      </c>
      <c r="AP110" s="50">
        <f t="shared" ca="1" si="99"/>
        <v>0</v>
      </c>
      <c r="AQ110" s="50">
        <f t="shared" ca="1" si="71"/>
        <v>0</v>
      </c>
      <c r="AR110" s="50">
        <f t="shared" ca="1" si="72"/>
        <v>0</v>
      </c>
      <c r="AS110" s="50">
        <f t="shared" si="73"/>
        <v>0</v>
      </c>
      <c r="AT110" s="50">
        <f ca="1">(MAX((MAX(AS110,105%*SUM($AJ$7:AJ110))-AM110*Flag_UL_Type),0)*B110)</f>
        <v>0</v>
      </c>
      <c r="AU110" s="50">
        <f ca="1">(MAX(AS110,AR110,105%*SUM($AJ$7:AJ110))*B110)</f>
        <v>0</v>
      </c>
      <c r="AV110" s="125"/>
      <c r="AW110" s="13"/>
      <c r="AX110" s="13"/>
      <c r="AY110" s="13"/>
      <c r="AZ110" s="13"/>
      <c r="BA110" s="13"/>
      <c r="BG110" s="51">
        <f t="shared" si="74"/>
        <v>0</v>
      </c>
      <c r="BH110" s="51">
        <f t="shared" ca="1" si="75"/>
        <v>0</v>
      </c>
      <c r="BI110" s="51">
        <f t="shared" ca="1" si="76"/>
        <v>0</v>
      </c>
      <c r="BJ110" s="51">
        <f t="shared" ca="1" si="77"/>
        <v>0</v>
      </c>
      <c r="BK110" s="51">
        <f t="shared" si="78"/>
        <v>0</v>
      </c>
      <c r="BL110" s="51">
        <f t="shared" ca="1" si="79"/>
        <v>0</v>
      </c>
      <c r="BM110" s="51">
        <f t="shared" si="80"/>
        <v>0</v>
      </c>
      <c r="BN110" s="51">
        <f t="shared" ca="1" si="81"/>
        <v>0</v>
      </c>
      <c r="BO110" s="51">
        <f t="shared" ca="1" si="82"/>
        <v>0</v>
      </c>
      <c r="BP110" s="51">
        <f t="shared" ca="1" si="83"/>
        <v>0</v>
      </c>
      <c r="BQ110" s="120"/>
      <c r="BR110" s="32"/>
      <c r="BS110" s="126"/>
      <c r="BT110" s="16"/>
      <c r="BU110" s="58"/>
      <c r="BW110" s="51">
        <f>VLOOKUP(H110,Charges!$AT$4:$AU$33,2,FALSE)*I110</f>
        <v>0</v>
      </c>
      <c r="BX110" s="51">
        <f t="shared" si="84"/>
        <v>0</v>
      </c>
      <c r="BY110" s="51">
        <f t="shared" si="93"/>
        <v>0</v>
      </c>
      <c r="BZ110" s="151"/>
      <c r="CA110" s="151"/>
      <c r="CB110" s="32"/>
      <c r="CC110" s="16">
        <f ca="1">SUM($N$7:$N110)</f>
        <v>0</v>
      </c>
      <c r="CD110" s="16">
        <f t="shared" ca="1" si="85"/>
        <v>0</v>
      </c>
      <c r="CE110" s="16">
        <f t="shared" ca="1" si="86"/>
        <v>0</v>
      </c>
      <c r="CF110" s="7">
        <f t="shared" ca="1" si="94"/>
        <v>0</v>
      </c>
    </row>
    <row r="111" spans="1:84" s="7" customFormat="1" x14ac:dyDescent="0.2">
      <c r="A111" s="149"/>
      <c r="B111" s="14">
        <f t="shared" si="55"/>
        <v>1</v>
      </c>
      <c r="C111" s="12">
        <f t="shared" si="56"/>
        <v>1</v>
      </c>
      <c r="D111" s="17">
        <f t="shared" si="95"/>
        <v>105</v>
      </c>
      <c r="E111" s="17">
        <f t="shared" ca="1" si="57"/>
        <v>68</v>
      </c>
      <c r="F111" s="12">
        <f t="shared" si="97"/>
        <v>8</v>
      </c>
      <c r="G111" s="12">
        <f t="shared" si="96"/>
        <v>18</v>
      </c>
      <c r="H111" s="17">
        <f t="shared" si="98"/>
        <v>9</v>
      </c>
      <c r="I111" s="29">
        <f t="shared" si="58"/>
        <v>0</v>
      </c>
      <c r="J111" s="211">
        <f>IFERROR(VLOOKUP(H111,Charges!$T$6:$U$35,2,0)*C111,0)</f>
        <v>0.98</v>
      </c>
      <c r="K111" s="29">
        <f t="shared" si="59"/>
        <v>0</v>
      </c>
      <c r="L111" s="29">
        <f t="shared" si="60"/>
        <v>0</v>
      </c>
      <c r="M111" s="147">
        <f t="shared" ca="1" si="61"/>
        <v>0</v>
      </c>
      <c r="N111" s="148">
        <f ca="1">IF(AND(Option_SPW="Y",Z110&gt;=SPW_Start_Min_FV,H111&gt;=Lock_In_Period,Z110&gt;SPW_Amount_pa+IF(option="Single",1/5*pr,2*pr),H111&gt;=SPW_Start_Year,H111&lt;=SPW_Start_Year+SPW_Duration-1,F111=0,age+H111&gt;=Legal_Age),SPW_Amount_pa,0)+IFERROR(VLOOKUP(H111,Input!$B$68:$C$74,2,0),0)*(F111=0)*(Option_PW="Y")*(Option_SPW="N")*(age+H111&gt;=Legal_Age)</f>
        <v>0</v>
      </c>
      <c r="O111" s="148">
        <f t="shared" ca="1" si="87"/>
        <v>0</v>
      </c>
      <c r="P111" s="14">
        <f ca="1">(MAX(MAX(sa-CF110*Flag_UL_Type,105%*SUM($I$7:I111))-(AD110+L111-N111)*Flag_UL_Type,0)*B111)</f>
        <v>0</v>
      </c>
      <c r="Q111" s="213">
        <f t="shared" ca="1" si="62"/>
        <v>0</v>
      </c>
      <c r="R111" s="14">
        <f t="shared" ca="1" si="63"/>
        <v>0</v>
      </c>
      <c r="S111" s="14">
        <f t="shared" ca="1" si="64"/>
        <v>0</v>
      </c>
      <c r="T111" s="14">
        <f>IFERROR(IF(WoP_Flag="Y",IF(fq=1,VLOOKUP(ppt*fq-H111,Charges!$AN$41:$AO$59,2,FALSE),IF(fq=2,VLOOKUP(ppt*fq-G111,Charges!$AP$41:$AQ$79,2,FALSE),VLOOKUP(ppt*fq-D111,Charges!$AR$41:$AS$279,2,FALSE)))*pr/fq,0),0)</f>
        <v>0</v>
      </c>
      <c r="U111" s="14">
        <f ca="1">IFERROR(((T111*(VLOOKUP(Input!$D$18+H111-1,Tab_Mort_Charge,IF(Gender_2="M",2,3),FALSE)*(1+_emr2)+_rpm2)/IF(Model_Type="LA_PQIS",1000/0.0833,(12*1000))))*Flag_Mort_Rider_Charge*(T111&gt;0),0)</f>
        <v>0</v>
      </c>
      <c r="V111" s="34">
        <f>ROUND(MIN(IF(H111&gt;=7,Charges!$C$12*(1+Charges!$C$14)^((H111-7+1)),VLOOKUP(H111,Charges!$B$7:$C$12,2,0))*pr,Charges!$C$13)*B111,Round)</f>
        <v>500</v>
      </c>
      <c r="W111" s="14">
        <f t="shared" ca="1" si="65"/>
        <v>3489964.0573726594</v>
      </c>
      <c r="X111" s="14">
        <f t="shared" ca="1" si="66"/>
        <v>3512418.5912006251</v>
      </c>
      <c r="Y111" s="213">
        <f t="shared" ca="1" si="88"/>
        <v>3953.6213457166673</v>
      </c>
      <c r="Z111" s="14">
        <f t="shared" ca="1" si="67"/>
        <v>3508464.9698549085</v>
      </c>
      <c r="AA111" s="14">
        <f>IF(AND($H111=pt,$F111=11),SUM($K$7:K111)*VLOOKUP(pt,ROC,2,FALSE),0)</f>
        <v>0</v>
      </c>
      <c r="AB111" s="14">
        <f>IF(AND($H111=pt,$F111=11),SUM($V$7:V111)*VLOOKUP(pt,ROC,2,FALSE),0)</f>
        <v>0</v>
      </c>
      <c r="AC111" s="14">
        <f>IF(AND($H111=pt,$F111=11),SUM($Q$7:Q111)*VLOOKUP(pt,ROC,2,FALSE),0)</f>
        <v>0</v>
      </c>
      <c r="AD111" s="14">
        <f t="shared" ca="1" si="89"/>
        <v>3508464.9698549085</v>
      </c>
      <c r="AE111" s="14">
        <f ca="1">(MAX(sa-CF110*Flag_UL_Type,105%*SUM($I$7:I111),Z111)+AU111)*B111</f>
        <v>3508464.9698549085</v>
      </c>
      <c r="AF111" s="136"/>
      <c r="AG111" s="18">
        <v>105</v>
      </c>
      <c r="AH111" s="30">
        <f t="shared" ca="1" si="68"/>
        <v>0</v>
      </c>
      <c r="AI111" s="58"/>
      <c r="AJ111" s="50">
        <f>IF(AND(Option_Sys_TopUp&gt;="Y",H111&gt;=sytp,H111&lt;=(dtp+sytp-1),F111=0,H111&lt;=ppt+1),atp,0)+IFERROR(VLOOKUP(H111,Input!$B$55:$C$61,2,0),0)*(F111=0)*(Option_TopUP="Y")*(Option_Sys_TopUp="N")*B111*(pt&gt;=H111+5)</f>
        <v>0</v>
      </c>
      <c r="AK111" s="50">
        <f t="shared" si="69"/>
        <v>0</v>
      </c>
      <c r="AL111" s="50">
        <f t="shared" si="90"/>
        <v>0</v>
      </c>
      <c r="AM111" s="50">
        <f t="shared" ca="1" si="70"/>
        <v>0</v>
      </c>
      <c r="AN111" s="50">
        <f ca="1">IF(B111=0,0,AT111*(_rpm1+(1+_emr1)*VLOOKUP(E111,Tab_Mort_Charge,IF(Input!$C$12="M",2,3),0))*(0.001*0.0833)*Flag_Mort_Rider_Charge*(AT111&gt;0))</f>
        <v>0</v>
      </c>
      <c r="AO111" s="50">
        <f t="shared" ca="1" si="91"/>
        <v>0</v>
      </c>
      <c r="AP111" s="50">
        <f t="shared" ca="1" si="99"/>
        <v>0</v>
      </c>
      <c r="AQ111" s="50">
        <f t="shared" ca="1" si="71"/>
        <v>0</v>
      </c>
      <c r="AR111" s="50">
        <f t="shared" ca="1" si="72"/>
        <v>0</v>
      </c>
      <c r="AS111" s="50">
        <f t="shared" si="73"/>
        <v>0</v>
      </c>
      <c r="AT111" s="50">
        <f ca="1">(MAX((MAX(AS111,105%*SUM($AJ$7:AJ111))-AM111*Flag_UL_Type),0)*B111)</f>
        <v>0</v>
      </c>
      <c r="AU111" s="50">
        <f ca="1">(MAX(AS111,AR111,105%*SUM($AJ$7:AJ111))*B111)</f>
        <v>0</v>
      </c>
      <c r="AV111" s="125"/>
      <c r="AW111" s="13"/>
      <c r="AX111" s="13"/>
      <c r="AY111" s="13"/>
      <c r="AZ111" s="13"/>
      <c r="BA111" s="13"/>
      <c r="BG111" s="51">
        <f t="shared" si="74"/>
        <v>0</v>
      </c>
      <c r="BH111" s="51">
        <f t="shared" ca="1" si="75"/>
        <v>0</v>
      </c>
      <c r="BI111" s="51">
        <f t="shared" ca="1" si="76"/>
        <v>0</v>
      </c>
      <c r="BJ111" s="51">
        <f t="shared" ca="1" si="77"/>
        <v>0</v>
      </c>
      <c r="BK111" s="51">
        <f t="shared" si="78"/>
        <v>0</v>
      </c>
      <c r="BL111" s="51">
        <f t="shared" ca="1" si="79"/>
        <v>0</v>
      </c>
      <c r="BM111" s="51">
        <f t="shared" si="80"/>
        <v>0</v>
      </c>
      <c r="BN111" s="51">
        <f t="shared" ca="1" si="81"/>
        <v>0</v>
      </c>
      <c r="BO111" s="51">
        <f t="shared" ca="1" si="82"/>
        <v>0</v>
      </c>
      <c r="BP111" s="51">
        <f t="shared" ca="1" si="83"/>
        <v>0</v>
      </c>
      <c r="BQ111" s="120"/>
      <c r="BR111" s="32"/>
      <c r="BS111" s="126"/>
      <c r="BT111" s="16"/>
      <c r="BU111" s="58"/>
      <c r="BW111" s="51">
        <f>VLOOKUP(H111,Charges!$AT$4:$AU$33,2,FALSE)*I111</f>
        <v>0</v>
      </c>
      <c r="BX111" s="51">
        <f t="shared" si="84"/>
        <v>0</v>
      </c>
      <c r="BY111" s="51">
        <f t="shared" si="93"/>
        <v>0</v>
      </c>
      <c r="BZ111" s="151"/>
      <c r="CA111" s="151"/>
      <c r="CB111" s="32"/>
      <c r="CC111" s="16">
        <f ca="1">SUM($N$7:$N111)</f>
        <v>0</v>
      </c>
      <c r="CD111" s="16">
        <f t="shared" ca="1" si="85"/>
        <v>0</v>
      </c>
      <c r="CE111" s="16">
        <f t="shared" ca="1" si="86"/>
        <v>0</v>
      </c>
      <c r="CF111" s="7">
        <f t="shared" ca="1" si="94"/>
        <v>0</v>
      </c>
    </row>
    <row r="112" spans="1:84" s="7" customFormat="1" x14ac:dyDescent="0.2">
      <c r="A112" s="149"/>
      <c r="B112" s="14">
        <f t="shared" si="55"/>
        <v>1</v>
      </c>
      <c r="C112" s="12">
        <f t="shared" si="56"/>
        <v>1</v>
      </c>
      <c r="D112" s="17">
        <f t="shared" si="95"/>
        <v>106</v>
      </c>
      <c r="E112" s="17">
        <f t="shared" ca="1" si="57"/>
        <v>68</v>
      </c>
      <c r="F112" s="12">
        <f t="shared" si="97"/>
        <v>9</v>
      </c>
      <c r="G112" s="12">
        <f t="shared" si="96"/>
        <v>18</v>
      </c>
      <c r="H112" s="17">
        <f t="shared" si="98"/>
        <v>9</v>
      </c>
      <c r="I112" s="29">
        <f t="shared" si="58"/>
        <v>0</v>
      </c>
      <c r="J112" s="211">
        <f>IFERROR(VLOOKUP(H112,Charges!$T$6:$U$35,2,0)*C112,0)</f>
        <v>0.98</v>
      </c>
      <c r="K112" s="29">
        <f t="shared" si="59"/>
        <v>0</v>
      </c>
      <c r="L112" s="29">
        <f t="shared" si="60"/>
        <v>0</v>
      </c>
      <c r="M112" s="147">
        <f t="shared" ca="1" si="61"/>
        <v>0</v>
      </c>
      <c r="N112" s="148">
        <f ca="1">IF(AND(Option_SPW="Y",Z111&gt;=SPW_Start_Min_FV,H112&gt;=Lock_In_Period,Z111&gt;SPW_Amount_pa+IF(option="Single",1/5*pr,2*pr),H112&gt;=SPW_Start_Year,H112&lt;=SPW_Start_Year+SPW_Duration-1,F112=0,age+H112&gt;=Legal_Age),SPW_Amount_pa,0)+IFERROR(VLOOKUP(H112,Input!$B$68:$C$74,2,0),0)*(F112=0)*(Option_PW="Y")*(Option_SPW="N")*(age+H112&gt;=Legal_Age)</f>
        <v>0</v>
      </c>
      <c r="O112" s="148">
        <f t="shared" ca="1" si="87"/>
        <v>0</v>
      </c>
      <c r="P112" s="14">
        <f ca="1">(MAX(MAX(sa-CF111*Flag_UL_Type,105%*SUM($I$7:I112))-(AD111+L112-N112)*Flag_UL_Type,0)*B112)</f>
        <v>0</v>
      </c>
      <c r="Q112" s="213">
        <f t="shared" ca="1" si="62"/>
        <v>0</v>
      </c>
      <c r="R112" s="14">
        <f t="shared" ca="1" si="63"/>
        <v>0</v>
      </c>
      <c r="S112" s="14">
        <f t="shared" ca="1" si="64"/>
        <v>0</v>
      </c>
      <c r="T112" s="14">
        <f>IFERROR(IF(WoP_Flag="Y",IF(fq=1,VLOOKUP(ppt*fq-H112,Charges!$AN$41:$AO$59,2,FALSE),IF(fq=2,VLOOKUP(ppt*fq-G112,Charges!$AP$41:$AQ$79,2,FALSE),VLOOKUP(ppt*fq-D112,Charges!$AR$41:$AS$279,2,FALSE)))*pr/fq,0),0)</f>
        <v>0</v>
      </c>
      <c r="U112" s="14">
        <f ca="1">IFERROR(((T112*(VLOOKUP(Input!$D$18+H112-1,Tab_Mort_Charge,IF(Gender_2="M",2,3),FALSE)*(1+_emr2)+_rpm2)/IF(Model_Type="LA_PQIS",1000/0.0833,(12*1000))))*Flag_Mort_Rider_Charge*(T112&gt;0),0)</f>
        <v>0</v>
      </c>
      <c r="V112" s="34">
        <f>ROUND(MIN(IF(H112&gt;=7,Charges!$C$12*(1+Charges!$C$14)^((H112-7+1)),VLOOKUP(H112,Charges!$B$7:$C$12,2,0))*pr,Charges!$C$13)*B112,Round)</f>
        <v>500</v>
      </c>
      <c r="W112" s="14">
        <f t="shared" ca="1" si="65"/>
        <v>3507964.9698549085</v>
      </c>
      <c r="X112" s="14">
        <f t="shared" ca="1" si="66"/>
        <v>3530535.3220957923</v>
      </c>
      <c r="Y112" s="213">
        <f t="shared" ca="1" si="88"/>
        <v>3974.0137596963614</v>
      </c>
      <c r="Z112" s="14">
        <f t="shared" ca="1" si="67"/>
        <v>3526561.3083360959</v>
      </c>
      <c r="AA112" s="14">
        <f>IF(AND($H112=pt,$F112=11),SUM($K$7:K112)*VLOOKUP(pt,ROC,2,FALSE),0)</f>
        <v>0</v>
      </c>
      <c r="AB112" s="14">
        <f>IF(AND($H112=pt,$F112=11),SUM($V$7:V112)*VLOOKUP(pt,ROC,2,FALSE),0)</f>
        <v>0</v>
      </c>
      <c r="AC112" s="14">
        <f>IF(AND($H112=pt,$F112=11),SUM($Q$7:Q112)*VLOOKUP(pt,ROC,2,FALSE),0)</f>
        <v>0</v>
      </c>
      <c r="AD112" s="14">
        <f t="shared" ca="1" si="89"/>
        <v>3526561.3083360959</v>
      </c>
      <c r="AE112" s="14">
        <f ca="1">(MAX(sa-CF111*Flag_UL_Type,105%*SUM($I$7:I112),Z112)+AU112)*B112</f>
        <v>3526561.3083360959</v>
      </c>
      <c r="AF112" s="136"/>
      <c r="AG112" s="18">
        <v>106</v>
      </c>
      <c r="AH112" s="30">
        <f t="shared" ca="1" si="68"/>
        <v>0</v>
      </c>
      <c r="AI112" s="58"/>
      <c r="AJ112" s="50">
        <f>IF(AND(Option_Sys_TopUp&gt;="Y",H112&gt;=sytp,H112&lt;=(dtp+sytp-1),F112=0,H112&lt;=ppt+1),atp,0)+IFERROR(VLOOKUP(H112,Input!$B$55:$C$61,2,0),0)*(F112=0)*(Option_TopUP="Y")*(Option_Sys_TopUp="N")*B112*(pt&gt;=H112+5)</f>
        <v>0</v>
      </c>
      <c r="AK112" s="50">
        <f t="shared" si="69"/>
        <v>0</v>
      </c>
      <c r="AL112" s="50">
        <f t="shared" si="90"/>
        <v>0</v>
      </c>
      <c r="AM112" s="50">
        <f t="shared" ca="1" si="70"/>
        <v>0</v>
      </c>
      <c r="AN112" s="50">
        <f ca="1">IF(B112=0,0,AT112*(_rpm1+(1+_emr1)*VLOOKUP(E112,Tab_Mort_Charge,IF(Input!$C$12="M",2,3),0))*(0.001*0.0833)*Flag_Mort_Rider_Charge*(AT112&gt;0))</f>
        <v>0</v>
      </c>
      <c r="AO112" s="50">
        <f t="shared" ca="1" si="91"/>
        <v>0</v>
      </c>
      <c r="AP112" s="50">
        <f t="shared" ca="1" si="99"/>
        <v>0</v>
      </c>
      <c r="AQ112" s="50">
        <f t="shared" ca="1" si="71"/>
        <v>0</v>
      </c>
      <c r="AR112" s="50">
        <f t="shared" ca="1" si="72"/>
        <v>0</v>
      </c>
      <c r="AS112" s="50">
        <f t="shared" si="73"/>
        <v>0</v>
      </c>
      <c r="AT112" s="50">
        <f ca="1">(MAX((MAX(AS112,105%*SUM($AJ$7:AJ112))-AM112*Flag_UL_Type),0)*B112)</f>
        <v>0</v>
      </c>
      <c r="AU112" s="50">
        <f ca="1">(MAX(AS112,AR112,105%*SUM($AJ$7:AJ112))*B112)</f>
        <v>0</v>
      </c>
      <c r="AV112" s="125"/>
      <c r="AW112" s="13"/>
      <c r="AX112" s="13"/>
      <c r="AY112" s="13"/>
      <c r="AZ112" s="13"/>
      <c r="BA112" s="13"/>
      <c r="BG112" s="51">
        <f t="shared" si="74"/>
        <v>0</v>
      </c>
      <c r="BH112" s="51">
        <f t="shared" ca="1" si="75"/>
        <v>0</v>
      </c>
      <c r="BI112" s="51">
        <f t="shared" ca="1" si="76"/>
        <v>0</v>
      </c>
      <c r="BJ112" s="51">
        <f t="shared" ca="1" si="77"/>
        <v>0</v>
      </c>
      <c r="BK112" s="51">
        <f t="shared" si="78"/>
        <v>0</v>
      </c>
      <c r="BL112" s="51">
        <f t="shared" ca="1" si="79"/>
        <v>0</v>
      </c>
      <c r="BM112" s="51">
        <f t="shared" si="80"/>
        <v>0</v>
      </c>
      <c r="BN112" s="51">
        <f t="shared" ca="1" si="81"/>
        <v>0</v>
      </c>
      <c r="BO112" s="51">
        <f t="shared" ca="1" si="82"/>
        <v>0</v>
      </c>
      <c r="BP112" s="51">
        <f t="shared" ca="1" si="83"/>
        <v>0</v>
      </c>
      <c r="BQ112" s="120"/>
      <c r="BR112" s="32"/>
      <c r="BS112" s="126"/>
      <c r="BT112" s="16"/>
      <c r="BU112" s="58"/>
      <c r="BW112" s="51">
        <f>VLOOKUP(H112,Charges!$AT$4:$AU$33,2,FALSE)*I112</f>
        <v>0</v>
      </c>
      <c r="BX112" s="51">
        <f t="shared" si="84"/>
        <v>0</v>
      </c>
      <c r="BY112" s="51">
        <f t="shared" si="93"/>
        <v>0</v>
      </c>
      <c r="BZ112" s="151"/>
      <c r="CA112" s="151"/>
      <c r="CB112" s="32"/>
      <c r="CC112" s="16">
        <f ca="1">SUM($N$7:$N112)</f>
        <v>0</v>
      </c>
      <c r="CD112" s="16">
        <f t="shared" ca="1" si="85"/>
        <v>0</v>
      </c>
      <c r="CE112" s="16">
        <f t="shared" ca="1" si="86"/>
        <v>0</v>
      </c>
      <c r="CF112" s="7">
        <f t="shared" ca="1" si="94"/>
        <v>0</v>
      </c>
    </row>
    <row r="113" spans="1:84" s="7" customFormat="1" x14ac:dyDescent="0.2">
      <c r="A113" s="149"/>
      <c r="B113" s="14">
        <f t="shared" si="55"/>
        <v>1</v>
      </c>
      <c r="C113" s="12">
        <f t="shared" si="56"/>
        <v>1</v>
      </c>
      <c r="D113" s="17">
        <f t="shared" si="95"/>
        <v>107</v>
      </c>
      <c r="E113" s="17">
        <f t="shared" ca="1" si="57"/>
        <v>68</v>
      </c>
      <c r="F113" s="12">
        <f t="shared" si="97"/>
        <v>10</v>
      </c>
      <c r="G113" s="12">
        <f t="shared" si="96"/>
        <v>18</v>
      </c>
      <c r="H113" s="17">
        <f t="shared" si="98"/>
        <v>9</v>
      </c>
      <c r="I113" s="29">
        <f t="shared" si="58"/>
        <v>0</v>
      </c>
      <c r="J113" s="211">
        <f>IFERROR(VLOOKUP(H113,Charges!$T$6:$U$35,2,0)*C113,0)</f>
        <v>0.98</v>
      </c>
      <c r="K113" s="29">
        <f t="shared" si="59"/>
        <v>0</v>
      </c>
      <c r="L113" s="29">
        <f t="shared" si="60"/>
        <v>0</v>
      </c>
      <c r="M113" s="147">
        <f t="shared" ca="1" si="61"/>
        <v>0</v>
      </c>
      <c r="N113" s="148">
        <f ca="1">IF(AND(Option_SPW="Y",Z112&gt;=SPW_Start_Min_FV,H113&gt;=Lock_In_Period,Z112&gt;SPW_Amount_pa+IF(option="Single",1/5*pr,2*pr),H113&gt;=SPW_Start_Year,H113&lt;=SPW_Start_Year+SPW_Duration-1,F113=0,age+H113&gt;=Legal_Age),SPW_Amount_pa,0)+IFERROR(VLOOKUP(H113,Input!$B$68:$C$74,2,0),0)*(F113=0)*(Option_PW="Y")*(Option_SPW="N")*(age+H113&gt;=Legal_Age)</f>
        <v>0</v>
      </c>
      <c r="O113" s="148">
        <f t="shared" ca="1" si="87"/>
        <v>0</v>
      </c>
      <c r="P113" s="14">
        <f ca="1">(MAX(MAX(sa-CF112*Flag_UL_Type,105%*SUM($I$7:I113))-(AD112+L113-N113)*Flag_UL_Type,0)*B113)</f>
        <v>0</v>
      </c>
      <c r="Q113" s="213">
        <f t="shared" ca="1" si="62"/>
        <v>0</v>
      </c>
      <c r="R113" s="14">
        <f t="shared" ca="1" si="63"/>
        <v>0</v>
      </c>
      <c r="S113" s="14">
        <f t="shared" ca="1" si="64"/>
        <v>0</v>
      </c>
      <c r="T113" s="14">
        <f>IFERROR(IF(WoP_Flag="Y",IF(fq=1,VLOOKUP(ppt*fq-H113,Charges!$AN$41:$AO$59,2,FALSE),IF(fq=2,VLOOKUP(ppt*fq-G113,Charges!$AP$41:$AQ$79,2,FALSE),VLOOKUP(ppt*fq-D113,Charges!$AR$41:$AS$279,2,FALSE)))*pr/fq,0),0)</f>
        <v>0</v>
      </c>
      <c r="U113" s="14">
        <f ca="1">IFERROR(((T113*(VLOOKUP(Input!$D$18+H113-1,Tab_Mort_Charge,IF(Gender_2="M",2,3),FALSE)*(1+_emr2)+_rpm2)/IF(Model_Type="LA_PQIS",1000/0.0833,(12*1000))))*Flag_Mort_Rider_Charge*(T113&gt;0),0)</f>
        <v>0</v>
      </c>
      <c r="V113" s="34">
        <f>ROUND(MIN(IF(H113&gt;=7,Charges!$C$12*(1+Charges!$C$14)^((H113-7+1)),VLOOKUP(H113,Charges!$B$7:$C$12,2,0))*pr,Charges!$C$13)*B113,Round)</f>
        <v>500</v>
      </c>
      <c r="W113" s="14">
        <f t="shared" ca="1" si="65"/>
        <v>3526061.3083360959</v>
      </c>
      <c r="X113" s="14">
        <f t="shared" ca="1" si="66"/>
        <v>3548748.0929636485</v>
      </c>
      <c r="Y113" s="213">
        <f t="shared" ca="1" si="88"/>
        <v>3994.5142774445007</v>
      </c>
      <c r="Z113" s="14">
        <f t="shared" ca="1" si="67"/>
        <v>3544753.5786862038</v>
      </c>
      <c r="AA113" s="14">
        <f>IF(AND($H113=pt,$F113=11),SUM($K$7:K113)*VLOOKUP(pt,ROC,2,FALSE),0)</f>
        <v>0</v>
      </c>
      <c r="AB113" s="14">
        <f>IF(AND($H113=pt,$F113=11),SUM($V$7:V113)*VLOOKUP(pt,ROC,2,FALSE),0)</f>
        <v>0</v>
      </c>
      <c r="AC113" s="14">
        <f>IF(AND($H113=pt,$F113=11),SUM($Q$7:Q113)*VLOOKUP(pt,ROC,2,FALSE),0)</f>
        <v>0</v>
      </c>
      <c r="AD113" s="14">
        <f t="shared" ca="1" si="89"/>
        <v>3544753.5786862038</v>
      </c>
      <c r="AE113" s="14">
        <f ca="1">(MAX(sa-CF112*Flag_UL_Type,105%*SUM($I$7:I113),Z113)+AU113)*B113</f>
        <v>3544753.5786862038</v>
      </c>
      <c r="AF113" s="136"/>
      <c r="AG113" s="18">
        <v>107</v>
      </c>
      <c r="AH113" s="30">
        <f t="shared" ca="1" si="68"/>
        <v>0</v>
      </c>
      <c r="AI113" s="58"/>
      <c r="AJ113" s="50">
        <f>IF(AND(Option_Sys_TopUp&gt;="Y",H113&gt;=sytp,H113&lt;=(dtp+sytp-1),F113=0,H113&lt;=ppt+1),atp,0)+IFERROR(VLOOKUP(H113,Input!$B$55:$C$61,2,0),0)*(F113=0)*(Option_TopUP="Y")*(Option_Sys_TopUp="N")*B113*(pt&gt;=H113+5)</f>
        <v>0</v>
      </c>
      <c r="AK113" s="50">
        <f t="shared" si="69"/>
        <v>0</v>
      </c>
      <c r="AL113" s="50">
        <f t="shared" si="90"/>
        <v>0</v>
      </c>
      <c r="AM113" s="50">
        <f t="shared" ca="1" si="70"/>
        <v>0</v>
      </c>
      <c r="AN113" s="50">
        <f ca="1">IF(B113=0,0,AT113*(_rpm1+(1+_emr1)*VLOOKUP(E113,Tab_Mort_Charge,IF(Input!$C$12="M",2,3),0))*(0.001*0.0833)*Flag_Mort_Rider_Charge*(AT113&gt;0))</f>
        <v>0</v>
      </c>
      <c r="AO113" s="50">
        <f t="shared" ca="1" si="91"/>
        <v>0</v>
      </c>
      <c r="AP113" s="50">
        <f t="shared" ca="1" si="99"/>
        <v>0</v>
      </c>
      <c r="AQ113" s="50">
        <f t="shared" ca="1" si="71"/>
        <v>0</v>
      </c>
      <c r="AR113" s="50">
        <f t="shared" ca="1" si="72"/>
        <v>0</v>
      </c>
      <c r="AS113" s="50">
        <f t="shared" si="73"/>
        <v>0</v>
      </c>
      <c r="AT113" s="50">
        <f ca="1">(MAX((MAX(AS113,105%*SUM($AJ$7:AJ113))-AM113*Flag_UL_Type),0)*B113)</f>
        <v>0</v>
      </c>
      <c r="AU113" s="50">
        <f ca="1">(MAX(AS113,AR113,105%*SUM($AJ$7:AJ113))*B113)</f>
        <v>0</v>
      </c>
      <c r="AV113" s="125"/>
      <c r="AW113" s="13"/>
      <c r="AX113" s="13"/>
      <c r="AY113" s="13"/>
      <c r="AZ113" s="13"/>
      <c r="BA113" s="13"/>
      <c r="BG113" s="51">
        <f t="shared" si="74"/>
        <v>0</v>
      </c>
      <c r="BH113" s="51">
        <f t="shared" ca="1" si="75"/>
        <v>0</v>
      </c>
      <c r="BI113" s="51">
        <f t="shared" ca="1" si="76"/>
        <v>0</v>
      </c>
      <c r="BJ113" s="51">
        <f t="shared" ca="1" si="77"/>
        <v>0</v>
      </c>
      <c r="BK113" s="51">
        <f t="shared" si="78"/>
        <v>0</v>
      </c>
      <c r="BL113" s="51">
        <f t="shared" ca="1" si="79"/>
        <v>0</v>
      </c>
      <c r="BM113" s="51">
        <f t="shared" si="80"/>
        <v>0</v>
      </c>
      <c r="BN113" s="51">
        <f t="shared" ca="1" si="81"/>
        <v>0</v>
      </c>
      <c r="BO113" s="51">
        <f t="shared" ca="1" si="82"/>
        <v>0</v>
      </c>
      <c r="BP113" s="51">
        <f t="shared" ca="1" si="83"/>
        <v>0</v>
      </c>
      <c r="BQ113" s="120"/>
      <c r="BR113" s="32"/>
      <c r="BS113" s="126"/>
      <c r="BT113" s="16"/>
      <c r="BU113" s="58"/>
      <c r="BW113" s="51">
        <f>VLOOKUP(H113,Charges!$AT$4:$AU$33,2,FALSE)*I113</f>
        <v>0</v>
      </c>
      <c r="BX113" s="51">
        <f t="shared" si="84"/>
        <v>0</v>
      </c>
      <c r="BY113" s="51">
        <f t="shared" si="93"/>
        <v>0</v>
      </c>
      <c r="BZ113" s="151"/>
      <c r="CA113" s="151"/>
      <c r="CB113" s="32"/>
      <c r="CC113" s="16">
        <f ca="1">SUM($N$7:$N113)</f>
        <v>0</v>
      </c>
      <c r="CD113" s="16">
        <f t="shared" ca="1" si="85"/>
        <v>0</v>
      </c>
      <c r="CE113" s="16">
        <f t="shared" ca="1" si="86"/>
        <v>0</v>
      </c>
      <c r="CF113" s="7">
        <f t="shared" ca="1" si="94"/>
        <v>0</v>
      </c>
    </row>
    <row r="114" spans="1:84" s="7" customFormat="1" ht="13.5" customHeight="1" x14ac:dyDescent="0.2">
      <c r="A114" s="149"/>
      <c r="B114" s="14">
        <f t="shared" si="55"/>
        <v>1</v>
      </c>
      <c r="C114" s="12">
        <f t="shared" si="56"/>
        <v>1</v>
      </c>
      <c r="D114" s="17">
        <f t="shared" si="95"/>
        <v>108</v>
      </c>
      <c r="E114" s="17">
        <f t="shared" ca="1" si="57"/>
        <v>68</v>
      </c>
      <c r="F114" s="12">
        <f t="shared" si="97"/>
        <v>11</v>
      </c>
      <c r="G114" s="12">
        <f t="shared" si="96"/>
        <v>18</v>
      </c>
      <c r="H114" s="17">
        <f t="shared" si="98"/>
        <v>9</v>
      </c>
      <c r="I114" s="29">
        <f t="shared" si="58"/>
        <v>0</v>
      </c>
      <c r="J114" s="211">
        <f>IFERROR(VLOOKUP(H114,Charges!$T$6:$U$35,2,0)*C114,0)</f>
        <v>0.98</v>
      </c>
      <c r="K114" s="29">
        <f t="shared" si="59"/>
        <v>0</v>
      </c>
      <c r="L114" s="29">
        <f t="shared" si="60"/>
        <v>0</v>
      </c>
      <c r="M114" s="147">
        <f t="shared" ca="1" si="61"/>
        <v>0</v>
      </c>
      <c r="N114" s="148">
        <f ca="1">IF(AND(Option_SPW="Y",Z113&gt;=SPW_Start_Min_FV,H114&gt;=Lock_In_Period,Z113&gt;SPW_Amount_pa+IF(option="Single",1/5*pr,2*pr),H114&gt;=SPW_Start_Year,H114&lt;=SPW_Start_Year+SPW_Duration-1,F114=0,age+H114&gt;=Legal_Age),SPW_Amount_pa,0)+IFERROR(VLOOKUP(H114,Input!$B$68:$C$74,2,0),0)*(F114=0)*(Option_PW="Y")*(Option_SPW="N")*(age+H114&gt;=Legal_Age)</f>
        <v>0</v>
      </c>
      <c r="O114" s="148">
        <f t="shared" ca="1" si="87"/>
        <v>0</v>
      </c>
      <c r="P114" s="14">
        <f ca="1">(MAX(MAX(sa-CF113*Flag_UL_Type,105%*SUM($I$7:I114))-(AD113+L114-N114)*Flag_UL_Type,0)*B114)</f>
        <v>0</v>
      </c>
      <c r="Q114" s="213">
        <f t="shared" ca="1" si="62"/>
        <v>0</v>
      </c>
      <c r="R114" s="14">
        <f t="shared" ca="1" si="63"/>
        <v>0</v>
      </c>
      <c r="S114" s="14">
        <f t="shared" ca="1" si="64"/>
        <v>0</v>
      </c>
      <c r="T114" s="14">
        <f>IFERROR(IF(WoP_Flag="Y",IF(fq=1,VLOOKUP(ppt*fq-H114,Charges!$AN$41:$AO$59,2,FALSE),IF(fq=2,VLOOKUP(ppt*fq-G114,Charges!$AP$41:$AQ$79,2,FALSE),VLOOKUP(ppt*fq-D114,Charges!$AR$41:$AS$279,2,FALSE)))*pr/fq,0),0)</f>
        <v>0</v>
      </c>
      <c r="U114" s="14">
        <f ca="1">IFERROR(((T114*(VLOOKUP(Input!$D$18+H114-1,Tab_Mort_Charge,IF(Gender_2="M",2,3),FALSE)*(1+_emr2)+_rpm2)/IF(Model_Type="LA_PQIS",1000/0.0833,(12*1000))))*Flag_Mort_Rider_Charge*(T114&gt;0),0)</f>
        <v>0</v>
      </c>
      <c r="V114" s="34">
        <f>ROUND(MIN(IF(H114&gt;=7,Charges!$C$12*(1+Charges!$C$14)^((H114-7+1)),VLOOKUP(H114,Charges!$B$7:$C$12,2,0))*pr,Charges!$C$13)*B114,Round)</f>
        <v>500</v>
      </c>
      <c r="W114" s="14">
        <f t="shared" ca="1" si="65"/>
        <v>3544253.5786862038</v>
      </c>
      <c r="X114" s="14">
        <f t="shared" ca="1" si="66"/>
        <v>3567057.4129289584</v>
      </c>
      <c r="Y114" s="213">
        <f t="shared" ca="1" si="88"/>
        <v>4015.1234720381503</v>
      </c>
      <c r="Z114" s="14">
        <f t="shared" ca="1" si="67"/>
        <v>3563042.2894569202</v>
      </c>
      <c r="AA114" s="14">
        <f>IF(AND($H114=pt,$F114=11),SUM($K$7:K114)*VLOOKUP(pt,ROC,2,FALSE),0)</f>
        <v>0</v>
      </c>
      <c r="AB114" s="14">
        <f>IF(AND($H114=pt,$F114=11),SUM($V$7:V114)*VLOOKUP(pt,ROC,2,FALSE),0)</f>
        <v>0</v>
      </c>
      <c r="AC114" s="14">
        <f>IF(AND($H114=pt,$F114=11),SUM($Q$7:Q114)*VLOOKUP(pt,ROC,2,FALSE),0)</f>
        <v>0</v>
      </c>
      <c r="AD114" s="14">
        <f t="shared" ca="1" si="89"/>
        <v>3563042.2894569202</v>
      </c>
      <c r="AE114" s="14">
        <f ca="1">(MAX(sa-CF113*Flag_UL_Type,105%*SUM($I$7:I114),Z114)+AU114)*B114</f>
        <v>3563042.2894569202</v>
      </c>
      <c r="AF114" s="136"/>
      <c r="AG114" s="18">
        <v>108</v>
      </c>
      <c r="AH114" s="30">
        <f t="shared" ca="1" si="68"/>
        <v>0</v>
      </c>
      <c r="AI114" s="58"/>
      <c r="AJ114" s="50">
        <f>IF(AND(Option_Sys_TopUp&gt;="Y",H114&gt;=sytp,H114&lt;=(dtp+sytp-1),F114=0,H114&lt;=ppt+1),atp,0)+IFERROR(VLOOKUP(H114,Input!$B$55:$C$61,2,0),0)*(F114=0)*(Option_TopUP="Y")*(Option_Sys_TopUp="N")*B114*(pt&gt;=H114+5)</f>
        <v>0</v>
      </c>
      <c r="AK114" s="50">
        <f t="shared" si="69"/>
        <v>0</v>
      </c>
      <c r="AL114" s="50">
        <f t="shared" si="90"/>
        <v>0</v>
      </c>
      <c r="AM114" s="50">
        <f t="shared" ca="1" si="70"/>
        <v>0</v>
      </c>
      <c r="AN114" s="50">
        <f ca="1">IF(B114=0,0,AT114*(_rpm1+(1+_emr1)*VLOOKUP(E114,Tab_Mort_Charge,IF(Input!$C$12="M",2,3),0))*(0.001*0.0833)*Flag_Mort_Rider_Charge*(AT114&gt;0))</f>
        <v>0</v>
      </c>
      <c r="AO114" s="50">
        <f t="shared" ca="1" si="91"/>
        <v>0</v>
      </c>
      <c r="AP114" s="50">
        <f t="shared" ca="1" si="99"/>
        <v>0</v>
      </c>
      <c r="AQ114" s="50">
        <f t="shared" ca="1" si="71"/>
        <v>0</v>
      </c>
      <c r="AR114" s="50">
        <f t="shared" ca="1" si="72"/>
        <v>0</v>
      </c>
      <c r="AS114" s="50">
        <f t="shared" si="73"/>
        <v>0</v>
      </c>
      <c r="AT114" s="50">
        <f ca="1">(MAX((MAX(AS114,105%*SUM($AJ$7:AJ114))-AM114*Flag_UL_Type),0)*B114)</f>
        <v>0</v>
      </c>
      <c r="AU114" s="50">
        <f ca="1">(MAX(AS114,AR114,105%*SUM($AJ$7:AJ114))*B114)</f>
        <v>0</v>
      </c>
      <c r="AV114" s="125"/>
      <c r="AW114" s="13"/>
      <c r="AX114" s="13"/>
      <c r="AY114" s="13"/>
      <c r="AZ114" s="13"/>
      <c r="BA114" s="13"/>
      <c r="BG114" s="51">
        <f t="shared" si="74"/>
        <v>0</v>
      </c>
      <c r="BH114" s="51">
        <f t="shared" ca="1" si="75"/>
        <v>0</v>
      </c>
      <c r="BI114" s="51">
        <f t="shared" ca="1" si="76"/>
        <v>0</v>
      </c>
      <c r="BJ114" s="51">
        <f t="shared" ca="1" si="77"/>
        <v>0</v>
      </c>
      <c r="BK114" s="51">
        <f t="shared" si="78"/>
        <v>0</v>
      </c>
      <c r="BL114" s="51">
        <f t="shared" ca="1" si="79"/>
        <v>0</v>
      </c>
      <c r="BM114" s="51">
        <f t="shared" si="80"/>
        <v>0</v>
      </c>
      <c r="BN114" s="51">
        <f t="shared" ca="1" si="81"/>
        <v>0</v>
      </c>
      <c r="BO114" s="51">
        <f t="shared" ca="1" si="82"/>
        <v>0</v>
      </c>
      <c r="BP114" s="51">
        <f t="shared" ca="1" si="83"/>
        <v>0</v>
      </c>
      <c r="BQ114" s="120"/>
      <c r="BR114" s="32"/>
      <c r="BS114" s="126"/>
      <c r="BT114" s="16"/>
      <c r="BU114" s="58"/>
      <c r="BW114" s="51">
        <f>VLOOKUP(H114,Charges!$AT$4:$AU$33,2,FALSE)*I114</f>
        <v>0</v>
      </c>
      <c r="BX114" s="51">
        <f t="shared" si="84"/>
        <v>0</v>
      </c>
      <c r="BY114" s="51">
        <f t="shared" si="93"/>
        <v>0</v>
      </c>
      <c r="BZ114" s="151"/>
      <c r="CA114" s="151"/>
      <c r="CB114" s="32"/>
      <c r="CC114" s="16">
        <f ca="1">SUM($N$7:$N114)</f>
        <v>0</v>
      </c>
      <c r="CD114" s="16">
        <f t="shared" ca="1" si="85"/>
        <v>0</v>
      </c>
      <c r="CE114" s="16">
        <f t="shared" ca="1" si="86"/>
        <v>0</v>
      </c>
      <c r="CF114" s="7">
        <f t="shared" ca="1" si="94"/>
        <v>0</v>
      </c>
    </row>
    <row r="115" spans="1:84" s="7" customFormat="1" x14ac:dyDescent="0.2">
      <c r="A115" s="149"/>
      <c r="B115" s="14">
        <f t="shared" si="55"/>
        <v>1</v>
      </c>
      <c r="C115" s="12">
        <f t="shared" si="56"/>
        <v>1</v>
      </c>
      <c r="D115" s="17">
        <f t="shared" si="95"/>
        <v>109</v>
      </c>
      <c r="E115" s="17">
        <f t="shared" ca="1" si="57"/>
        <v>69</v>
      </c>
      <c r="F115" s="12">
        <f t="shared" si="97"/>
        <v>0</v>
      </c>
      <c r="G115" s="12">
        <f t="shared" si="96"/>
        <v>19</v>
      </c>
      <c r="H115" s="17">
        <f t="shared" si="98"/>
        <v>10</v>
      </c>
      <c r="I115" s="29">
        <f t="shared" si="58"/>
        <v>300000</v>
      </c>
      <c r="J115" s="211">
        <f>IFERROR(VLOOKUP(H115,Charges!$T$6:$U$35,2,0)*C115,0)</f>
        <v>0.98</v>
      </c>
      <c r="K115" s="29">
        <f t="shared" si="59"/>
        <v>6000.00000000001</v>
      </c>
      <c r="L115" s="29">
        <f t="shared" si="60"/>
        <v>294000</v>
      </c>
      <c r="M115" s="147">
        <f t="shared" ca="1" si="61"/>
        <v>0</v>
      </c>
      <c r="N115" s="148">
        <f ca="1">IF(AND(Option_SPW="Y",Z114&gt;=SPW_Start_Min_FV,H115&gt;=Lock_In_Period,Z114&gt;SPW_Amount_pa+IF(option="Single",1/5*pr,2*pr),H115&gt;=SPW_Start_Year,H115&lt;=SPW_Start_Year+SPW_Duration-1,F115=0,age+H115&gt;=Legal_Age),SPW_Amount_pa,0)+IFERROR(VLOOKUP(H115,Input!$B$68:$C$74,2,0),0)*(F115=0)*(Option_PW="Y")*(Option_SPW="N")*(age+H115&gt;=Legal_Age)</f>
        <v>0</v>
      </c>
      <c r="O115" s="148">
        <f t="shared" ca="1" si="87"/>
        <v>0</v>
      </c>
      <c r="P115" s="14">
        <f ca="1">(MAX(MAX(sa-CF114*Flag_UL_Type,105%*SUM($I$7:I115))-(AD114+L115-N115)*Flag_UL_Type,0)*B115)</f>
        <v>0</v>
      </c>
      <c r="Q115" s="213">
        <f t="shared" ca="1" si="62"/>
        <v>0</v>
      </c>
      <c r="R115" s="14">
        <f t="shared" ca="1" si="63"/>
        <v>0</v>
      </c>
      <c r="S115" s="14">
        <f t="shared" ca="1" si="64"/>
        <v>0</v>
      </c>
      <c r="T115" s="14">
        <f>IFERROR(IF(WoP_Flag="Y",IF(fq=1,VLOOKUP(ppt*fq-H115,Charges!$AN$41:$AO$59,2,FALSE),IF(fq=2,VLOOKUP(ppt*fq-G115,Charges!$AP$41:$AQ$79,2,FALSE),VLOOKUP(ppt*fq-D115,Charges!$AR$41:$AS$279,2,FALSE)))*pr/fq,0),0)</f>
        <v>0</v>
      </c>
      <c r="U115" s="14">
        <f ca="1">IFERROR(((T115*(VLOOKUP(Input!$D$18+H115-1,Tab_Mort_Charge,IF(Gender_2="M",2,3),FALSE)*(1+_emr2)+_rpm2)/IF(Model_Type="LA_PQIS",1000/0.0833,(12*1000))))*Flag_Mort_Rider_Charge*(T115&gt;0),0)</f>
        <v>0</v>
      </c>
      <c r="V115" s="34">
        <f>ROUND(MIN(IF(H115&gt;=7,Charges!$C$12*(1+Charges!$C$14)^((H115-7+1)),VLOOKUP(H115,Charges!$B$7:$C$12,2,0))*pr,Charges!$C$13)*B115,Round)</f>
        <v>500</v>
      </c>
      <c r="W115" s="14">
        <f t="shared" ca="1" si="65"/>
        <v>3856542.2894569202</v>
      </c>
      <c r="X115" s="14">
        <f t="shared" ca="1" si="66"/>
        <v>3881355.3986677877</v>
      </c>
      <c r="Y115" s="213">
        <f t="shared" ca="1" si="88"/>
        <v>4368.9011306708117</v>
      </c>
      <c r="Z115" s="14">
        <f t="shared" ca="1" si="67"/>
        <v>3876986.497537117</v>
      </c>
      <c r="AA115" s="14">
        <f>IF(AND($H115=pt,$F115=11),SUM($K$7:K115)*VLOOKUP(pt,ROC,2,FALSE),0)</f>
        <v>0</v>
      </c>
      <c r="AB115" s="14">
        <f>IF(AND($H115=pt,$F115=11),SUM($V$7:V115)*VLOOKUP(pt,ROC,2,FALSE),0)</f>
        <v>0</v>
      </c>
      <c r="AC115" s="14">
        <f>IF(AND($H115=pt,$F115=11),SUM($Q$7:Q115)*VLOOKUP(pt,ROC,2,FALSE),0)</f>
        <v>0</v>
      </c>
      <c r="AD115" s="14">
        <f t="shared" ca="1" si="89"/>
        <v>3876986.497537117</v>
      </c>
      <c r="AE115" s="14">
        <f ca="1">(MAX(sa-CF114*Flag_UL_Type,105%*SUM($I$7:I115),Z115)+AU115)*B115</f>
        <v>3876986.497537117</v>
      </c>
      <c r="AF115" s="136"/>
      <c r="AG115" s="18">
        <v>109</v>
      </c>
      <c r="AH115" s="30">
        <f t="shared" ca="1" si="68"/>
        <v>300000</v>
      </c>
      <c r="AI115" s="58"/>
      <c r="AJ115" s="50">
        <f>IF(AND(Option_Sys_TopUp&gt;="Y",H115&gt;=sytp,H115&lt;=(dtp+sytp-1),F115=0,H115&lt;=ppt+1),atp,0)+IFERROR(VLOOKUP(H115,Input!$B$55:$C$61,2,0),0)*(F115=0)*(Option_TopUP="Y")*(Option_Sys_TopUp="N")*B115*(pt&gt;=H115+5)</f>
        <v>0</v>
      </c>
      <c r="AK115" s="50">
        <f t="shared" si="69"/>
        <v>0</v>
      </c>
      <c r="AL115" s="50">
        <f t="shared" si="90"/>
        <v>0</v>
      </c>
      <c r="AM115" s="50">
        <f t="shared" ca="1" si="70"/>
        <v>0</v>
      </c>
      <c r="AN115" s="50">
        <f ca="1">IF(B115=0,0,AT115*(_rpm1+(1+_emr1)*VLOOKUP(E115,Tab_Mort_Charge,IF(Input!$C$12="M",2,3),0))*(0.001*0.0833)*Flag_Mort_Rider_Charge*(AT115&gt;0))</f>
        <v>0</v>
      </c>
      <c r="AO115" s="50">
        <f t="shared" ca="1" si="91"/>
        <v>0</v>
      </c>
      <c r="AP115" s="50">
        <f t="shared" ca="1" si="99"/>
        <v>0</v>
      </c>
      <c r="AQ115" s="50">
        <f t="shared" ca="1" si="71"/>
        <v>0</v>
      </c>
      <c r="AR115" s="50">
        <f t="shared" ca="1" si="72"/>
        <v>0</v>
      </c>
      <c r="AS115" s="50">
        <f t="shared" si="73"/>
        <v>0</v>
      </c>
      <c r="AT115" s="50">
        <f ca="1">(MAX((MAX(AS115,105%*SUM($AJ$7:AJ115))-AM115*Flag_UL_Type),0)*B115)</f>
        <v>0</v>
      </c>
      <c r="AU115" s="50">
        <f ca="1">(MAX(AS115,AR115,105%*SUM($AJ$7:AJ115))*B115)</f>
        <v>0</v>
      </c>
      <c r="AV115" s="125"/>
      <c r="AW115" s="13"/>
      <c r="AX115" s="13"/>
      <c r="AY115" s="13"/>
      <c r="AZ115" s="13"/>
      <c r="BA115" s="13"/>
      <c r="BG115" s="51">
        <f t="shared" si="74"/>
        <v>0</v>
      </c>
      <c r="BH115" s="51">
        <f t="shared" ca="1" si="75"/>
        <v>0</v>
      </c>
      <c r="BI115" s="51">
        <f t="shared" ca="1" si="76"/>
        <v>0</v>
      </c>
      <c r="BJ115" s="51">
        <f t="shared" ca="1" si="77"/>
        <v>0</v>
      </c>
      <c r="BK115" s="51">
        <f t="shared" si="78"/>
        <v>0</v>
      </c>
      <c r="BL115" s="51">
        <f t="shared" ca="1" si="79"/>
        <v>0</v>
      </c>
      <c r="BM115" s="51">
        <f t="shared" si="80"/>
        <v>0</v>
      </c>
      <c r="BN115" s="51">
        <f t="shared" ca="1" si="81"/>
        <v>0</v>
      </c>
      <c r="BO115" s="51">
        <f t="shared" ca="1" si="82"/>
        <v>0</v>
      </c>
      <c r="BP115" s="51">
        <f t="shared" ca="1" si="83"/>
        <v>0</v>
      </c>
      <c r="BQ115" s="120"/>
      <c r="BR115" s="32"/>
      <c r="BS115" s="126"/>
      <c r="BT115" s="16"/>
      <c r="BU115" s="58"/>
      <c r="BW115" s="51">
        <f>VLOOKUP(H115,Charges!$AT$4:$AU$33,2,FALSE)*I115</f>
        <v>1500</v>
      </c>
      <c r="BX115" s="51">
        <f t="shared" si="84"/>
        <v>0</v>
      </c>
      <c r="BY115" s="51">
        <f t="shared" si="93"/>
        <v>1500</v>
      </c>
      <c r="BZ115" s="151"/>
      <c r="CA115" s="151"/>
      <c r="CB115" s="32"/>
      <c r="CC115" s="16">
        <f ca="1">SUM($N$7:$N115)</f>
        <v>0</v>
      </c>
      <c r="CD115" s="16">
        <f t="shared" ca="1" si="85"/>
        <v>0</v>
      </c>
      <c r="CE115" s="16">
        <f t="shared" ca="1" si="86"/>
        <v>0</v>
      </c>
      <c r="CF115" s="7">
        <f t="shared" ca="1" si="94"/>
        <v>0</v>
      </c>
    </row>
    <row r="116" spans="1:84" s="7" customFormat="1" x14ac:dyDescent="0.2">
      <c r="A116" s="149"/>
      <c r="B116" s="14">
        <f t="shared" si="55"/>
        <v>1</v>
      </c>
      <c r="C116" s="12">
        <f t="shared" si="56"/>
        <v>1</v>
      </c>
      <c r="D116" s="17">
        <f t="shared" si="95"/>
        <v>110</v>
      </c>
      <c r="E116" s="17">
        <f t="shared" ca="1" si="57"/>
        <v>69</v>
      </c>
      <c r="F116" s="12">
        <f t="shared" si="97"/>
        <v>1</v>
      </c>
      <c r="G116" s="12">
        <f t="shared" si="96"/>
        <v>19</v>
      </c>
      <c r="H116" s="17">
        <f t="shared" si="98"/>
        <v>10</v>
      </c>
      <c r="I116" s="29">
        <f t="shared" si="58"/>
        <v>0</v>
      </c>
      <c r="J116" s="211">
        <f>IFERROR(VLOOKUP(H116,Charges!$T$6:$U$35,2,0)*C116,0)</f>
        <v>0.98</v>
      </c>
      <c r="K116" s="29">
        <f t="shared" si="59"/>
        <v>0</v>
      </c>
      <c r="L116" s="29">
        <f t="shared" si="60"/>
        <v>0</v>
      </c>
      <c r="M116" s="147">
        <f t="shared" ca="1" si="61"/>
        <v>0</v>
      </c>
      <c r="N116" s="148">
        <f ca="1">IF(AND(Option_SPW="Y",Z115&gt;=SPW_Start_Min_FV,H116&gt;=Lock_In_Period,Z115&gt;SPW_Amount_pa+IF(option="Single",1/5*pr,2*pr),H116&gt;=SPW_Start_Year,H116&lt;=SPW_Start_Year+SPW_Duration-1,F116=0,age+H116&gt;=Legal_Age),SPW_Amount_pa,0)+IFERROR(VLOOKUP(H116,Input!$B$68:$C$74,2,0),0)*(F116=0)*(Option_PW="Y")*(Option_SPW="N")*(age+H116&gt;=Legal_Age)</f>
        <v>0</v>
      </c>
      <c r="O116" s="148">
        <f t="shared" ca="1" si="87"/>
        <v>0</v>
      </c>
      <c r="P116" s="14">
        <f ca="1">(MAX(MAX(sa-CF115*Flag_UL_Type,105%*SUM($I$7:I116))-(AD115+L116-N116)*Flag_UL_Type,0)*B116)</f>
        <v>0</v>
      </c>
      <c r="Q116" s="213">
        <f t="shared" ca="1" si="62"/>
        <v>0</v>
      </c>
      <c r="R116" s="14">
        <f t="shared" ca="1" si="63"/>
        <v>0</v>
      </c>
      <c r="S116" s="14">
        <f t="shared" ca="1" si="64"/>
        <v>0</v>
      </c>
      <c r="T116" s="14">
        <f>IFERROR(IF(WoP_Flag="Y",IF(fq=1,VLOOKUP(ppt*fq-H116,Charges!$AN$41:$AO$59,2,FALSE),IF(fq=2,VLOOKUP(ppt*fq-G116,Charges!$AP$41:$AQ$79,2,FALSE),VLOOKUP(ppt*fq-D116,Charges!$AR$41:$AS$279,2,FALSE)))*pr/fq,0),0)</f>
        <v>0</v>
      </c>
      <c r="U116" s="14">
        <f ca="1">IFERROR(((T116*(VLOOKUP(Input!$D$18+H116-1,Tab_Mort_Charge,IF(Gender_2="M",2,3),FALSE)*(1+_emr2)+_rpm2)/IF(Model_Type="LA_PQIS",1000/0.0833,(12*1000))))*Flag_Mort_Rider_Charge*(T116&gt;0),0)</f>
        <v>0</v>
      </c>
      <c r="V116" s="34">
        <f>ROUND(MIN(IF(H116&gt;=7,Charges!$C$12*(1+Charges!$C$14)^((H116-7+1)),VLOOKUP(H116,Charges!$B$7:$C$12,2,0))*pr,Charges!$C$13)*B116,Round)</f>
        <v>500</v>
      </c>
      <c r="W116" s="14">
        <f t="shared" ca="1" si="65"/>
        <v>3876486.497537117</v>
      </c>
      <c r="X116" s="14">
        <f t="shared" ca="1" si="66"/>
        <v>3901427.9283832926</v>
      </c>
      <c r="Y116" s="213">
        <f t="shared" ca="1" si="88"/>
        <v>4391.4950157346721</v>
      </c>
      <c r="Z116" s="14">
        <f t="shared" ca="1" si="67"/>
        <v>3897036.4333675578</v>
      </c>
      <c r="AA116" s="14">
        <f>IF(AND($H116=pt,$F116=11),SUM($K$7:K116)*VLOOKUP(pt,ROC,2,FALSE),0)</f>
        <v>0</v>
      </c>
      <c r="AB116" s="14">
        <f>IF(AND($H116=pt,$F116=11),SUM($V$7:V116)*VLOOKUP(pt,ROC,2,FALSE),0)</f>
        <v>0</v>
      </c>
      <c r="AC116" s="14">
        <f>IF(AND($H116=pt,$F116=11),SUM($Q$7:Q116)*VLOOKUP(pt,ROC,2,FALSE),0)</f>
        <v>0</v>
      </c>
      <c r="AD116" s="14">
        <f t="shared" ca="1" si="89"/>
        <v>3897036.4333675578</v>
      </c>
      <c r="AE116" s="14">
        <f ca="1">(MAX(sa-CF115*Flag_UL_Type,105%*SUM($I$7:I116),Z116)+AU116)*B116</f>
        <v>3897036.4333675578</v>
      </c>
      <c r="AF116" s="136"/>
      <c r="AG116" s="18">
        <v>110</v>
      </c>
      <c r="AH116" s="30">
        <f t="shared" ca="1" si="68"/>
        <v>0</v>
      </c>
      <c r="AI116" s="58"/>
      <c r="AJ116" s="50">
        <f>IF(AND(Option_Sys_TopUp&gt;="Y",H116&gt;=sytp,H116&lt;=(dtp+sytp-1),F116=0,H116&lt;=ppt+1),atp,0)+IFERROR(VLOOKUP(H116,Input!$B$55:$C$61,2,0),0)*(F116=0)*(Option_TopUP="Y")*(Option_Sys_TopUp="N")*B116*(pt&gt;=H116+5)</f>
        <v>0</v>
      </c>
      <c r="AK116" s="50">
        <f t="shared" si="69"/>
        <v>0</v>
      </c>
      <c r="AL116" s="50">
        <f t="shared" si="90"/>
        <v>0</v>
      </c>
      <c r="AM116" s="50">
        <f t="shared" ca="1" si="70"/>
        <v>0</v>
      </c>
      <c r="AN116" s="50">
        <f ca="1">IF(B116=0,0,AT116*(_rpm1+(1+_emr1)*VLOOKUP(E116,Tab_Mort_Charge,IF(Input!$C$12="M",2,3),0))*(0.001*0.0833)*Flag_Mort_Rider_Charge*(AT116&gt;0))</f>
        <v>0</v>
      </c>
      <c r="AO116" s="50">
        <f t="shared" ca="1" si="91"/>
        <v>0</v>
      </c>
      <c r="AP116" s="50">
        <f t="shared" ca="1" si="99"/>
        <v>0</v>
      </c>
      <c r="AQ116" s="50">
        <f t="shared" ca="1" si="71"/>
        <v>0</v>
      </c>
      <c r="AR116" s="50">
        <f t="shared" ca="1" si="72"/>
        <v>0</v>
      </c>
      <c r="AS116" s="50">
        <f t="shared" si="73"/>
        <v>0</v>
      </c>
      <c r="AT116" s="50">
        <f ca="1">(MAX((MAX(AS116,105%*SUM($AJ$7:AJ116))-AM116*Flag_UL_Type),0)*B116)</f>
        <v>0</v>
      </c>
      <c r="AU116" s="50">
        <f ca="1">(MAX(AS116,AR116,105%*SUM($AJ$7:AJ116))*B116)</f>
        <v>0</v>
      </c>
      <c r="AV116" s="125"/>
      <c r="AW116" s="13"/>
      <c r="AX116" s="13"/>
      <c r="AY116" s="13"/>
      <c r="AZ116" s="13"/>
      <c r="BA116" s="13"/>
      <c r="BG116" s="51">
        <f t="shared" si="74"/>
        <v>0</v>
      </c>
      <c r="BH116" s="51">
        <f t="shared" ca="1" si="75"/>
        <v>0</v>
      </c>
      <c r="BI116" s="51">
        <f t="shared" ca="1" si="76"/>
        <v>0</v>
      </c>
      <c r="BJ116" s="51">
        <f t="shared" ca="1" si="77"/>
        <v>0</v>
      </c>
      <c r="BK116" s="51">
        <f t="shared" si="78"/>
        <v>0</v>
      </c>
      <c r="BL116" s="51">
        <f t="shared" ca="1" si="79"/>
        <v>0</v>
      </c>
      <c r="BM116" s="51">
        <f t="shared" si="80"/>
        <v>0</v>
      </c>
      <c r="BN116" s="51">
        <f t="shared" ca="1" si="81"/>
        <v>0</v>
      </c>
      <c r="BO116" s="51">
        <f t="shared" ca="1" si="82"/>
        <v>0</v>
      </c>
      <c r="BP116" s="51">
        <f t="shared" ca="1" si="83"/>
        <v>0</v>
      </c>
      <c r="BQ116" s="120"/>
      <c r="BR116" s="32"/>
      <c r="BS116" s="126"/>
      <c r="BT116" s="16"/>
      <c r="BU116" s="58"/>
      <c r="BW116" s="51">
        <f>VLOOKUP(H116,Charges!$AT$4:$AU$33,2,FALSE)*I116</f>
        <v>0</v>
      </c>
      <c r="BX116" s="51">
        <f t="shared" si="84"/>
        <v>0</v>
      </c>
      <c r="BY116" s="51">
        <f t="shared" si="93"/>
        <v>0</v>
      </c>
      <c r="BZ116" s="151"/>
      <c r="CA116" s="151"/>
      <c r="CB116" s="32"/>
      <c r="CC116" s="16">
        <f ca="1">SUM($N$7:$N116)</f>
        <v>0</v>
      </c>
      <c r="CD116" s="16">
        <f t="shared" ca="1" si="85"/>
        <v>0</v>
      </c>
      <c r="CE116" s="16">
        <f t="shared" ca="1" si="86"/>
        <v>0</v>
      </c>
      <c r="CF116" s="7">
        <f t="shared" ca="1" si="94"/>
        <v>0</v>
      </c>
    </row>
    <row r="117" spans="1:84" s="7" customFormat="1" x14ac:dyDescent="0.2">
      <c r="A117" s="149"/>
      <c r="B117" s="14">
        <f t="shared" si="55"/>
        <v>1</v>
      </c>
      <c r="C117" s="12">
        <f t="shared" si="56"/>
        <v>1</v>
      </c>
      <c r="D117" s="17">
        <f t="shared" si="95"/>
        <v>111</v>
      </c>
      <c r="E117" s="17">
        <f t="shared" ca="1" si="57"/>
        <v>69</v>
      </c>
      <c r="F117" s="12">
        <f t="shared" si="97"/>
        <v>2</v>
      </c>
      <c r="G117" s="12">
        <f t="shared" si="96"/>
        <v>19</v>
      </c>
      <c r="H117" s="17">
        <f t="shared" si="98"/>
        <v>10</v>
      </c>
      <c r="I117" s="29">
        <f t="shared" si="58"/>
        <v>0</v>
      </c>
      <c r="J117" s="211">
        <f>IFERROR(VLOOKUP(H117,Charges!$T$6:$U$35,2,0)*C117,0)</f>
        <v>0.98</v>
      </c>
      <c r="K117" s="29">
        <f t="shared" si="59"/>
        <v>0</v>
      </c>
      <c r="L117" s="29">
        <f t="shared" si="60"/>
        <v>0</v>
      </c>
      <c r="M117" s="147">
        <f t="shared" ca="1" si="61"/>
        <v>0</v>
      </c>
      <c r="N117" s="148">
        <f ca="1">IF(AND(Option_SPW="Y",Z116&gt;=SPW_Start_Min_FV,H117&gt;=Lock_In_Period,Z116&gt;SPW_Amount_pa+IF(option="Single",1/5*pr,2*pr),H117&gt;=SPW_Start_Year,H117&lt;=SPW_Start_Year+SPW_Duration-1,F117=0,age+H117&gt;=Legal_Age),SPW_Amount_pa,0)+IFERROR(VLOOKUP(H117,Input!$B$68:$C$74,2,0),0)*(F117=0)*(Option_PW="Y")*(Option_SPW="N")*(age+H117&gt;=Legal_Age)</f>
        <v>0</v>
      </c>
      <c r="O117" s="148">
        <f t="shared" ca="1" si="87"/>
        <v>0</v>
      </c>
      <c r="P117" s="14">
        <f ca="1">(MAX(MAX(sa-CF116*Flag_UL_Type,105%*SUM($I$7:I117))-(AD116+L117-N117)*Flag_UL_Type,0)*B117)</f>
        <v>0</v>
      </c>
      <c r="Q117" s="213">
        <f t="shared" ca="1" si="62"/>
        <v>0</v>
      </c>
      <c r="R117" s="14">
        <f t="shared" ca="1" si="63"/>
        <v>0</v>
      </c>
      <c r="S117" s="14">
        <f t="shared" ca="1" si="64"/>
        <v>0</v>
      </c>
      <c r="T117" s="14">
        <f>IFERROR(IF(WoP_Flag="Y",IF(fq=1,VLOOKUP(ppt*fq-H117,Charges!$AN$41:$AO$59,2,FALSE),IF(fq=2,VLOOKUP(ppt*fq-G117,Charges!$AP$41:$AQ$79,2,FALSE),VLOOKUP(ppt*fq-D117,Charges!$AR$41:$AS$279,2,FALSE)))*pr/fq,0),0)</f>
        <v>0</v>
      </c>
      <c r="U117" s="14">
        <f ca="1">IFERROR(((T117*(VLOOKUP(Input!$D$18+H117-1,Tab_Mort_Charge,IF(Gender_2="M",2,3),FALSE)*(1+_emr2)+_rpm2)/IF(Model_Type="LA_PQIS",1000/0.0833,(12*1000))))*Flag_Mort_Rider_Charge*(T117&gt;0),0)</f>
        <v>0</v>
      </c>
      <c r="V117" s="34">
        <f>ROUND(MIN(IF(H117&gt;=7,Charges!$C$12*(1+Charges!$C$14)^((H117-7+1)),VLOOKUP(H117,Charges!$B$7:$C$12,2,0))*pr,Charges!$C$13)*B117,Round)</f>
        <v>500</v>
      </c>
      <c r="W117" s="14">
        <f t="shared" ca="1" si="65"/>
        <v>3896536.4333675578</v>
      </c>
      <c r="X117" s="14">
        <f t="shared" ca="1" si="66"/>
        <v>3921606.8661045702</v>
      </c>
      <c r="Y117" s="213">
        <f t="shared" ca="1" si="88"/>
        <v>4414.2086749518839</v>
      </c>
      <c r="Z117" s="14">
        <f t="shared" ca="1" si="67"/>
        <v>3917192.6574296183</v>
      </c>
      <c r="AA117" s="14">
        <f>IF(AND($H117=pt,$F117=11),SUM($K$7:K117)*VLOOKUP(pt,ROC,2,FALSE),0)</f>
        <v>0</v>
      </c>
      <c r="AB117" s="14">
        <f>IF(AND($H117=pt,$F117=11),SUM($V$7:V117)*VLOOKUP(pt,ROC,2,FALSE),0)</f>
        <v>0</v>
      </c>
      <c r="AC117" s="14">
        <f>IF(AND($H117=pt,$F117=11),SUM($Q$7:Q117)*VLOOKUP(pt,ROC,2,FALSE),0)</f>
        <v>0</v>
      </c>
      <c r="AD117" s="14">
        <f t="shared" ca="1" si="89"/>
        <v>3917192.6574296183</v>
      </c>
      <c r="AE117" s="14">
        <f ca="1">(MAX(sa-CF116*Flag_UL_Type,105%*SUM($I$7:I117),Z117)+AU117)*B117</f>
        <v>3917192.6574296183</v>
      </c>
      <c r="AF117" s="136"/>
      <c r="AG117" s="18">
        <v>111</v>
      </c>
      <c r="AH117" s="30">
        <f t="shared" ca="1" si="68"/>
        <v>0</v>
      </c>
      <c r="AI117" s="58"/>
      <c r="AJ117" s="50">
        <f>IF(AND(Option_Sys_TopUp&gt;="Y",H117&gt;=sytp,H117&lt;=(dtp+sytp-1),F117=0,H117&lt;=ppt+1),atp,0)+IFERROR(VLOOKUP(H117,Input!$B$55:$C$61,2,0),0)*(F117=0)*(Option_TopUP="Y")*(Option_Sys_TopUp="N")*B117*(pt&gt;=H117+5)</f>
        <v>0</v>
      </c>
      <c r="AK117" s="50">
        <f t="shared" si="69"/>
        <v>0</v>
      </c>
      <c r="AL117" s="50">
        <f t="shared" si="90"/>
        <v>0</v>
      </c>
      <c r="AM117" s="50">
        <f t="shared" ca="1" si="70"/>
        <v>0</v>
      </c>
      <c r="AN117" s="50">
        <f ca="1">IF(B117=0,0,AT117*(_rpm1+(1+_emr1)*VLOOKUP(E117,Tab_Mort_Charge,IF(Input!$C$12="M",2,3),0))*(0.001*0.0833)*Flag_Mort_Rider_Charge*(AT117&gt;0))</f>
        <v>0</v>
      </c>
      <c r="AO117" s="50">
        <f t="shared" ca="1" si="91"/>
        <v>0</v>
      </c>
      <c r="AP117" s="50">
        <f t="shared" ca="1" si="99"/>
        <v>0</v>
      </c>
      <c r="AQ117" s="50">
        <f t="shared" ca="1" si="71"/>
        <v>0</v>
      </c>
      <c r="AR117" s="50">
        <f t="shared" ca="1" si="72"/>
        <v>0</v>
      </c>
      <c r="AS117" s="50">
        <f t="shared" si="73"/>
        <v>0</v>
      </c>
      <c r="AT117" s="50">
        <f ca="1">(MAX((MAX(AS117,105%*SUM($AJ$7:AJ117))-AM117*Flag_UL_Type),0)*B117)</f>
        <v>0</v>
      </c>
      <c r="AU117" s="50">
        <f ca="1">(MAX(AS117,AR117,105%*SUM($AJ$7:AJ117))*B117)</f>
        <v>0</v>
      </c>
      <c r="AV117" s="125"/>
      <c r="AW117" s="13"/>
      <c r="AX117" s="13"/>
      <c r="AY117" s="13"/>
      <c r="AZ117" s="13"/>
      <c r="BA117" s="13"/>
      <c r="BG117" s="51">
        <f t="shared" si="74"/>
        <v>0</v>
      </c>
      <c r="BH117" s="51">
        <f t="shared" ca="1" si="75"/>
        <v>0</v>
      </c>
      <c r="BI117" s="51">
        <f t="shared" ca="1" si="76"/>
        <v>0</v>
      </c>
      <c r="BJ117" s="51">
        <f t="shared" ca="1" si="77"/>
        <v>0</v>
      </c>
      <c r="BK117" s="51">
        <f t="shared" si="78"/>
        <v>0</v>
      </c>
      <c r="BL117" s="51">
        <f t="shared" ca="1" si="79"/>
        <v>0</v>
      </c>
      <c r="BM117" s="51">
        <f t="shared" si="80"/>
        <v>0</v>
      </c>
      <c r="BN117" s="51">
        <f t="shared" ca="1" si="81"/>
        <v>0</v>
      </c>
      <c r="BO117" s="51">
        <f t="shared" ca="1" si="82"/>
        <v>0</v>
      </c>
      <c r="BP117" s="51">
        <f t="shared" ca="1" si="83"/>
        <v>0</v>
      </c>
      <c r="BQ117" s="120"/>
      <c r="BR117" s="32"/>
      <c r="BS117" s="126"/>
      <c r="BT117" s="16"/>
      <c r="BU117" s="58"/>
      <c r="BW117" s="51">
        <f>VLOOKUP(H117,Charges!$AT$4:$AU$33,2,FALSE)*I117</f>
        <v>0</v>
      </c>
      <c r="BX117" s="51">
        <f t="shared" si="84"/>
        <v>0</v>
      </c>
      <c r="BY117" s="51">
        <f t="shared" si="93"/>
        <v>0</v>
      </c>
      <c r="BZ117" s="151"/>
      <c r="CA117" s="151"/>
      <c r="CB117" s="32"/>
      <c r="CC117" s="16">
        <f ca="1">SUM($N$7:$N117)</f>
        <v>0</v>
      </c>
      <c r="CD117" s="16">
        <f t="shared" ca="1" si="85"/>
        <v>0</v>
      </c>
      <c r="CE117" s="16">
        <f t="shared" ca="1" si="86"/>
        <v>0</v>
      </c>
      <c r="CF117" s="7">
        <f t="shared" ca="1" si="94"/>
        <v>0</v>
      </c>
    </row>
    <row r="118" spans="1:84" s="7" customFormat="1" x14ac:dyDescent="0.2">
      <c r="A118" s="149"/>
      <c r="B118" s="14">
        <f t="shared" si="55"/>
        <v>1</v>
      </c>
      <c r="C118" s="12">
        <f t="shared" si="56"/>
        <v>1</v>
      </c>
      <c r="D118" s="17">
        <f t="shared" si="95"/>
        <v>112</v>
      </c>
      <c r="E118" s="17">
        <f t="shared" ca="1" si="57"/>
        <v>69</v>
      </c>
      <c r="F118" s="12">
        <f t="shared" si="97"/>
        <v>3</v>
      </c>
      <c r="G118" s="12">
        <f t="shared" si="96"/>
        <v>19</v>
      </c>
      <c r="H118" s="17">
        <f t="shared" si="98"/>
        <v>10</v>
      </c>
      <c r="I118" s="29">
        <f t="shared" si="58"/>
        <v>0</v>
      </c>
      <c r="J118" s="211">
        <f>IFERROR(VLOOKUP(H118,Charges!$T$6:$U$35,2,0)*C118,0)</f>
        <v>0.98</v>
      </c>
      <c r="K118" s="29">
        <f t="shared" si="59"/>
        <v>0</v>
      </c>
      <c r="L118" s="29">
        <f t="shared" si="60"/>
        <v>0</v>
      </c>
      <c r="M118" s="147">
        <f t="shared" ca="1" si="61"/>
        <v>0</v>
      </c>
      <c r="N118" s="148">
        <f ca="1">IF(AND(Option_SPW="Y",Z117&gt;=SPW_Start_Min_FV,H118&gt;=Lock_In_Period,Z117&gt;SPW_Amount_pa+IF(option="Single",1/5*pr,2*pr),H118&gt;=SPW_Start_Year,H118&lt;=SPW_Start_Year+SPW_Duration-1,F118=0,age+H118&gt;=Legal_Age),SPW_Amount_pa,0)+IFERROR(VLOOKUP(H118,Input!$B$68:$C$74,2,0),0)*(F118=0)*(Option_PW="Y")*(Option_SPW="N")*(age+H118&gt;=Legal_Age)</f>
        <v>0</v>
      </c>
      <c r="O118" s="148">
        <f t="shared" ca="1" si="87"/>
        <v>0</v>
      </c>
      <c r="P118" s="14">
        <f ca="1">(MAX(MAX(sa-CF117*Flag_UL_Type,105%*SUM($I$7:I118))-(AD117+L118-N118)*Flag_UL_Type,0)*B118)</f>
        <v>0</v>
      </c>
      <c r="Q118" s="213">
        <f t="shared" ca="1" si="62"/>
        <v>0</v>
      </c>
      <c r="R118" s="14">
        <f t="shared" ca="1" si="63"/>
        <v>0</v>
      </c>
      <c r="S118" s="14">
        <f t="shared" ca="1" si="64"/>
        <v>0</v>
      </c>
      <c r="T118" s="14">
        <f>IFERROR(IF(WoP_Flag="Y",IF(fq=1,VLOOKUP(ppt*fq-H118,Charges!$AN$41:$AO$59,2,FALSE),IF(fq=2,VLOOKUP(ppt*fq-G118,Charges!$AP$41:$AQ$79,2,FALSE),VLOOKUP(ppt*fq-D118,Charges!$AR$41:$AS$279,2,FALSE)))*pr/fq,0),0)</f>
        <v>0</v>
      </c>
      <c r="U118" s="14">
        <f ca="1">IFERROR(((T118*(VLOOKUP(Input!$D$18+H118-1,Tab_Mort_Charge,IF(Gender_2="M",2,3),FALSE)*(1+_emr2)+_rpm2)/IF(Model_Type="LA_PQIS",1000/0.0833,(12*1000))))*Flag_Mort_Rider_Charge*(T118&gt;0),0)</f>
        <v>0</v>
      </c>
      <c r="V118" s="34">
        <f>ROUND(MIN(IF(H118&gt;=7,Charges!$C$12*(1+Charges!$C$14)^((H118-7+1)),VLOOKUP(H118,Charges!$B$7:$C$12,2,0))*pr,Charges!$C$13)*B118,Round)</f>
        <v>500</v>
      </c>
      <c r="W118" s="14">
        <f t="shared" ca="1" si="65"/>
        <v>3916692.6574296183</v>
      </c>
      <c r="X118" s="14">
        <f t="shared" ca="1" si="66"/>
        <v>3941892.7759191496</v>
      </c>
      <c r="Y118" s="213">
        <f t="shared" ca="1" si="88"/>
        <v>4437.0427432662727</v>
      </c>
      <c r="Z118" s="14">
        <f t="shared" ca="1" si="67"/>
        <v>3937455.7331758835</v>
      </c>
      <c r="AA118" s="14">
        <f>IF(AND($H118=pt,$F118=11),SUM($K$7:K118)*VLOOKUP(pt,ROC,2,FALSE),0)</f>
        <v>0</v>
      </c>
      <c r="AB118" s="14">
        <f>IF(AND($H118=pt,$F118=11),SUM($V$7:V118)*VLOOKUP(pt,ROC,2,FALSE),0)</f>
        <v>0</v>
      </c>
      <c r="AC118" s="14">
        <f>IF(AND($H118=pt,$F118=11),SUM($Q$7:Q118)*VLOOKUP(pt,ROC,2,FALSE),0)</f>
        <v>0</v>
      </c>
      <c r="AD118" s="14">
        <f t="shared" ca="1" si="89"/>
        <v>3937455.7331758835</v>
      </c>
      <c r="AE118" s="14">
        <f ca="1">(MAX(sa-CF117*Flag_UL_Type,105%*SUM($I$7:I118),Z118)+AU118)*B118</f>
        <v>3937455.7331758835</v>
      </c>
      <c r="AF118" s="136"/>
      <c r="AG118" s="18">
        <v>112</v>
      </c>
      <c r="AH118" s="30">
        <f t="shared" ca="1" si="68"/>
        <v>0</v>
      </c>
      <c r="AI118" s="58"/>
      <c r="AJ118" s="50">
        <f>IF(AND(Option_Sys_TopUp&gt;="Y",H118&gt;=sytp,H118&lt;=(dtp+sytp-1),F118=0,H118&lt;=ppt+1),atp,0)+IFERROR(VLOOKUP(H118,Input!$B$55:$C$61,2,0),0)*(F118=0)*(Option_TopUP="Y")*(Option_Sys_TopUp="N")*B118*(pt&gt;=H118+5)</f>
        <v>0</v>
      </c>
      <c r="AK118" s="50">
        <f t="shared" si="69"/>
        <v>0</v>
      </c>
      <c r="AL118" s="50">
        <f t="shared" si="90"/>
        <v>0</v>
      </c>
      <c r="AM118" s="50">
        <f t="shared" ca="1" si="70"/>
        <v>0</v>
      </c>
      <c r="AN118" s="50">
        <f ca="1">IF(B118=0,0,AT118*(_rpm1+(1+_emr1)*VLOOKUP(E118,Tab_Mort_Charge,IF(Input!$C$12="M",2,3),0))*(0.001*0.0833)*Flag_Mort_Rider_Charge*(AT118&gt;0))</f>
        <v>0</v>
      </c>
      <c r="AO118" s="50">
        <f t="shared" ca="1" si="91"/>
        <v>0</v>
      </c>
      <c r="AP118" s="50">
        <f t="shared" ca="1" si="99"/>
        <v>0</v>
      </c>
      <c r="AQ118" s="50">
        <f t="shared" ca="1" si="71"/>
        <v>0</v>
      </c>
      <c r="AR118" s="50">
        <f t="shared" ca="1" si="72"/>
        <v>0</v>
      </c>
      <c r="AS118" s="50">
        <f t="shared" si="73"/>
        <v>0</v>
      </c>
      <c r="AT118" s="50">
        <f ca="1">(MAX((MAX(AS118,105%*SUM($AJ$7:AJ118))-AM118*Flag_UL_Type),0)*B118)</f>
        <v>0</v>
      </c>
      <c r="AU118" s="50">
        <f ca="1">(MAX(AS118,AR118,105%*SUM($AJ$7:AJ118))*B118)</f>
        <v>0</v>
      </c>
      <c r="AV118" s="125"/>
      <c r="AW118" s="13"/>
      <c r="AX118" s="13"/>
      <c r="AY118" s="13"/>
      <c r="AZ118" s="13"/>
      <c r="BA118" s="13"/>
      <c r="BG118" s="51">
        <f t="shared" si="74"/>
        <v>0</v>
      </c>
      <c r="BH118" s="51">
        <f t="shared" ca="1" si="75"/>
        <v>0</v>
      </c>
      <c r="BI118" s="51">
        <f t="shared" ca="1" si="76"/>
        <v>0</v>
      </c>
      <c r="BJ118" s="51">
        <f t="shared" ca="1" si="77"/>
        <v>0</v>
      </c>
      <c r="BK118" s="51">
        <f t="shared" si="78"/>
        <v>0</v>
      </c>
      <c r="BL118" s="51">
        <f t="shared" ca="1" si="79"/>
        <v>0</v>
      </c>
      <c r="BM118" s="51">
        <f t="shared" si="80"/>
        <v>0</v>
      </c>
      <c r="BN118" s="51">
        <f t="shared" ca="1" si="81"/>
        <v>0</v>
      </c>
      <c r="BO118" s="51">
        <f t="shared" ca="1" si="82"/>
        <v>0</v>
      </c>
      <c r="BP118" s="51">
        <f t="shared" ca="1" si="83"/>
        <v>0</v>
      </c>
      <c r="BQ118" s="120"/>
      <c r="BR118" s="32"/>
      <c r="BS118" s="126"/>
      <c r="BT118" s="16"/>
      <c r="BU118" s="58"/>
      <c r="BW118" s="51">
        <f>VLOOKUP(H118,Charges!$AT$4:$AU$33,2,FALSE)*I118</f>
        <v>0</v>
      </c>
      <c r="BX118" s="51">
        <f t="shared" si="84"/>
        <v>0</v>
      </c>
      <c r="BY118" s="51">
        <f t="shared" si="93"/>
        <v>0</v>
      </c>
      <c r="BZ118" s="151"/>
      <c r="CA118" s="151"/>
      <c r="CB118" s="32"/>
      <c r="CC118" s="16">
        <f ca="1">SUM($N$7:$N118)</f>
        <v>0</v>
      </c>
      <c r="CD118" s="16">
        <f t="shared" ca="1" si="85"/>
        <v>0</v>
      </c>
      <c r="CE118" s="16">
        <f t="shared" ca="1" si="86"/>
        <v>0</v>
      </c>
      <c r="CF118" s="7">
        <f t="shared" ca="1" si="94"/>
        <v>0</v>
      </c>
    </row>
    <row r="119" spans="1:84" s="7" customFormat="1" x14ac:dyDescent="0.2">
      <c r="A119" s="149"/>
      <c r="B119" s="14">
        <f t="shared" si="55"/>
        <v>1</v>
      </c>
      <c r="C119" s="12">
        <f t="shared" si="56"/>
        <v>1</v>
      </c>
      <c r="D119" s="17">
        <f t="shared" si="95"/>
        <v>113</v>
      </c>
      <c r="E119" s="17">
        <f t="shared" ca="1" si="57"/>
        <v>69</v>
      </c>
      <c r="F119" s="12">
        <f t="shared" si="97"/>
        <v>4</v>
      </c>
      <c r="G119" s="12">
        <f t="shared" si="96"/>
        <v>19</v>
      </c>
      <c r="H119" s="17">
        <f t="shared" si="98"/>
        <v>10</v>
      </c>
      <c r="I119" s="29">
        <f t="shared" si="58"/>
        <v>0</v>
      </c>
      <c r="J119" s="211">
        <f>IFERROR(VLOOKUP(H119,Charges!$T$6:$U$35,2,0)*C119,0)</f>
        <v>0.98</v>
      </c>
      <c r="K119" s="29">
        <f t="shared" si="59"/>
        <v>0</v>
      </c>
      <c r="L119" s="29">
        <f t="shared" si="60"/>
        <v>0</v>
      </c>
      <c r="M119" s="147">
        <f t="shared" ca="1" si="61"/>
        <v>0</v>
      </c>
      <c r="N119" s="148">
        <f ca="1">IF(AND(Option_SPW="Y",Z118&gt;=SPW_Start_Min_FV,H119&gt;=Lock_In_Period,Z118&gt;SPW_Amount_pa+IF(option="Single",1/5*pr,2*pr),H119&gt;=SPW_Start_Year,H119&lt;=SPW_Start_Year+SPW_Duration-1,F119=0,age+H119&gt;=Legal_Age),SPW_Amount_pa,0)+IFERROR(VLOOKUP(H119,Input!$B$68:$C$74,2,0),0)*(F119=0)*(Option_PW="Y")*(Option_SPW="N")*(age+H119&gt;=Legal_Age)</f>
        <v>0</v>
      </c>
      <c r="O119" s="148">
        <f t="shared" ca="1" si="87"/>
        <v>0</v>
      </c>
      <c r="P119" s="14">
        <f ca="1">(MAX(MAX(sa-CF118*Flag_UL_Type,105%*SUM($I$7:I119))-(AD118+L119-N119)*Flag_UL_Type,0)*B119)</f>
        <v>0</v>
      </c>
      <c r="Q119" s="213">
        <f t="shared" ca="1" si="62"/>
        <v>0</v>
      </c>
      <c r="R119" s="14">
        <f t="shared" ca="1" si="63"/>
        <v>0</v>
      </c>
      <c r="S119" s="14">
        <f t="shared" ca="1" si="64"/>
        <v>0</v>
      </c>
      <c r="T119" s="14">
        <f>IFERROR(IF(WoP_Flag="Y",IF(fq=1,VLOOKUP(ppt*fq-H119,Charges!$AN$41:$AO$59,2,FALSE),IF(fq=2,VLOOKUP(ppt*fq-G119,Charges!$AP$41:$AQ$79,2,FALSE),VLOOKUP(ppt*fq-D119,Charges!$AR$41:$AS$279,2,FALSE)))*pr/fq,0),0)</f>
        <v>0</v>
      </c>
      <c r="U119" s="14">
        <f ca="1">IFERROR(((T119*(VLOOKUP(Input!$D$18+H119-1,Tab_Mort_Charge,IF(Gender_2="M",2,3),FALSE)*(1+_emr2)+_rpm2)/IF(Model_Type="LA_PQIS",1000/0.0833,(12*1000))))*Flag_Mort_Rider_Charge*(T119&gt;0),0)</f>
        <v>0</v>
      </c>
      <c r="V119" s="34">
        <f>ROUND(MIN(IF(H119&gt;=7,Charges!$C$12*(1+Charges!$C$14)^((H119-7+1)),VLOOKUP(H119,Charges!$B$7:$C$12,2,0))*pr,Charges!$C$13)*B119,Round)</f>
        <v>500</v>
      </c>
      <c r="W119" s="14">
        <f t="shared" ca="1" si="65"/>
        <v>3936955.7331758835</v>
      </c>
      <c r="X119" s="14">
        <f t="shared" ca="1" si="66"/>
        <v>3962286.2249048878</v>
      </c>
      <c r="Y119" s="213">
        <f t="shared" ca="1" si="88"/>
        <v>4459.9978589876127</v>
      </c>
      <c r="Z119" s="14">
        <f t="shared" ca="1" si="67"/>
        <v>3957826.2270459002</v>
      </c>
      <c r="AA119" s="14">
        <f>IF(AND($H119=pt,$F119=11),SUM($K$7:K119)*VLOOKUP(pt,ROC,2,FALSE),0)</f>
        <v>0</v>
      </c>
      <c r="AB119" s="14">
        <f>IF(AND($H119=pt,$F119=11),SUM($V$7:V119)*VLOOKUP(pt,ROC,2,FALSE),0)</f>
        <v>0</v>
      </c>
      <c r="AC119" s="14">
        <f>IF(AND($H119=pt,$F119=11),SUM($Q$7:Q119)*VLOOKUP(pt,ROC,2,FALSE),0)</f>
        <v>0</v>
      </c>
      <c r="AD119" s="14">
        <f t="shared" ca="1" si="89"/>
        <v>3957826.2270459002</v>
      </c>
      <c r="AE119" s="14">
        <f ca="1">(MAX(sa-CF118*Flag_UL_Type,105%*SUM($I$7:I119),Z119)+AU119)*B119</f>
        <v>3957826.2270459002</v>
      </c>
      <c r="AF119" s="136"/>
      <c r="AG119" s="18">
        <v>113</v>
      </c>
      <c r="AH119" s="30">
        <f t="shared" ca="1" si="68"/>
        <v>0</v>
      </c>
      <c r="AI119" s="58"/>
      <c r="AJ119" s="50">
        <f>IF(AND(Option_Sys_TopUp&gt;="Y",H119&gt;=sytp,H119&lt;=(dtp+sytp-1),F119=0,H119&lt;=ppt+1),atp,0)+IFERROR(VLOOKUP(H119,Input!$B$55:$C$61,2,0),0)*(F119=0)*(Option_TopUP="Y")*(Option_Sys_TopUp="N")*B119*(pt&gt;=H119+5)</f>
        <v>0</v>
      </c>
      <c r="AK119" s="50">
        <f t="shared" si="69"/>
        <v>0</v>
      </c>
      <c r="AL119" s="50">
        <f t="shared" si="90"/>
        <v>0</v>
      </c>
      <c r="AM119" s="50">
        <f t="shared" ca="1" si="70"/>
        <v>0</v>
      </c>
      <c r="AN119" s="50">
        <f ca="1">IF(B119=0,0,AT119*(_rpm1+(1+_emr1)*VLOOKUP(E119,Tab_Mort_Charge,IF(Input!$C$12="M",2,3),0))*(0.001*0.0833)*Flag_Mort_Rider_Charge*(AT119&gt;0))</f>
        <v>0</v>
      </c>
      <c r="AO119" s="50">
        <f t="shared" ca="1" si="91"/>
        <v>0</v>
      </c>
      <c r="AP119" s="50">
        <f t="shared" ca="1" si="99"/>
        <v>0</v>
      </c>
      <c r="AQ119" s="50">
        <f t="shared" ca="1" si="71"/>
        <v>0</v>
      </c>
      <c r="AR119" s="50">
        <f t="shared" ca="1" si="72"/>
        <v>0</v>
      </c>
      <c r="AS119" s="50">
        <f t="shared" si="73"/>
        <v>0</v>
      </c>
      <c r="AT119" s="50">
        <f ca="1">(MAX((MAX(AS119,105%*SUM($AJ$7:AJ119))-AM119*Flag_UL_Type),0)*B119)</f>
        <v>0</v>
      </c>
      <c r="AU119" s="50">
        <f ca="1">(MAX(AS119,AR119,105%*SUM($AJ$7:AJ119))*B119)</f>
        <v>0</v>
      </c>
      <c r="AV119" s="125"/>
      <c r="AW119" s="13"/>
      <c r="AX119" s="13"/>
      <c r="AY119" s="13"/>
      <c r="AZ119" s="13"/>
      <c r="BA119" s="13"/>
      <c r="BG119" s="51">
        <f t="shared" si="74"/>
        <v>0</v>
      </c>
      <c r="BH119" s="51">
        <f t="shared" ca="1" si="75"/>
        <v>0</v>
      </c>
      <c r="BI119" s="51">
        <f t="shared" ca="1" si="76"/>
        <v>0</v>
      </c>
      <c r="BJ119" s="51">
        <f t="shared" ca="1" si="77"/>
        <v>0</v>
      </c>
      <c r="BK119" s="51">
        <f t="shared" si="78"/>
        <v>0</v>
      </c>
      <c r="BL119" s="51">
        <f t="shared" ca="1" si="79"/>
        <v>0</v>
      </c>
      <c r="BM119" s="51">
        <f t="shared" si="80"/>
        <v>0</v>
      </c>
      <c r="BN119" s="51">
        <f t="shared" ca="1" si="81"/>
        <v>0</v>
      </c>
      <c r="BO119" s="51">
        <f t="shared" ca="1" si="82"/>
        <v>0</v>
      </c>
      <c r="BP119" s="51">
        <f t="shared" ca="1" si="83"/>
        <v>0</v>
      </c>
      <c r="BQ119" s="120"/>
      <c r="BR119" s="32"/>
      <c r="BS119" s="126"/>
      <c r="BT119" s="16"/>
      <c r="BU119" s="58"/>
      <c r="BW119" s="51">
        <f>VLOOKUP(H119,Charges!$AT$4:$AU$33,2,FALSE)*I119</f>
        <v>0</v>
      </c>
      <c r="BX119" s="51">
        <f t="shared" si="84"/>
        <v>0</v>
      </c>
      <c r="BY119" s="51">
        <f t="shared" si="93"/>
        <v>0</v>
      </c>
      <c r="BZ119" s="151"/>
      <c r="CA119" s="151"/>
      <c r="CB119" s="32"/>
      <c r="CC119" s="16">
        <f ca="1">SUM($N$7:$N119)</f>
        <v>0</v>
      </c>
      <c r="CD119" s="16">
        <f t="shared" ca="1" si="85"/>
        <v>0</v>
      </c>
      <c r="CE119" s="16">
        <f t="shared" ca="1" si="86"/>
        <v>0</v>
      </c>
      <c r="CF119" s="7">
        <f t="shared" ca="1" si="94"/>
        <v>0</v>
      </c>
    </row>
    <row r="120" spans="1:84" s="7" customFormat="1" x14ac:dyDescent="0.2">
      <c r="A120" s="149"/>
      <c r="B120" s="14">
        <f t="shared" si="55"/>
        <v>1</v>
      </c>
      <c r="C120" s="12">
        <f t="shared" si="56"/>
        <v>1</v>
      </c>
      <c r="D120" s="17">
        <f t="shared" si="95"/>
        <v>114</v>
      </c>
      <c r="E120" s="17">
        <f t="shared" ca="1" si="57"/>
        <v>69</v>
      </c>
      <c r="F120" s="12">
        <f t="shared" si="97"/>
        <v>5</v>
      </c>
      <c r="G120" s="12">
        <f t="shared" si="96"/>
        <v>19</v>
      </c>
      <c r="H120" s="17">
        <f t="shared" si="98"/>
        <v>10</v>
      </c>
      <c r="I120" s="29">
        <f t="shared" si="58"/>
        <v>0</v>
      </c>
      <c r="J120" s="211">
        <f>IFERROR(VLOOKUP(H120,Charges!$T$6:$U$35,2,0)*C120,0)</f>
        <v>0.98</v>
      </c>
      <c r="K120" s="29">
        <f t="shared" si="59"/>
        <v>0</v>
      </c>
      <c r="L120" s="29">
        <f t="shared" si="60"/>
        <v>0</v>
      </c>
      <c r="M120" s="147">
        <f t="shared" ca="1" si="61"/>
        <v>0</v>
      </c>
      <c r="N120" s="148">
        <f ca="1">IF(AND(Option_SPW="Y",Z119&gt;=SPW_Start_Min_FV,H120&gt;=Lock_In_Period,Z119&gt;SPW_Amount_pa+IF(option="Single",1/5*pr,2*pr),H120&gt;=SPW_Start_Year,H120&lt;=SPW_Start_Year+SPW_Duration-1,F120=0,age+H120&gt;=Legal_Age),SPW_Amount_pa,0)+IFERROR(VLOOKUP(H120,Input!$B$68:$C$74,2,0),0)*(F120=0)*(Option_PW="Y")*(Option_SPW="N")*(age+H120&gt;=Legal_Age)</f>
        <v>0</v>
      </c>
      <c r="O120" s="148">
        <f t="shared" ca="1" si="87"/>
        <v>0</v>
      </c>
      <c r="P120" s="14">
        <f ca="1">(MAX(MAX(sa-CF119*Flag_UL_Type,105%*SUM($I$7:I120))-(AD119+L120-N120)*Flag_UL_Type,0)*B120)</f>
        <v>0</v>
      </c>
      <c r="Q120" s="213">
        <f t="shared" ca="1" si="62"/>
        <v>0</v>
      </c>
      <c r="R120" s="14">
        <f t="shared" ca="1" si="63"/>
        <v>0</v>
      </c>
      <c r="S120" s="14">
        <f t="shared" ca="1" si="64"/>
        <v>0</v>
      </c>
      <c r="T120" s="14">
        <f>IFERROR(IF(WoP_Flag="Y",IF(fq=1,VLOOKUP(ppt*fq-H120,Charges!$AN$41:$AO$59,2,FALSE),IF(fq=2,VLOOKUP(ppt*fq-G120,Charges!$AP$41:$AQ$79,2,FALSE),VLOOKUP(ppt*fq-D120,Charges!$AR$41:$AS$279,2,FALSE)))*pr/fq,0),0)</f>
        <v>0</v>
      </c>
      <c r="U120" s="14">
        <f ca="1">IFERROR(((T120*(VLOOKUP(Input!$D$18+H120-1,Tab_Mort_Charge,IF(Gender_2="M",2,3),FALSE)*(1+_emr2)+_rpm2)/IF(Model_Type="LA_PQIS",1000/0.0833,(12*1000))))*Flag_Mort_Rider_Charge*(T120&gt;0),0)</f>
        <v>0</v>
      </c>
      <c r="V120" s="34">
        <f>ROUND(MIN(IF(H120&gt;=7,Charges!$C$12*(1+Charges!$C$14)^((H120-7+1)),VLOOKUP(H120,Charges!$B$7:$C$12,2,0))*pr,Charges!$C$13)*B120,Round)</f>
        <v>500</v>
      </c>
      <c r="W120" s="14">
        <f t="shared" ca="1" si="65"/>
        <v>3957326.2270459002</v>
      </c>
      <c r="X120" s="14">
        <f t="shared" ca="1" si="66"/>
        <v>3982787.7831458198</v>
      </c>
      <c r="Y120" s="213">
        <f t="shared" ca="1" si="88"/>
        <v>4483.0746638094706</v>
      </c>
      <c r="Z120" s="14">
        <f t="shared" ca="1" si="67"/>
        <v>3978304.7084820103</v>
      </c>
      <c r="AA120" s="14">
        <f>IF(AND($H120=pt,$F120=11),SUM($K$7:K120)*VLOOKUP(pt,ROC,2,FALSE),0)</f>
        <v>0</v>
      </c>
      <c r="AB120" s="14">
        <f>IF(AND($H120=pt,$F120=11),SUM($V$7:V120)*VLOOKUP(pt,ROC,2,FALSE),0)</f>
        <v>0</v>
      </c>
      <c r="AC120" s="14">
        <f>IF(AND($H120=pt,$F120=11),SUM($Q$7:Q120)*VLOOKUP(pt,ROC,2,FALSE),0)</f>
        <v>0</v>
      </c>
      <c r="AD120" s="14">
        <f t="shared" ca="1" si="89"/>
        <v>3978304.7084820103</v>
      </c>
      <c r="AE120" s="14">
        <f ca="1">(MAX(sa-CF119*Flag_UL_Type,105%*SUM($I$7:I120),Z120)+AU120)*B120</f>
        <v>3978304.7084820103</v>
      </c>
      <c r="AF120" s="136"/>
      <c r="AG120" s="18">
        <v>114</v>
      </c>
      <c r="AH120" s="30">
        <f t="shared" ca="1" si="68"/>
        <v>0</v>
      </c>
      <c r="AI120" s="58"/>
      <c r="AJ120" s="50">
        <f>IF(AND(Option_Sys_TopUp&gt;="Y",H120&gt;=sytp,H120&lt;=(dtp+sytp-1),F120=0,H120&lt;=ppt+1),atp,0)+IFERROR(VLOOKUP(H120,Input!$B$55:$C$61,2,0),0)*(F120=0)*(Option_TopUP="Y")*(Option_Sys_TopUp="N")*B120*(pt&gt;=H120+5)</f>
        <v>0</v>
      </c>
      <c r="AK120" s="50">
        <f t="shared" si="69"/>
        <v>0</v>
      </c>
      <c r="AL120" s="50">
        <f t="shared" si="90"/>
        <v>0</v>
      </c>
      <c r="AM120" s="50">
        <f t="shared" ca="1" si="70"/>
        <v>0</v>
      </c>
      <c r="AN120" s="50">
        <f ca="1">IF(B120=0,0,AT120*(_rpm1+(1+_emr1)*VLOOKUP(E120,Tab_Mort_Charge,IF(Input!$C$12="M",2,3),0))*(0.001*0.0833)*Flag_Mort_Rider_Charge*(AT120&gt;0))</f>
        <v>0</v>
      </c>
      <c r="AO120" s="50">
        <f t="shared" ca="1" si="91"/>
        <v>0</v>
      </c>
      <c r="AP120" s="50">
        <f t="shared" ca="1" si="99"/>
        <v>0</v>
      </c>
      <c r="AQ120" s="50">
        <f t="shared" ca="1" si="71"/>
        <v>0</v>
      </c>
      <c r="AR120" s="50">
        <f t="shared" ca="1" si="72"/>
        <v>0</v>
      </c>
      <c r="AS120" s="50">
        <f t="shared" si="73"/>
        <v>0</v>
      </c>
      <c r="AT120" s="50">
        <f ca="1">(MAX((MAX(AS120,105%*SUM($AJ$7:AJ120))-AM120*Flag_UL_Type),0)*B120)</f>
        <v>0</v>
      </c>
      <c r="AU120" s="50">
        <f ca="1">(MAX(AS120,AR120,105%*SUM($AJ$7:AJ120))*B120)</f>
        <v>0</v>
      </c>
      <c r="AV120" s="125"/>
      <c r="AW120" s="13"/>
      <c r="AX120" s="13"/>
      <c r="AY120" s="13"/>
      <c r="AZ120" s="13"/>
      <c r="BA120" s="13"/>
      <c r="BG120" s="51">
        <f t="shared" si="74"/>
        <v>0</v>
      </c>
      <c r="BH120" s="51">
        <f t="shared" ca="1" si="75"/>
        <v>0</v>
      </c>
      <c r="BI120" s="51">
        <f t="shared" ca="1" si="76"/>
        <v>0</v>
      </c>
      <c r="BJ120" s="51">
        <f t="shared" ca="1" si="77"/>
        <v>0</v>
      </c>
      <c r="BK120" s="51">
        <f t="shared" si="78"/>
        <v>0</v>
      </c>
      <c r="BL120" s="51">
        <f t="shared" ca="1" si="79"/>
        <v>0</v>
      </c>
      <c r="BM120" s="51">
        <f t="shared" si="80"/>
        <v>0</v>
      </c>
      <c r="BN120" s="51">
        <f t="shared" ca="1" si="81"/>
        <v>0</v>
      </c>
      <c r="BO120" s="51">
        <f t="shared" ca="1" si="82"/>
        <v>0</v>
      </c>
      <c r="BP120" s="51">
        <f t="shared" ca="1" si="83"/>
        <v>0</v>
      </c>
      <c r="BQ120" s="120"/>
      <c r="BR120" s="32"/>
      <c r="BS120" s="126"/>
      <c r="BT120" s="16"/>
      <c r="BU120" s="58"/>
      <c r="BW120" s="51">
        <f>VLOOKUP(H120,Charges!$AT$4:$AU$33,2,FALSE)*I120</f>
        <v>0</v>
      </c>
      <c r="BX120" s="51">
        <f t="shared" si="84"/>
        <v>0</v>
      </c>
      <c r="BY120" s="51">
        <f t="shared" si="93"/>
        <v>0</v>
      </c>
      <c r="BZ120" s="151"/>
      <c r="CA120" s="151"/>
      <c r="CB120" s="32"/>
      <c r="CC120" s="16">
        <f ca="1">SUM($N$7:$N120)</f>
        <v>0</v>
      </c>
      <c r="CD120" s="16">
        <f t="shared" ca="1" si="85"/>
        <v>0</v>
      </c>
      <c r="CE120" s="16">
        <f t="shared" ca="1" si="86"/>
        <v>0</v>
      </c>
      <c r="CF120" s="7">
        <f t="shared" ca="1" si="94"/>
        <v>0</v>
      </c>
    </row>
    <row r="121" spans="1:84" s="7" customFormat="1" x14ac:dyDescent="0.2">
      <c r="A121" s="149"/>
      <c r="B121" s="14">
        <f t="shared" si="55"/>
        <v>1</v>
      </c>
      <c r="C121" s="12">
        <f t="shared" si="56"/>
        <v>1</v>
      </c>
      <c r="D121" s="17">
        <f t="shared" si="95"/>
        <v>115</v>
      </c>
      <c r="E121" s="17">
        <f t="shared" ca="1" si="57"/>
        <v>69</v>
      </c>
      <c r="F121" s="12">
        <f t="shared" si="97"/>
        <v>6</v>
      </c>
      <c r="G121" s="12">
        <f t="shared" si="96"/>
        <v>20</v>
      </c>
      <c r="H121" s="17">
        <f t="shared" si="98"/>
        <v>10</v>
      </c>
      <c r="I121" s="29">
        <f t="shared" si="58"/>
        <v>0</v>
      </c>
      <c r="J121" s="211">
        <f>IFERROR(VLOOKUP(H121,Charges!$T$6:$U$35,2,0)*C121,0)</f>
        <v>0.98</v>
      </c>
      <c r="K121" s="29">
        <f t="shared" si="59"/>
        <v>0</v>
      </c>
      <c r="L121" s="29">
        <f t="shared" si="60"/>
        <v>0</v>
      </c>
      <c r="M121" s="147">
        <f t="shared" ca="1" si="61"/>
        <v>0</v>
      </c>
      <c r="N121" s="148">
        <f ca="1">IF(AND(Option_SPW="Y",Z120&gt;=SPW_Start_Min_FV,H121&gt;=Lock_In_Period,Z120&gt;SPW_Amount_pa+IF(option="Single",1/5*pr,2*pr),H121&gt;=SPW_Start_Year,H121&lt;=SPW_Start_Year+SPW_Duration-1,F121=0,age+H121&gt;=Legal_Age),SPW_Amount_pa,0)+IFERROR(VLOOKUP(H121,Input!$B$68:$C$74,2,0),0)*(F121=0)*(Option_PW="Y")*(Option_SPW="N")*(age+H121&gt;=Legal_Age)</f>
        <v>0</v>
      </c>
      <c r="O121" s="148">
        <f t="shared" ca="1" si="87"/>
        <v>0</v>
      </c>
      <c r="P121" s="14">
        <f ca="1">(MAX(MAX(sa-CF120*Flag_UL_Type,105%*SUM($I$7:I121))-(AD120+L121-N121)*Flag_UL_Type,0)*B121)</f>
        <v>0</v>
      </c>
      <c r="Q121" s="213">
        <f t="shared" ca="1" si="62"/>
        <v>0</v>
      </c>
      <c r="R121" s="14">
        <f t="shared" ca="1" si="63"/>
        <v>0</v>
      </c>
      <c r="S121" s="14">
        <f t="shared" ca="1" si="64"/>
        <v>0</v>
      </c>
      <c r="T121" s="14">
        <f>IFERROR(IF(WoP_Flag="Y",IF(fq=1,VLOOKUP(ppt*fq-H121,Charges!$AN$41:$AO$59,2,FALSE),IF(fq=2,VLOOKUP(ppt*fq-G121,Charges!$AP$41:$AQ$79,2,FALSE),VLOOKUP(ppt*fq-D121,Charges!$AR$41:$AS$279,2,FALSE)))*pr/fq,0),0)</f>
        <v>0</v>
      </c>
      <c r="U121" s="14">
        <f ca="1">IFERROR(((T121*(VLOOKUP(Input!$D$18+H121-1,Tab_Mort_Charge,IF(Gender_2="M",2,3),FALSE)*(1+_emr2)+_rpm2)/IF(Model_Type="LA_PQIS",1000/0.0833,(12*1000))))*Flag_Mort_Rider_Charge*(T121&gt;0),0)</f>
        <v>0</v>
      </c>
      <c r="V121" s="34">
        <f>ROUND(MIN(IF(H121&gt;=7,Charges!$C$12*(1+Charges!$C$14)^((H121-7+1)),VLOOKUP(H121,Charges!$B$7:$C$12,2,0))*pr,Charges!$C$13)*B121,Round)</f>
        <v>500</v>
      </c>
      <c r="W121" s="14">
        <f t="shared" ca="1" si="65"/>
        <v>3977804.7084820103</v>
      </c>
      <c r="X121" s="14">
        <f t="shared" ca="1" si="66"/>
        <v>4003398.023748097</v>
      </c>
      <c r="Y121" s="213">
        <f t="shared" ca="1" si="88"/>
        <v>4506.2738028271433</v>
      </c>
      <c r="Z121" s="14">
        <f t="shared" ca="1" si="67"/>
        <v>3998891.7499452699</v>
      </c>
      <c r="AA121" s="14">
        <f>IF(AND($H121=pt,$F121=11),SUM($K$7:K121)*VLOOKUP(pt,ROC,2,FALSE),0)</f>
        <v>0</v>
      </c>
      <c r="AB121" s="14">
        <f>IF(AND($H121=pt,$F121=11),SUM($V$7:V121)*VLOOKUP(pt,ROC,2,FALSE),0)</f>
        <v>0</v>
      </c>
      <c r="AC121" s="14">
        <f>IF(AND($H121=pt,$F121=11),SUM($Q$7:Q121)*VLOOKUP(pt,ROC,2,FALSE),0)</f>
        <v>0</v>
      </c>
      <c r="AD121" s="14">
        <f t="shared" ca="1" si="89"/>
        <v>3998891.7499452699</v>
      </c>
      <c r="AE121" s="14">
        <f ca="1">(MAX(sa-CF120*Flag_UL_Type,105%*SUM($I$7:I121),Z121)+AU121)*B121</f>
        <v>3998891.7499452699</v>
      </c>
      <c r="AF121" s="136"/>
      <c r="AG121" s="18">
        <v>115</v>
      </c>
      <c r="AH121" s="30">
        <f t="shared" ca="1" si="68"/>
        <v>0</v>
      </c>
      <c r="AI121" s="58"/>
      <c r="AJ121" s="50">
        <f>IF(AND(Option_Sys_TopUp&gt;="Y",H121&gt;=sytp,H121&lt;=(dtp+sytp-1),F121=0,H121&lt;=ppt+1),atp,0)+IFERROR(VLOOKUP(H121,Input!$B$55:$C$61,2,0),0)*(F121=0)*(Option_TopUP="Y")*(Option_Sys_TopUp="N")*B121*(pt&gt;=H121+5)</f>
        <v>0</v>
      </c>
      <c r="AK121" s="50">
        <f t="shared" si="69"/>
        <v>0</v>
      </c>
      <c r="AL121" s="50">
        <f t="shared" si="90"/>
        <v>0</v>
      </c>
      <c r="AM121" s="50">
        <f t="shared" ca="1" si="70"/>
        <v>0</v>
      </c>
      <c r="AN121" s="50">
        <f ca="1">IF(B121=0,0,AT121*(_rpm1+(1+_emr1)*VLOOKUP(E121,Tab_Mort_Charge,IF(Input!$C$12="M",2,3),0))*(0.001*0.0833)*Flag_Mort_Rider_Charge*(AT121&gt;0))</f>
        <v>0</v>
      </c>
      <c r="AO121" s="50">
        <f t="shared" ca="1" si="91"/>
        <v>0</v>
      </c>
      <c r="AP121" s="50">
        <f t="shared" ca="1" si="99"/>
        <v>0</v>
      </c>
      <c r="AQ121" s="50">
        <f t="shared" ca="1" si="71"/>
        <v>0</v>
      </c>
      <c r="AR121" s="50">
        <f t="shared" ca="1" si="72"/>
        <v>0</v>
      </c>
      <c r="AS121" s="50">
        <f t="shared" si="73"/>
        <v>0</v>
      </c>
      <c r="AT121" s="50">
        <f ca="1">(MAX((MAX(AS121,105%*SUM($AJ$7:AJ121))-AM121*Flag_UL_Type),0)*B121)</f>
        <v>0</v>
      </c>
      <c r="AU121" s="50">
        <f ca="1">(MAX(AS121,AR121,105%*SUM($AJ$7:AJ121))*B121)</f>
        <v>0</v>
      </c>
      <c r="AV121" s="125"/>
      <c r="AW121" s="13"/>
      <c r="AX121" s="13"/>
      <c r="AY121" s="13"/>
      <c r="AZ121" s="13"/>
      <c r="BA121" s="13"/>
      <c r="BG121" s="51">
        <f t="shared" si="74"/>
        <v>0</v>
      </c>
      <c r="BH121" s="51">
        <f t="shared" ca="1" si="75"/>
        <v>0</v>
      </c>
      <c r="BI121" s="51">
        <f t="shared" ca="1" si="76"/>
        <v>0</v>
      </c>
      <c r="BJ121" s="51">
        <f t="shared" ca="1" si="77"/>
        <v>0</v>
      </c>
      <c r="BK121" s="51">
        <f t="shared" si="78"/>
        <v>0</v>
      </c>
      <c r="BL121" s="51">
        <f t="shared" ca="1" si="79"/>
        <v>0</v>
      </c>
      <c r="BM121" s="51">
        <f t="shared" si="80"/>
        <v>0</v>
      </c>
      <c r="BN121" s="51">
        <f t="shared" ca="1" si="81"/>
        <v>0</v>
      </c>
      <c r="BO121" s="51">
        <f t="shared" ca="1" si="82"/>
        <v>0</v>
      </c>
      <c r="BP121" s="51">
        <f t="shared" ca="1" si="83"/>
        <v>0</v>
      </c>
      <c r="BQ121" s="120"/>
      <c r="BR121" s="32"/>
      <c r="BS121" s="126"/>
      <c r="BT121" s="16"/>
      <c r="BU121" s="58"/>
      <c r="BW121" s="51">
        <f>VLOOKUP(H121,Charges!$AT$4:$AU$33,2,FALSE)*I121</f>
        <v>0</v>
      </c>
      <c r="BX121" s="51">
        <f t="shared" si="84"/>
        <v>0</v>
      </c>
      <c r="BY121" s="51">
        <f t="shared" si="93"/>
        <v>0</v>
      </c>
      <c r="BZ121" s="151"/>
      <c r="CA121" s="151"/>
      <c r="CB121" s="32"/>
      <c r="CC121" s="16">
        <f ca="1">SUM($N$7:$N121)</f>
        <v>0</v>
      </c>
      <c r="CD121" s="16">
        <f t="shared" ca="1" si="85"/>
        <v>0</v>
      </c>
      <c r="CE121" s="16">
        <f t="shared" ca="1" si="86"/>
        <v>0</v>
      </c>
      <c r="CF121" s="7">
        <f t="shared" ca="1" si="94"/>
        <v>0</v>
      </c>
    </row>
    <row r="122" spans="1:84" s="7" customFormat="1" x14ac:dyDescent="0.2">
      <c r="A122" s="149"/>
      <c r="B122" s="14">
        <f t="shared" si="55"/>
        <v>1</v>
      </c>
      <c r="C122" s="12">
        <f t="shared" si="56"/>
        <v>1</v>
      </c>
      <c r="D122" s="17">
        <f t="shared" si="95"/>
        <v>116</v>
      </c>
      <c r="E122" s="17">
        <f t="shared" ca="1" si="57"/>
        <v>69</v>
      </c>
      <c r="F122" s="12">
        <f t="shared" si="97"/>
        <v>7</v>
      </c>
      <c r="G122" s="12">
        <f t="shared" si="96"/>
        <v>20</v>
      </c>
      <c r="H122" s="17">
        <f t="shared" si="98"/>
        <v>10</v>
      </c>
      <c r="I122" s="29">
        <f t="shared" si="58"/>
        <v>0</v>
      </c>
      <c r="J122" s="211">
        <f>IFERROR(VLOOKUP(H122,Charges!$T$6:$U$35,2,0)*C122,0)</f>
        <v>0.98</v>
      </c>
      <c r="K122" s="29">
        <f t="shared" si="59"/>
        <v>0</v>
      </c>
      <c r="L122" s="29">
        <f t="shared" si="60"/>
        <v>0</v>
      </c>
      <c r="M122" s="147">
        <f t="shared" ca="1" si="61"/>
        <v>0</v>
      </c>
      <c r="N122" s="148">
        <f ca="1">IF(AND(Option_SPW="Y",Z121&gt;=SPW_Start_Min_FV,H122&gt;=Lock_In_Period,Z121&gt;SPW_Amount_pa+IF(option="Single",1/5*pr,2*pr),H122&gt;=SPW_Start_Year,H122&lt;=SPW_Start_Year+SPW_Duration-1,F122=0,age+H122&gt;=Legal_Age),SPW_Amount_pa,0)+IFERROR(VLOOKUP(H122,Input!$B$68:$C$74,2,0),0)*(F122=0)*(Option_PW="Y")*(Option_SPW="N")*(age+H122&gt;=Legal_Age)</f>
        <v>0</v>
      </c>
      <c r="O122" s="148">
        <f t="shared" ca="1" si="87"/>
        <v>0</v>
      </c>
      <c r="P122" s="14">
        <f ca="1">(MAX(MAX(sa-CF121*Flag_UL_Type,105%*SUM($I$7:I122))-(AD121+L122-N122)*Flag_UL_Type,0)*B122)</f>
        <v>0</v>
      </c>
      <c r="Q122" s="213">
        <f t="shared" ca="1" si="62"/>
        <v>0</v>
      </c>
      <c r="R122" s="14">
        <f t="shared" ca="1" si="63"/>
        <v>0</v>
      </c>
      <c r="S122" s="14">
        <f t="shared" ca="1" si="64"/>
        <v>0</v>
      </c>
      <c r="T122" s="14">
        <f>IFERROR(IF(WoP_Flag="Y",IF(fq=1,VLOOKUP(ppt*fq-H122,Charges!$AN$41:$AO$59,2,FALSE),IF(fq=2,VLOOKUP(ppt*fq-G122,Charges!$AP$41:$AQ$79,2,FALSE),VLOOKUP(ppt*fq-D122,Charges!$AR$41:$AS$279,2,FALSE)))*pr/fq,0),0)</f>
        <v>0</v>
      </c>
      <c r="U122" s="14">
        <f ca="1">IFERROR(((T122*(VLOOKUP(Input!$D$18+H122-1,Tab_Mort_Charge,IF(Gender_2="M",2,3),FALSE)*(1+_emr2)+_rpm2)/IF(Model_Type="LA_PQIS",1000/0.0833,(12*1000))))*Flag_Mort_Rider_Charge*(T122&gt;0),0)</f>
        <v>0</v>
      </c>
      <c r="V122" s="34">
        <f>ROUND(MIN(IF(H122&gt;=7,Charges!$C$12*(1+Charges!$C$14)^((H122-7+1)),VLOOKUP(H122,Charges!$B$7:$C$12,2,0))*pr,Charges!$C$13)*B122,Round)</f>
        <v>500</v>
      </c>
      <c r="W122" s="14">
        <f t="shared" ca="1" si="65"/>
        <v>3998391.7499452699</v>
      </c>
      <c r="X122" s="14">
        <f t="shared" ca="1" si="66"/>
        <v>4024117.5228560069</v>
      </c>
      <c r="Y122" s="213">
        <f t="shared" ca="1" si="88"/>
        <v>4529.5959245556896</v>
      </c>
      <c r="Z122" s="14">
        <f t="shared" ca="1" si="67"/>
        <v>4019587.9269314511</v>
      </c>
      <c r="AA122" s="14">
        <f>IF(AND($H122=pt,$F122=11),SUM($K$7:K122)*VLOOKUP(pt,ROC,2,FALSE),0)</f>
        <v>0</v>
      </c>
      <c r="AB122" s="14">
        <f>IF(AND($H122=pt,$F122=11),SUM($V$7:V122)*VLOOKUP(pt,ROC,2,FALSE),0)</f>
        <v>0</v>
      </c>
      <c r="AC122" s="14">
        <f>IF(AND($H122=pt,$F122=11),SUM($Q$7:Q122)*VLOOKUP(pt,ROC,2,FALSE),0)</f>
        <v>0</v>
      </c>
      <c r="AD122" s="14">
        <f t="shared" ca="1" si="89"/>
        <v>4019587.9269314511</v>
      </c>
      <c r="AE122" s="14">
        <f ca="1">(MAX(sa-CF121*Flag_UL_Type,105%*SUM($I$7:I122),Z122)+AU122)*B122</f>
        <v>4019587.9269314511</v>
      </c>
      <c r="AF122" s="136"/>
      <c r="AG122" s="18">
        <v>116</v>
      </c>
      <c r="AH122" s="30">
        <f t="shared" ca="1" si="68"/>
        <v>0</v>
      </c>
      <c r="AI122" s="58"/>
      <c r="AJ122" s="50">
        <f>IF(AND(Option_Sys_TopUp&gt;="Y",H122&gt;=sytp,H122&lt;=(dtp+sytp-1),F122=0,H122&lt;=ppt+1),atp,0)+IFERROR(VLOOKUP(H122,Input!$B$55:$C$61,2,0),0)*(F122=0)*(Option_TopUP="Y")*(Option_Sys_TopUp="N")*B122*(pt&gt;=H122+5)</f>
        <v>0</v>
      </c>
      <c r="AK122" s="50">
        <f t="shared" si="69"/>
        <v>0</v>
      </c>
      <c r="AL122" s="50">
        <f t="shared" si="90"/>
        <v>0</v>
      </c>
      <c r="AM122" s="50">
        <f t="shared" ca="1" si="70"/>
        <v>0</v>
      </c>
      <c r="AN122" s="50">
        <f ca="1">IF(B122=0,0,AT122*(_rpm1+(1+_emr1)*VLOOKUP(E122,Tab_Mort_Charge,IF(Input!$C$12="M",2,3),0))*(0.001*0.0833)*Flag_Mort_Rider_Charge*(AT122&gt;0))</f>
        <v>0</v>
      </c>
      <c r="AO122" s="50">
        <f t="shared" ca="1" si="91"/>
        <v>0</v>
      </c>
      <c r="AP122" s="50">
        <f t="shared" ca="1" si="99"/>
        <v>0</v>
      </c>
      <c r="AQ122" s="50">
        <f t="shared" ca="1" si="71"/>
        <v>0</v>
      </c>
      <c r="AR122" s="50">
        <f t="shared" ca="1" si="72"/>
        <v>0</v>
      </c>
      <c r="AS122" s="50">
        <f t="shared" si="73"/>
        <v>0</v>
      </c>
      <c r="AT122" s="50">
        <f ca="1">(MAX((MAX(AS122,105%*SUM($AJ$7:AJ122))-AM122*Flag_UL_Type),0)*B122)</f>
        <v>0</v>
      </c>
      <c r="AU122" s="50">
        <f ca="1">(MAX(AS122,AR122,105%*SUM($AJ$7:AJ122))*B122)</f>
        <v>0</v>
      </c>
      <c r="AV122" s="125"/>
      <c r="AW122" s="13"/>
      <c r="AX122" s="13"/>
      <c r="AY122" s="13"/>
      <c r="AZ122" s="13"/>
      <c r="BA122" s="13"/>
      <c r="BG122" s="51">
        <f t="shared" si="74"/>
        <v>0</v>
      </c>
      <c r="BH122" s="51">
        <f t="shared" ca="1" si="75"/>
        <v>0</v>
      </c>
      <c r="BI122" s="51">
        <f t="shared" ca="1" si="76"/>
        <v>0</v>
      </c>
      <c r="BJ122" s="51">
        <f t="shared" ca="1" si="77"/>
        <v>0</v>
      </c>
      <c r="BK122" s="51">
        <f t="shared" si="78"/>
        <v>0</v>
      </c>
      <c r="BL122" s="51">
        <f t="shared" ca="1" si="79"/>
        <v>0</v>
      </c>
      <c r="BM122" s="51">
        <f t="shared" si="80"/>
        <v>0</v>
      </c>
      <c r="BN122" s="51">
        <f t="shared" ca="1" si="81"/>
        <v>0</v>
      </c>
      <c r="BO122" s="51">
        <f t="shared" ca="1" si="82"/>
        <v>0</v>
      </c>
      <c r="BP122" s="51">
        <f t="shared" ca="1" si="83"/>
        <v>0</v>
      </c>
      <c r="BQ122" s="120"/>
      <c r="BR122" s="32"/>
      <c r="BS122" s="126"/>
      <c r="BT122" s="16"/>
      <c r="BU122" s="58"/>
      <c r="BW122" s="51">
        <f>VLOOKUP(H122,Charges!$AT$4:$AU$33,2,FALSE)*I122</f>
        <v>0</v>
      </c>
      <c r="BX122" s="51">
        <f t="shared" si="84"/>
        <v>0</v>
      </c>
      <c r="BY122" s="51">
        <f t="shared" si="93"/>
        <v>0</v>
      </c>
      <c r="BZ122" s="151"/>
      <c r="CA122" s="151"/>
      <c r="CB122" s="32"/>
      <c r="CC122" s="16">
        <f ca="1">SUM($N$7:$N122)</f>
        <v>0</v>
      </c>
      <c r="CD122" s="16">
        <f t="shared" ca="1" si="85"/>
        <v>0</v>
      </c>
      <c r="CE122" s="16">
        <f t="shared" ca="1" si="86"/>
        <v>0</v>
      </c>
      <c r="CF122" s="7">
        <f t="shared" ca="1" si="94"/>
        <v>0</v>
      </c>
    </row>
    <row r="123" spans="1:84" s="7" customFormat="1" ht="12.75" customHeight="1" x14ac:dyDescent="0.2">
      <c r="A123" s="149"/>
      <c r="B123" s="14">
        <f t="shared" si="55"/>
        <v>1</v>
      </c>
      <c r="C123" s="12">
        <f t="shared" si="56"/>
        <v>1</v>
      </c>
      <c r="D123" s="17">
        <f t="shared" si="95"/>
        <v>117</v>
      </c>
      <c r="E123" s="17">
        <f t="shared" ca="1" si="57"/>
        <v>69</v>
      </c>
      <c r="F123" s="12">
        <f t="shared" si="97"/>
        <v>8</v>
      </c>
      <c r="G123" s="12">
        <f t="shared" si="96"/>
        <v>20</v>
      </c>
      <c r="H123" s="17">
        <f t="shared" si="98"/>
        <v>10</v>
      </c>
      <c r="I123" s="29">
        <f t="shared" si="58"/>
        <v>0</v>
      </c>
      <c r="J123" s="211">
        <f>IFERROR(VLOOKUP(H123,Charges!$T$6:$U$35,2,0)*C123,0)</f>
        <v>0.98</v>
      </c>
      <c r="K123" s="29">
        <f t="shared" si="59"/>
        <v>0</v>
      </c>
      <c r="L123" s="29">
        <f t="shared" si="60"/>
        <v>0</v>
      </c>
      <c r="M123" s="147">
        <f t="shared" ca="1" si="61"/>
        <v>0</v>
      </c>
      <c r="N123" s="148">
        <f ca="1">IF(AND(Option_SPW="Y",Z122&gt;=SPW_Start_Min_FV,H123&gt;=Lock_In_Period,Z122&gt;SPW_Amount_pa+IF(option="Single",1/5*pr,2*pr),H123&gt;=SPW_Start_Year,H123&lt;=SPW_Start_Year+SPW_Duration-1,F123=0,age+H123&gt;=Legal_Age),SPW_Amount_pa,0)+IFERROR(VLOOKUP(H123,Input!$B$68:$C$74,2,0),0)*(F123=0)*(Option_PW="Y")*(Option_SPW="N")*(age+H123&gt;=Legal_Age)</f>
        <v>0</v>
      </c>
      <c r="O123" s="148">
        <f t="shared" ca="1" si="87"/>
        <v>0</v>
      </c>
      <c r="P123" s="14">
        <f ca="1">(MAX(MAX(sa-CF122*Flag_UL_Type,105%*SUM($I$7:I123))-(AD122+L123-N123)*Flag_UL_Type,0)*B123)</f>
        <v>0</v>
      </c>
      <c r="Q123" s="213">
        <f t="shared" ca="1" si="62"/>
        <v>0</v>
      </c>
      <c r="R123" s="14">
        <f t="shared" ca="1" si="63"/>
        <v>0</v>
      </c>
      <c r="S123" s="14">
        <f t="shared" ca="1" si="64"/>
        <v>0</v>
      </c>
      <c r="T123" s="14">
        <f>IFERROR(IF(WoP_Flag="Y",IF(fq=1,VLOOKUP(ppt*fq-H123,Charges!$AN$41:$AO$59,2,FALSE),IF(fq=2,VLOOKUP(ppt*fq-G123,Charges!$AP$41:$AQ$79,2,FALSE),VLOOKUP(ppt*fq-D123,Charges!$AR$41:$AS$279,2,FALSE)))*pr/fq,0),0)</f>
        <v>0</v>
      </c>
      <c r="U123" s="14">
        <f ca="1">IFERROR(((T123*(VLOOKUP(Input!$D$18+H123-1,Tab_Mort_Charge,IF(Gender_2="M",2,3),FALSE)*(1+_emr2)+_rpm2)/IF(Model_Type="LA_PQIS",1000/0.0833,(12*1000))))*Flag_Mort_Rider_Charge*(T123&gt;0),0)</f>
        <v>0</v>
      </c>
      <c r="V123" s="34">
        <f>ROUND(MIN(IF(H123&gt;=7,Charges!$C$12*(1+Charges!$C$14)^((H123-7+1)),VLOOKUP(H123,Charges!$B$7:$C$12,2,0))*pr,Charges!$C$13)*B123,Round)</f>
        <v>500</v>
      </c>
      <c r="W123" s="14">
        <f t="shared" ca="1" si="65"/>
        <v>4019087.9269314511</v>
      </c>
      <c r="X123" s="14">
        <f t="shared" ca="1" si="66"/>
        <v>4044946.8596680793</v>
      </c>
      <c r="Y123" s="213">
        <f t="shared" ca="1" si="88"/>
        <v>4553.0416809480621</v>
      </c>
      <c r="Z123" s="14">
        <f t="shared" ca="1" si="67"/>
        <v>4040393.8179871314</v>
      </c>
      <c r="AA123" s="14">
        <f>IF(AND($H123=pt,$F123=11),SUM($K$7:K123)*VLOOKUP(pt,ROC,2,FALSE),0)</f>
        <v>0</v>
      </c>
      <c r="AB123" s="14">
        <f>IF(AND($H123=pt,$F123=11),SUM($V$7:V123)*VLOOKUP(pt,ROC,2,FALSE),0)</f>
        <v>0</v>
      </c>
      <c r="AC123" s="14">
        <f>IF(AND($H123=pt,$F123=11),SUM($Q$7:Q123)*VLOOKUP(pt,ROC,2,FALSE),0)</f>
        <v>0</v>
      </c>
      <c r="AD123" s="14">
        <f t="shared" ca="1" si="89"/>
        <v>4040393.8179871314</v>
      </c>
      <c r="AE123" s="14">
        <f ca="1">(MAX(sa-CF122*Flag_UL_Type,105%*SUM($I$7:I123),Z123)+AU123)*B123</f>
        <v>4040393.8179871314</v>
      </c>
      <c r="AF123" s="136"/>
      <c r="AG123" s="18">
        <v>117</v>
      </c>
      <c r="AH123" s="30">
        <f t="shared" ca="1" si="68"/>
        <v>0</v>
      </c>
      <c r="AI123" s="58"/>
      <c r="AJ123" s="50">
        <f>IF(AND(Option_Sys_TopUp&gt;="Y",H123&gt;=sytp,H123&lt;=(dtp+sytp-1),F123=0,H123&lt;=ppt+1),atp,0)+IFERROR(VLOOKUP(H123,Input!$B$55:$C$61,2,0),0)*(F123=0)*(Option_TopUP="Y")*(Option_Sys_TopUp="N")*B123*(pt&gt;=H123+5)</f>
        <v>0</v>
      </c>
      <c r="AK123" s="50">
        <f t="shared" si="69"/>
        <v>0</v>
      </c>
      <c r="AL123" s="50">
        <f t="shared" si="90"/>
        <v>0</v>
      </c>
      <c r="AM123" s="50">
        <f t="shared" ca="1" si="70"/>
        <v>0</v>
      </c>
      <c r="AN123" s="50">
        <f ca="1">IF(B123=0,0,AT123*(_rpm1+(1+_emr1)*VLOOKUP(E123,Tab_Mort_Charge,IF(Input!$C$12="M",2,3),0))*(0.001*0.0833)*Flag_Mort_Rider_Charge*(AT123&gt;0))</f>
        <v>0</v>
      </c>
      <c r="AO123" s="50">
        <f t="shared" ca="1" si="91"/>
        <v>0</v>
      </c>
      <c r="AP123" s="50">
        <f t="shared" ca="1" si="99"/>
        <v>0</v>
      </c>
      <c r="AQ123" s="50">
        <f t="shared" ca="1" si="71"/>
        <v>0</v>
      </c>
      <c r="AR123" s="50">
        <f t="shared" ca="1" si="72"/>
        <v>0</v>
      </c>
      <c r="AS123" s="50">
        <f t="shared" si="73"/>
        <v>0</v>
      </c>
      <c r="AT123" s="50">
        <f ca="1">(MAX((MAX(AS123,105%*SUM($AJ$7:AJ123))-AM123*Flag_UL_Type),0)*B123)</f>
        <v>0</v>
      </c>
      <c r="AU123" s="50">
        <f ca="1">(MAX(AS123,AR123,105%*SUM($AJ$7:AJ123))*B123)</f>
        <v>0</v>
      </c>
      <c r="AV123" s="125"/>
      <c r="AW123" s="13"/>
      <c r="AX123" s="13"/>
      <c r="AY123" s="13"/>
      <c r="AZ123" s="13"/>
      <c r="BA123" s="13"/>
      <c r="BG123" s="51">
        <f t="shared" si="74"/>
        <v>0</v>
      </c>
      <c r="BH123" s="51">
        <f t="shared" ca="1" si="75"/>
        <v>0</v>
      </c>
      <c r="BI123" s="51">
        <f t="shared" ca="1" si="76"/>
        <v>0</v>
      </c>
      <c r="BJ123" s="51">
        <f t="shared" ca="1" si="77"/>
        <v>0</v>
      </c>
      <c r="BK123" s="51">
        <f t="shared" si="78"/>
        <v>0</v>
      </c>
      <c r="BL123" s="51">
        <f t="shared" ca="1" si="79"/>
        <v>0</v>
      </c>
      <c r="BM123" s="51">
        <f t="shared" si="80"/>
        <v>0</v>
      </c>
      <c r="BN123" s="51">
        <f t="shared" ca="1" si="81"/>
        <v>0</v>
      </c>
      <c r="BO123" s="51">
        <f t="shared" ca="1" si="82"/>
        <v>0</v>
      </c>
      <c r="BP123" s="51">
        <f t="shared" ca="1" si="83"/>
        <v>0</v>
      </c>
      <c r="BQ123" s="120"/>
      <c r="BR123" s="32"/>
      <c r="BS123" s="126"/>
      <c r="BT123" s="16"/>
      <c r="BU123" s="58"/>
      <c r="BW123" s="51">
        <f>VLOOKUP(H123,Charges!$AT$4:$AU$33,2,FALSE)*I123</f>
        <v>0</v>
      </c>
      <c r="BX123" s="51">
        <f t="shared" si="84"/>
        <v>0</v>
      </c>
      <c r="BY123" s="51">
        <f t="shared" si="93"/>
        <v>0</v>
      </c>
      <c r="BZ123" s="151"/>
      <c r="CA123" s="151"/>
      <c r="CB123" s="32"/>
      <c r="CC123" s="16">
        <f ca="1">SUM($N$7:$N123)</f>
        <v>0</v>
      </c>
      <c r="CD123" s="16">
        <f t="shared" ca="1" si="85"/>
        <v>0</v>
      </c>
      <c r="CE123" s="16">
        <f t="shared" ca="1" si="86"/>
        <v>0</v>
      </c>
      <c r="CF123" s="7">
        <f t="shared" ca="1" si="94"/>
        <v>0</v>
      </c>
    </row>
    <row r="124" spans="1:84" s="7" customFormat="1" x14ac:dyDescent="0.2">
      <c r="A124" s="149"/>
      <c r="B124" s="14">
        <f t="shared" si="55"/>
        <v>1</v>
      </c>
      <c r="C124" s="12">
        <f t="shared" si="56"/>
        <v>1</v>
      </c>
      <c r="D124" s="17">
        <f t="shared" si="95"/>
        <v>118</v>
      </c>
      <c r="E124" s="17">
        <f t="shared" ca="1" si="57"/>
        <v>69</v>
      </c>
      <c r="F124" s="12">
        <f t="shared" si="97"/>
        <v>9</v>
      </c>
      <c r="G124" s="12">
        <f t="shared" si="96"/>
        <v>20</v>
      </c>
      <c r="H124" s="17">
        <f t="shared" si="98"/>
        <v>10</v>
      </c>
      <c r="I124" s="29">
        <f t="shared" si="58"/>
        <v>0</v>
      </c>
      <c r="J124" s="211">
        <f>IFERROR(VLOOKUP(H124,Charges!$T$6:$U$35,2,0)*C124,0)</f>
        <v>0.98</v>
      </c>
      <c r="K124" s="29">
        <f t="shared" si="59"/>
        <v>0</v>
      </c>
      <c r="L124" s="29">
        <f t="shared" si="60"/>
        <v>0</v>
      </c>
      <c r="M124" s="147">
        <f t="shared" ca="1" si="61"/>
        <v>0</v>
      </c>
      <c r="N124" s="148">
        <f ca="1">IF(AND(Option_SPW="Y",Z123&gt;=SPW_Start_Min_FV,H124&gt;=Lock_In_Period,Z123&gt;SPW_Amount_pa+IF(option="Single",1/5*pr,2*pr),H124&gt;=SPW_Start_Year,H124&lt;=SPW_Start_Year+SPW_Duration-1,F124=0,age+H124&gt;=Legal_Age),SPW_Amount_pa,0)+IFERROR(VLOOKUP(H124,Input!$B$68:$C$74,2,0),0)*(F124=0)*(Option_PW="Y")*(Option_SPW="N")*(age+H124&gt;=Legal_Age)</f>
        <v>0</v>
      </c>
      <c r="O124" s="148">
        <f t="shared" ca="1" si="87"/>
        <v>0</v>
      </c>
      <c r="P124" s="14">
        <f ca="1">(MAX(MAX(sa-CF123*Flag_UL_Type,105%*SUM($I$7:I124))-(AD123+L124-N124)*Flag_UL_Type,0)*B124)</f>
        <v>0</v>
      </c>
      <c r="Q124" s="213">
        <f t="shared" ca="1" si="62"/>
        <v>0</v>
      </c>
      <c r="R124" s="14">
        <f t="shared" ca="1" si="63"/>
        <v>0</v>
      </c>
      <c r="S124" s="14">
        <f t="shared" ca="1" si="64"/>
        <v>0</v>
      </c>
      <c r="T124" s="14">
        <f>IFERROR(IF(WoP_Flag="Y",IF(fq=1,VLOOKUP(ppt*fq-H124,Charges!$AN$41:$AO$59,2,FALSE),IF(fq=2,VLOOKUP(ppt*fq-G124,Charges!$AP$41:$AQ$79,2,FALSE),VLOOKUP(ppt*fq-D124,Charges!$AR$41:$AS$279,2,FALSE)))*pr/fq,0),0)</f>
        <v>0</v>
      </c>
      <c r="U124" s="14">
        <f ca="1">IFERROR(((T124*(VLOOKUP(Input!$D$18+H124-1,Tab_Mort_Charge,IF(Gender_2="M",2,3),FALSE)*(1+_emr2)+_rpm2)/IF(Model_Type="LA_PQIS",1000/0.0833,(12*1000))))*Flag_Mort_Rider_Charge*(T124&gt;0),0)</f>
        <v>0</v>
      </c>
      <c r="V124" s="34">
        <f>ROUND(MIN(IF(H124&gt;=7,Charges!$C$12*(1+Charges!$C$14)^((H124-7+1)),VLOOKUP(H124,Charges!$B$7:$C$12,2,0))*pr,Charges!$C$13)*B124,Round)</f>
        <v>500</v>
      </c>
      <c r="W124" s="14">
        <f t="shared" ca="1" si="65"/>
        <v>4039893.8179871314</v>
      </c>
      <c r="X124" s="14">
        <f t="shared" ca="1" si="66"/>
        <v>4065886.6164532774</v>
      </c>
      <c r="Y124" s="213">
        <f t="shared" ca="1" si="88"/>
        <v>4576.6117274133321</v>
      </c>
      <c r="Z124" s="14">
        <f t="shared" ca="1" si="67"/>
        <v>4061310.0047258642</v>
      </c>
      <c r="AA124" s="14">
        <f>IF(AND($H124=pt,$F124=11),SUM($K$7:K124)*VLOOKUP(pt,ROC,2,FALSE),0)</f>
        <v>0</v>
      </c>
      <c r="AB124" s="14">
        <f>IF(AND($H124=pt,$F124=11),SUM($V$7:V124)*VLOOKUP(pt,ROC,2,FALSE),0)</f>
        <v>0</v>
      </c>
      <c r="AC124" s="14">
        <f>IF(AND($H124=pt,$F124=11),SUM($Q$7:Q124)*VLOOKUP(pt,ROC,2,FALSE),0)</f>
        <v>0</v>
      </c>
      <c r="AD124" s="14">
        <f t="shared" ca="1" si="89"/>
        <v>4061310.0047258642</v>
      </c>
      <c r="AE124" s="14">
        <f ca="1">(MAX(sa-CF123*Flag_UL_Type,105%*SUM($I$7:I124),Z124)+AU124)*B124</f>
        <v>4061310.0047258642</v>
      </c>
      <c r="AF124" s="136"/>
      <c r="AG124" s="18">
        <v>118</v>
      </c>
      <c r="AH124" s="30">
        <f t="shared" ca="1" si="68"/>
        <v>0</v>
      </c>
      <c r="AI124" s="58"/>
      <c r="AJ124" s="50">
        <f>IF(AND(Option_Sys_TopUp&gt;="Y",H124&gt;=sytp,H124&lt;=(dtp+sytp-1),F124=0,H124&lt;=ppt+1),atp,0)+IFERROR(VLOOKUP(H124,Input!$B$55:$C$61,2,0),0)*(F124=0)*(Option_TopUP="Y")*(Option_Sys_TopUp="N")*B124*(pt&gt;=H124+5)</f>
        <v>0</v>
      </c>
      <c r="AK124" s="50">
        <f t="shared" si="69"/>
        <v>0</v>
      </c>
      <c r="AL124" s="50">
        <f t="shared" si="90"/>
        <v>0</v>
      </c>
      <c r="AM124" s="50">
        <f t="shared" ca="1" si="70"/>
        <v>0</v>
      </c>
      <c r="AN124" s="50">
        <f ca="1">IF(B124=0,0,AT124*(_rpm1+(1+_emr1)*VLOOKUP(E124,Tab_Mort_Charge,IF(Input!$C$12="M",2,3),0))*(0.001*0.0833)*Flag_Mort_Rider_Charge*(AT124&gt;0))</f>
        <v>0</v>
      </c>
      <c r="AO124" s="50">
        <f t="shared" ca="1" si="91"/>
        <v>0</v>
      </c>
      <c r="AP124" s="50">
        <f t="shared" ca="1" si="99"/>
        <v>0</v>
      </c>
      <c r="AQ124" s="50">
        <f t="shared" ca="1" si="71"/>
        <v>0</v>
      </c>
      <c r="AR124" s="50">
        <f t="shared" ca="1" si="72"/>
        <v>0</v>
      </c>
      <c r="AS124" s="50">
        <f t="shared" si="73"/>
        <v>0</v>
      </c>
      <c r="AT124" s="50">
        <f ca="1">(MAX((MAX(AS124,105%*SUM($AJ$7:AJ124))-AM124*Flag_UL_Type),0)*B124)</f>
        <v>0</v>
      </c>
      <c r="AU124" s="50">
        <f ca="1">(MAX(AS124,AR124,105%*SUM($AJ$7:AJ124))*B124)</f>
        <v>0</v>
      </c>
      <c r="AV124" s="125"/>
      <c r="AW124" s="13"/>
      <c r="AX124" s="13"/>
      <c r="AY124" s="13"/>
      <c r="AZ124" s="13"/>
      <c r="BA124" s="13"/>
      <c r="BG124" s="51">
        <f t="shared" si="74"/>
        <v>0</v>
      </c>
      <c r="BH124" s="51">
        <f t="shared" ca="1" si="75"/>
        <v>0</v>
      </c>
      <c r="BI124" s="51">
        <f t="shared" ca="1" si="76"/>
        <v>0</v>
      </c>
      <c r="BJ124" s="51">
        <f t="shared" ca="1" si="77"/>
        <v>0</v>
      </c>
      <c r="BK124" s="51">
        <f t="shared" si="78"/>
        <v>0</v>
      </c>
      <c r="BL124" s="51">
        <f t="shared" ca="1" si="79"/>
        <v>0</v>
      </c>
      <c r="BM124" s="51">
        <f t="shared" si="80"/>
        <v>0</v>
      </c>
      <c r="BN124" s="51">
        <f t="shared" ca="1" si="81"/>
        <v>0</v>
      </c>
      <c r="BO124" s="51">
        <f t="shared" ca="1" si="82"/>
        <v>0</v>
      </c>
      <c r="BP124" s="51">
        <f t="shared" ca="1" si="83"/>
        <v>0</v>
      </c>
      <c r="BQ124" s="120"/>
      <c r="BR124" s="32"/>
      <c r="BS124" s="126"/>
      <c r="BT124" s="16"/>
      <c r="BU124" s="58"/>
      <c r="BW124" s="51">
        <f>VLOOKUP(H124,Charges!$AT$4:$AU$33,2,FALSE)*I124</f>
        <v>0</v>
      </c>
      <c r="BX124" s="51">
        <f t="shared" si="84"/>
        <v>0</v>
      </c>
      <c r="BY124" s="51">
        <f t="shared" si="93"/>
        <v>0</v>
      </c>
      <c r="BZ124" s="151"/>
      <c r="CA124" s="151"/>
      <c r="CB124" s="32"/>
      <c r="CC124" s="16">
        <f ca="1">SUM($N$7:$N124)</f>
        <v>0</v>
      </c>
      <c r="CD124" s="16">
        <f t="shared" ca="1" si="85"/>
        <v>0</v>
      </c>
      <c r="CE124" s="16">
        <f t="shared" ca="1" si="86"/>
        <v>0</v>
      </c>
      <c r="CF124" s="7">
        <f t="shared" ca="1" si="94"/>
        <v>0</v>
      </c>
    </row>
    <row r="125" spans="1:84" s="7" customFormat="1" x14ac:dyDescent="0.2">
      <c r="A125" s="149"/>
      <c r="B125" s="14">
        <f t="shared" si="55"/>
        <v>1</v>
      </c>
      <c r="C125" s="12">
        <f t="shared" si="56"/>
        <v>1</v>
      </c>
      <c r="D125" s="17">
        <f t="shared" si="95"/>
        <v>119</v>
      </c>
      <c r="E125" s="17">
        <f t="shared" ca="1" si="57"/>
        <v>69</v>
      </c>
      <c r="F125" s="12">
        <f t="shared" si="97"/>
        <v>10</v>
      </c>
      <c r="G125" s="12">
        <f t="shared" si="96"/>
        <v>20</v>
      </c>
      <c r="H125" s="17">
        <f t="shared" si="98"/>
        <v>10</v>
      </c>
      <c r="I125" s="29">
        <f t="shared" si="58"/>
        <v>0</v>
      </c>
      <c r="J125" s="211">
        <f>IFERROR(VLOOKUP(H125,Charges!$T$6:$U$35,2,0)*C125,0)</f>
        <v>0.98</v>
      </c>
      <c r="K125" s="29">
        <f t="shared" si="59"/>
        <v>0</v>
      </c>
      <c r="L125" s="29">
        <f t="shared" si="60"/>
        <v>0</v>
      </c>
      <c r="M125" s="147">
        <f t="shared" ca="1" si="61"/>
        <v>0</v>
      </c>
      <c r="N125" s="148">
        <f ca="1">IF(AND(Option_SPW="Y",Z124&gt;=SPW_Start_Min_FV,H125&gt;=Lock_In_Period,Z124&gt;SPW_Amount_pa+IF(option="Single",1/5*pr,2*pr),H125&gt;=SPW_Start_Year,H125&lt;=SPW_Start_Year+SPW_Duration-1,F125=0,age+H125&gt;=Legal_Age),SPW_Amount_pa,0)+IFERROR(VLOOKUP(H125,Input!$B$68:$C$74,2,0),0)*(F125=0)*(Option_PW="Y")*(Option_SPW="N")*(age+H125&gt;=Legal_Age)</f>
        <v>0</v>
      </c>
      <c r="O125" s="148">
        <f t="shared" ca="1" si="87"/>
        <v>0</v>
      </c>
      <c r="P125" s="14">
        <f ca="1">(MAX(MAX(sa-CF124*Flag_UL_Type,105%*SUM($I$7:I125))-(AD124+L125-N125)*Flag_UL_Type,0)*B125)</f>
        <v>0</v>
      </c>
      <c r="Q125" s="213">
        <f t="shared" ca="1" si="62"/>
        <v>0</v>
      </c>
      <c r="R125" s="14">
        <f t="shared" ca="1" si="63"/>
        <v>0</v>
      </c>
      <c r="S125" s="14">
        <f t="shared" ca="1" si="64"/>
        <v>0</v>
      </c>
      <c r="T125" s="14">
        <f>IFERROR(IF(WoP_Flag="Y",IF(fq=1,VLOOKUP(ppt*fq-H125,Charges!$AN$41:$AO$59,2,FALSE),IF(fq=2,VLOOKUP(ppt*fq-G125,Charges!$AP$41:$AQ$79,2,FALSE),VLOOKUP(ppt*fq-D125,Charges!$AR$41:$AS$279,2,FALSE)))*pr/fq,0),0)</f>
        <v>0</v>
      </c>
      <c r="U125" s="14">
        <f ca="1">IFERROR(((T125*(VLOOKUP(Input!$D$18+H125-1,Tab_Mort_Charge,IF(Gender_2="M",2,3),FALSE)*(1+_emr2)+_rpm2)/IF(Model_Type="LA_PQIS",1000/0.0833,(12*1000))))*Flag_Mort_Rider_Charge*(T125&gt;0),0)</f>
        <v>0</v>
      </c>
      <c r="V125" s="34">
        <f>ROUND(MIN(IF(H125&gt;=7,Charges!$C$12*(1+Charges!$C$14)^((H125-7+1)),VLOOKUP(H125,Charges!$B$7:$C$12,2,0))*pr,Charges!$C$13)*B125,Round)</f>
        <v>500</v>
      </c>
      <c r="W125" s="14">
        <f t="shared" ca="1" si="65"/>
        <v>4060810.0047258642</v>
      </c>
      <c r="X125" s="14">
        <f t="shared" ca="1" si="66"/>
        <v>4086937.3785672737</v>
      </c>
      <c r="Y125" s="213">
        <f t="shared" ca="1" si="88"/>
        <v>4600.3067228350055</v>
      </c>
      <c r="Z125" s="14">
        <f t="shared" ca="1" si="67"/>
        <v>4082337.0718444386</v>
      </c>
      <c r="AA125" s="14">
        <f>IF(AND($H125=pt,$F125=11),SUM($K$7:K125)*VLOOKUP(pt,ROC,2,FALSE),0)</f>
        <v>0</v>
      </c>
      <c r="AB125" s="14">
        <f>IF(AND($H125=pt,$F125=11),SUM($V$7:V125)*VLOOKUP(pt,ROC,2,FALSE),0)</f>
        <v>0</v>
      </c>
      <c r="AC125" s="14">
        <f>IF(AND($H125=pt,$F125=11),SUM($Q$7:Q125)*VLOOKUP(pt,ROC,2,FALSE),0)</f>
        <v>0</v>
      </c>
      <c r="AD125" s="14">
        <f t="shared" ca="1" si="89"/>
        <v>4082337.0718444386</v>
      </c>
      <c r="AE125" s="14">
        <f ca="1">(MAX(sa-CF124*Flag_UL_Type,105%*SUM($I$7:I125),Z125)+AU125)*B125</f>
        <v>4082337.0718444386</v>
      </c>
      <c r="AF125" s="136"/>
      <c r="AG125" s="18">
        <v>119</v>
      </c>
      <c r="AH125" s="30">
        <f t="shared" ca="1" si="68"/>
        <v>0</v>
      </c>
      <c r="AI125" s="58"/>
      <c r="AJ125" s="50">
        <f>IF(AND(Option_Sys_TopUp&gt;="Y",H125&gt;=sytp,H125&lt;=(dtp+sytp-1),F125=0,H125&lt;=ppt+1),atp,0)+IFERROR(VLOOKUP(H125,Input!$B$55:$C$61,2,0),0)*(F125=0)*(Option_TopUP="Y")*(Option_Sys_TopUp="N")*B125*(pt&gt;=H125+5)</f>
        <v>0</v>
      </c>
      <c r="AK125" s="50">
        <f t="shared" si="69"/>
        <v>0</v>
      </c>
      <c r="AL125" s="50">
        <f t="shared" si="90"/>
        <v>0</v>
      </c>
      <c r="AM125" s="50">
        <f t="shared" ca="1" si="70"/>
        <v>0</v>
      </c>
      <c r="AN125" s="50">
        <f ca="1">IF(B125=0,0,AT125*(_rpm1+(1+_emr1)*VLOOKUP(E125,Tab_Mort_Charge,IF(Input!$C$12="M",2,3),0))*(0.001*0.0833)*Flag_Mort_Rider_Charge*(AT125&gt;0))</f>
        <v>0</v>
      </c>
      <c r="AO125" s="50">
        <f t="shared" ca="1" si="91"/>
        <v>0</v>
      </c>
      <c r="AP125" s="50">
        <f t="shared" ca="1" si="99"/>
        <v>0</v>
      </c>
      <c r="AQ125" s="50">
        <f t="shared" ca="1" si="71"/>
        <v>0</v>
      </c>
      <c r="AR125" s="50">
        <f t="shared" ca="1" si="72"/>
        <v>0</v>
      </c>
      <c r="AS125" s="50">
        <f t="shared" si="73"/>
        <v>0</v>
      </c>
      <c r="AT125" s="50">
        <f ca="1">(MAX((MAX(AS125,105%*SUM($AJ$7:AJ125))-AM125*Flag_UL_Type),0)*B125)</f>
        <v>0</v>
      </c>
      <c r="AU125" s="50">
        <f ca="1">(MAX(AS125,AR125,105%*SUM($AJ$7:AJ125))*B125)</f>
        <v>0</v>
      </c>
      <c r="AV125" s="125"/>
      <c r="AW125" s="13"/>
      <c r="AX125" s="13"/>
      <c r="AY125" s="13"/>
      <c r="AZ125" s="13"/>
      <c r="BA125" s="13"/>
      <c r="BG125" s="51">
        <f t="shared" si="74"/>
        <v>0</v>
      </c>
      <c r="BH125" s="51">
        <f t="shared" ca="1" si="75"/>
        <v>0</v>
      </c>
      <c r="BI125" s="51">
        <f t="shared" ca="1" si="76"/>
        <v>0</v>
      </c>
      <c r="BJ125" s="51">
        <f t="shared" ca="1" si="77"/>
        <v>0</v>
      </c>
      <c r="BK125" s="51">
        <f t="shared" si="78"/>
        <v>0</v>
      </c>
      <c r="BL125" s="51">
        <f t="shared" ca="1" si="79"/>
        <v>0</v>
      </c>
      <c r="BM125" s="51">
        <f t="shared" si="80"/>
        <v>0</v>
      </c>
      <c r="BN125" s="51">
        <f t="shared" ca="1" si="81"/>
        <v>0</v>
      </c>
      <c r="BO125" s="51">
        <f t="shared" ca="1" si="82"/>
        <v>0</v>
      </c>
      <c r="BP125" s="51">
        <f t="shared" ca="1" si="83"/>
        <v>0</v>
      </c>
      <c r="BQ125" s="120"/>
      <c r="BR125" s="32"/>
      <c r="BS125" s="126"/>
      <c r="BT125" s="16"/>
      <c r="BU125" s="58"/>
      <c r="BW125" s="51">
        <f>VLOOKUP(H125,Charges!$AT$4:$AU$33,2,FALSE)*I125</f>
        <v>0</v>
      </c>
      <c r="BX125" s="51">
        <f t="shared" si="84"/>
        <v>0</v>
      </c>
      <c r="BY125" s="51">
        <f t="shared" si="93"/>
        <v>0</v>
      </c>
      <c r="BZ125" s="151"/>
      <c r="CA125" s="151"/>
      <c r="CB125" s="32"/>
      <c r="CC125" s="16">
        <f ca="1">SUM($N$7:$N125)</f>
        <v>0</v>
      </c>
      <c r="CD125" s="16">
        <f t="shared" ca="1" si="85"/>
        <v>0</v>
      </c>
      <c r="CE125" s="16">
        <f t="shared" ca="1" si="86"/>
        <v>0</v>
      </c>
      <c r="CF125" s="7">
        <f t="shared" ca="1" si="94"/>
        <v>0</v>
      </c>
    </row>
    <row r="126" spans="1:84" s="7" customFormat="1" x14ac:dyDescent="0.2">
      <c r="A126" s="149"/>
      <c r="B126" s="14">
        <f t="shared" si="55"/>
        <v>1</v>
      </c>
      <c r="C126" s="12">
        <f t="shared" si="56"/>
        <v>1</v>
      </c>
      <c r="D126" s="17">
        <f t="shared" si="95"/>
        <v>120</v>
      </c>
      <c r="E126" s="17">
        <f t="shared" ca="1" si="57"/>
        <v>69</v>
      </c>
      <c r="F126" s="12">
        <f t="shared" si="97"/>
        <v>11</v>
      </c>
      <c r="G126" s="12">
        <f t="shared" si="96"/>
        <v>20</v>
      </c>
      <c r="H126" s="17">
        <f t="shared" si="98"/>
        <v>10</v>
      </c>
      <c r="I126" s="29">
        <f t="shared" si="58"/>
        <v>0</v>
      </c>
      <c r="J126" s="211">
        <f>IFERROR(VLOOKUP(H126,Charges!$T$6:$U$35,2,0)*C126,0)</f>
        <v>0.98</v>
      </c>
      <c r="K126" s="29">
        <f t="shared" si="59"/>
        <v>0</v>
      </c>
      <c r="L126" s="29">
        <f t="shared" si="60"/>
        <v>0</v>
      </c>
      <c r="M126" s="147">
        <f t="shared" ca="1" si="61"/>
        <v>0</v>
      </c>
      <c r="N126" s="148">
        <f ca="1">IF(AND(Option_SPW="Y",Z125&gt;=SPW_Start_Min_FV,H126&gt;=Lock_In_Period,Z125&gt;SPW_Amount_pa+IF(option="Single",1/5*pr,2*pr),H126&gt;=SPW_Start_Year,H126&lt;=SPW_Start_Year+SPW_Duration-1,F126=0,age+H126&gt;=Legal_Age),SPW_Amount_pa,0)+IFERROR(VLOOKUP(H126,Input!$B$68:$C$74,2,0),0)*(F126=0)*(Option_PW="Y")*(Option_SPW="N")*(age+H126&gt;=Legal_Age)</f>
        <v>0</v>
      </c>
      <c r="O126" s="148">
        <f t="shared" ca="1" si="87"/>
        <v>0</v>
      </c>
      <c r="P126" s="14">
        <f ca="1">(MAX(MAX(sa-CF125*Flag_UL_Type,105%*SUM($I$7:I126))-(AD125+L126-N126)*Flag_UL_Type,0)*B126)</f>
        <v>0</v>
      </c>
      <c r="Q126" s="213">
        <f t="shared" ca="1" si="62"/>
        <v>0</v>
      </c>
      <c r="R126" s="14">
        <f t="shared" ca="1" si="63"/>
        <v>0</v>
      </c>
      <c r="S126" s="14">
        <f t="shared" ca="1" si="64"/>
        <v>0</v>
      </c>
      <c r="T126" s="14">
        <f>IFERROR(IF(WoP_Flag="Y",IF(fq=1,VLOOKUP(ppt*fq-H126,Charges!$AN$41:$AO$59,2,FALSE),IF(fq=2,VLOOKUP(ppt*fq-G126,Charges!$AP$41:$AQ$79,2,FALSE),VLOOKUP(ppt*fq-D126,Charges!$AR$41:$AS$279,2,FALSE)))*pr/fq,0),0)</f>
        <v>0</v>
      </c>
      <c r="U126" s="14">
        <f ca="1">IFERROR(((T126*(VLOOKUP(Input!$D$18+H126-1,Tab_Mort_Charge,IF(Gender_2="M",2,3),FALSE)*(1+_emr2)+_rpm2)/IF(Model_Type="LA_PQIS",1000/0.0833,(12*1000))))*Flag_Mort_Rider_Charge*(T126&gt;0),0)</f>
        <v>0</v>
      </c>
      <c r="V126" s="34">
        <f>ROUND(MIN(IF(H126&gt;=7,Charges!$C$12*(1+Charges!$C$14)^((H126-7+1)),VLOOKUP(H126,Charges!$B$7:$C$12,2,0))*pr,Charges!$C$13)*B126,Round)</f>
        <v>500</v>
      </c>
      <c r="W126" s="14">
        <f t="shared" ca="1" si="65"/>
        <v>4081837.0718444386</v>
      </c>
      <c r="X126" s="14">
        <f t="shared" ca="1" si="66"/>
        <v>4108099.734468814</v>
      </c>
      <c r="Y126" s="213">
        <f t="shared" ca="1" si="88"/>
        <v>4624.127329589448</v>
      </c>
      <c r="Z126" s="14">
        <f t="shared" ca="1" si="67"/>
        <v>4103475.6071392247</v>
      </c>
      <c r="AA126" s="14">
        <f>IF(AND($H126=pt,$F126=11),SUM($K$7:K126)*VLOOKUP(pt,ROC,2,FALSE),0)</f>
        <v>0</v>
      </c>
      <c r="AB126" s="14">
        <f>IF(AND($H126=pt,$F126=11),SUM($V$7:V126)*VLOOKUP(pt,ROC,2,FALSE),0)</f>
        <v>0</v>
      </c>
      <c r="AC126" s="14">
        <f>IF(AND($H126=pt,$F126=11),SUM($Q$7:Q126)*VLOOKUP(pt,ROC,2,FALSE),0)</f>
        <v>0</v>
      </c>
      <c r="AD126" s="14">
        <f t="shared" ca="1" si="89"/>
        <v>4103475.6071392247</v>
      </c>
      <c r="AE126" s="14">
        <f ca="1">(MAX(sa-CF125*Flag_UL_Type,105%*SUM($I$7:I126),Z126)+AU126)*B126</f>
        <v>4103475.6071392247</v>
      </c>
      <c r="AF126" s="136"/>
      <c r="AG126" s="18">
        <v>120</v>
      </c>
      <c r="AH126" s="30">
        <f t="shared" ca="1" si="68"/>
        <v>0</v>
      </c>
      <c r="AI126" s="58"/>
      <c r="AJ126" s="50">
        <f>IF(AND(Option_Sys_TopUp&gt;="Y",H126&gt;=sytp,H126&lt;=(dtp+sytp-1),F126=0,H126&lt;=ppt+1),atp,0)+IFERROR(VLOOKUP(H126,Input!$B$55:$C$61,2,0),0)*(F126=0)*(Option_TopUP="Y")*(Option_Sys_TopUp="N")*B126*(pt&gt;=H126+5)</f>
        <v>0</v>
      </c>
      <c r="AK126" s="50">
        <f t="shared" si="69"/>
        <v>0</v>
      </c>
      <c r="AL126" s="50">
        <f t="shared" si="90"/>
        <v>0</v>
      </c>
      <c r="AM126" s="50">
        <f t="shared" ca="1" si="70"/>
        <v>0</v>
      </c>
      <c r="AN126" s="50">
        <f ca="1">IF(B126=0,0,AT126*(_rpm1+(1+_emr1)*VLOOKUP(E126,Tab_Mort_Charge,IF(Input!$C$12="M",2,3),0))*(0.001*0.0833)*Flag_Mort_Rider_Charge*(AT126&gt;0))</f>
        <v>0</v>
      </c>
      <c r="AO126" s="50">
        <f t="shared" ca="1" si="91"/>
        <v>0</v>
      </c>
      <c r="AP126" s="50">
        <f t="shared" ca="1" si="99"/>
        <v>0</v>
      </c>
      <c r="AQ126" s="50">
        <f t="shared" ca="1" si="71"/>
        <v>0</v>
      </c>
      <c r="AR126" s="50">
        <f t="shared" ca="1" si="72"/>
        <v>0</v>
      </c>
      <c r="AS126" s="50">
        <f t="shared" si="73"/>
        <v>0</v>
      </c>
      <c r="AT126" s="50">
        <f ca="1">(MAX((MAX(AS126,105%*SUM($AJ$7:AJ126))-AM126*Flag_UL_Type),0)*B126)</f>
        <v>0</v>
      </c>
      <c r="AU126" s="50">
        <f ca="1">(MAX(AS126,AR126,105%*SUM($AJ$7:AJ126))*B126)</f>
        <v>0</v>
      </c>
      <c r="AV126" s="125"/>
      <c r="AW126" s="13"/>
      <c r="AX126" s="13"/>
      <c r="AY126" s="13"/>
      <c r="AZ126" s="13"/>
      <c r="BA126" s="13"/>
      <c r="BG126" s="51">
        <f t="shared" si="74"/>
        <v>0</v>
      </c>
      <c r="BH126" s="51">
        <f t="shared" ca="1" si="75"/>
        <v>0</v>
      </c>
      <c r="BI126" s="51">
        <f t="shared" ca="1" si="76"/>
        <v>0</v>
      </c>
      <c r="BJ126" s="51">
        <f t="shared" ca="1" si="77"/>
        <v>0</v>
      </c>
      <c r="BK126" s="51">
        <f t="shared" si="78"/>
        <v>0</v>
      </c>
      <c r="BL126" s="51">
        <f t="shared" ca="1" si="79"/>
        <v>0</v>
      </c>
      <c r="BM126" s="51">
        <f t="shared" si="80"/>
        <v>0</v>
      </c>
      <c r="BN126" s="51">
        <f t="shared" ca="1" si="81"/>
        <v>0</v>
      </c>
      <c r="BO126" s="51">
        <f t="shared" ca="1" si="82"/>
        <v>0</v>
      </c>
      <c r="BP126" s="51">
        <f t="shared" ca="1" si="83"/>
        <v>0</v>
      </c>
      <c r="BQ126" s="120"/>
      <c r="BR126" s="32"/>
      <c r="BS126" s="126"/>
      <c r="BT126" s="16"/>
      <c r="BU126" s="58"/>
      <c r="BW126" s="51">
        <f>VLOOKUP(H126,Charges!$AT$4:$AU$33,2,FALSE)*I126</f>
        <v>0</v>
      </c>
      <c r="BX126" s="51">
        <f t="shared" si="84"/>
        <v>0</v>
      </c>
      <c r="BY126" s="51">
        <f t="shared" si="93"/>
        <v>0</v>
      </c>
      <c r="BZ126" s="151"/>
      <c r="CA126" s="151"/>
      <c r="CB126" s="32"/>
      <c r="CC126" s="16">
        <f ca="1">SUM($N$7:$N126)</f>
        <v>0</v>
      </c>
      <c r="CD126" s="16">
        <f t="shared" ca="1" si="85"/>
        <v>0</v>
      </c>
      <c r="CE126" s="16">
        <f t="shared" ca="1" si="86"/>
        <v>0</v>
      </c>
      <c r="CF126" s="7">
        <f t="shared" ca="1" si="94"/>
        <v>0</v>
      </c>
    </row>
    <row r="127" spans="1:84" s="7" customFormat="1" x14ac:dyDescent="0.2">
      <c r="A127" s="149"/>
      <c r="B127" s="14">
        <f t="shared" si="55"/>
        <v>1</v>
      </c>
      <c r="C127" s="12">
        <f t="shared" si="56"/>
        <v>1</v>
      </c>
      <c r="D127" s="17">
        <f t="shared" si="95"/>
        <v>121</v>
      </c>
      <c r="E127" s="17">
        <f t="shared" ca="1" si="57"/>
        <v>70</v>
      </c>
      <c r="F127" s="12">
        <f t="shared" si="97"/>
        <v>0</v>
      </c>
      <c r="G127" s="12">
        <f t="shared" si="96"/>
        <v>21</v>
      </c>
      <c r="H127" s="17">
        <f t="shared" si="98"/>
        <v>11</v>
      </c>
      <c r="I127" s="29">
        <f t="shared" si="58"/>
        <v>300000</v>
      </c>
      <c r="J127" s="211">
        <f>IFERROR(VLOOKUP(H127,Charges!$T$6:$U$35,2,0)*C127,0)</f>
        <v>1</v>
      </c>
      <c r="K127" s="29">
        <f t="shared" si="59"/>
        <v>0</v>
      </c>
      <c r="L127" s="29">
        <f t="shared" si="60"/>
        <v>300000</v>
      </c>
      <c r="M127" s="147">
        <f t="shared" ca="1" si="61"/>
        <v>0</v>
      </c>
      <c r="N127" s="148">
        <f ca="1">IF(AND(Option_SPW="Y",Z126&gt;=SPW_Start_Min_FV,H127&gt;=Lock_In_Period,Z126&gt;SPW_Amount_pa+IF(option="Single",1/5*pr,2*pr),H127&gt;=SPW_Start_Year,H127&lt;=SPW_Start_Year+SPW_Duration-1,F127=0,age+H127&gt;=Legal_Age),SPW_Amount_pa,0)+IFERROR(VLOOKUP(H127,Input!$B$68:$C$74,2,0),0)*(F127=0)*(Option_PW="Y")*(Option_SPW="N")*(age+H127&gt;=Legal_Age)</f>
        <v>0</v>
      </c>
      <c r="O127" s="148">
        <f t="shared" ca="1" si="87"/>
        <v>0</v>
      </c>
      <c r="P127" s="14">
        <f ca="1">(MAX(MAX(sa-CF126*Flag_UL_Type,105%*SUM($I$7:I127))-(AD126+L127-N127)*Flag_UL_Type,0)*B127)</f>
        <v>0</v>
      </c>
      <c r="Q127" s="213">
        <f t="shared" ca="1" si="62"/>
        <v>0</v>
      </c>
      <c r="R127" s="14">
        <f t="shared" ca="1" si="63"/>
        <v>0</v>
      </c>
      <c r="S127" s="14">
        <f t="shared" ca="1" si="64"/>
        <v>0</v>
      </c>
      <c r="T127" s="14">
        <f>IFERROR(IF(WoP_Flag="Y",IF(fq=1,VLOOKUP(ppt*fq-H127,Charges!$AN$41:$AO$59,2,FALSE),IF(fq=2,VLOOKUP(ppt*fq-G127,Charges!$AP$41:$AQ$79,2,FALSE),VLOOKUP(ppt*fq-D127,Charges!$AR$41:$AS$279,2,FALSE)))*pr/fq,0),0)</f>
        <v>0</v>
      </c>
      <c r="U127" s="14">
        <f ca="1">IFERROR(((T127*(VLOOKUP(Input!$D$18+H127-1,Tab_Mort_Charge,IF(Gender_2="M",2,3),FALSE)*(1+_emr2)+_rpm2)/IF(Model_Type="LA_PQIS",1000/0.0833,(12*1000))))*Flag_Mort_Rider_Charge*(T127&gt;0),0)</f>
        <v>0</v>
      </c>
      <c r="V127" s="34">
        <f>ROUND(MIN(IF(H127&gt;=7,Charges!$C$12*(1+Charges!$C$14)^((H127-7+1)),VLOOKUP(H127,Charges!$B$7:$C$12,2,0))*pr,Charges!$C$13)*B127,Round)</f>
        <v>500</v>
      </c>
      <c r="W127" s="14">
        <f t="shared" ca="1" si="65"/>
        <v>4402975.6071392242</v>
      </c>
      <c r="X127" s="14">
        <f t="shared" ca="1" si="66"/>
        <v>4431304.4847691683</v>
      </c>
      <c r="Y127" s="213">
        <f t="shared" ca="1" si="88"/>
        <v>4987.930551399555</v>
      </c>
      <c r="Z127" s="14">
        <f t="shared" ca="1" si="67"/>
        <v>4426316.5542177688</v>
      </c>
      <c r="AA127" s="14">
        <f>IF(AND($H127=pt,$F127=11),SUM($K$7:K127)*VLOOKUP(pt,ROC,2,FALSE),0)</f>
        <v>0</v>
      </c>
      <c r="AB127" s="14">
        <f>IF(AND($H127=pt,$F127=11),SUM($V$7:V127)*VLOOKUP(pt,ROC,2,FALSE),0)</f>
        <v>0</v>
      </c>
      <c r="AC127" s="14">
        <f>IF(AND($H127=pt,$F127=11),SUM($Q$7:Q127)*VLOOKUP(pt,ROC,2,FALSE),0)</f>
        <v>0</v>
      </c>
      <c r="AD127" s="14">
        <f t="shared" ca="1" si="89"/>
        <v>4426316.5542177688</v>
      </c>
      <c r="AE127" s="14">
        <f ca="1">(MAX(sa-CF126*Flag_UL_Type,105%*SUM($I$7:I127),Z127)+AU127)*B127</f>
        <v>4426316.5542177688</v>
      </c>
      <c r="AF127" s="136"/>
      <c r="AG127" s="18">
        <v>121</v>
      </c>
      <c r="AH127" s="30">
        <f t="shared" ca="1" si="68"/>
        <v>300000</v>
      </c>
      <c r="AI127" s="58"/>
      <c r="AJ127" s="50">
        <f>IF(AND(Option_Sys_TopUp&gt;="Y",H127&gt;=sytp,H127&lt;=(dtp+sytp-1),F127=0,H127&lt;=ppt+1),atp,0)+IFERROR(VLOOKUP(H127,Input!$B$55:$C$61,2,0),0)*(F127=0)*(Option_TopUP="Y")*(Option_Sys_TopUp="N")*B127*(pt&gt;=H127+5)</f>
        <v>0</v>
      </c>
      <c r="AK127" s="50">
        <f t="shared" si="69"/>
        <v>0</v>
      </c>
      <c r="AL127" s="50">
        <f t="shared" si="90"/>
        <v>0</v>
      </c>
      <c r="AM127" s="50">
        <f t="shared" ca="1" si="70"/>
        <v>0</v>
      </c>
      <c r="AN127" s="50">
        <f ca="1">IF(B127=0,0,AT127*(_rpm1+(1+_emr1)*VLOOKUP(E127,Tab_Mort_Charge,IF(Input!$C$12="M",2,3),0))*(0.001*0.0833)*Flag_Mort_Rider_Charge*(AT127&gt;0))</f>
        <v>0</v>
      </c>
      <c r="AO127" s="50">
        <f t="shared" ca="1" si="91"/>
        <v>0</v>
      </c>
      <c r="AP127" s="50">
        <f t="shared" ca="1" si="99"/>
        <v>0</v>
      </c>
      <c r="AQ127" s="50">
        <f t="shared" ca="1" si="71"/>
        <v>0</v>
      </c>
      <c r="AR127" s="50">
        <f t="shared" ca="1" si="72"/>
        <v>0</v>
      </c>
      <c r="AS127" s="50">
        <f t="shared" si="73"/>
        <v>0</v>
      </c>
      <c r="AT127" s="50">
        <f ca="1">(MAX((MAX(AS127,105%*SUM($AJ$7:AJ127))-AM127*Flag_UL_Type),0)*B127)</f>
        <v>0</v>
      </c>
      <c r="AU127" s="50">
        <f ca="1">(MAX(AS127,AR127,105%*SUM($AJ$7:AJ127))*B127)</f>
        <v>0</v>
      </c>
      <c r="AV127" s="125"/>
      <c r="AW127" s="13"/>
      <c r="AX127" s="13"/>
      <c r="AY127" s="13"/>
      <c r="AZ127" s="13"/>
      <c r="BA127" s="13"/>
      <c r="BG127" s="51">
        <f t="shared" si="74"/>
        <v>0</v>
      </c>
      <c r="BH127" s="51">
        <f t="shared" ca="1" si="75"/>
        <v>0</v>
      </c>
      <c r="BI127" s="51">
        <f t="shared" ca="1" si="76"/>
        <v>0</v>
      </c>
      <c r="BJ127" s="51">
        <f t="shared" ca="1" si="77"/>
        <v>0</v>
      </c>
      <c r="BK127" s="51">
        <f t="shared" si="78"/>
        <v>0</v>
      </c>
      <c r="BL127" s="51">
        <f t="shared" ca="1" si="79"/>
        <v>0</v>
      </c>
      <c r="BM127" s="51">
        <f t="shared" si="80"/>
        <v>0</v>
      </c>
      <c r="BN127" s="51">
        <f t="shared" ca="1" si="81"/>
        <v>0</v>
      </c>
      <c r="BO127" s="51">
        <f t="shared" ca="1" si="82"/>
        <v>0</v>
      </c>
      <c r="BP127" s="51">
        <f t="shared" ca="1" si="83"/>
        <v>0</v>
      </c>
      <c r="BQ127" s="120"/>
      <c r="BR127" s="32"/>
      <c r="BS127" s="126"/>
      <c r="BT127" s="16"/>
      <c r="BU127" s="58"/>
      <c r="BW127" s="51">
        <f>VLOOKUP(H127,Charges!$AT$4:$AU$33,2,FALSE)*I127</f>
        <v>0</v>
      </c>
      <c r="BX127" s="51">
        <f t="shared" si="84"/>
        <v>0</v>
      </c>
      <c r="BY127" s="51">
        <f t="shared" si="93"/>
        <v>0</v>
      </c>
      <c r="BZ127" s="151"/>
      <c r="CA127" s="151"/>
      <c r="CB127" s="32"/>
      <c r="CC127" s="16">
        <f ca="1">SUM($N$7:$N127)</f>
        <v>0</v>
      </c>
      <c r="CD127" s="16">
        <f t="shared" ca="1" si="85"/>
        <v>0</v>
      </c>
      <c r="CE127" s="16">
        <f t="shared" ca="1" si="86"/>
        <v>0</v>
      </c>
      <c r="CF127" s="7">
        <f t="shared" ca="1" si="94"/>
        <v>0</v>
      </c>
    </row>
    <row r="128" spans="1:84" s="7" customFormat="1" x14ac:dyDescent="0.2">
      <c r="A128" s="149"/>
      <c r="B128" s="14">
        <f t="shared" si="55"/>
        <v>1</v>
      </c>
      <c r="C128" s="12">
        <f t="shared" si="56"/>
        <v>1</v>
      </c>
      <c r="D128" s="17">
        <f t="shared" si="95"/>
        <v>122</v>
      </c>
      <c r="E128" s="17">
        <f t="shared" ca="1" si="57"/>
        <v>70</v>
      </c>
      <c r="F128" s="12">
        <f t="shared" si="97"/>
        <v>1</v>
      </c>
      <c r="G128" s="12">
        <f t="shared" si="96"/>
        <v>21</v>
      </c>
      <c r="H128" s="17">
        <f t="shared" si="98"/>
        <v>11</v>
      </c>
      <c r="I128" s="29">
        <f t="shared" si="58"/>
        <v>0</v>
      </c>
      <c r="J128" s="211">
        <f>IFERROR(VLOOKUP(H128,Charges!$T$6:$U$35,2,0)*C128,0)</f>
        <v>1</v>
      </c>
      <c r="K128" s="29">
        <f t="shared" si="59"/>
        <v>0</v>
      </c>
      <c r="L128" s="29">
        <f t="shared" si="60"/>
        <v>0</v>
      </c>
      <c r="M128" s="147">
        <f t="shared" ca="1" si="61"/>
        <v>0</v>
      </c>
      <c r="N128" s="148">
        <f ca="1">IF(AND(Option_SPW="Y",Z127&gt;=SPW_Start_Min_FV,H128&gt;=Lock_In_Period,Z127&gt;SPW_Amount_pa+IF(option="Single",1/5*pr,2*pr),H128&gt;=SPW_Start_Year,H128&lt;=SPW_Start_Year+SPW_Duration-1,F128=0,age+H128&gt;=Legal_Age),SPW_Amount_pa,0)+IFERROR(VLOOKUP(H128,Input!$B$68:$C$74,2,0),0)*(F128=0)*(Option_PW="Y")*(Option_SPW="N")*(age+H128&gt;=Legal_Age)</f>
        <v>0</v>
      </c>
      <c r="O128" s="148">
        <f t="shared" ca="1" si="87"/>
        <v>0</v>
      </c>
      <c r="P128" s="14">
        <f ca="1">(MAX(MAX(sa-CF127*Flag_UL_Type,105%*SUM($I$7:I128))-(AD127+L128-N128)*Flag_UL_Type,0)*B128)</f>
        <v>0</v>
      </c>
      <c r="Q128" s="213">
        <f t="shared" ca="1" si="62"/>
        <v>0</v>
      </c>
      <c r="R128" s="14">
        <f t="shared" ca="1" si="63"/>
        <v>0</v>
      </c>
      <c r="S128" s="14">
        <f t="shared" ca="1" si="64"/>
        <v>0</v>
      </c>
      <c r="T128" s="14">
        <f>IFERROR(IF(WoP_Flag="Y",IF(fq=1,VLOOKUP(ppt*fq-H128,Charges!$AN$41:$AO$59,2,FALSE),IF(fq=2,VLOOKUP(ppt*fq-G128,Charges!$AP$41:$AQ$79,2,FALSE),VLOOKUP(ppt*fq-D128,Charges!$AR$41:$AS$279,2,FALSE)))*pr/fq,0),0)</f>
        <v>0</v>
      </c>
      <c r="U128" s="14">
        <f ca="1">IFERROR(((T128*(VLOOKUP(Input!$D$18+H128-1,Tab_Mort_Charge,IF(Gender_2="M",2,3),FALSE)*(1+_emr2)+_rpm2)/IF(Model_Type="LA_PQIS",1000/0.0833,(12*1000))))*Flag_Mort_Rider_Charge*(T128&gt;0),0)</f>
        <v>0</v>
      </c>
      <c r="V128" s="34">
        <f>ROUND(MIN(IF(H128&gt;=7,Charges!$C$12*(1+Charges!$C$14)^((H128-7+1)),VLOOKUP(H128,Charges!$B$7:$C$12,2,0))*pr,Charges!$C$13)*B128,Round)</f>
        <v>500</v>
      </c>
      <c r="W128" s="14">
        <f t="shared" ca="1" si="65"/>
        <v>4425816.5542177688</v>
      </c>
      <c r="X128" s="14">
        <f t="shared" ca="1" si="66"/>
        <v>4454292.3911889577</v>
      </c>
      <c r="Y128" s="213">
        <f t="shared" ca="1" si="88"/>
        <v>5013.8060201555581</v>
      </c>
      <c r="Z128" s="14">
        <f t="shared" ca="1" si="67"/>
        <v>4449278.5851688022</v>
      </c>
      <c r="AA128" s="14">
        <f>IF(AND($H128=pt,$F128=11),SUM($K$7:K128)*VLOOKUP(pt,ROC,2,FALSE),0)</f>
        <v>0</v>
      </c>
      <c r="AB128" s="14">
        <f>IF(AND($H128=pt,$F128=11),SUM($V$7:V128)*VLOOKUP(pt,ROC,2,FALSE),0)</f>
        <v>0</v>
      </c>
      <c r="AC128" s="14">
        <f>IF(AND($H128=pt,$F128=11),SUM($Q$7:Q128)*VLOOKUP(pt,ROC,2,FALSE),0)</f>
        <v>0</v>
      </c>
      <c r="AD128" s="14">
        <f t="shared" ca="1" si="89"/>
        <v>4449278.5851688022</v>
      </c>
      <c r="AE128" s="14">
        <f ca="1">(MAX(sa-CF127*Flag_UL_Type,105%*SUM($I$7:I128),Z128)+AU128)*B128</f>
        <v>4449278.5851688022</v>
      </c>
      <c r="AF128" s="136"/>
      <c r="AG128" s="18">
        <v>122</v>
      </c>
      <c r="AH128" s="30">
        <f ca="1">(I128+AJ128)-IF(AG128=pt*12+1,AD127,0)-IF(AG128=pt*12+1,AR127,0)-N128</f>
        <v>0</v>
      </c>
      <c r="AI128" s="58"/>
      <c r="AJ128" s="50">
        <f>IF(AND(Option_Sys_TopUp&gt;="Y",H128&gt;=sytp,H128&lt;=(dtp+sytp-1),F128=0,H128&lt;=ppt+1),atp,0)+IFERROR(VLOOKUP(H128,Input!$B$55:$C$61,2,0),0)*(F128=0)*(Option_TopUP="Y")*(Option_Sys_TopUp="N")*B128*(pt&gt;=H128+5)</f>
        <v>0</v>
      </c>
      <c r="AK128" s="50">
        <f t="shared" si="69"/>
        <v>0</v>
      </c>
      <c r="AL128" s="50">
        <f t="shared" si="90"/>
        <v>0</v>
      </c>
      <c r="AM128" s="50">
        <f t="shared" ca="1" si="70"/>
        <v>0</v>
      </c>
      <c r="AN128" s="50">
        <f ca="1">IF(B128=0,0,AT128*(_rpm1+(1+_emr1)*VLOOKUP(E128,Tab_Mort_Charge,IF(Input!$C$12="M",2,3),0))*(0.001*0.0833)*Flag_Mort_Rider_Charge*(AT128&gt;0))</f>
        <v>0</v>
      </c>
      <c r="AO128" s="50">
        <f t="shared" ca="1" si="91"/>
        <v>0</v>
      </c>
      <c r="AP128" s="50">
        <f t="shared" ca="1" si="99"/>
        <v>0</v>
      </c>
      <c r="AQ128" s="50">
        <f t="shared" ca="1" si="71"/>
        <v>0</v>
      </c>
      <c r="AR128" s="50">
        <f t="shared" ca="1" si="72"/>
        <v>0</v>
      </c>
      <c r="AS128" s="50">
        <f t="shared" si="73"/>
        <v>0</v>
      </c>
      <c r="AT128" s="50">
        <f ca="1">(MAX((MAX(AS128,105%*SUM($AJ$7:AJ128))-AM128*Flag_UL_Type),0)*B128)</f>
        <v>0</v>
      </c>
      <c r="AU128" s="50">
        <f ca="1">(MAX(AS128,AR128,105%*SUM($AJ$7:AJ128))*B128)</f>
        <v>0</v>
      </c>
      <c r="AV128" s="125"/>
      <c r="AW128" s="13"/>
      <c r="AX128" s="13"/>
      <c r="AY128" s="13"/>
      <c r="AZ128" s="13"/>
      <c r="BA128" s="13"/>
      <c r="BG128" s="51">
        <f t="shared" si="74"/>
        <v>0</v>
      </c>
      <c r="BH128" s="51">
        <f t="shared" ca="1" si="75"/>
        <v>0</v>
      </c>
      <c r="BI128" s="51">
        <f t="shared" ca="1" si="76"/>
        <v>0</v>
      </c>
      <c r="BJ128" s="51">
        <f t="shared" ca="1" si="77"/>
        <v>0</v>
      </c>
      <c r="BK128" s="51">
        <f t="shared" si="78"/>
        <v>0</v>
      </c>
      <c r="BL128" s="51">
        <f t="shared" ca="1" si="79"/>
        <v>0</v>
      </c>
      <c r="BM128" s="51">
        <f t="shared" si="80"/>
        <v>0</v>
      </c>
      <c r="BN128" s="51">
        <f t="shared" ca="1" si="81"/>
        <v>0</v>
      </c>
      <c r="BO128" s="51">
        <f t="shared" ca="1" si="82"/>
        <v>0</v>
      </c>
      <c r="BP128" s="51">
        <f t="shared" ca="1" si="83"/>
        <v>0</v>
      </c>
      <c r="BQ128" s="120"/>
      <c r="BR128" s="32"/>
      <c r="BS128" s="126"/>
      <c r="BT128" s="16"/>
      <c r="BU128" s="58"/>
      <c r="BW128" s="51">
        <f>VLOOKUP(H128,Charges!$AT$4:$AU$33,2,FALSE)*I128</f>
        <v>0</v>
      </c>
      <c r="BX128" s="51">
        <f t="shared" si="84"/>
        <v>0</v>
      </c>
      <c r="BY128" s="51">
        <f t="shared" si="93"/>
        <v>0</v>
      </c>
      <c r="BZ128" s="151"/>
      <c r="CA128" s="151"/>
      <c r="CB128" s="32"/>
      <c r="CC128" s="16">
        <f ca="1">SUM($N$7:$N128)</f>
        <v>0</v>
      </c>
      <c r="CD128" s="16">
        <f t="shared" ca="1" si="85"/>
        <v>0</v>
      </c>
      <c r="CE128" s="16">
        <f t="shared" ca="1" si="86"/>
        <v>0</v>
      </c>
      <c r="CF128" s="7">
        <f t="shared" ca="1" si="94"/>
        <v>0</v>
      </c>
    </row>
    <row r="129" spans="1:84" s="7" customFormat="1" x14ac:dyDescent="0.2">
      <c r="A129" s="149"/>
      <c r="B129" s="14">
        <f t="shared" si="55"/>
        <v>1</v>
      </c>
      <c r="C129" s="12">
        <f t="shared" si="56"/>
        <v>1</v>
      </c>
      <c r="D129" s="17">
        <f t="shared" si="95"/>
        <v>123</v>
      </c>
      <c r="E129" s="17">
        <f t="shared" ca="1" si="57"/>
        <v>70</v>
      </c>
      <c r="F129" s="12">
        <f t="shared" si="97"/>
        <v>2</v>
      </c>
      <c r="G129" s="12">
        <f t="shared" si="96"/>
        <v>21</v>
      </c>
      <c r="H129" s="17">
        <f t="shared" si="98"/>
        <v>11</v>
      </c>
      <c r="I129" s="29">
        <f t="shared" si="58"/>
        <v>0</v>
      </c>
      <c r="J129" s="211">
        <f>IFERROR(VLOOKUP(H129,Charges!$T$6:$U$35,2,0)*C129,0)</f>
        <v>1</v>
      </c>
      <c r="K129" s="29">
        <f t="shared" si="59"/>
        <v>0</v>
      </c>
      <c r="L129" s="29">
        <f t="shared" si="60"/>
        <v>0</v>
      </c>
      <c r="M129" s="147">
        <f t="shared" ca="1" si="61"/>
        <v>0</v>
      </c>
      <c r="N129" s="148">
        <f ca="1">IF(AND(Option_SPW="Y",Z128&gt;=SPW_Start_Min_FV,H129&gt;=Lock_In_Period,Z128&gt;SPW_Amount_pa+IF(option="Single",1/5*pr,2*pr),H129&gt;=SPW_Start_Year,H129&lt;=SPW_Start_Year+SPW_Duration-1,F129=0,age+H129&gt;=Legal_Age),SPW_Amount_pa,0)+IFERROR(VLOOKUP(H129,Input!$B$68:$C$74,2,0),0)*(F129=0)*(Option_PW="Y")*(Option_SPW="N")*(age+H129&gt;=Legal_Age)</f>
        <v>0</v>
      </c>
      <c r="O129" s="148">
        <f t="shared" ca="1" si="87"/>
        <v>0</v>
      </c>
      <c r="P129" s="14">
        <f ca="1">(MAX(MAX(sa-CF128*Flag_UL_Type,105%*SUM($I$7:I129))-(AD128+L129-N129)*Flag_UL_Type,0)*B129)</f>
        <v>0</v>
      </c>
      <c r="Q129" s="213">
        <f t="shared" ca="1" si="62"/>
        <v>0</v>
      </c>
      <c r="R129" s="14">
        <f t="shared" ca="1" si="63"/>
        <v>0</v>
      </c>
      <c r="S129" s="14">
        <f t="shared" ca="1" si="64"/>
        <v>0</v>
      </c>
      <c r="T129" s="14">
        <f>IFERROR(IF(WoP_Flag="Y",IF(fq=1,VLOOKUP(ppt*fq-H129,Charges!$AN$41:$AO$59,2,FALSE),IF(fq=2,VLOOKUP(ppt*fq-G129,Charges!$AP$41:$AQ$79,2,FALSE),VLOOKUP(ppt*fq-D129,Charges!$AR$41:$AS$279,2,FALSE)))*pr/fq,0),0)</f>
        <v>0</v>
      </c>
      <c r="U129" s="14">
        <f ca="1">IFERROR(((T129*(VLOOKUP(Input!$D$18+H129-1,Tab_Mort_Charge,IF(Gender_2="M",2,3),FALSE)*(1+_emr2)+_rpm2)/IF(Model_Type="LA_PQIS",1000/0.0833,(12*1000))))*Flag_Mort_Rider_Charge*(T129&gt;0),0)</f>
        <v>0</v>
      </c>
      <c r="V129" s="34">
        <f>ROUND(MIN(IF(H129&gt;=7,Charges!$C$12*(1+Charges!$C$14)^((H129-7+1)),VLOOKUP(H129,Charges!$B$7:$C$12,2,0))*pr,Charges!$C$13)*B129,Round)</f>
        <v>500</v>
      </c>
      <c r="W129" s="14">
        <f t="shared" ca="1" si="65"/>
        <v>4448778.5851688022</v>
      </c>
      <c r="X129" s="14">
        <f t="shared" ca="1" si="66"/>
        <v>4477402.1605385169</v>
      </c>
      <c r="Y129" s="213">
        <f t="shared" ca="1" si="88"/>
        <v>5039.8186593164774</v>
      </c>
      <c r="Z129" s="14">
        <f t="shared" ca="1" si="67"/>
        <v>4472362.3418792002</v>
      </c>
      <c r="AA129" s="14">
        <f>IF(AND($H129=pt,$F129=11),SUM($K$7:K129)*VLOOKUP(pt,ROC,2,FALSE),0)</f>
        <v>0</v>
      </c>
      <c r="AB129" s="14">
        <f>IF(AND($H129=pt,$F129=11),SUM($V$7:V129)*VLOOKUP(pt,ROC,2,FALSE),0)</f>
        <v>0</v>
      </c>
      <c r="AC129" s="14">
        <f>IF(AND($H129=pt,$F129=11),SUM($Q$7:Q129)*VLOOKUP(pt,ROC,2,FALSE),0)</f>
        <v>0</v>
      </c>
      <c r="AD129" s="14">
        <f t="shared" ca="1" si="89"/>
        <v>4472362.3418792002</v>
      </c>
      <c r="AE129" s="14">
        <f ca="1">(MAX(sa-CF128*Flag_UL_Type,105%*SUM($I$7:I129),Z129)+AU129)*B129</f>
        <v>4472362.3418792002</v>
      </c>
      <c r="AF129" s="136"/>
      <c r="AG129" s="18">
        <v>123</v>
      </c>
      <c r="AH129" s="30">
        <f t="shared" ca="1" si="68"/>
        <v>0</v>
      </c>
      <c r="AI129" s="58"/>
      <c r="AJ129" s="50">
        <f>IF(AND(Option_Sys_TopUp&gt;="Y",H129&gt;=sytp,H129&lt;=(dtp+sytp-1),F129=0,H129&lt;=ppt+1),atp,0)+IFERROR(VLOOKUP(H129,Input!$B$55:$C$61,2,0),0)*(F129=0)*(Option_TopUP="Y")*(Option_Sys_TopUp="N")*B129*(pt&gt;=H129+5)</f>
        <v>0</v>
      </c>
      <c r="AK129" s="50">
        <f t="shared" si="69"/>
        <v>0</v>
      </c>
      <c r="AL129" s="50">
        <f t="shared" si="90"/>
        <v>0</v>
      </c>
      <c r="AM129" s="50">
        <f t="shared" ca="1" si="70"/>
        <v>0</v>
      </c>
      <c r="AN129" s="50">
        <f ca="1">IF(B129=0,0,AT129*(_rpm1+(1+_emr1)*VLOOKUP(E129,Tab_Mort_Charge,IF(Input!$C$12="M",2,3),0))*(0.001*0.0833)*Flag_Mort_Rider_Charge*(AT129&gt;0))</f>
        <v>0</v>
      </c>
      <c r="AO129" s="50">
        <f t="shared" ca="1" si="91"/>
        <v>0</v>
      </c>
      <c r="AP129" s="50">
        <f t="shared" ca="1" si="99"/>
        <v>0</v>
      </c>
      <c r="AQ129" s="50">
        <f t="shared" ca="1" si="71"/>
        <v>0</v>
      </c>
      <c r="AR129" s="50">
        <f t="shared" ca="1" si="72"/>
        <v>0</v>
      </c>
      <c r="AS129" s="50">
        <f t="shared" si="73"/>
        <v>0</v>
      </c>
      <c r="AT129" s="50">
        <f ca="1">(MAX((MAX(AS129,105%*SUM($AJ$7:AJ129))-AM129*Flag_UL_Type),0)*B129)</f>
        <v>0</v>
      </c>
      <c r="AU129" s="50">
        <f ca="1">(MAX(AS129,AR129,105%*SUM($AJ$7:AJ129))*B129)</f>
        <v>0</v>
      </c>
      <c r="AV129" s="125"/>
      <c r="AW129" s="13"/>
      <c r="AX129" s="13"/>
      <c r="AY129" s="13"/>
      <c r="AZ129" s="13"/>
      <c r="BA129" s="13"/>
      <c r="BG129" s="51">
        <f t="shared" si="74"/>
        <v>0</v>
      </c>
      <c r="BH129" s="51">
        <f t="shared" ca="1" si="75"/>
        <v>0</v>
      </c>
      <c r="BI129" s="51">
        <f t="shared" ca="1" si="76"/>
        <v>0</v>
      </c>
      <c r="BJ129" s="51">
        <f t="shared" ca="1" si="77"/>
        <v>0</v>
      </c>
      <c r="BK129" s="51">
        <f t="shared" si="78"/>
        <v>0</v>
      </c>
      <c r="BL129" s="51">
        <f t="shared" ca="1" si="79"/>
        <v>0</v>
      </c>
      <c r="BM129" s="51">
        <f t="shared" si="80"/>
        <v>0</v>
      </c>
      <c r="BN129" s="51">
        <f t="shared" ca="1" si="81"/>
        <v>0</v>
      </c>
      <c r="BO129" s="51">
        <f t="shared" ca="1" si="82"/>
        <v>0</v>
      </c>
      <c r="BP129" s="51">
        <f t="shared" ca="1" si="83"/>
        <v>0</v>
      </c>
      <c r="BQ129" s="120"/>
      <c r="BR129" s="32"/>
      <c r="BS129" s="126"/>
      <c r="BT129" s="16"/>
      <c r="BU129" s="58"/>
      <c r="BW129" s="51">
        <f>VLOOKUP(H129,Charges!$AT$4:$AU$33,2,FALSE)*I129</f>
        <v>0</v>
      </c>
      <c r="BX129" s="51">
        <f t="shared" si="84"/>
        <v>0</v>
      </c>
      <c r="BY129" s="51">
        <f t="shared" si="93"/>
        <v>0</v>
      </c>
      <c r="BZ129" s="151"/>
      <c r="CA129" s="151"/>
      <c r="CB129" s="32"/>
      <c r="CC129" s="16">
        <f ca="1">SUM($N$7:$N129)</f>
        <v>0</v>
      </c>
      <c r="CD129" s="16">
        <f t="shared" ca="1" si="85"/>
        <v>0</v>
      </c>
      <c r="CE129" s="16">
        <f t="shared" ca="1" si="86"/>
        <v>0</v>
      </c>
      <c r="CF129" s="7">
        <f t="shared" ca="1" si="94"/>
        <v>0</v>
      </c>
    </row>
    <row r="130" spans="1:84" s="7" customFormat="1" x14ac:dyDescent="0.2">
      <c r="A130" s="149"/>
      <c r="B130" s="14">
        <f t="shared" si="55"/>
        <v>1</v>
      </c>
      <c r="C130" s="12">
        <f t="shared" si="56"/>
        <v>1</v>
      </c>
      <c r="D130" s="17">
        <f t="shared" si="95"/>
        <v>124</v>
      </c>
      <c r="E130" s="17">
        <f t="shared" ca="1" si="57"/>
        <v>70</v>
      </c>
      <c r="F130" s="12">
        <f t="shared" si="97"/>
        <v>3</v>
      </c>
      <c r="G130" s="12">
        <f t="shared" si="96"/>
        <v>21</v>
      </c>
      <c r="H130" s="17">
        <f t="shared" si="98"/>
        <v>11</v>
      </c>
      <c r="I130" s="29">
        <f t="shared" si="58"/>
        <v>0</v>
      </c>
      <c r="J130" s="211">
        <f>IFERROR(VLOOKUP(H130,Charges!$T$6:$U$35,2,0)*C130,0)</f>
        <v>1</v>
      </c>
      <c r="K130" s="29">
        <f t="shared" si="59"/>
        <v>0</v>
      </c>
      <c r="L130" s="29">
        <f t="shared" si="60"/>
        <v>0</v>
      </c>
      <c r="M130" s="147">
        <f t="shared" ca="1" si="61"/>
        <v>0</v>
      </c>
      <c r="N130" s="148">
        <f ca="1">IF(AND(Option_SPW="Y",Z129&gt;=SPW_Start_Min_FV,H130&gt;=Lock_In_Period,Z129&gt;SPW_Amount_pa+IF(option="Single",1/5*pr,2*pr),H130&gt;=SPW_Start_Year,H130&lt;=SPW_Start_Year+SPW_Duration-1,F130=0,age+H130&gt;=Legal_Age),SPW_Amount_pa,0)+IFERROR(VLOOKUP(H130,Input!$B$68:$C$74,2,0),0)*(F130=0)*(Option_PW="Y")*(Option_SPW="N")*(age+H130&gt;=Legal_Age)</f>
        <v>0</v>
      </c>
      <c r="O130" s="148">
        <f t="shared" ca="1" si="87"/>
        <v>0</v>
      </c>
      <c r="P130" s="14">
        <f ca="1">(MAX(MAX(sa-CF129*Flag_UL_Type,105%*SUM($I$7:I130))-(AD129+L130-N130)*Flag_UL_Type,0)*B130)</f>
        <v>0</v>
      </c>
      <c r="Q130" s="213">
        <f t="shared" ca="1" si="62"/>
        <v>0</v>
      </c>
      <c r="R130" s="14">
        <f t="shared" ca="1" si="63"/>
        <v>0</v>
      </c>
      <c r="S130" s="14">
        <f t="shared" ca="1" si="64"/>
        <v>0</v>
      </c>
      <c r="T130" s="14">
        <f>IFERROR(IF(WoP_Flag="Y",IF(fq=1,VLOOKUP(ppt*fq-H130,Charges!$AN$41:$AO$59,2,FALSE),IF(fq=2,VLOOKUP(ppt*fq-G130,Charges!$AP$41:$AQ$79,2,FALSE),VLOOKUP(ppt*fq-D130,Charges!$AR$41:$AS$279,2,FALSE)))*pr/fq,0),0)</f>
        <v>0</v>
      </c>
      <c r="U130" s="14">
        <f ca="1">IFERROR(((T130*(VLOOKUP(Input!$D$18+H130-1,Tab_Mort_Charge,IF(Gender_2="M",2,3),FALSE)*(1+_emr2)+_rpm2)/IF(Model_Type="LA_PQIS",1000/0.0833,(12*1000))))*Flag_Mort_Rider_Charge*(T130&gt;0),0)</f>
        <v>0</v>
      </c>
      <c r="V130" s="34">
        <f>ROUND(MIN(IF(H130&gt;=7,Charges!$C$12*(1+Charges!$C$14)^((H130-7+1)),VLOOKUP(H130,Charges!$B$7:$C$12,2,0))*pr,Charges!$C$13)*B130,Round)</f>
        <v>500</v>
      </c>
      <c r="W130" s="14">
        <f t="shared" ca="1" si="65"/>
        <v>4471862.3418792002</v>
      </c>
      <c r="X130" s="14">
        <f t="shared" ca="1" si="66"/>
        <v>4500634.4388346411</v>
      </c>
      <c r="Y130" s="213">
        <f t="shared" ca="1" si="88"/>
        <v>5065.9691960467226</v>
      </c>
      <c r="Z130" s="14">
        <f t="shared" ca="1" si="67"/>
        <v>4495568.4696385944</v>
      </c>
      <c r="AA130" s="14">
        <f>IF(AND($H130=pt,$F130=11),SUM($K$7:K130)*VLOOKUP(pt,ROC,2,FALSE),0)</f>
        <v>0</v>
      </c>
      <c r="AB130" s="14">
        <f>IF(AND($H130=pt,$F130=11),SUM($V$7:V130)*VLOOKUP(pt,ROC,2,FALSE),0)</f>
        <v>0</v>
      </c>
      <c r="AC130" s="14">
        <f>IF(AND($H130=pt,$F130=11),SUM($Q$7:Q130)*VLOOKUP(pt,ROC,2,FALSE),0)</f>
        <v>0</v>
      </c>
      <c r="AD130" s="14">
        <f t="shared" ca="1" si="89"/>
        <v>4495568.4696385944</v>
      </c>
      <c r="AE130" s="14">
        <f ca="1">(MAX(sa-CF129*Flag_UL_Type,105%*SUM($I$7:I130),Z130)+AU130)*B130</f>
        <v>4495568.4696385944</v>
      </c>
      <c r="AF130" s="136"/>
      <c r="AG130" s="18">
        <v>124</v>
      </c>
      <c r="AH130" s="30">
        <f t="shared" ca="1" si="68"/>
        <v>0</v>
      </c>
      <c r="AI130" s="58"/>
      <c r="AJ130" s="50">
        <f>IF(AND(Option_Sys_TopUp&gt;="Y",H130&gt;=sytp,H130&lt;=(dtp+sytp-1),F130=0,H130&lt;=ppt+1),atp,0)+IFERROR(VLOOKUP(H130,Input!$B$55:$C$61,2,0),0)*(F130=0)*(Option_TopUP="Y")*(Option_Sys_TopUp="N")*B130*(pt&gt;=H130+5)</f>
        <v>0</v>
      </c>
      <c r="AK130" s="50">
        <f t="shared" si="69"/>
        <v>0</v>
      </c>
      <c r="AL130" s="50">
        <f t="shared" si="90"/>
        <v>0</v>
      </c>
      <c r="AM130" s="50">
        <f t="shared" ca="1" si="70"/>
        <v>0</v>
      </c>
      <c r="AN130" s="50">
        <f ca="1">IF(B130=0,0,AT130*(_rpm1+(1+_emr1)*VLOOKUP(E130,Tab_Mort_Charge,IF(Input!$C$12="M",2,3),0))*(0.001*0.0833)*Flag_Mort_Rider_Charge*(AT130&gt;0))</f>
        <v>0</v>
      </c>
      <c r="AO130" s="50">
        <f t="shared" ca="1" si="91"/>
        <v>0</v>
      </c>
      <c r="AP130" s="50">
        <f t="shared" ca="1" si="99"/>
        <v>0</v>
      </c>
      <c r="AQ130" s="50">
        <f t="shared" ca="1" si="71"/>
        <v>0</v>
      </c>
      <c r="AR130" s="50">
        <f t="shared" ca="1" si="72"/>
        <v>0</v>
      </c>
      <c r="AS130" s="50">
        <f t="shared" si="73"/>
        <v>0</v>
      </c>
      <c r="AT130" s="50">
        <f ca="1">(MAX((MAX(AS130,105%*SUM($AJ$7:AJ130))-AM130*Flag_UL_Type),0)*B130)</f>
        <v>0</v>
      </c>
      <c r="AU130" s="50">
        <f ca="1">(MAX(AS130,AR130,105%*SUM($AJ$7:AJ130))*B130)</f>
        <v>0</v>
      </c>
      <c r="AV130" s="125"/>
      <c r="AW130" s="13"/>
      <c r="AX130" s="13"/>
      <c r="AY130" s="13"/>
      <c r="AZ130" s="13"/>
      <c r="BA130" s="13"/>
      <c r="BG130" s="51">
        <f t="shared" si="74"/>
        <v>0</v>
      </c>
      <c r="BH130" s="51">
        <f t="shared" ca="1" si="75"/>
        <v>0</v>
      </c>
      <c r="BI130" s="51">
        <f t="shared" ca="1" si="76"/>
        <v>0</v>
      </c>
      <c r="BJ130" s="51">
        <f t="shared" ca="1" si="77"/>
        <v>0</v>
      </c>
      <c r="BK130" s="51">
        <f t="shared" si="78"/>
        <v>0</v>
      </c>
      <c r="BL130" s="51">
        <f t="shared" ca="1" si="79"/>
        <v>0</v>
      </c>
      <c r="BM130" s="51">
        <f t="shared" si="80"/>
        <v>0</v>
      </c>
      <c r="BN130" s="51">
        <f t="shared" ca="1" si="81"/>
        <v>0</v>
      </c>
      <c r="BO130" s="51">
        <f t="shared" ca="1" si="82"/>
        <v>0</v>
      </c>
      <c r="BP130" s="51">
        <f t="shared" ca="1" si="83"/>
        <v>0</v>
      </c>
      <c r="BQ130" s="120"/>
      <c r="BR130" s="32"/>
      <c r="BS130" s="126"/>
      <c r="BT130" s="16"/>
      <c r="BU130" s="58"/>
      <c r="BW130" s="51">
        <f>VLOOKUP(H130,Charges!$AT$4:$AU$33,2,FALSE)*I130</f>
        <v>0</v>
      </c>
      <c r="BX130" s="51">
        <f t="shared" si="84"/>
        <v>0</v>
      </c>
      <c r="BY130" s="51">
        <f t="shared" si="93"/>
        <v>0</v>
      </c>
      <c r="BZ130" s="151"/>
      <c r="CA130" s="151"/>
      <c r="CB130" s="32"/>
      <c r="CC130" s="16">
        <f ca="1">SUM($N$7:$N130)</f>
        <v>0</v>
      </c>
      <c r="CD130" s="16">
        <f t="shared" ca="1" si="85"/>
        <v>0</v>
      </c>
      <c r="CE130" s="16">
        <f t="shared" ca="1" si="86"/>
        <v>0</v>
      </c>
      <c r="CF130" s="7">
        <f t="shared" ca="1" si="94"/>
        <v>0</v>
      </c>
    </row>
    <row r="131" spans="1:84" s="7" customFormat="1" x14ac:dyDescent="0.2">
      <c r="A131" s="149"/>
      <c r="B131" s="14">
        <f t="shared" si="55"/>
        <v>1</v>
      </c>
      <c r="C131" s="12">
        <f t="shared" si="56"/>
        <v>1</v>
      </c>
      <c r="D131" s="17">
        <f t="shared" si="95"/>
        <v>125</v>
      </c>
      <c r="E131" s="17">
        <f t="shared" ca="1" si="57"/>
        <v>70</v>
      </c>
      <c r="F131" s="12">
        <f t="shared" si="97"/>
        <v>4</v>
      </c>
      <c r="G131" s="12">
        <f t="shared" si="96"/>
        <v>21</v>
      </c>
      <c r="H131" s="17">
        <f t="shared" si="98"/>
        <v>11</v>
      </c>
      <c r="I131" s="29">
        <f t="shared" si="58"/>
        <v>0</v>
      </c>
      <c r="J131" s="211">
        <f>IFERROR(VLOOKUP(H131,Charges!$T$6:$U$35,2,0)*C131,0)</f>
        <v>1</v>
      </c>
      <c r="K131" s="29">
        <f t="shared" si="59"/>
        <v>0</v>
      </c>
      <c r="L131" s="29">
        <f t="shared" si="60"/>
        <v>0</v>
      </c>
      <c r="M131" s="147">
        <f t="shared" ca="1" si="61"/>
        <v>0</v>
      </c>
      <c r="N131" s="148">
        <f ca="1">IF(AND(Option_SPW="Y",Z130&gt;=SPW_Start_Min_FV,H131&gt;=Lock_In_Period,Z130&gt;SPW_Amount_pa+IF(option="Single",1/5*pr,2*pr),H131&gt;=SPW_Start_Year,H131&lt;=SPW_Start_Year+SPW_Duration-1,F131=0,age+H131&gt;=Legal_Age),SPW_Amount_pa,0)+IFERROR(VLOOKUP(H131,Input!$B$68:$C$74,2,0),0)*(F131=0)*(Option_PW="Y")*(Option_SPW="N")*(age+H131&gt;=Legal_Age)</f>
        <v>0</v>
      </c>
      <c r="O131" s="148">
        <f t="shared" ca="1" si="87"/>
        <v>0</v>
      </c>
      <c r="P131" s="14">
        <f ca="1">(MAX(MAX(sa-CF130*Flag_UL_Type,105%*SUM($I$7:I131))-(AD130+L131-N131)*Flag_UL_Type,0)*B131)</f>
        <v>0</v>
      </c>
      <c r="Q131" s="213">
        <f t="shared" ca="1" si="62"/>
        <v>0</v>
      </c>
      <c r="R131" s="14">
        <f t="shared" ca="1" si="63"/>
        <v>0</v>
      </c>
      <c r="S131" s="14">
        <f t="shared" ca="1" si="64"/>
        <v>0</v>
      </c>
      <c r="T131" s="14">
        <f>IFERROR(IF(WoP_Flag="Y",IF(fq=1,VLOOKUP(ppt*fq-H131,Charges!$AN$41:$AO$59,2,FALSE),IF(fq=2,VLOOKUP(ppt*fq-G131,Charges!$AP$41:$AQ$79,2,FALSE),VLOOKUP(ppt*fq-D131,Charges!$AR$41:$AS$279,2,FALSE)))*pr/fq,0),0)</f>
        <v>0</v>
      </c>
      <c r="U131" s="14">
        <f ca="1">IFERROR(((T131*(VLOOKUP(Input!$D$18+H131-1,Tab_Mort_Charge,IF(Gender_2="M",2,3),FALSE)*(1+_emr2)+_rpm2)/IF(Model_Type="LA_PQIS",1000/0.0833,(12*1000))))*Flag_Mort_Rider_Charge*(T131&gt;0),0)</f>
        <v>0</v>
      </c>
      <c r="V131" s="34">
        <f>ROUND(MIN(IF(H131&gt;=7,Charges!$C$12*(1+Charges!$C$14)^((H131-7+1)),VLOOKUP(H131,Charges!$B$7:$C$12,2,0))*pr,Charges!$C$13)*B131,Round)</f>
        <v>500</v>
      </c>
      <c r="W131" s="14">
        <f t="shared" ca="1" si="65"/>
        <v>4495068.4696385944</v>
      </c>
      <c r="X131" s="14">
        <f t="shared" ca="1" si="66"/>
        <v>4523989.8755187765</v>
      </c>
      <c r="Y131" s="213">
        <f t="shared" ca="1" si="88"/>
        <v>5092.2583613655315</v>
      </c>
      <c r="Z131" s="14">
        <f t="shared" ca="1" si="67"/>
        <v>4518897.6171574108</v>
      </c>
      <c r="AA131" s="14">
        <f>IF(AND($H131=pt,$F131=11),SUM($K$7:K131)*VLOOKUP(pt,ROC,2,FALSE),0)</f>
        <v>0</v>
      </c>
      <c r="AB131" s="14">
        <f>IF(AND($H131=pt,$F131=11),SUM($V$7:V131)*VLOOKUP(pt,ROC,2,FALSE),0)</f>
        <v>0</v>
      </c>
      <c r="AC131" s="14">
        <f>IF(AND($H131=pt,$F131=11),SUM($Q$7:Q131)*VLOOKUP(pt,ROC,2,FALSE),0)</f>
        <v>0</v>
      </c>
      <c r="AD131" s="14">
        <f t="shared" ca="1" si="89"/>
        <v>4518897.6171574108</v>
      </c>
      <c r="AE131" s="14">
        <f ca="1">(MAX(sa-CF130*Flag_UL_Type,105%*SUM($I$7:I131),Z131)+AU131)*B131</f>
        <v>4518897.6171574108</v>
      </c>
      <c r="AF131" s="136"/>
      <c r="AG131" s="18">
        <v>125</v>
      </c>
      <c r="AH131" s="30">
        <f t="shared" ca="1" si="68"/>
        <v>0</v>
      </c>
      <c r="AI131" s="58"/>
      <c r="AJ131" s="50">
        <f>IF(AND(Option_Sys_TopUp&gt;="Y",H131&gt;=sytp,H131&lt;=(dtp+sytp-1),F131=0,H131&lt;=ppt+1),atp,0)+IFERROR(VLOOKUP(H131,Input!$B$55:$C$61,2,0),0)*(F131=0)*(Option_TopUP="Y")*(Option_Sys_TopUp="N")*B131*(pt&gt;=H131+5)</f>
        <v>0</v>
      </c>
      <c r="AK131" s="50">
        <f t="shared" si="69"/>
        <v>0</v>
      </c>
      <c r="AL131" s="50">
        <f t="shared" si="90"/>
        <v>0</v>
      </c>
      <c r="AM131" s="50">
        <f t="shared" ca="1" si="70"/>
        <v>0</v>
      </c>
      <c r="AN131" s="50">
        <f ca="1">IF(B131=0,0,AT131*(_rpm1+(1+_emr1)*VLOOKUP(E131,Tab_Mort_Charge,IF(Input!$C$12="M",2,3),0))*(0.001*0.0833)*Flag_Mort_Rider_Charge*(AT131&gt;0))</f>
        <v>0</v>
      </c>
      <c r="AO131" s="50">
        <f t="shared" ca="1" si="91"/>
        <v>0</v>
      </c>
      <c r="AP131" s="50">
        <f t="shared" ca="1" si="99"/>
        <v>0</v>
      </c>
      <c r="AQ131" s="50">
        <f t="shared" ca="1" si="71"/>
        <v>0</v>
      </c>
      <c r="AR131" s="50">
        <f t="shared" ca="1" si="72"/>
        <v>0</v>
      </c>
      <c r="AS131" s="50">
        <f t="shared" si="73"/>
        <v>0</v>
      </c>
      <c r="AT131" s="50">
        <f ca="1">(MAX((MAX(AS131,105%*SUM($AJ$7:AJ131))-AM131*Flag_UL_Type),0)*B131)</f>
        <v>0</v>
      </c>
      <c r="AU131" s="50">
        <f ca="1">(MAX(AS131,AR131,105%*SUM($AJ$7:AJ131))*B131)</f>
        <v>0</v>
      </c>
      <c r="AV131" s="125"/>
      <c r="AW131" s="13"/>
      <c r="AX131" s="13"/>
      <c r="AY131" s="13"/>
      <c r="AZ131" s="13"/>
      <c r="BA131" s="13"/>
      <c r="BG131" s="51">
        <f t="shared" si="74"/>
        <v>0</v>
      </c>
      <c r="BH131" s="51">
        <f t="shared" ca="1" si="75"/>
        <v>0</v>
      </c>
      <c r="BI131" s="51">
        <f t="shared" ca="1" si="76"/>
        <v>0</v>
      </c>
      <c r="BJ131" s="51">
        <f t="shared" ca="1" si="77"/>
        <v>0</v>
      </c>
      <c r="BK131" s="51">
        <f t="shared" si="78"/>
        <v>0</v>
      </c>
      <c r="BL131" s="51">
        <f t="shared" ca="1" si="79"/>
        <v>0</v>
      </c>
      <c r="BM131" s="51">
        <f t="shared" si="80"/>
        <v>0</v>
      </c>
      <c r="BN131" s="51">
        <f t="shared" ca="1" si="81"/>
        <v>0</v>
      </c>
      <c r="BO131" s="51">
        <f t="shared" ca="1" si="82"/>
        <v>0</v>
      </c>
      <c r="BP131" s="51">
        <f t="shared" ca="1" si="83"/>
        <v>0</v>
      </c>
      <c r="BQ131" s="120"/>
      <c r="BR131" s="32"/>
      <c r="BS131" s="126"/>
      <c r="BT131" s="16"/>
      <c r="BU131" s="58"/>
      <c r="BW131" s="51">
        <f>VLOOKUP(H131,Charges!$AT$4:$AU$33,2,FALSE)*I131</f>
        <v>0</v>
      </c>
      <c r="BX131" s="51">
        <f t="shared" si="84"/>
        <v>0</v>
      </c>
      <c r="BY131" s="51">
        <f t="shared" si="93"/>
        <v>0</v>
      </c>
      <c r="BZ131" s="151"/>
      <c r="CA131" s="151"/>
      <c r="CB131" s="32"/>
      <c r="CC131" s="16">
        <f ca="1">SUM($N$7:$N131)</f>
        <v>0</v>
      </c>
      <c r="CD131" s="16">
        <f t="shared" ca="1" si="85"/>
        <v>0</v>
      </c>
      <c r="CE131" s="16">
        <f t="shared" ca="1" si="86"/>
        <v>0</v>
      </c>
      <c r="CF131" s="7">
        <f t="shared" ca="1" si="94"/>
        <v>0</v>
      </c>
    </row>
    <row r="132" spans="1:84" s="7" customFormat="1" x14ac:dyDescent="0.2">
      <c r="A132" s="149"/>
      <c r="B132" s="14">
        <f t="shared" si="55"/>
        <v>1</v>
      </c>
      <c r="C132" s="12">
        <f t="shared" si="56"/>
        <v>1</v>
      </c>
      <c r="D132" s="17">
        <f t="shared" si="95"/>
        <v>126</v>
      </c>
      <c r="E132" s="17">
        <f t="shared" ca="1" si="57"/>
        <v>70</v>
      </c>
      <c r="F132" s="12">
        <f t="shared" si="97"/>
        <v>5</v>
      </c>
      <c r="G132" s="12">
        <f t="shared" si="96"/>
        <v>21</v>
      </c>
      <c r="H132" s="17">
        <f t="shared" si="98"/>
        <v>11</v>
      </c>
      <c r="I132" s="29">
        <f t="shared" si="58"/>
        <v>0</v>
      </c>
      <c r="J132" s="211">
        <f>IFERROR(VLOOKUP(H132,Charges!$T$6:$U$35,2,0)*C132,0)</f>
        <v>1</v>
      </c>
      <c r="K132" s="29">
        <f t="shared" si="59"/>
        <v>0</v>
      </c>
      <c r="L132" s="29">
        <f t="shared" si="60"/>
        <v>0</v>
      </c>
      <c r="M132" s="147">
        <f t="shared" ca="1" si="61"/>
        <v>0</v>
      </c>
      <c r="N132" s="148">
        <f ca="1">IF(AND(Option_SPW="Y",Z131&gt;=SPW_Start_Min_FV,H132&gt;=Lock_In_Period,Z131&gt;SPW_Amount_pa+IF(option="Single",1/5*pr,2*pr),H132&gt;=SPW_Start_Year,H132&lt;=SPW_Start_Year+SPW_Duration-1,F132=0,age+H132&gt;=Legal_Age),SPW_Amount_pa,0)+IFERROR(VLOOKUP(H132,Input!$B$68:$C$74,2,0),0)*(F132=0)*(Option_PW="Y")*(Option_SPW="N")*(age+H132&gt;=Legal_Age)</f>
        <v>0</v>
      </c>
      <c r="O132" s="148">
        <f t="shared" ca="1" si="87"/>
        <v>0</v>
      </c>
      <c r="P132" s="14">
        <f ca="1">(MAX(MAX(sa-CF131*Flag_UL_Type,105%*SUM($I$7:I132))-(AD131+L132-N132)*Flag_UL_Type,0)*B132)</f>
        <v>0</v>
      </c>
      <c r="Q132" s="213">
        <f t="shared" ca="1" si="62"/>
        <v>0</v>
      </c>
      <c r="R132" s="14">
        <f t="shared" ca="1" si="63"/>
        <v>0</v>
      </c>
      <c r="S132" s="14">
        <f t="shared" ca="1" si="64"/>
        <v>0</v>
      </c>
      <c r="T132" s="14">
        <f>IFERROR(IF(WoP_Flag="Y",IF(fq=1,VLOOKUP(ppt*fq-H132,Charges!$AN$41:$AO$59,2,FALSE),IF(fq=2,VLOOKUP(ppt*fq-G132,Charges!$AP$41:$AQ$79,2,FALSE),VLOOKUP(ppt*fq-D132,Charges!$AR$41:$AS$279,2,FALSE)))*pr/fq,0),0)</f>
        <v>0</v>
      </c>
      <c r="U132" s="14">
        <f ca="1">IFERROR(((T132*(VLOOKUP(Input!$D$18+H132-1,Tab_Mort_Charge,IF(Gender_2="M",2,3),FALSE)*(1+_emr2)+_rpm2)/IF(Model_Type="LA_PQIS",1000/0.0833,(12*1000))))*Flag_Mort_Rider_Charge*(T132&gt;0),0)</f>
        <v>0</v>
      </c>
      <c r="V132" s="34">
        <f>ROUND(MIN(IF(H132&gt;=7,Charges!$C$12*(1+Charges!$C$14)^((H132-7+1)),VLOOKUP(H132,Charges!$B$7:$C$12,2,0))*pr,Charges!$C$13)*B132,Round)</f>
        <v>500</v>
      </c>
      <c r="W132" s="14">
        <f t="shared" ca="1" si="65"/>
        <v>4518397.6171574108</v>
      </c>
      <c r="X132" s="14">
        <f t="shared" ca="1" si="66"/>
        <v>4547469.1234751698</v>
      </c>
      <c r="Y132" s="213">
        <f t="shared" ca="1" si="88"/>
        <v>5118.6868901674015</v>
      </c>
      <c r="Z132" s="14">
        <f t="shared" ca="1" si="67"/>
        <v>4542350.4365850026</v>
      </c>
      <c r="AA132" s="14">
        <f>IF(AND($H132=pt,$F132=11),SUM($K$7:K132)*VLOOKUP(pt,ROC,2,FALSE),0)</f>
        <v>0</v>
      </c>
      <c r="AB132" s="14">
        <f>IF(AND($H132=pt,$F132=11),SUM($V$7:V132)*VLOOKUP(pt,ROC,2,FALSE),0)</f>
        <v>0</v>
      </c>
      <c r="AC132" s="14">
        <f>IF(AND($H132=pt,$F132=11),SUM($Q$7:Q132)*VLOOKUP(pt,ROC,2,FALSE),0)</f>
        <v>0</v>
      </c>
      <c r="AD132" s="14">
        <f t="shared" ca="1" si="89"/>
        <v>4542350.4365850026</v>
      </c>
      <c r="AE132" s="14">
        <f ca="1">(MAX(sa-CF131*Flag_UL_Type,105%*SUM($I$7:I132),Z132)+AU132)*B132</f>
        <v>4542350.4365850026</v>
      </c>
      <c r="AF132" s="136"/>
      <c r="AG132" s="18">
        <v>126</v>
      </c>
      <c r="AH132" s="30">
        <f t="shared" ca="1" si="68"/>
        <v>0</v>
      </c>
      <c r="AI132" s="58"/>
      <c r="AJ132" s="50">
        <f>IF(AND(Option_Sys_TopUp&gt;="Y",H132&gt;=sytp,H132&lt;=(dtp+sytp-1),F132=0,H132&lt;=ppt+1),atp,0)+IFERROR(VLOOKUP(H132,Input!$B$55:$C$61,2,0),0)*(F132=0)*(Option_TopUP="Y")*(Option_Sys_TopUp="N")*B132*(pt&gt;=H132+5)</f>
        <v>0</v>
      </c>
      <c r="AK132" s="50">
        <f t="shared" si="69"/>
        <v>0</v>
      </c>
      <c r="AL132" s="50">
        <f t="shared" si="90"/>
        <v>0</v>
      </c>
      <c r="AM132" s="50">
        <f t="shared" ca="1" si="70"/>
        <v>0</v>
      </c>
      <c r="AN132" s="50">
        <f ca="1">IF(B132=0,0,AT132*(_rpm1+(1+_emr1)*VLOOKUP(E132,Tab_Mort_Charge,IF(Input!$C$12="M",2,3),0))*(0.001*0.0833)*Flag_Mort_Rider_Charge*(AT132&gt;0))</f>
        <v>0</v>
      </c>
      <c r="AO132" s="50">
        <f t="shared" ca="1" si="91"/>
        <v>0</v>
      </c>
      <c r="AP132" s="50">
        <f t="shared" ca="1" si="99"/>
        <v>0</v>
      </c>
      <c r="AQ132" s="50">
        <f t="shared" ca="1" si="71"/>
        <v>0</v>
      </c>
      <c r="AR132" s="50">
        <f t="shared" ca="1" si="72"/>
        <v>0</v>
      </c>
      <c r="AS132" s="50">
        <f t="shared" si="73"/>
        <v>0</v>
      </c>
      <c r="AT132" s="50">
        <f ca="1">(MAX((MAX(AS132,105%*SUM($AJ$7:AJ132))-AM132*Flag_UL_Type),0)*B132)</f>
        <v>0</v>
      </c>
      <c r="AU132" s="50">
        <f ca="1">(MAX(AS132,AR132,105%*SUM($AJ$7:AJ132))*B132)</f>
        <v>0</v>
      </c>
      <c r="AV132" s="125"/>
      <c r="AW132" s="13"/>
      <c r="AX132" s="13"/>
      <c r="AY132" s="13"/>
      <c r="AZ132" s="13"/>
      <c r="BA132" s="13"/>
      <c r="BG132" s="51">
        <f t="shared" si="74"/>
        <v>0</v>
      </c>
      <c r="BH132" s="51">
        <f t="shared" ca="1" si="75"/>
        <v>0</v>
      </c>
      <c r="BI132" s="51">
        <f t="shared" ca="1" si="76"/>
        <v>0</v>
      </c>
      <c r="BJ132" s="51">
        <f t="shared" ca="1" si="77"/>
        <v>0</v>
      </c>
      <c r="BK132" s="51">
        <f t="shared" si="78"/>
        <v>0</v>
      </c>
      <c r="BL132" s="51">
        <f t="shared" ca="1" si="79"/>
        <v>0</v>
      </c>
      <c r="BM132" s="51">
        <f t="shared" si="80"/>
        <v>0</v>
      </c>
      <c r="BN132" s="51">
        <f t="shared" ca="1" si="81"/>
        <v>0</v>
      </c>
      <c r="BO132" s="51">
        <f t="shared" ca="1" si="82"/>
        <v>0</v>
      </c>
      <c r="BP132" s="51">
        <f t="shared" ca="1" si="83"/>
        <v>0</v>
      </c>
      <c r="BQ132" s="120"/>
      <c r="BR132" s="32"/>
      <c r="BS132" s="126"/>
      <c r="BT132" s="16"/>
      <c r="BU132" s="58"/>
      <c r="BW132" s="51">
        <f>VLOOKUP(H132,Charges!$AT$4:$AU$33,2,FALSE)*I132</f>
        <v>0</v>
      </c>
      <c r="BX132" s="51">
        <f t="shared" si="84"/>
        <v>0</v>
      </c>
      <c r="BY132" s="51">
        <f t="shared" si="93"/>
        <v>0</v>
      </c>
      <c r="BZ132" s="151"/>
      <c r="CA132" s="151"/>
      <c r="CB132" s="32"/>
      <c r="CC132" s="16">
        <f ca="1">SUM($N$7:$N132)</f>
        <v>0</v>
      </c>
      <c r="CD132" s="16">
        <f t="shared" ca="1" si="85"/>
        <v>0</v>
      </c>
      <c r="CE132" s="16">
        <f t="shared" ca="1" si="86"/>
        <v>0</v>
      </c>
      <c r="CF132" s="7">
        <f t="shared" ca="1" si="94"/>
        <v>0</v>
      </c>
    </row>
    <row r="133" spans="1:84" s="7" customFormat="1" x14ac:dyDescent="0.2">
      <c r="A133" s="149"/>
      <c r="B133" s="14">
        <f t="shared" si="55"/>
        <v>1</v>
      </c>
      <c r="C133" s="12">
        <f t="shared" si="56"/>
        <v>1</v>
      </c>
      <c r="D133" s="17">
        <f t="shared" si="95"/>
        <v>127</v>
      </c>
      <c r="E133" s="17">
        <f t="shared" ca="1" si="57"/>
        <v>70</v>
      </c>
      <c r="F133" s="12">
        <f t="shared" si="97"/>
        <v>6</v>
      </c>
      <c r="G133" s="12">
        <f t="shared" si="96"/>
        <v>22</v>
      </c>
      <c r="H133" s="17">
        <f t="shared" si="98"/>
        <v>11</v>
      </c>
      <c r="I133" s="29">
        <f t="shared" si="58"/>
        <v>0</v>
      </c>
      <c r="J133" s="211">
        <f>IFERROR(VLOOKUP(H133,Charges!$T$6:$U$35,2,0)*C133,0)</f>
        <v>1</v>
      </c>
      <c r="K133" s="29">
        <f t="shared" si="59"/>
        <v>0</v>
      </c>
      <c r="L133" s="29">
        <f t="shared" si="60"/>
        <v>0</v>
      </c>
      <c r="M133" s="147">
        <f t="shared" ca="1" si="61"/>
        <v>0</v>
      </c>
      <c r="N133" s="148">
        <f ca="1">IF(AND(Option_SPW="Y",Z132&gt;=SPW_Start_Min_FV,H133&gt;=Lock_In_Period,Z132&gt;SPW_Amount_pa+IF(option="Single",1/5*pr,2*pr),H133&gt;=SPW_Start_Year,H133&lt;=SPW_Start_Year+SPW_Duration-1,F133=0,age+H133&gt;=Legal_Age),SPW_Amount_pa,0)+IFERROR(VLOOKUP(H133,Input!$B$68:$C$74,2,0),0)*(F133=0)*(Option_PW="Y")*(Option_SPW="N")*(age+H133&gt;=Legal_Age)</f>
        <v>0</v>
      </c>
      <c r="O133" s="148">
        <f t="shared" ca="1" si="87"/>
        <v>0</v>
      </c>
      <c r="P133" s="14">
        <f ca="1">(MAX(MAX(sa-CF132*Flag_UL_Type,105%*SUM($I$7:I133))-(AD132+L133-N133)*Flag_UL_Type,0)*B133)</f>
        <v>0</v>
      </c>
      <c r="Q133" s="213">
        <f t="shared" ca="1" si="62"/>
        <v>0</v>
      </c>
      <c r="R133" s="14">
        <f t="shared" ca="1" si="63"/>
        <v>0</v>
      </c>
      <c r="S133" s="14">
        <f t="shared" ca="1" si="64"/>
        <v>0</v>
      </c>
      <c r="T133" s="14">
        <f>IFERROR(IF(WoP_Flag="Y",IF(fq=1,VLOOKUP(ppt*fq-H133,Charges!$AN$41:$AO$59,2,FALSE),IF(fq=2,VLOOKUP(ppt*fq-G133,Charges!$AP$41:$AQ$79,2,FALSE),VLOOKUP(ppt*fq-D133,Charges!$AR$41:$AS$279,2,FALSE)))*pr/fq,0),0)</f>
        <v>0</v>
      </c>
      <c r="U133" s="14">
        <f ca="1">IFERROR(((T133*(VLOOKUP(Input!$D$18+H133-1,Tab_Mort_Charge,IF(Gender_2="M",2,3),FALSE)*(1+_emr2)+_rpm2)/IF(Model_Type="LA_PQIS",1000/0.0833,(12*1000))))*Flag_Mort_Rider_Charge*(T133&gt;0),0)</f>
        <v>0</v>
      </c>
      <c r="V133" s="34">
        <f>ROUND(MIN(IF(H133&gt;=7,Charges!$C$12*(1+Charges!$C$14)^((H133-7+1)),VLOOKUP(H133,Charges!$B$7:$C$12,2,0))*pr,Charges!$C$13)*B133,Round)</f>
        <v>500</v>
      </c>
      <c r="W133" s="14">
        <f t="shared" ca="1" si="65"/>
        <v>4541850.4365850026</v>
      </c>
      <c r="X133" s="14">
        <f t="shared" ca="1" si="66"/>
        <v>4571072.8390491223</v>
      </c>
      <c r="Y133" s="213">
        <f t="shared" ca="1" si="88"/>
        <v>5145.255521242636</v>
      </c>
      <c r="Z133" s="14">
        <f t="shared" ca="1" si="67"/>
        <v>4565927.5835278798</v>
      </c>
      <c r="AA133" s="14">
        <f>IF(AND($H133=pt,$F133=11),SUM($K$7:K133)*VLOOKUP(pt,ROC,2,FALSE),0)</f>
        <v>0</v>
      </c>
      <c r="AB133" s="14">
        <f>IF(AND($H133=pt,$F133=11),SUM($V$7:V133)*VLOOKUP(pt,ROC,2,FALSE),0)</f>
        <v>0</v>
      </c>
      <c r="AC133" s="14">
        <f>IF(AND($H133=pt,$F133=11),SUM($Q$7:Q133)*VLOOKUP(pt,ROC,2,FALSE),0)</f>
        <v>0</v>
      </c>
      <c r="AD133" s="14">
        <f t="shared" ca="1" si="89"/>
        <v>4565927.5835278798</v>
      </c>
      <c r="AE133" s="14">
        <f ca="1">(MAX(sa-CF132*Flag_UL_Type,105%*SUM($I$7:I133),Z133)+AU133)*B133</f>
        <v>4565927.5835278798</v>
      </c>
      <c r="AF133" s="136"/>
      <c r="AG133" s="18">
        <v>127</v>
      </c>
      <c r="AH133" s="30">
        <f t="shared" ca="1" si="68"/>
        <v>0</v>
      </c>
      <c r="AI133" s="58"/>
      <c r="AJ133" s="50">
        <f>IF(AND(Option_Sys_TopUp&gt;="Y",H133&gt;=sytp,H133&lt;=(dtp+sytp-1),F133=0,H133&lt;=ppt+1),atp,0)+IFERROR(VLOOKUP(H133,Input!$B$55:$C$61,2,0),0)*(F133=0)*(Option_TopUP="Y")*(Option_Sys_TopUp="N")*B133*(pt&gt;=H133+5)</f>
        <v>0</v>
      </c>
      <c r="AK133" s="50">
        <f t="shared" si="69"/>
        <v>0</v>
      </c>
      <c r="AL133" s="50">
        <f t="shared" si="90"/>
        <v>0</v>
      </c>
      <c r="AM133" s="50">
        <f t="shared" ca="1" si="70"/>
        <v>0</v>
      </c>
      <c r="AN133" s="50">
        <f ca="1">IF(B133=0,0,AT133*(_rpm1+(1+_emr1)*VLOOKUP(E133,Tab_Mort_Charge,IF(Input!$C$12="M",2,3),0))*(0.001*0.0833)*Flag_Mort_Rider_Charge*(AT133&gt;0))</f>
        <v>0</v>
      </c>
      <c r="AO133" s="50">
        <f t="shared" ca="1" si="91"/>
        <v>0</v>
      </c>
      <c r="AP133" s="50">
        <f t="shared" ca="1" si="99"/>
        <v>0</v>
      </c>
      <c r="AQ133" s="50">
        <f t="shared" ca="1" si="71"/>
        <v>0</v>
      </c>
      <c r="AR133" s="50">
        <f t="shared" ca="1" si="72"/>
        <v>0</v>
      </c>
      <c r="AS133" s="50">
        <f t="shared" si="73"/>
        <v>0</v>
      </c>
      <c r="AT133" s="50">
        <f ca="1">(MAX((MAX(AS133,105%*SUM($AJ$7:AJ133))-AM133*Flag_UL_Type),0)*B133)</f>
        <v>0</v>
      </c>
      <c r="AU133" s="50">
        <f ca="1">(MAX(AS133,AR133,105%*SUM($AJ$7:AJ133))*B133)</f>
        <v>0</v>
      </c>
      <c r="AV133" s="125"/>
      <c r="AW133" s="13"/>
      <c r="AX133" s="13"/>
      <c r="AY133" s="13"/>
      <c r="AZ133" s="13"/>
      <c r="BA133" s="13"/>
      <c r="BG133" s="51">
        <f t="shared" si="74"/>
        <v>0</v>
      </c>
      <c r="BH133" s="51">
        <f t="shared" ca="1" si="75"/>
        <v>0</v>
      </c>
      <c r="BI133" s="51">
        <f t="shared" ca="1" si="76"/>
        <v>0</v>
      </c>
      <c r="BJ133" s="51">
        <f t="shared" ca="1" si="77"/>
        <v>0</v>
      </c>
      <c r="BK133" s="51">
        <f t="shared" si="78"/>
        <v>0</v>
      </c>
      <c r="BL133" s="51">
        <f t="shared" ca="1" si="79"/>
        <v>0</v>
      </c>
      <c r="BM133" s="51">
        <f t="shared" si="80"/>
        <v>0</v>
      </c>
      <c r="BN133" s="51">
        <f t="shared" ca="1" si="81"/>
        <v>0</v>
      </c>
      <c r="BO133" s="51">
        <f t="shared" ca="1" si="82"/>
        <v>0</v>
      </c>
      <c r="BP133" s="51">
        <f t="shared" ca="1" si="83"/>
        <v>0</v>
      </c>
      <c r="BQ133" s="120"/>
      <c r="BR133" s="32"/>
      <c r="BS133" s="126"/>
      <c r="BT133" s="16"/>
      <c r="BU133" s="58"/>
      <c r="BW133" s="51">
        <f>VLOOKUP(H133,Charges!$AT$4:$AU$33,2,FALSE)*I133</f>
        <v>0</v>
      </c>
      <c r="BX133" s="51">
        <f t="shared" si="84"/>
        <v>0</v>
      </c>
      <c r="BY133" s="51">
        <f t="shared" si="93"/>
        <v>0</v>
      </c>
      <c r="BZ133" s="151"/>
      <c r="CA133" s="151"/>
      <c r="CB133" s="32"/>
      <c r="CC133" s="16">
        <f ca="1">SUM($N$7:$N133)</f>
        <v>0</v>
      </c>
      <c r="CD133" s="16">
        <f t="shared" ca="1" si="85"/>
        <v>0</v>
      </c>
      <c r="CE133" s="16">
        <f t="shared" ca="1" si="86"/>
        <v>0</v>
      </c>
      <c r="CF133" s="7">
        <f t="shared" ca="1" si="94"/>
        <v>0</v>
      </c>
    </row>
    <row r="134" spans="1:84" s="7" customFormat="1" x14ac:dyDescent="0.2">
      <c r="A134" s="149"/>
      <c r="B134" s="14">
        <f t="shared" si="55"/>
        <v>1</v>
      </c>
      <c r="C134" s="12">
        <f t="shared" si="56"/>
        <v>1</v>
      </c>
      <c r="D134" s="17">
        <f t="shared" si="95"/>
        <v>128</v>
      </c>
      <c r="E134" s="17">
        <f t="shared" ca="1" si="57"/>
        <v>70</v>
      </c>
      <c r="F134" s="12">
        <f t="shared" si="97"/>
        <v>7</v>
      </c>
      <c r="G134" s="12">
        <f t="shared" si="96"/>
        <v>22</v>
      </c>
      <c r="H134" s="17">
        <f t="shared" si="98"/>
        <v>11</v>
      </c>
      <c r="I134" s="29">
        <f t="shared" si="58"/>
        <v>0</v>
      </c>
      <c r="J134" s="211">
        <f>IFERROR(VLOOKUP(H134,Charges!$T$6:$U$35,2,0)*C134,0)</f>
        <v>1</v>
      </c>
      <c r="K134" s="29">
        <f t="shared" si="59"/>
        <v>0</v>
      </c>
      <c r="L134" s="29">
        <f t="shared" si="60"/>
        <v>0</v>
      </c>
      <c r="M134" s="147">
        <f t="shared" ca="1" si="61"/>
        <v>0</v>
      </c>
      <c r="N134" s="148">
        <f ca="1">IF(AND(Option_SPW="Y",Z133&gt;=SPW_Start_Min_FV,H134&gt;=Lock_In_Period,Z133&gt;SPW_Amount_pa+IF(option="Single",1/5*pr,2*pr),H134&gt;=SPW_Start_Year,H134&lt;=SPW_Start_Year+SPW_Duration-1,F134=0,age+H134&gt;=Legal_Age),SPW_Amount_pa,0)+IFERROR(VLOOKUP(H134,Input!$B$68:$C$74,2,0),0)*(F134=0)*(Option_PW="Y")*(Option_SPW="N")*(age+H134&gt;=Legal_Age)</f>
        <v>0</v>
      </c>
      <c r="O134" s="148">
        <f t="shared" ca="1" si="87"/>
        <v>0</v>
      </c>
      <c r="P134" s="14">
        <f ca="1">(MAX(MAX(sa-CF133*Flag_UL_Type,105%*SUM($I$7:I134))-(AD133+L134-N134)*Flag_UL_Type,0)*B134)</f>
        <v>0</v>
      </c>
      <c r="Q134" s="213">
        <f t="shared" ca="1" si="62"/>
        <v>0</v>
      </c>
      <c r="R134" s="14">
        <f t="shared" ca="1" si="63"/>
        <v>0</v>
      </c>
      <c r="S134" s="14">
        <f t="shared" ca="1" si="64"/>
        <v>0</v>
      </c>
      <c r="T134" s="14">
        <f>IFERROR(IF(WoP_Flag="Y",IF(fq=1,VLOOKUP(ppt*fq-H134,Charges!$AN$41:$AO$59,2,FALSE),IF(fq=2,VLOOKUP(ppt*fq-G134,Charges!$AP$41:$AQ$79,2,FALSE),VLOOKUP(ppt*fq-D134,Charges!$AR$41:$AS$279,2,FALSE)))*pr/fq,0),0)</f>
        <v>0</v>
      </c>
      <c r="U134" s="14">
        <f ca="1">IFERROR(((T134*(VLOOKUP(Input!$D$18+H134-1,Tab_Mort_Charge,IF(Gender_2="M",2,3),FALSE)*(1+_emr2)+_rpm2)/IF(Model_Type="LA_PQIS",1000/0.0833,(12*1000))))*Flag_Mort_Rider_Charge*(T134&gt;0),0)</f>
        <v>0</v>
      </c>
      <c r="V134" s="34">
        <f>ROUND(MIN(IF(H134&gt;=7,Charges!$C$12*(1+Charges!$C$14)^((H134-7+1)),VLOOKUP(H134,Charges!$B$7:$C$12,2,0))*pr,Charges!$C$13)*B134,Round)</f>
        <v>500</v>
      </c>
      <c r="W134" s="14">
        <f t="shared" ca="1" si="65"/>
        <v>4565427.5835278798</v>
      </c>
      <c r="X134" s="14">
        <f t="shared" ca="1" si="66"/>
        <v>4594801.6820653388</v>
      </c>
      <c r="Y134" s="213">
        <f t="shared" ca="1" si="88"/>
        <v>5171.964997297996</v>
      </c>
      <c r="Z134" s="14">
        <f t="shared" ca="1" si="67"/>
        <v>4589629.7170680407</v>
      </c>
      <c r="AA134" s="14">
        <f>IF(AND($H134=pt,$F134=11),SUM($K$7:K134)*VLOOKUP(pt,ROC,2,FALSE),0)</f>
        <v>0</v>
      </c>
      <c r="AB134" s="14">
        <f>IF(AND($H134=pt,$F134=11),SUM($V$7:V134)*VLOOKUP(pt,ROC,2,FALSE),0)</f>
        <v>0</v>
      </c>
      <c r="AC134" s="14">
        <f>IF(AND($H134=pt,$F134=11),SUM($Q$7:Q134)*VLOOKUP(pt,ROC,2,FALSE),0)</f>
        <v>0</v>
      </c>
      <c r="AD134" s="14">
        <f t="shared" ca="1" si="89"/>
        <v>4589629.7170680407</v>
      </c>
      <c r="AE134" s="14">
        <f ca="1">(MAX(sa-CF133*Flag_UL_Type,105%*SUM($I$7:I134),Z134)+AU134)*B134</f>
        <v>4589629.7170680407</v>
      </c>
      <c r="AF134" s="136"/>
      <c r="AG134" s="18">
        <v>128</v>
      </c>
      <c r="AH134" s="30">
        <f t="shared" ca="1" si="68"/>
        <v>0</v>
      </c>
      <c r="AI134" s="58"/>
      <c r="AJ134" s="50">
        <f>IF(AND(Option_Sys_TopUp&gt;="Y",H134&gt;=sytp,H134&lt;=(dtp+sytp-1),F134=0,H134&lt;=ppt+1),atp,0)+IFERROR(VLOOKUP(H134,Input!$B$55:$C$61,2,0),0)*(F134=0)*(Option_TopUP="Y")*(Option_Sys_TopUp="N")*B134*(pt&gt;=H134+5)</f>
        <v>0</v>
      </c>
      <c r="AK134" s="50">
        <f t="shared" si="69"/>
        <v>0</v>
      </c>
      <c r="AL134" s="50">
        <f t="shared" si="90"/>
        <v>0</v>
      </c>
      <c r="AM134" s="50">
        <f t="shared" ca="1" si="70"/>
        <v>0</v>
      </c>
      <c r="AN134" s="50">
        <f ca="1">IF(B134=0,0,AT134*(_rpm1+(1+_emr1)*VLOOKUP(E134,Tab_Mort_Charge,IF(Input!$C$12="M",2,3),0))*(0.001*0.0833)*Flag_Mort_Rider_Charge*(AT134&gt;0))</f>
        <v>0</v>
      </c>
      <c r="AO134" s="50">
        <f t="shared" ca="1" si="91"/>
        <v>0</v>
      </c>
      <c r="AP134" s="50">
        <f t="shared" ca="1" si="99"/>
        <v>0</v>
      </c>
      <c r="AQ134" s="50">
        <f t="shared" ca="1" si="71"/>
        <v>0</v>
      </c>
      <c r="AR134" s="50">
        <f t="shared" ca="1" si="72"/>
        <v>0</v>
      </c>
      <c r="AS134" s="50">
        <f t="shared" si="73"/>
        <v>0</v>
      </c>
      <c r="AT134" s="50">
        <f ca="1">(MAX((MAX(AS134,105%*SUM($AJ$7:AJ134))-AM134*Flag_UL_Type),0)*B134)</f>
        <v>0</v>
      </c>
      <c r="AU134" s="50">
        <f ca="1">(MAX(AS134,AR134,105%*SUM($AJ$7:AJ134))*B134)</f>
        <v>0</v>
      </c>
      <c r="AV134" s="125"/>
      <c r="AW134" s="13"/>
      <c r="AX134" s="13"/>
      <c r="AY134" s="13"/>
      <c r="AZ134" s="13"/>
      <c r="BA134" s="13"/>
      <c r="BG134" s="51">
        <f t="shared" si="74"/>
        <v>0</v>
      </c>
      <c r="BH134" s="51">
        <f t="shared" ca="1" si="75"/>
        <v>0</v>
      </c>
      <c r="BI134" s="51">
        <f t="shared" ca="1" si="76"/>
        <v>0</v>
      </c>
      <c r="BJ134" s="51">
        <f t="shared" ca="1" si="77"/>
        <v>0</v>
      </c>
      <c r="BK134" s="51">
        <f t="shared" si="78"/>
        <v>0</v>
      </c>
      <c r="BL134" s="51">
        <f t="shared" ca="1" si="79"/>
        <v>0</v>
      </c>
      <c r="BM134" s="51">
        <f t="shared" si="80"/>
        <v>0</v>
      </c>
      <c r="BN134" s="51">
        <f t="shared" ca="1" si="81"/>
        <v>0</v>
      </c>
      <c r="BO134" s="51">
        <f t="shared" ca="1" si="82"/>
        <v>0</v>
      </c>
      <c r="BP134" s="51">
        <f t="shared" ca="1" si="83"/>
        <v>0</v>
      </c>
      <c r="BQ134" s="120"/>
      <c r="BR134" s="32"/>
      <c r="BS134" s="126"/>
      <c r="BT134" s="16"/>
      <c r="BU134" s="58"/>
      <c r="BW134" s="51">
        <f>VLOOKUP(H134,Charges!$AT$4:$AU$33,2,FALSE)*I134</f>
        <v>0</v>
      </c>
      <c r="BX134" s="51">
        <f t="shared" si="84"/>
        <v>0</v>
      </c>
      <c r="BY134" s="51">
        <f t="shared" si="93"/>
        <v>0</v>
      </c>
      <c r="BZ134" s="151"/>
      <c r="CA134" s="151"/>
      <c r="CB134" s="32"/>
      <c r="CC134" s="16">
        <f ca="1">SUM($N$7:$N134)</f>
        <v>0</v>
      </c>
      <c r="CD134" s="16">
        <f t="shared" ca="1" si="85"/>
        <v>0</v>
      </c>
      <c r="CE134" s="16">
        <f t="shared" ca="1" si="86"/>
        <v>0</v>
      </c>
      <c r="CF134" s="7">
        <f t="shared" ca="1" si="94"/>
        <v>0</v>
      </c>
    </row>
    <row r="135" spans="1:84" s="7" customFormat="1" x14ac:dyDescent="0.2">
      <c r="A135" s="149"/>
      <c r="B135" s="14">
        <f t="shared" ref="B135:B198" si="100">IF(H135&lt;=pt,1,0)</f>
        <v>1</v>
      </c>
      <c r="C135" s="12">
        <f t="shared" ref="C135:C198" si="101">IF(H135&lt;=ppt,1,0)</f>
        <v>1</v>
      </c>
      <c r="D135" s="17">
        <f t="shared" si="95"/>
        <v>129</v>
      </c>
      <c r="E135" s="17">
        <f t="shared" ref="E135:E198" ca="1" si="102">(age+(H135-1))</f>
        <v>70</v>
      </c>
      <c r="F135" s="12">
        <f t="shared" si="97"/>
        <v>8</v>
      </c>
      <c r="G135" s="12">
        <f t="shared" si="96"/>
        <v>22</v>
      </c>
      <c r="H135" s="17">
        <f t="shared" si="98"/>
        <v>11</v>
      </c>
      <c r="I135" s="29">
        <f t="shared" ref="I135:I198" si="103">IF(AND(H135&lt;=pt,H135&lt;=ppt,F135=0,fq=1),pr,IF(AND(H135&lt;=pt,H135&lt;=ppt,fq=2,MOD(F135,6)=0),pr/fq,IF(AND(H135&lt;=pt,H135&lt;=ppt,fq=12),pr/fq,0)))</f>
        <v>0</v>
      </c>
      <c r="J135" s="211">
        <f>IFERROR(VLOOKUP(H135,Charges!$T$6:$U$35,2,0)*C135,0)</f>
        <v>1</v>
      </c>
      <c r="K135" s="29">
        <f t="shared" ref="K135:K198" si="104">ROUND((100%-J135)*I135,Round)</f>
        <v>0</v>
      </c>
      <c r="L135" s="29">
        <f t="shared" ref="L135:L198" si="105">(I135-(K135+BG135*IF(Model_Type="Pricing_Unit",1,0)))*C135</f>
        <v>0</v>
      </c>
      <c r="M135" s="147">
        <f t="shared" ref="M135:M198" ca="1" si="106">IF(AND(OR(Option_PW="Y",Option_SPW="Y"),H135&gt;Lock_In_Period,H135&lt;=pt,(W135-IF(option="Single",1/5*pr,2*pr))&gt;0,(age+H135)&gt;=Legal_Age),(W134+L135-IF(option="Single",1/5*pr,2*pr)),0)</f>
        <v>0</v>
      </c>
      <c r="N135" s="148">
        <f ca="1">IF(AND(Option_SPW="Y",Z134&gt;=SPW_Start_Min_FV,H135&gt;=Lock_In_Period,Z134&gt;SPW_Amount_pa+IF(option="Single",1/5*pr,2*pr),H135&gt;=SPW_Start_Year,H135&lt;=SPW_Start_Year+SPW_Duration-1,F135=0,age+H135&gt;=Legal_Age),SPW_Amount_pa,0)+IFERROR(VLOOKUP(H135,Input!$B$68:$C$74,2,0),0)*(F135=0)*(Option_PW="Y")*(Option_SPW="N")*(age+H135&gt;=Legal_Age)</f>
        <v>0</v>
      </c>
      <c r="O135" s="148">
        <f t="shared" ca="1" si="87"/>
        <v>0</v>
      </c>
      <c r="P135" s="14">
        <f ca="1">(MAX(MAX(sa-CF134*Flag_UL_Type,105%*SUM($I$7:I135))-(AD134+L135-N135)*Flag_UL_Type,0)*B135)</f>
        <v>0</v>
      </c>
      <c r="Q135" s="213">
        <f t="shared" ref="Q135:Q198" ca="1" si="107">IF(B135=0,0,ROUND(P135*(_rpm1+(1+_emr1)*VLOOKUP(E135,Tab_Mort_Charge,IF(Gender="M",2,3),0))*Flag_Mort_Rider_Charge*(P135&gt;0),Round))*(0.001*IF(Model_Type="LA_PQIS",0.0833,(1/12)))</f>
        <v>0</v>
      </c>
      <c r="R135" s="14">
        <f t="shared" ref="R135:R198" ca="1" si="108">IF(AND(B135,ADB_Flag="Y",age&lt;=ADB_MAX_AGE,age&gt;=ADB_MIN_AGE,E135&lt;=age+pt),sa_adb,0)</f>
        <v>0</v>
      </c>
      <c r="S135" s="14">
        <f t="shared" ref="S135:S198" ca="1" si="109">ROUND((adb_rate*(1+adb_emr)+adb_rpm)*R135*(0.001*IF(Model_Type="LA_PQIS",0.0833,(1/12)))*Flag_Mort_Rider_Charge*IF(age+H135-1&lt;Max_Maturity_Age,1,0),Round)</f>
        <v>0</v>
      </c>
      <c r="T135" s="14">
        <f>IFERROR(IF(WoP_Flag="Y",IF(fq=1,VLOOKUP(ppt*fq-H135,Charges!$AN$41:$AO$59,2,FALSE),IF(fq=2,VLOOKUP(ppt*fq-G135,Charges!$AP$41:$AQ$79,2,FALSE),VLOOKUP(ppt*fq-D135,Charges!$AR$41:$AS$279,2,FALSE)))*pr/fq,0),0)</f>
        <v>0</v>
      </c>
      <c r="U135" s="14">
        <f ca="1">IFERROR(((T135*(VLOOKUP(Input!$D$18+H135-1,Tab_Mort_Charge,IF(Gender_2="M",2,3),FALSE)*(1+_emr2)+_rpm2)/IF(Model_Type="LA_PQIS",1000/0.0833,(12*1000))))*Flag_Mort_Rider_Charge*(T135&gt;0),0)</f>
        <v>0</v>
      </c>
      <c r="V135" s="34">
        <f>ROUND(MIN(IF(H135&gt;=7,Charges!$C$12*(1+Charges!$C$14)^((H135-7+1)),VLOOKUP(H135,Charges!$B$7:$C$12,2,0))*pr,Charges!$C$13)*B135,Round)</f>
        <v>500</v>
      </c>
      <c r="W135" s="14">
        <f t="shared" ref="W135:W198" ca="1" si="110">+(AD134+L135-(N135+Q135+S135+U135+V135+BG135*IF(Model_Type="La_PQIS",1,0)+BH135+BK135+BI135+BJ135+BM135*IF(Model_Type="La_PQIS",1,0)))*B135</f>
        <v>4589129.7170680407</v>
      </c>
      <c r="X135" s="14">
        <f t="shared" ref="X135:X198" ca="1" si="111">W135*(1+$F$3)</f>
        <v>4618656.3158463677</v>
      </c>
      <c r="Y135" s="213">
        <f t="shared" ca="1" si="88"/>
        <v>5198.8160649774582</v>
      </c>
      <c r="Z135" s="14">
        <f t="shared" ref="Z135:Z198" ca="1" si="112">X135-(Y135+BL135)</f>
        <v>4613457.4997813907</v>
      </c>
      <c r="AA135" s="14">
        <f>IF(AND($H135=pt,$F135=11),SUM($K$7:K135)*VLOOKUP(pt,ROC,2,FALSE),0)</f>
        <v>0</v>
      </c>
      <c r="AB135" s="14">
        <f>IF(AND($H135=pt,$F135=11),SUM($V$7:V135)*VLOOKUP(pt,ROC,2,FALSE),0)</f>
        <v>0</v>
      </c>
      <c r="AC135" s="14">
        <f>IF(AND($H135=pt,$F135=11),SUM($Q$7:Q135)*VLOOKUP(pt,ROC,2,FALSE),0)</f>
        <v>0</v>
      </c>
      <c r="AD135" s="14">
        <f t="shared" ca="1" si="89"/>
        <v>4613457.4997813907</v>
      </c>
      <c r="AE135" s="14">
        <f ca="1">(MAX(sa-CF134*Flag_UL_Type,105%*SUM($I$7:I135),Z135)+AU135)*B135</f>
        <v>4613457.4997813907</v>
      </c>
      <c r="AF135" s="136"/>
      <c r="AG135" s="18">
        <v>129</v>
      </c>
      <c r="AH135" s="30">
        <f t="shared" ref="AH135:AH198" ca="1" si="113">(I135+AJ135)-IF(AG135=pt*12+1,AD134,0)-IF(AG135=pt*12+1,AR134,0)-N135</f>
        <v>0</v>
      </c>
      <c r="AI135" s="58"/>
      <c r="AJ135" s="50">
        <f>IF(AND(Option_Sys_TopUp&gt;="Y",H135&gt;=sytp,H135&lt;=(dtp+sytp-1),F135=0,H135&lt;=ppt+1),atp,0)+IFERROR(VLOOKUP(H135,Input!$B$55:$C$61,2,0),0)*(F135=0)*(Option_TopUP="Y")*(Option_Sys_TopUp="N")*B135*(pt&gt;=H135+5)</f>
        <v>0</v>
      </c>
      <c r="AK135" s="50">
        <f t="shared" ref="AK135:AK198" si="114">ROUND(allctp*AJ135,0)</f>
        <v>0</v>
      </c>
      <c r="AL135" s="50">
        <f t="shared" si="90"/>
        <v>0</v>
      </c>
      <c r="AM135" s="50">
        <f t="shared" ref="AM135:AM198" ca="1" si="115">AR134+AL135</f>
        <v>0</v>
      </c>
      <c r="AN135" s="50">
        <f ca="1">IF(B135=0,0,AT135*(_rpm1+(1+_emr1)*VLOOKUP(E135,Tab_Mort_Charge,IF(Input!$C$12="M",2,3),0))*(0.001*0.0833)*Flag_Mort_Rider_Charge*(AT135&gt;0))</f>
        <v>0</v>
      </c>
      <c r="AO135" s="50">
        <f t="shared" ca="1" si="91"/>
        <v>0</v>
      </c>
      <c r="AP135" s="50">
        <f t="shared" ca="1" si="99"/>
        <v>0</v>
      </c>
      <c r="AQ135" s="50">
        <f t="shared" ref="AQ135:AQ198" ca="1" si="116">AP135*$Y$2</f>
        <v>0</v>
      </c>
      <c r="AR135" s="50">
        <f t="shared" ref="AR135:AR198" ca="1" si="117">AP135-(AQ135+BO135)</f>
        <v>0</v>
      </c>
      <c r="AS135" s="50">
        <f t="shared" ref="AS135:AS198" si="118">(AJ135*TOPUP_Cover_Level+AS134)*B135</f>
        <v>0</v>
      </c>
      <c r="AT135" s="50">
        <f ca="1">(MAX((MAX(AS135,105%*SUM($AJ$7:AJ135))-AM135*Flag_UL_Type),0)*B135)</f>
        <v>0</v>
      </c>
      <c r="AU135" s="50">
        <f ca="1">(MAX(AS135,AR135,105%*SUM($AJ$7:AJ135))*B135)</f>
        <v>0</v>
      </c>
      <c r="AV135" s="125"/>
      <c r="AW135" s="13"/>
      <c r="AX135" s="13"/>
      <c r="AY135" s="13"/>
      <c r="AZ135" s="13"/>
      <c r="BA135" s="13"/>
      <c r="BG135" s="51">
        <f t="shared" ref="BG135:BG198" si="119">ROUND(K135*Service_Tax_Rate*Flag_Service_Tax,Round)+ROUND(K135*Cess1_Rate*Flag_Service_Tax,Round)+ROUND(K135*Cess2_Rate*Flag_Service_Tax,Round)</f>
        <v>0</v>
      </c>
      <c r="BH135" s="51">
        <f t="shared" ref="BH135:BH198" ca="1" si="120">ROUND(Q135*Service_Tax_Rate*Flag_Service_Tax,Round)+ROUND(Q135*Cess1_Rate*Flag_Service_Tax,Round)+ROUND(Q135*Cess2_Rate*Flag_Service_Tax,Round)</f>
        <v>0</v>
      </c>
      <c r="BI135" s="51">
        <f t="shared" ref="BI135:BI198" ca="1" si="121">ROUND(S135*Service_Tax_Rate*Flag_Service_Tax,Round)+ROUND(S135*Cess1_Rate*Flag_Service_Tax,Round)+ROUND(S135*Cess2_Rate*Flag_Service_Tax,Round)</f>
        <v>0</v>
      </c>
      <c r="BJ135" s="51">
        <f t="shared" ref="BJ135:BJ198" ca="1" si="122">ROUND(U135*Service_Tax_Rate*Flag_Service_Tax,Round)+ROUND(U135*Cess1_Rate*Flag_Service_Tax,Round)+ROUND(U135*Cess2_Rate*Flag_Service_Tax,Round)</f>
        <v>0</v>
      </c>
      <c r="BK135" s="51">
        <f t="shared" ref="BK135:BK198" si="123">ROUND(V135*Service_Tax_Rate*Flag_Service_Tax,Round)+ROUND(V135*Cess1_Rate*Flag_Service_Tax,Round)+ROUND(V135*Cess2_Rate*Flag_Service_Tax,Round)</f>
        <v>0</v>
      </c>
      <c r="BL135" s="51">
        <f t="shared" ref="BL135:BL198" ca="1" si="124">Y135*Service_Tax_Rate*Flag_Service_Tax+Y135*Cess1_Rate*Flag_Service_Tax+Y135*Cess2_Rate*Flag_Service_Tax</f>
        <v>0</v>
      </c>
      <c r="BM135" s="51">
        <f t="shared" ref="BM135:BM198" si="125">ROUND(AK135*Service_Tax_Rate*Flag_Service_Tax,Round)+ROUND(AK135*Cess1_Rate*Flag_Service_Tax,Round)+ROUND(AK135*Cess2_Rate*Flag_Service_Tax,Round)</f>
        <v>0</v>
      </c>
      <c r="BN135" s="51">
        <f t="shared" ref="BN135:BN198" ca="1" si="126">ROUND(AN135*Service_Tax_Rate*Flag_Service_Tax,Round)+ROUND(AN135*Cess1_Rate*Flag_Service_Tax,Round)+ROUND(AN135*Cess2_Rate*Flag_Service_Tax,Round)</f>
        <v>0</v>
      </c>
      <c r="BO135" s="51">
        <f t="shared" ref="BO135:BO198" ca="1" si="127">AQ135*Service_Tax_Rate*Flag_Service_Tax+AQ135*Cess1_Rate*Flag_Service_Tax+AQ135*Cess2_Rate*Flag_Service_Tax</f>
        <v>0</v>
      </c>
      <c r="BP135" s="51">
        <f t="shared" ref="BP135:BP198" ca="1" si="128">SUM(BG135:BO135)</f>
        <v>0</v>
      </c>
      <c r="BQ135" s="120"/>
      <c r="BR135" s="32"/>
      <c r="BS135" s="126"/>
      <c r="BT135" s="16"/>
      <c r="BU135" s="58"/>
      <c r="BW135" s="51">
        <f>VLOOKUP(H135,Charges!$AT$4:$AU$33,2,FALSE)*I135</f>
        <v>0</v>
      </c>
      <c r="BX135" s="51">
        <f t="shared" ref="BX135:BX198" si="129">AJ135*Commission_TOPUP</f>
        <v>0</v>
      </c>
      <c r="BY135" s="51">
        <f t="shared" si="93"/>
        <v>0</v>
      </c>
      <c r="BZ135" s="151"/>
      <c r="CA135" s="151"/>
      <c r="CB135" s="32"/>
      <c r="CC135" s="16">
        <f ca="1">SUM($N$7:$N135)</f>
        <v>0</v>
      </c>
      <c r="CD135" s="16">
        <f t="shared" ref="CD135:CD198" ca="1" si="130">IF(AND((B135=1)*(H135&gt;Lock_In_Period)),CC135-INDEX($CC$7:$CC$367,D135-24,1),0)*(E135&lt;60)</f>
        <v>0</v>
      </c>
      <c r="CE135" s="16">
        <f t="shared" ref="CE135:CE198" ca="1" si="131">(B135=1)*(H135&gt;Lock_In_Period)*(E135&gt;=60)*IFERROR((CC135-INDEX($CC$7:$CC$367,D135-24,1)),0)</f>
        <v>0</v>
      </c>
      <c r="CF135" s="7">
        <f t="shared" ca="1" si="94"/>
        <v>0</v>
      </c>
    </row>
    <row r="136" spans="1:84" s="7" customFormat="1" x14ac:dyDescent="0.2">
      <c r="A136" s="149"/>
      <c r="B136" s="14">
        <f t="shared" si="100"/>
        <v>1</v>
      </c>
      <c r="C136" s="12">
        <f t="shared" si="101"/>
        <v>1</v>
      </c>
      <c r="D136" s="17">
        <f t="shared" si="95"/>
        <v>130</v>
      </c>
      <c r="E136" s="17">
        <f t="shared" ca="1" si="102"/>
        <v>70</v>
      </c>
      <c r="F136" s="12">
        <f t="shared" si="97"/>
        <v>9</v>
      </c>
      <c r="G136" s="12">
        <f t="shared" si="96"/>
        <v>22</v>
      </c>
      <c r="H136" s="17">
        <f t="shared" si="98"/>
        <v>11</v>
      </c>
      <c r="I136" s="29">
        <f t="shared" si="103"/>
        <v>0</v>
      </c>
      <c r="J136" s="211">
        <f>IFERROR(VLOOKUP(H136,Charges!$T$6:$U$35,2,0)*C136,0)</f>
        <v>1</v>
      </c>
      <c r="K136" s="29">
        <f t="shared" si="104"/>
        <v>0</v>
      </c>
      <c r="L136" s="29">
        <f t="shared" si="105"/>
        <v>0</v>
      </c>
      <c r="M136" s="147">
        <f t="shared" ca="1" si="106"/>
        <v>0</v>
      </c>
      <c r="N136" s="148">
        <f ca="1">IF(AND(Option_SPW="Y",Z135&gt;=SPW_Start_Min_FV,H136&gt;=Lock_In_Period,Z135&gt;SPW_Amount_pa+IF(option="Single",1/5*pr,2*pr),H136&gt;=SPW_Start_Year,H136&lt;=SPW_Start_Year+SPW_Duration-1,F136=0,age+H136&gt;=Legal_Age),SPW_Amount_pa,0)+IFERROR(VLOOKUP(H136,Input!$B$68:$C$74,2,0),0)*(F136=0)*(Option_PW="Y")*(Option_SPW="N")*(age+H136&gt;=Legal_Age)</f>
        <v>0</v>
      </c>
      <c r="O136" s="148">
        <f t="shared" ref="O136:O199" ca="1" si="132">IF(N136&lt;=M136,0,1)</f>
        <v>0</v>
      </c>
      <c r="P136" s="14">
        <f ca="1">(MAX(MAX(sa-CF135*Flag_UL_Type,105%*SUM($I$7:I136))-(AD135+L136-N136)*Flag_UL_Type,0)*B136)</f>
        <v>0</v>
      </c>
      <c r="Q136" s="213">
        <f t="shared" ca="1" si="107"/>
        <v>0</v>
      </c>
      <c r="R136" s="14">
        <f t="shared" ca="1" si="108"/>
        <v>0</v>
      </c>
      <c r="S136" s="14">
        <f t="shared" ca="1" si="109"/>
        <v>0</v>
      </c>
      <c r="T136" s="14">
        <f>IFERROR(IF(WoP_Flag="Y",IF(fq=1,VLOOKUP(ppt*fq-H136,Charges!$AN$41:$AO$59,2,FALSE),IF(fq=2,VLOOKUP(ppt*fq-G136,Charges!$AP$41:$AQ$79,2,FALSE),VLOOKUP(ppt*fq-D136,Charges!$AR$41:$AS$279,2,FALSE)))*pr/fq,0),0)</f>
        <v>0</v>
      </c>
      <c r="U136" s="14">
        <f ca="1">IFERROR(((T136*(VLOOKUP(Input!$D$18+H136-1,Tab_Mort_Charge,IF(Gender_2="M",2,3),FALSE)*(1+_emr2)+_rpm2)/IF(Model_Type="LA_PQIS",1000/0.0833,(12*1000))))*Flag_Mort_Rider_Charge*(T136&gt;0),0)</f>
        <v>0</v>
      </c>
      <c r="V136" s="34">
        <f>ROUND(MIN(IF(H136&gt;=7,Charges!$C$12*(1+Charges!$C$14)^((H136-7+1)),VLOOKUP(H136,Charges!$B$7:$C$12,2,0))*pr,Charges!$C$13)*B136,Round)</f>
        <v>500</v>
      </c>
      <c r="W136" s="14">
        <f t="shared" ca="1" si="110"/>
        <v>4612957.4997813907</v>
      </c>
      <c r="X136" s="14">
        <f t="shared" ca="1" si="111"/>
        <v>4642637.4072311502</v>
      </c>
      <c r="Y136" s="213">
        <f t="shared" ref="Y136:Y199" ca="1" si="133">X136*$Y$2</f>
        <v>5225.8094748830954</v>
      </c>
      <c r="Z136" s="14">
        <f t="shared" ca="1" si="112"/>
        <v>4637411.5977562675</v>
      </c>
      <c r="AA136" s="14">
        <f>IF(AND($H136=pt,$F136=11),SUM($K$7:K136)*VLOOKUP(pt,ROC,2,FALSE),0)</f>
        <v>0</v>
      </c>
      <c r="AB136" s="14">
        <f>IF(AND($H136=pt,$F136=11),SUM($V$7:V136)*VLOOKUP(pt,ROC,2,FALSE),0)</f>
        <v>0</v>
      </c>
      <c r="AC136" s="14">
        <f>IF(AND($H136=pt,$F136=11),SUM($Q$7:Q136)*VLOOKUP(pt,ROC,2,FALSE),0)</f>
        <v>0</v>
      </c>
      <c r="AD136" s="14">
        <f t="shared" ref="AD136:AD199" ca="1" si="134">Z136+AA136+AB136+AC136</f>
        <v>4637411.5977562675</v>
      </c>
      <c r="AE136" s="14">
        <f ca="1">(MAX(sa-CF135*Flag_UL_Type,105%*SUM($I$7:I136),Z136)+AU136)*B136</f>
        <v>4637411.5977562675</v>
      </c>
      <c r="AF136" s="136"/>
      <c r="AG136" s="18">
        <v>130</v>
      </c>
      <c r="AH136" s="30">
        <f t="shared" ca="1" si="113"/>
        <v>0</v>
      </c>
      <c r="AI136" s="58"/>
      <c r="AJ136" s="50">
        <f>IF(AND(Option_Sys_TopUp&gt;="Y",H136&gt;=sytp,H136&lt;=(dtp+sytp-1),F136=0,H136&lt;=ppt+1),atp,0)+IFERROR(VLOOKUP(H136,Input!$B$55:$C$61,2,0),0)*(F136=0)*(Option_TopUP="Y")*(Option_Sys_TopUp="N")*B136*(pt&gt;=H136+5)</f>
        <v>0</v>
      </c>
      <c r="AK136" s="50">
        <f t="shared" si="114"/>
        <v>0</v>
      </c>
      <c r="AL136" s="50">
        <f t="shared" ref="AL136:AL199" si="135">AJ136-(AK136+BM136*0)</f>
        <v>0</v>
      </c>
      <c r="AM136" s="50">
        <f t="shared" ca="1" si="115"/>
        <v>0</v>
      </c>
      <c r="AN136" s="50">
        <f ca="1">IF(B136=0,0,AT136*(_rpm1+(1+_emr1)*VLOOKUP(E136,Tab_Mort_Charge,IF(Input!$C$12="M",2,3),0))*(0.001*0.0833)*Flag_Mort_Rider_Charge*(AT136&gt;0))</f>
        <v>0</v>
      </c>
      <c r="AO136" s="50">
        <f t="shared" ref="AO136:AO199" ca="1" si="136">AM136-AN136-BM136*1-BN136*1</f>
        <v>0</v>
      </c>
      <c r="AP136" s="50">
        <f t="shared" ca="1" si="99"/>
        <v>0</v>
      </c>
      <c r="AQ136" s="50">
        <f t="shared" ca="1" si="116"/>
        <v>0</v>
      </c>
      <c r="AR136" s="50">
        <f t="shared" ca="1" si="117"/>
        <v>0</v>
      </c>
      <c r="AS136" s="50">
        <f t="shared" si="118"/>
        <v>0</v>
      </c>
      <c r="AT136" s="50">
        <f ca="1">(MAX((MAX(AS136,105%*SUM($AJ$7:AJ136))-AM136*Flag_UL_Type),0)*B136)</f>
        <v>0</v>
      </c>
      <c r="AU136" s="50">
        <f ca="1">(MAX(AS136,AR136,105%*SUM($AJ$7:AJ136))*B136)</f>
        <v>0</v>
      </c>
      <c r="AV136" s="125"/>
      <c r="AW136" s="13"/>
      <c r="AX136" s="13"/>
      <c r="AY136" s="13"/>
      <c r="AZ136" s="13"/>
      <c r="BA136" s="13"/>
      <c r="BG136" s="51">
        <f t="shared" si="119"/>
        <v>0</v>
      </c>
      <c r="BH136" s="51">
        <f t="shared" ca="1" si="120"/>
        <v>0</v>
      </c>
      <c r="BI136" s="51">
        <f t="shared" ca="1" si="121"/>
        <v>0</v>
      </c>
      <c r="BJ136" s="51">
        <f t="shared" ca="1" si="122"/>
        <v>0</v>
      </c>
      <c r="BK136" s="51">
        <f t="shared" si="123"/>
        <v>0</v>
      </c>
      <c r="BL136" s="51">
        <f t="shared" ca="1" si="124"/>
        <v>0</v>
      </c>
      <c r="BM136" s="51">
        <f t="shared" si="125"/>
        <v>0</v>
      </c>
      <c r="BN136" s="51">
        <f t="shared" ca="1" si="126"/>
        <v>0</v>
      </c>
      <c r="BO136" s="51">
        <f t="shared" ca="1" si="127"/>
        <v>0</v>
      </c>
      <c r="BP136" s="51">
        <f t="shared" ca="1" si="128"/>
        <v>0</v>
      </c>
      <c r="BQ136" s="120"/>
      <c r="BR136" s="32"/>
      <c r="BS136" s="126"/>
      <c r="BT136" s="16"/>
      <c r="BU136" s="58"/>
      <c r="BW136" s="51">
        <f>VLOOKUP(H136,Charges!$AT$4:$AU$33,2,FALSE)*I136</f>
        <v>0</v>
      </c>
      <c r="BX136" s="51">
        <f t="shared" si="129"/>
        <v>0</v>
      </c>
      <c r="BY136" s="51">
        <f t="shared" ref="BY136:BY199" si="137">SUM(BW136:BX136)</f>
        <v>0</v>
      </c>
      <c r="BZ136" s="151"/>
      <c r="CA136" s="151"/>
      <c r="CB136" s="32"/>
      <c r="CC136" s="16">
        <f ca="1">SUM($N$7:$N136)</f>
        <v>0</v>
      </c>
      <c r="CD136" s="16">
        <f t="shared" ca="1" si="130"/>
        <v>0</v>
      </c>
      <c r="CE136" s="16">
        <f t="shared" ca="1" si="131"/>
        <v>0</v>
      </c>
      <c r="CF136" s="7">
        <f t="shared" ref="CF136:CF199" ca="1" si="138">IF(E136&lt;60,CD136,CE136)</f>
        <v>0</v>
      </c>
    </row>
    <row r="137" spans="1:84" s="7" customFormat="1" x14ac:dyDescent="0.2">
      <c r="A137" s="149"/>
      <c r="B137" s="14">
        <f t="shared" si="100"/>
        <v>1</v>
      </c>
      <c r="C137" s="12">
        <f t="shared" si="101"/>
        <v>1</v>
      </c>
      <c r="D137" s="17">
        <f t="shared" ref="D137:D200" si="139">D136+1</f>
        <v>131</v>
      </c>
      <c r="E137" s="17">
        <f t="shared" ca="1" si="102"/>
        <v>70</v>
      </c>
      <c r="F137" s="12">
        <f t="shared" si="97"/>
        <v>10</v>
      </c>
      <c r="G137" s="12">
        <f t="shared" si="96"/>
        <v>22</v>
      </c>
      <c r="H137" s="17">
        <f t="shared" si="98"/>
        <v>11</v>
      </c>
      <c r="I137" s="29">
        <f t="shared" si="103"/>
        <v>0</v>
      </c>
      <c r="J137" s="211">
        <f>IFERROR(VLOOKUP(H137,Charges!$T$6:$U$35,2,0)*C137,0)</f>
        <v>1</v>
      </c>
      <c r="K137" s="29">
        <f t="shared" si="104"/>
        <v>0</v>
      </c>
      <c r="L137" s="29">
        <f t="shared" si="105"/>
        <v>0</v>
      </c>
      <c r="M137" s="147">
        <f t="shared" ca="1" si="106"/>
        <v>0</v>
      </c>
      <c r="N137" s="148">
        <f ca="1">IF(AND(Option_SPW="Y",Z136&gt;=SPW_Start_Min_FV,H137&gt;=Lock_In_Period,Z136&gt;SPW_Amount_pa+IF(option="Single",1/5*pr,2*pr),H137&gt;=SPW_Start_Year,H137&lt;=SPW_Start_Year+SPW_Duration-1,F137=0,age+H137&gt;=Legal_Age),SPW_Amount_pa,0)+IFERROR(VLOOKUP(H137,Input!$B$68:$C$74,2,0),0)*(F137=0)*(Option_PW="Y")*(Option_SPW="N")*(age+H137&gt;=Legal_Age)</f>
        <v>0</v>
      </c>
      <c r="O137" s="148">
        <f t="shared" ca="1" si="132"/>
        <v>0</v>
      </c>
      <c r="P137" s="14">
        <f ca="1">(MAX(MAX(sa-CF136*Flag_UL_Type,105%*SUM($I$7:I137))-(AD136+L137-N137)*Flag_UL_Type,0)*B137)</f>
        <v>0</v>
      </c>
      <c r="Q137" s="213">
        <f t="shared" ca="1" si="107"/>
        <v>0</v>
      </c>
      <c r="R137" s="14">
        <f t="shared" ca="1" si="108"/>
        <v>0</v>
      </c>
      <c r="S137" s="14">
        <f t="shared" ca="1" si="109"/>
        <v>0</v>
      </c>
      <c r="T137" s="14">
        <f>IFERROR(IF(WoP_Flag="Y",IF(fq=1,VLOOKUP(ppt*fq-H137,Charges!$AN$41:$AO$59,2,FALSE),IF(fq=2,VLOOKUP(ppt*fq-G137,Charges!$AP$41:$AQ$79,2,FALSE),VLOOKUP(ppt*fq-D137,Charges!$AR$41:$AS$279,2,FALSE)))*pr/fq,0),0)</f>
        <v>0</v>
      </c>
      <c r="U137" s="14">
        <f ca="1">IFERROR(((T137*(VLOOKUP(Input!$D$18+H137-1,Tab_Mort_Charge,IF(Gender_2="M",2,3),FALSE)*(1+_emr2)+_rpm2)/IF(Model_Type="LA_PQIS",1000/0.0833,(12*1000))))*Flag_Mort_Rider_Charge*(T137&gt;0),0)</f>
        <v>0</v>
      </c>
      <c r="V137" s="34">
        <f>ROUND(MIN(IF(H137&gt;=7,Charges!$C$12*(1+Charges!$C$14)^((H137-7+1)),VLOOKUP(H137,Charges!$B$7:$C$12,2,0))*pr,Charges!$C$13)*B137,Round)</f>
        <v>500</v>
      </c>
      <c r="W137" s="14">
        <f t="shared" ca="1" si="110"/>
        <v>4636911.5977562675</v>
      </c>
      <c r="X137" s="14">
        <f t="shared" ca="1" si="111"/>
        <v>4666745.6265936559</v>
      </c>
      <c r="Y137" s="213">
        <f t="shared" ca="1" si="133"/>
        <v>5252.9459815960499</v>
      </c>
      <c r="Z137" s="14">
        <f t="shared" ca="1" si="112"/>
        <v>4661492.6806120602</v>
      </c>
      <c r="AA137" s="14">
        <f>IF(AND($H137=pt,$F137=11),SUM($K$7:K137)*VLOOKUP(pt,ROC,2,FALSE),0)</f>
        <v>0</v>
      </c>
      <c r="AB137" s="14">
        <f>IF(AND($H137=pt,$F137=11),SUM($V$7:V137)*VLOOKUP(pt,ROC,2,FALSE),0)</f>
        <v>0</v>
      </c>
      <c r="AC137" s="14">
        <f>IF(AND($H137=pt,$F137=11),SUM($Q$7:Q137)*VLOOKUP(pt,ROC,2,FALSE),0)</f>
        <v>0</v>
      </c>
      <c r="AD137" s="14">
        <f t="shared" ca="1" si="134"/>
        <v>4661492.6806120602</v>
      </c>
      <c r="AE137" s="14">
        <f ca="1">(MAX(sa-CF136*Flag_UL_Type,105%*SUM($I$7:I137),Z137)+AU137)*B137</f>
        <v>4661492.6806120602</v>
      </c>
      <c r="AF137" s="136"/>
      <c r="AG137" s="18">
        <v>131</v>
      </c>
      <c r="AH137" s="30">
        <f t="shared" ca="1" si="113"/>
        <v>0</v>
      </c>
      <c r="AI137" s="58"/>
      <c r="AJ137" s="50">
        <f>IF(AND(Option_Sys_TopUp&gt;="Y",H137&gt;=sytp,H137&lt;=(dtp+sytp-1),F137=0,H137&lt;=ppt+1),atp,0)+IFERROR(VLOOKUP(H137,Input!$B$55:$C$61,2,0),0)*(F137=0)*(Option_TopUP="Y")*(Option_Sys_TopUp="N")*B137*(pt&gt;=H137+5)</f>
        <v>0</v>
      </c>
      <c r="AK137" s="50">
        <f t="shared" si="114"/>
        <v>0</v>
      </c>
      <c r="AL137" s="50">
        <f t="shared" si="135"/>
        <v>0</v>
      </c>
      <c r="AM137" s="50">
        <f t="shared" ca="1" si="115"/>
        <v>0</v>
      </c>
      <c r="AN137" s="50">
        <f ca="1">IF(B137=0,0,AT137*(_rpm1+(1+_emr1)*VLOOKUP(E137,Tab_Mort_Charge,IF(Input!$C$12="M",2,3),0))*(0.001*0.0833)*Flag_Mort_Rider_Charge*(AT137&gt;0))</f>
        <v>0</v>
      </c>
      <c r="AO137" s="50">
        <f t="shared" ca="1" si="136"/>
        <v>0</v>
      </c>
      <c r="AP137" s="50">
        <f t="shared" ca="1" si="99"/>
        <v>0</v>
      </c>
      <c r="AQ137" s="50">
        <f t="shared" ca="1" si="116"/>
        <v>0</v>
      </c>
      <c r="AR137" s="50">
        <f t="shared" ca="1" si="117"/>
        <v>0</v>
      </c>
      <c r="AS137" s="50">
        <f t="shared" si="118"/>
        <v>0</v>
      </c>
      <c r="AT137" s="50">
        <f ca="1">(MAX((MAX(AS137,105%*SUM($AJ$7:AJ137))-AM137*Flag_UL_Type),0)*B137)</f>
        <v>0</v>
      </c>
      <c r="AU137" s="50">
        <f ca="1">(MAX(AS137,AR137,105%*SUM($AJ$7:AJ137))*B137)</f>
        <v>0</v>
      </c>
      <c r="AV137" s="125"/>
      <c r="AW137" s="13"/>
      <c r="AX137" s="13"/>
      <c r="AY137" s="13"/>
      <c r="AZ137" s="13"/>
      <c r="BA137" s="13"/>
      <c r="BG137" s="51">
        <f t="shared" si="119"/>
        <v>0</v>
      </c>
      <c r="BH137" s="51">
        <f t="shared" ca="1" si="120"/>
        <v>0</v>
      </c>
      <c r="BI137" s="51">
        <f t="shared" ca="1" si="121"/>
        <v>0</v>
      </c>
      <c r="BJ137" s="51">
        <f t="shared" ca="1" si="122"/>
        <v>0</v>
      </c>
      <c r="BK137" s="51">
        <f t="shared" si="123"/>
        <v>0</v>
      </c>
      <c r="BL137" s="51">
        <f t="shared" ca="1" si="124"/>
        <v>0</v>
      </c>
      <c r="BM137" s="51">
        <f t="shared" si="125"/>
        <v>0</v>
      </c>
      <c r="BN137" s="51">
        <f t="shared" ca="1" si="126"/>
        <v>0</v>
      </c>
      <c r="BO137" s="51">
        <f t="shared" ca="1" si="127"/>
        <v>0</v>
      </c>
      <c r="BP137" s="51">
        <f t="shared" ca="1" si="128"/>
        <v>0</v>
      </c>
      <c r="BQ137" s="120"/>
      <c r="BR137" s="32"/>
      <c r="BS137" s="126"/>
      <c r="BT137" s="16"/>
      <c r="BU137" s="58"/>
      <c r="BW137" s="51">
        <f>VLOOKUP(H137,Charges!$AT$4:$AU$33,2,FALSE)*I137</f>
        <v>0</v>
      </c>
      <c r="BX137" s="51">
        <f t="shared" si="129"/>
        <v>0</v>
      </c>
      <c r="BY137" s="51">
        <f t="shared" si="137"/>
        <v>0</v>
      </c>
      <c r="BZ137" s="151"/>
      <c r="CA137" s="151"/>
      <c r="CB137" s="32"/>
      <c r="CC137" s="16">
        <f ca="1">SUM($N$7:$N137)</f>
        <v>0</v>
      </c>
      <c r="CD137" s="16">
        <f t="shared" ca="1" si="130"/>
        <v>0</v>
      </c>
      <c r="CE137" s="16">
        <f t="shared" ca="1" si="131"/>
        <v>0</v>
      </c>
      <c r="CF137" s="7">
        <f t="shared" ca="1" si="138"/>
        <v>0</v>
      </c>
    </row>
    <row r="138" spans="1:84" s="7" customFormat="1" x14ac:dyDescent="0.2">
      <c r="A138" s="149"/>
      <c r="B138" s="14">
        <f t="shared" si="100"/>
        <v>1</v>
      </c>
      <c r="C138" s="12">
        <f t="shared" si="101"/>
        <v>1</v>
      </c>
      <c r="D138" s="17">
        <f t="shared" si="139"/>
        <v>132</v>
      </c>
      <c r="E138" s="17">
        <f t="shared" ca="1" si="102"/>
        <v>70</v>
      </c>
      <c r="F138" s="12">
        <f t="shared" si="97"/>
        <v>11</v>
      </c>
      <c r="G138" s="12">
        <f t="shared" si="96"/>
        <v>22</v>
      </c>
      <c r="H138" s="17">
        <f t="shared" si="98"/>
        <v>11</v>
      </c>
      <c r="I138" s="29">
        <f t="shared" si="103"/>
        <v>0</v>
      </c>
      <c r="J138" s="211">
        <f>IFERROR(VLOOKUP(H138,Charges!$T$6:$U$35,2,0)*C138,0)</f>
        <v>1</v>
      </c>
      <c r="K138" s="29">
        <f t="shared" si="104"/>
        <v>0</v>
      </c>
      <c r="L138" s="29">
        <f t="shared" si="105"/>
        <v>0</v>
      </c>
      <c r="M138" s="147">
        <f t="shared" ca="1" si="106"/>
        <v>0</v>
      </c>
      <c r="N138" s="148">
        <f ca="1">IF(AND(Option_SPW="Y",Z137&gt;=SPW_Start_Min_FV,H138&gt;=Lock_In_Period,Z137&gt;SPW_Amount_pa+IF(option="Single",1/5*pr,2*pr),H138&gt;=SPW_Start_Year,H138&lt;=SPW_Start_Year+SPW_Duration-1,F138=0,age+H138&gt;=Legal_Age),SPW_Amount_pa,0)+IFERROR(VLOOKUP(H138,Input!$B$68:$C$74,2,0),0)*(F138=0)*(Option_PW="Y")*(Option_SPW="N")*(age+H138&gt;=Legal_Age)</f>
        <v>0</v>
      </c>
      <c r="O138" s="148">
        <f t="shared" ca="1" si="132"/>
        <v>0</v>
      </c>
      <c r="P138" s="14">
        <f ca="1">(MAX(MAX(sa-CF137*Flag_UL_Type,105%*SUM($I$7:I138))-(AD137+L138-N138)*Flag_UL_Type,0)*B138)</f>
        <v>0</v>
      </c>
      <c r="Q138" s="213">
        <f t="shared" ca="1" si="107"/>
        <v>0</v>
      </c>
      <c r="R138" s="14">
        <f t="shared" ca="1" si="108"/>
        <v>0</v>
      </c>
      <c r="S138" s="14">
        <f t="shared" ca="1" si="109"/>
        <v>0</v>
      </c>
      <c r="T138" s="14">
        <f>IFERROR(IF(WoP_Flag="Y",IF(fq=1,VLOOKUP(ppt*fq-H138,Charges!$AN$41:$AO$59,2,FALSE),IF(fq=2,VLOOKUP(ppt*fq-G138,Charges!$AP$41:$AQ$79,2,FALSE),VLOOKUP(ppt*fq-D138,Charges!$AR$41:$AS$279,2,FALSE)))*pr/fq,0),0)</f>
        <v>0</v>
      </c>
      <c r="U138" s="14">
        <f ca="1">IFERROR(((T138*(VLOOKUP(Input!$D$18+H138-1,Tab_Mort_Charge,IF(Gender_2="M",2,3),FALSE)*(1+_emr2)+_rpm2)/IF(Model_Type="LA_PQIS",1000/0.0833,(12*1000))))*Flag_Mort_Rider_Charge*(T138&gt;0),0)</f>
        <v>0</v>
      </c>
      <c r="V138" s="34">
        <f>ROUND(MIN(IF(H138&gt;=7,Charges!$C$12*(1+Charges!$C$14)^((H138-7+1)),VLOOKUP(H138,Charges!$B$7:$C$12,2,0))*pr,Charges!$C$13)*B138,Round)</f>
        <v>500</v>
      </c>
      <c r="W138" s="14">
        <f t="shared" ca="1" si="110"/>
        <v>4660992.6806120602</v>
      </c>
      <c r="X138" s="14">
        <f t="shared" ca="1" si="111"/>
        <v>4690981.6478616241</v>
      </c>
      <c r="Y138" s="213">
        <f t="shared" ca="1" si="133"/>
        <v>5280.2263436976318</v>
      </c>
      <c r="Z138" s="14">
        <f t="shared" ca="1" si="112"/>
        <v>4685701.4215179263</v>
      </c>
      <c r="AA138" s="14">
        <f>IF(AND($H138=pt,$F138=11),SUM($K$7:K138)*VLOOKUP(pt,ROC,2,FALSE),0)</f>
        <v>0</v>
      </c>
      <c r="AB138" s="14">
        <f>IF(AND($H138=pt,$F138=11),SUM($V$7:V138)*VLOOKUP(pt,ROC,2,FALSE),0)</f>
        <v>0</v>
      </c>
      <c r="AC138" s="14">
        <f>IF(AND($H138=pt,$F138=11),SUM($Q$7:Q138)*VLOOKUP(pt,ROC,2,FALSE),0)</f>
        <v>0</v>
      </c>
      <c r="AD138" s="14">
        <f ca="1">Z138+AA138+AB138+AC138</f>
        <v>4685701.4215179263</v>
      </c>
      <c r="AE138" s="14">
        <f ca="1">(MAX(sa-CF137*Flag_UL_Type,105%*SUM($I$7:I138),Z138)+AU138)*B138</f>
        <v>4685701.4215179263</v>
      </c>
      <c r="AF138" s="136"/>
      <c r="AG138" s="18">
        <v>132</v>
      </c>
      <c r="AH138" s="30">
        <f t="shared" ca="1" si="113"/>
        <v>0</v>
      </c>
      <c r="AI138" s="58"/>
      <c r="AJ138" s="50">
        <f>IF(AND(Option_Sys_TopUp&gt;="Y",H138&gt;=sytp,H138&lt;=(dtp+sytp-1),F138=0,H138&lt;=ppt+1),atp,0)+IFERROR(VLOOKUP(H138,Input!$B$55:$C$61,2,0),0)*(F138=0)*(Option_TopUP="Y")*(Option_Sys_TopUp="N")*B138*(pt&gt;=H138+5)</f>
        <v>0</v>
      </c>
      <c r="AK138" s="50">
        <f t="shared" si="114"/>
        <v>0</v>
      </c>
      <c r="AL138" s="50">
        <f t="shared" si="135"/>
        <v>0</v>
      </c>
      <c r="AM138" s="50">
        <f t="shared" ca="1" si="115"/>
        <v>0</v>
      </c>
      <c r="AN138" s="50">
        <f ca="1">IF(B138=0,0,AT138*(_rpm1+(1+_emr1)*VLOOKUP(E138,Tab_Mort_Charge,IF(Input!$C$12="M",2,3),0))*(0.001*0.0833)*Flag_Mort_Rider_Charge*(AT138&gt;0))</f>
        <v>0</v>
      </c>
      <c r="AO138" s="50">
        <f t="shared" ca="1" si="136"/>
        <v>0</v>
      </c>
      <c r="AP138" s="50">
        <f t="shared" ca="1" si="99"/>
        <v>0</v>
      </c>
      <c r="AQ138" s="50">
        <f t="shared" ca="1" si="116"/>
        <v>0</v>
      </c>
      <c r="AR138" s="50">
        <f t="shared" ca="1" si="117"/>
        <v>0</v>
      </c>
      <c r="AS138" s="50">
        <f t="shared" si="118"/>
        <v>0</v>
      </c>
      <c r="AT138" s="50">
        <f ca="1">(MAX((MAX(AS138,105%*SUM($AJ$7:AJ138))-AM138*Flag_UL_Type),0)*B138)</f>
        <v>0</v>
      </c>
      <c r="AU138" s="50">
        <f ca="1">(MAX(AS138,AR138,105%*SUM($AJ$7:AJ138))*B138)</f>
        <v>0</v>
      </c>
      <c r="AV138" s="125"/>
      <c r="AW138" s="13"/>
      <c r="AX138" s="13"/>
      <c r="AY138" s="13"/>
      <c r="AZ138" s="13"/>
      <c r="BA138" s="13"/>
      <c r="BG138" s="51">
        <f t="shared" si="119"/>
        <v>0</v>
      </c>
      <c r="BH138" s="51">
        <f t="shared" ca="1" si="120"/>
        <v>0</v>
      </c>
      <c r="BI138" s="51">
        <f t="shared" ca="1" si="121"/>
        <v>0</v>
      </c>
      <c r="BJ138" s="51">
        <f t="shared" ca="1" si="122"/>
        <v>0</v>
      </c>
      <c r="BK138" s="51">
        <f t="shared" si="123"/>
        <v>0</v>
      </c>
      <c r="BL138" s="51">
        <f t="shared" ca="1" si="124"/>
        <v>0</v>
      </c>
      <c r="BM138" s="51">
        <f t="shared" si="125"/>
        <v>0</v>
      </c>
      <c r="BN138" s="51">
        <f t="shared" ca="1" si="126"/>
        <v>0</v>
      </c>
      <c r="BO138" s="51">
        <f t="shared" ca="1" si="127"/>
        <v>0</v>
      </c>
      <c r="BP138" s="51">
        <f t="shared" ca="1" si="128"/>
        <v>0</v>
      </c>
      <c r="BQ138" s="120"/>
      <c r="BR138" s="32"/>
      <c r="BS138" s="126"/>
      <c r="BT138" s="16"/>
      <c r="BU138" s="58"/>
      <c r="BW138" s="51">
        <f>VLOOKUP(H138,Charges!$AT$4:$AU$33,2,FALSE)*I138</f>
        <v>0</v>
      </c>
      <c r="BX138" s="51">
        <f t="shared" si="129"/>
        <v>0</v>
      </c>
      <c r="BY138" s="51">
        <f t="shared" si="137"/>
        <v>0</v>
      </c>
      <c r="BZ138" s="151"/>
      <c r="CA138" s="151"/>
      <c r="CB138" s="32"/>
      <c r="CC138" s="16">
        <f ca="1">SUM($N$7:$N138)</f>
        <v>0</v>
      </c>
      <c r="CD138" s="16">
        <f t="shared" ca="1" si="130"/>
        <v>0</v>
      </c>
      <c r="CE138" s="16">
        <f t="shared" ca="1" si="131"/>
        <v>0</v>
      </c>
      <c r="CF138" s="7">
        <f t="shared" ca="1" si="138"/>
        <v>0</v>
      </c>
    </row>
    <row r="139" spans="1:84" s="7" customFormat="1" x14ac:dyDescent="0.2">
      <c r="A139" s="149"/>
      <c r="B139" s="14">
        <f t="shared" si="100"/>
        <v>1</v>
      </c>
      <c r="C139" s="12">
        <f t="shared" si="101"/>
        <v>1</v>
      </c>
      <c r="D139" s="17">
        <f t="shared" si="139"/>
        <v>133</v>
      </c>
      <c r="E139" s="17">
        <f t="shared" ca="1" si="102"/>
        <v>71</v>
      </c>
      <c r="F139" s="12">
        <f t="shared" si="97"/>
        <v>0</v>
      </c>
      <c r="G139" s="12">
        <f t="shared" si="96"/>
        <v>23</v>
      </c>
      <c r="H139" s="17">
        <f t="shared" si="98"/>
        <v>12</v>
      </c>
      <c r="I139" s="29">
        <f t="shared" si="103"/>
        <v>300000</v>
      </c>
      <c r="J139" s="211">
        <f>IFERROR(VLOOKUP(H139,Charges!$T$6:$U$35,2,0)*C139,0)</f>
        <v>1</v>
      </c>
      <c r="K139" s="29">
        <f t="shared" si="104"/>
        <v>0</v>
      </c>
      <c r="L139" s="29">
        <f t="shared" si="105"/>
        <v>300000</v>
      </c>
      <c r="M139" s="147">
        <f t="shared" ca="1" si="106"/>
        <v>0</v>
      </c>
      <c r="N139" s="148">
        <f ca="1">IF(AND(Option_SPW="Y",Z138&gt;=SPW_Start_Min_FV,H139&gt;=Lock_In_Period,Z138&gt;SPW_Amount_pa+IF(option="Single",1/5*pr,2*pr),H139&gt;=SPW_Start_Year,H139&lt;=SPW_Start_Year+SPW_Duration-1,F139=0,age+H139&gt;=Legal_Age),SPW_Amount_pa,0)+IFERROR(VLOOKUP(H139,Input!$B$68:$C$74,2,0),0)*(F139=0)*(Option_PW="Y")*(Option_SPW="N")*(age+H139&gt;=Legal_Age)</f>
        <v>0</v>
      </c>
      <c r="O139" s="148">
        <f t="shared" ca="1" si="132"/>
        <v>0</v>
      </c>
      <c r="P139" s="14">
        <f ca="1">(MAX(MAX(sa-CF138*Flag_UL_Type,105%*SUM($I$7:I139))-(AD138+L139-N139)*Flag_UL_Type,0)*B139)</f>
        <v>0</v>
      </c>
      <c r="Q139" s="213">
        <f t="shared" ca="1" si="107"/>
        <v>0</v>
      </c>
      <c r="R139" s="14">
        <f t="shared" ca="1" si="108"/>
        <v>0</v>
      </c>
      <c r="S139" s="14">
        <f t="shared" ca="1" si="109"/>
        <v>0</v>
      </c>
      <c r="T139" s="14">
        <f>IFERROR(IF(WoP_Flag="Y",IF(fq=1,VLOOKUP(ppt*fq-H139,Charges!$AN$41:$AO$59,2,FALSE),IF(fq=2,VLOOKUP(ppt*fq-G139,Charges!$AP$41:$AQ$79,2,FALSE),VLOOKUP(ppt*fq-D139,Charges!$AR$41:$AS$279,2,FALSE)))*pr/fq,0),0)</f>
        <v>0</v>
      </c>
      <c r="U139" s="14">
        <f ca="1">IFERROR(((T139*(VLOOKUP(Input!$D$18+H139-1,Tab_Mort_Charge,IF(Gender_2="M",2,3),FALSE)*(1+_emr2)+_rpm2)/IF(Model_Type="LA_PQIS",1000/0.0833,(12*1000))))*Flag_Mort_Rider_Charge*(T139&gt;0),0)</f>
        <v>0</v>
      </c>
      <c r="V139" s="34">
        <f>ROUND(MIN(IF(H139&gt;=7,Charges!$C$12*(1+Charges!$C$14)^((H139-7+1)),VLOOKUP(H139,Charges!$B$7:$C$12,2,0))*pr,Charges!$C$13)*B139,Round)</f>
        <v>500</v>
      </c>
      <c r="W139" s="14">
        <f t="shared" ca="1" si="110"/>
        <v>4985201.4215179263</v>
      </c>
      <c r="X139" s="14">
        <f t="shared" ca="1" si="111"/>
        <v>5017276.3575684046</v>
      </c>
      <c r="Y139" s="213">
        <f t="shared" ca="1" si="133"/>
        <v>5647.507661625682</v>
      </c>
      <c r="Z139" s="14">
        <f t="shared" ca="1" si="112"/>
        <v>5011628.8499067789</v>
      </c>
      <c r="AA139" s="14">
        <f>IF(AND($H139=pt,$F139=11),SUM($K$7:K139)*VLOOKUP(pt,ROC,2,FALSE),0)</f>
        <v>0</v>
      </c>
      <c r="AB139" s="14">
        <f>IF(AND($H139=pt,$F139=11),SUM($V$7:V139)*VLOOKUP(pt,ROC,2,FALSE),0)</f>
        <v>0</v>
      </c>
      <c r="AC139" s="14">
        <f>IF(AND($H139=pt,$F139=11),SUM($Q$7:Q139)*VLOOKUP(pt,ROC,2,FALSE),0)</f>
        <v>0</v>
      </c>
      <c r="AD139" s="14">
        <f t="shared" ca="1" si="134"/>
        <v>5011628.8499067789</v>
      </c>
      <c r="AE139" s="14">
        <f ca="1">(MAX(sa-CF138*Flag_UL_Type,105%*SUM($I$7:I139),Z139)+AU139)*B139</f>
        <v>5011628.8499067789</v>
      </c>
      <c r="AF139" s="136"/>
      <c r="AG139" s="18">
        <v>133</v>
      </c>
      <c r="AH139" s="30">
        <f t="shared" ca="1" si="113"/>
        <v>300000</v>
      </c>
      <c r="AI139" s="58"/>
      <c r="AJ139" s="50">
        <f>IF(AND(Option_Sys_TopUp&gt;="Y",H139&gt;=sytp,H139&lt;=(dtp+sytp-1),F139=0,H139&lt;=ppt+1),atp,0)+IFERROR(VLOOKUP(H139,Input!$B$55:$C$61,2,0),0)*(F139=0)*(Option_TopUP="Y")*(Option_Sys_TopUp="N")*B139*(pt&gt;=H139+5)</f>
        <v>0</v>
      </c>
      <c r="AK139" s="50">
        <f t="shared" si="114"/>
        <v>0</v>
      </c>
      <c r="AL139" s="50">
        <f t="shared" si="135"/>
        <v>0</v>
      </c>
      <c r="AM139" s="50">
        <f t="shared" ca="1" si="115"/>
        <v>0</v>
      </c>
      <c r="AN139" s="50">
        <f ca="1">IF(B139=0,0,AT139*(_rpm1+(1+_emr1)*VLOOKUP(E139,Tab_Mort_Charge,IF(Input!$C$12="M",2,3),0))*(0.001*0.0833)*Flag_Mort_Rider_Charge*(AT139&gt;0))</f>
        <v>0</v>
      </c>
      <c r="AO139" s="50">
        <f t="shared" ca="1" si="136"/>
        <v>0</v>
      </c>
      <c r="AP139" s="50">
        <f t="shared" ca="1" si="99"/>
        <v>0</v>
      </c>
      <c r="AQ139" s="50">
        <f t="shared" ca="1" si="116"/>
        <v>0</v>
      </c>
      <c r="AR139" s="50">
        <f t="shared" ca="1" si="117"/>
        <v>0</v>
      </c>
      <c r="AS139" s="50">
        <f t="shared" si="118"/>
        <v>0</v>
      </c>
      <c r="AT139" s="50">
        <f ca="1">(MAX((MAX(AS139,105%*SUM($AJ$7:AJ139))-AM139*Flag_UL_Type),0)*B139)</f>
        <v>0</v>
      </c>
      <c r="AU139" s="50">
        <f ca="1">(MAX(AS139,AR139,105%*SUM($AJ$7:AJ139))*B139)</f>
        <v>0</v>
      </c>
      <c r="AV139" s="125"/>
      <c r="AW139" s="13"/>
      <c r="AX139" s="13"/>
      <c r="AY139" s="13"/>
      <c r="AZ139" s="13"/>
      <c r="BA139" s="13"/>
      <c r="BG139" s="51">
        <f t="shared" si="119"/>
        <v>0</v>
      </c>
      <c r="BH139" s="51">
        <f t="shared" ca="1" si="120"/>
        <v>0</v>
      </c>
      <c r="BI139" s="51">
        <f t="shared" ca="1" si="121"/>
        <v>0</v>
      </c>
      <c r="BJ139" s="51">
        <f t="shared" ca="1" si="122"/>
        <v>0</v>
      </c>
      <c r="BK139" s="51">
        <f t="shared" si="123"/>
        <v>0</v>
      </c>
      <c r="BL139" s="51">
        <f t="shared" ca="1" si="124"/>
        <v>0</v>
      </c>
      <c r="BM139" s="51">
        <f t="shared" si="125"/>
        <v>0</v>
      </c>
      <c r="BN139" s="51">
        <f t="shared" ca="1" si="126"/>
        <v>0</v>
      </c>
      <c r="BO139" s="51">
        <f t="shared" ca="1" si="127"/>
        <v>0</v>
      </c>
      <c r="BP139" s="51">
        <f t="shared" ca="1" si="128"/>
        <v>0</v>
      </c>
      <c r="BQ139" s="120"/>
      <c r="BR139" s="32"/>
      <c r="BS139" s="126"/>
      <c r="BT139" s="16"/>
      <c r="BU139" s="58"/>
      <c r="BW139" s="51">
        <f>VLOOKUP(H139,Charges!$AT$4:$AU$33,2,FALSE)*I139</f>
        <v>0</v>
      </c>
      <c r="BX139" s="51">
        <f t="shared" si="129"/>
        <v>0</v>
      </c>
      <c r="BY139" s="51">
        <f t="shared" si="137"/>
        <v>0</v>
      </c>
      <c r="BZ139" s="151"/>
      <c r="CA139" s="151"/>
      <c r="CB139" s="32"/>
      <c r="CC139" s="16">
        <f ca="1">SUM($N$7:$N139)</f>
        <v>0</v>
      </c>
      <c r="CD139" s="16">
        <f t="shared" ca="1" si="130"/>
        <v>0</v>
      </c>
      <c r="CE139" s="16">
        <f t="shared" ca="1" si="131"/>
        <v>0</v>
      </c>
      <c r="CF139" s="7">
        <f t="shared" ca="1" si="138"/>
        <v>0</v>
      </c>
    </row>
    <row r="140" spans="1:84" s="7" customFormat="1" x14ac:dyDescent="0.2">
      <c r="A140" s="149"/>
      <c r="B140" s="14">
        <f t="shared" si="100"/>
        <v>1</v>
      </c>
      <c r="C140" s="12">
        <f t="shared" si="101"/>
        <v>1</v>
      </c>
      <c r="D140" s="17">
        <f t="shared" si="139"/>
        <v>134</v>
      </c>
      <c r="E140" s="17">
        <f t="shared" ca="1" si="102"/>
        <v>71</v>
      </c>
      <c r="F140" s="12">
        <f t="shared" si="97"/>
        <v>1</v>
      </c>
      <c r="G140" s="12">
        <f t="shared" si="96"/>
        <v>23</v>
      </c>
      <c r="H140" s="17">
        <f t="shared" si="98"/>
        <v>12</v>
      </c>
      <c r="I140" s="29">
        <f t="shared" si="103"/>
        <v>0</v>
      </c>
      <c r="J140" s="211">
        <f>IFERROR(VLOOKUP(H140,Charges!$T$6:$U$35,2,0)*C140,0)</f>
        <v>1</v>
      </c>
      <c r="K140" s="29">
        <f t="shared" si="104"/>
        <v>0</v>
      </c>
      <c r="L140" s="29">
        <f t="shared" si="105"/>
        <v>0</v>
      </c>
      <c r="M140" s="147">
        <f t="shared" ca="1" si="106"/>
        <v>0</v>
      </c>
      <c r="N140" s="148">
        <f ca="1">IF(AND(Option_SPW="Y",Z139&gt;=SPW_Start_Min_FV,H140&gt;=Lock_In_Period,Z139&gt;SPW_Amount_pa+IF(option="Single",1/5*pr,2*pr),H140&gt;=SPW_Start_Year,H140&lt;=SPW_Start_Year+SPW_Duration-1,F140=0,age+H140&gt;=Legal_Age),SPW_Amount_pa,0)+IFERROR(VLOOKUP(H140,Input!$B$68:$C$74,2,0),0)*(F140=0)*(Option_PW="Y")*(Option_SPW="N")*(age+H140&gt;=Legal_Age)</f>
        <v>0</v>
      </c>
      <c r="O140" s="148">
        <f t="shared" ca="1" si="132"/>
        <v>0</v>
      </c>
      <c r="P140" s="14">
        <f ca="1">(MAX(MAX(sa-CF139*Flag_UL_Type,105%*SUM($I$7:I140))-(AD139+L140-N140)*Flag_UL_Type,0)*B140)</f>
        <v>0</v>
      </c>
      <c r="Q140" s="213">
        <f t="shared" ca="1" si="107"/>
        <v>0</v>
      </c>
      <c r="R140" s="14">
        <f t="shared" ca="1" si="108"/>
        <v>0</v>
      </c>
      <c r="S140" s="14">
        <f t="shared" ca="1" si="109"/>
        <v>0</v>
      </c>
      <c r="T140" s="14">
        <f>IFERROR(IF(WoP_Flag="Y",IF(fq=1,VLOOKUP(ppt*fq-H140,Charges!$AN$41:$AO$59,2,FALSE),IF(fq=2,VLOOKUP(ppt*fq-G140,Charges!$AP$41:$AQ$79,2,FALSE),VLOOKUP(ppt*fq-D140,Charges!$AR$41:$AS$279,2,FALSE)))*pr/fq,0),0)</f>
        <v>0</v>
      </c>
      <c r="U140" s="14">
        <f ca="1">IFERROR(((T140*(VLOOKUP(Input!$D$18+H140-1,Tab_Mort_Charge,IF(Gender_2="M",2,3),FALSE)*(1+_emr2)+_rpm2)/IF(Model_Type="LA_PQIS",1000/0.0833,(12*1000))))*Flag_Mort_Rider_Charge*(T140&gt;0),0)</f>
        <v>0</v>
      </c>
      <c r="V140" s="34">
        <f>ROUND(MIN(IF(H140&gt;=7,Charges!$C$12*(1+Charges!$C$14)^((H140-7+1)),VLOOKUP(H140,Charges!$B$7:$C$12,2,0))*pr,Charges!$C$13)*B140,Round)</f>
        <v>500</v>
      </c>
      <c r="W140" s="14">
        <f t="shared" ca="1" si="110"/>
        <v>5011128.8499067789</v>
      </c>
      <c r="X140" s="14">
        <f t="shared" ca="1" si="111"/>
        <v>5043370.603812186</v>
      </c>
      <c r="Y140" s="213">
        <f t="shared" ca="1" si="133"/>
        <v>5676.8796644980775</v>
      </c>
      <c r="Z140" s="14">
        <f t="shared" ca="1" si="112"/>
        <v>5037693.7241476877</v>
      </c>
      <c r="AA140" s="14">
        <f>IF(AND($H140=pt,$F140=11),SUM($K$7:K140)*VLOOKUP(pt,ROC,2,FALSE),0)</f>
        <v>0</v>
      </c>
      <c r="AB140" s="14">
        <f>IF(AND($H140=pt,$F140=11),SUM($V$7:V140)*VLOOKUP(pt,ROC,2,FALSE),0)</f>
        <v>0</v>
      </c>
      <c r="AC140" s="14">
        <f>IF(AND($H140=pt,$F140=11),SUM($Q$7:Q140)*VLOOKUP(pt,ROC,2,FALSE),0)</f>
        <v>0</v>
      </c>
      <c r="AD140" s="14">
        <f t="shared" ca="1" si="134"/>
        <v>5037693.7241476877</v>
      </c>
      <c r="AE140" s="14">
        <f ca="1">(MAX(sa-CF139*Flag_UL_Type,105%*SUM($I$7:I140),Z140)+AU140)*B140</f>
        <v>5037693.7241476877</v>
      </c>
      <c r="AF140" s="136"/>
      <c r="AG140" s="18">
        <v>134</v>
      </c>
      <c r="AH140" s="30">
        <f t="shared" ca="1" si="113"/>
        <v>0</v>
      </c>
      <c r="AI140" s="58"/>
      <c r="AJ140" s="50">
        <f>IF(AND(Option_Sys_TopUp&gt;="Y",H140&gt;=sytp,H140&lt;=(dtp+sytp-1),F140=0,H140&lt;=ppt+1),atp,0)+IFERROR(VLOOKUP(H140,Input!$B$55:$C$61,2,0),0)*(F140=0)*(Option_TopUP="Y")*(Option_Sys_TopUp="N")*B140*(pt&gt;=H140+5)</f>
        <v>0</v>
      </c>
      <c r="AK140" s="50">
        <f t="shared" si="114"/>
        <v>0</v>
      </c>
      <c r="AL140" s="50">
        <f t="shared" si="135"/>
        <v>0</v>
      </c>
      <c r="AM140" s="50">
        <f t="shared" ca="1" si="115"/>
        <v>0</v>
      </c>
      <c r="AN140" s="50">
        <f ca="1">IF(B140=0,0,AT140*(_rpm1+(1+_emr1)*VLOOKUP(E140,Tab_Mort_Charge,IF(Input!$C$12="M",2,3),0))*(0.001*0.0833)*Flag_Mort_Rider_Charge*(AT140&gt;0))</f>
        <v>0</v>
      </c>
      <c r="AO140" s="50">
        <f t="shared" ca="1" si="136"/>
        <v>0</v>
      </c>
      <c r="AP140" s="50">
        <f t="shared" ca="1" si="99"/>
        <v>0</v>
      </c>
      <c r="AQ140" s="50">
        <f t="shared" ca="1" si="116"/>
        <v>0</v>
      </c>
      <c r="AR140" s="50">
        <f t="shared" ca="1" si="117"/>
        <v>0</v>
      </c>
      <c r="AS140" s="50">
        <f t="shared" si="118"/>
        <v>0</v>
      </c>
      <c r="AT140" s="50">
        <f ca="1">(MAX((MAX(AS140,105%*SUM($AJ$7:AJ140))-AM140*Flag_UL_Type),0)*B140)</f>
        <v>0</v>
      </c>
      <c r="AU140" s="50">
        <f ca="1">(MAX(AS140,AR140,105%*SUM($AJ$7:AJ140))*B140)</f>
        <v>0</v>
      </c>
      <c r="AV140" s="125"/>
      <c r="AW140" s="13"/>
      <c r="AX140" s="13"/>
      <c r="AY140" s="13"/>
      <c r="AZ140" s="13"/>
      <c r="BA140" s="13"/>
      <c r="BG140" s="51">
        <f t="shared" si="119"/>
        <v>0</v>
      </c>
      <c r="BH140" s="51">
        <f t="shared" ca="1" si="120"/>
        <v>0</v>
      </c>
      <c r="BI140" s="51">
        <f t="shared" ca="1" si="121"/>
        <v>0</v>
      </c>
      <c r="BJ140" s="51">
        <f t="shared" ca="1" si="122"/>
        <v>0</v>
      </c>
      <c r="BK140" s="51">
        <f t="shared" si="123"/>
        <v>0</v>
      </c>
      <c r="BL140" s="51">
        <f t="shared" ca="1" si="124"/>
        <v>0</v>
      </c>
      <c r="BM140" s="51">
        <f t="shared" si="125"/>
        <v>0</v>
      </c>
      <c r="BN140" s="51">
        <f t="shared" ca="1" si="126"/>
        <v>0</v>
      </c>
      <c r="BO140" s="51">
        <f t="shared" ca="1" si="127"/>
        <v>0</v>
      </c>
      <c r="BP140" s="51">
        <f t="shared" ca="1" si="128"/>
        <v>0</v>
      </c>
      <c r="BQ140" s="120"/>
      <c r="BR140" s="32"/>
      <c r="BS140" s="126"/>
      <c r="BT140" s="16"/>
      <c r="BU140" s="58"/>
      <c r="BW140" s="51">
        <f>VLOOKUP(H140,Charges!$AT$4:$AU$33,2,FALSE)*I140</f>
        <v>0</v>
      </c>
      <c r="BX140" s="51">
        <f t="shared" si="129"/>
        <v>0</v>
      </c>
      <c r="BY140" s="51">
        <f t="shared" si="137"/>
        <v>0</v>
      </c>
      <c r="BZ140" s="151"/>
      <c r="CA140" s="151"/>
      <c r="CB140" s="32"/>
      <c r="CC140" s="16">
        <f ca="1">SUM($N$7:$N140)</f>
        <v>0</v>
      </c>
      <c r="CD140" s="16">
        <f t="shared" ca="1" si="130"/>
        <v>0</v>
      </c>
      <c r="CE140" s="16">
        <f t="shared" ca="1" si="131"/>
        <v>0</v>
      </c>
      <c r="CF140" s="7">
        <f t="shared" ca="1" si="138"/>
        <v>0</v>
      </c>
    </row>
    <row r="141" spans="1:84" s="7" customFormat="1" x14ac:dyDescent="0.2">
      <c r="A141" s="149"/>
      <c r="B141" s="14">
        <f t="shared" si="100"/>
        <v>1</v>
      </c>
      <c r="C141" s="12">
        <f t="shared" si="101"/>
        <v>1</v>
      </c>
      <c r="D141" s="17">
        <f t="shared" si="139"/>
        <v>135</v>
      </c>
      <c r="E141" s="17">
        <f t="shared" ca="1" si="102"/>
        <v>71</v>
      </c>
      <c r="F141" s="12">
        <f t="shared" si="97"/>
        <v>2</v>
      </c>
      <c r="G141" s="12">
        <f t="shared" si="96"/>
        <v>23</v>
      </c>
      <c r="H141" s="17">
        <f t="shared" si="98"/>
        <v>12</v>
      </c>
      <c r="I141" s="29">
        <f t="shared" si="103"/>
        <v>0</v>
      </c>
      <c r="J141" s="211">
        <f>IFERROR(VLOOKUP(H141,Charges!$T$6:$U$35,2,0)*C141,0)</f>
        <v>1</v>
      </c>
      <c r="K141" s="29">
        <f t="shared" si="104"/>
        <v>0</v>
      </c>
      <c r="L141" s="29">
        <f t="shared" si="105"/>
        <v>0</v>
      </c>
      <c r="M141" s="147">
        <f t="shared" ca="1" si="106"/>
        <v>0</v>
      </c>
      <c r="N141" s="148">
        <f ca="1">IF(AND(Option_SPW="Y",Z140&gt;=SPW_Start_Min_FV,H141&gt;=Lock_In_Period,Z140&gt;SPW_Amount_pa+IF(option="Single",1/5*pr,2*pr),H141&gt;=SPW_Start_Year,H141&lt;=SPW_Start_Year+SPW_Duration-1,F141=0,age+H141&gt;=Legal_Age),SPW_Amount_pa,0)+IFERROR(VLOOKUP(H141,Input!$B$68:$C$74,2,0),0)*(F141=0)*(Option_PW="Y")*(Option_SPW="N")*(age+H141&gt;=Legal_Age)</f>
        <v>0</v>
      </c>
      <c r="O141" s="148">
        <f t="shared" ca="1" si="132"/>
        <v>0</v>
      </c>
      <c r="P141" s="14">
        <f ca="1">(MAX(MAX(sa-CF140*Flag_UL_Type,105%*SUM($I$7:I141))-(AD140+L141-N141)*Flag_UL_Type,0)*B141)</f>
        <v>0</v>
      </c>
      <c r="Q141" s="213">
        <f t="shared" ca="1" si="107"/>
        <v>0</v>
      </c>
      <c r="R141" s="14">
        <f t="shared" ca="1" si="108"/>
        <v>0</v>
      </c>
      <c r="S141" s="14">
        <f t="shared" ca="1" si="109"/>
        <v>0</v>
      </c>
      <c r="T141" s="14">
        <f>IFERROR(IF(WoP_Flag="Y",IF(fq=1,VLOOKUP(ppt*fq-H141,Charges!$AN$41:$AO$59,2,FALSE),IF(fq=2,VLOOKUP(ppt*fq-G141,Charges!$AP$41:$AQ$79,2,FALSE),VLOOKUP(ppt*fq-D141,Charges!$AR$41:$AS$279,2,FALSE)))*pr/fq,0),0)</f>
        <v>0</v>
      </c>
      <c r="U141" s="14">
        <f ca="1">IFERROR(((T141*(VLOOKUP(Input!$D$18+H141-1,Tab_Mort_Charge,IF(Gender_2="M",2,3),FALSE)*(1+_emr2)+_rpm2)/IF(Model_Type="LA_PQIS",1000/0.0833,(12*1000))))*Flag_Mort_Rider_Charge*(T141&gt;0),0)</f>
        <v>0</v>
      </c>
      <c r="V141" s="34">
        <f>ROUND(MIN(IF(H141&gt;=7,Charges!$C$12*(1+Charges!$C$14)^((H141-7+1)),VLOOKUP(H141,Charges!$B$7:$C$12,2,0))*pr,Charges!$C$13)*B141,Round)</f>
        <v>500</v>
      </c>
      <c r="W141" s="14">
        <f t="shared" ca="1" si="110"/>
        <v>5037193.7241476877</v>
      </c>
      <c r="X141" s="14">
        <f t="shared" ca="1" si="111"/>
        <v>5069603.180238774</v>
      </c>
      <c r="Y141" s="213">
        <f t="shared" ca="1" si="133"/>
        <v>5706.4073735169086</v>
      </c>
      <c r="Z141" s="14">
        <f t="shared" ca="1" si="112"/>
        <v>5063896.7728652572</v>
      </c>
      <c r="AA141" s="14">
        <f>IF(AND($H141=pt,$F141=11),SUM($K$7:K141)*VLOOKUP(pt,ROC,2,FALSE),0)</f>
        <v>0</v>
      </c>
      <c r="AB141" s="14">
        <f>IF(AND($H141=pt,$F141=11),SUM($V$7:V141)*VLOOKUP(pt,ROC,2,FALSE),0)</f>
        <v>0</v>
      </c>
      <c r="AC141" s="14">
        <f>IF(AND($H141=pt,$F141=11),SUM($Q$7:Q141)*VLOOKUP(pt,ROC,2,FALSE),0)</f>
        <v>0</v>
      </c>
      <c r="AD141" s="14">
        <f t="shared" ca="1" si="134"/>
        <v>5063896.7728652572</v>
      </c>
      <c r="AE141" s="14">
        <f ca="1">(MAX(sa-CF140*Flag_UL_Type,105%*SUM($I$7:I141),Z141)+AU141)*B141</f>
        <v>5063896.7728652572</v>
      </c>
      <c r="AF141" s="136"/>
      <c r="AG141" s="18">
        <v>135</v>
      </c>
      <c r="AH141" s="30">
        <f t="shared" ca="1" si="113"/>
        <v>0</v>
      </c>
      <c r="AI141" s="58"/>
      <c r="AJ141" s="50">
        <f>IF(AND(Option_Sys_TopUp&gt;="Y",H141&gt;=sytp,H141&lt;=(dtp+sytp-1),F141=0,H141&lt;=ppt+1),atp,0)+IFERROR(VLOOKUP(H141,Input!$B$55:$C$61,2,0),0)*(F141=0)*(Option_TopUP="Y")*(Option_Sys_TopUp="N")*B141*(pt&gt;=H141+5)</f>
        <v>0</v>
      </c>
      <c r="AK141" s="50">
        <f t="shared" si="114"/>
        <v>0</v>
      </c>
      <c r="AL141" s="50">
        <f t="shared" si="135"/>
        <v>0</v>
      </c>
      <c r="AM141" s="50">
        <f t="shared" ca="1" si="115"/>
        <v>0</v>
      </c>
      <c r="AN141" s="50">
        <f ca="1">IF(B141=0,0,AT141*(_rpm1+(1+_emr1)*VLOOKUP(E141,Tab_Mort_Charge,IF(Input!$C$12="M",2,3),0))*(0.001*0.0833)*Flag_Mort_Rider_Charge*(AT141&gt;0))</f>
        <v>0</v>
      </c>
      <c r="AO141" s="50">
        <f t="shared" ca="1" si="136"/>
        <v>0</v>
      </c>
      <c r="AP141" s="50">
        <f t="shared" ca="1" si="99"/>
        <v>0</v>
      </c>
      <c r="AQ141" s="50">
        <f t="shared" ca="1" si="116"/>
        <v>0</v>
      </c>
      <c r="AR141" s="50">
        <f t="shared" ca="1" si="117"/>
        <v>0</v>
      </c>
      <c r="AS141" s="50">
        <f t="shared" si="118"/>
        <v>0</v>
      </c>
      <c r="AT141" s="50">
        <f ca="1">(MAX((MAX(AS141,105%*SUM($AJ$7:AJ141))-AM141*Flag_UL_Type),0)*B141)</f>
        <v>0</v>
      </c>
      <c r="AU141" s="50">
        <f ca="1">(MAX(AS141,AR141,105%*SUM($AJ$7:AJ141))*B141)</f>
        <v>0</v>
      </c>
      <c r="AV141" s="125"/>
      <c r="AW141" s="13"/>
      <c r="AX141" s="13"/>
      <c r="AY141" s="13"/>
      <c r="AZ141" s="13"/>
      <c r="BA141" s="13"/>
      <c r="BG141" s="51">
        <f t="shared" si="119"/>
        <v>0</v>
      </c>
      <c r="BH141" s="51">
        <f t="shared" ca="1" si="120"/>
        <v>0</v>
      </c>
      <c r="BI141" s="51">
        <f t="shared" ca="1" si="121"/>
        <v>0</v>
      </c>
      <c r="BJ141" s="51">
        <f t="shared" ca="1" si="122"/>
        <v>0</v>
      </c>
      <c r="BK141" s="51">
        <f t="shared" si="123"/>
        <v>0</v>
      </c>
      <c r="BL141" s="51">
        <f t="shared" ca="1" si="124"/>
        <v>0</v>
      </c>
      <c r="BM141" s="51">
        <f t="shared" si="125"/>
        <v>0</v>
      </c>
      <c r="BN141" s="51">
        <f t="shared" ca="1" si="126"/>
        <v>0</v>
      </c>
      <c r="BO141" s="51">
        <f t="shared" ca="1" si="127"/>
        <v>0</v>
      </c>
      <c r="BP141" s="51">
        <f t="shared" ca="1" si="128"/>
        <v>0</v>
      </c>
      <c r="BQ141" s="120"/>
      <c r="BR141" s="32"/>
      <c r="BS141" s="126"/>
      <c r="BT141" s="16"/>
      <c r="BU141" s="58"/>
      <c r="BW141" s="51">
        <f>VLOOKUP(H141,Charges!$AT$4:$AU$33,2,FALSE)*I141</f>
        <v>0</v>
      </c>
      <c r="BX141" s="51">
        <f t="shared" si="129"/>
        <v>0</v>
      </c>
      <c r="BY141" s="51">
        <f t="shared" si="137"/>
        <v>0</v>
      </c>
      <c r="BZ141" s="151"/>
      <c r="CA141" s="151"/>
      <c r="CB141" s="32"/>
      <c r="CC141" s="16">
        <f ca="1">SUM($N$7:$N141)</f>
        <v>0</v>
      </c>
      <c r="CD141" s="16">
        <f t="shared" ca="1" si="130"/>
        <v>0</v>
      </c>
      <c r="CE141" s="16">
        <f t="shared" ca="1" si="131"/>
        <v>0</v>
      </c>
      <c r="CF141" s="7">
        <f t="shared" ca="1" si="138"/>
        <v>0</v>
      </c>
    </row>
    <row r="142" spans="1:84" s="7" customFormat="1" x14ac:dyDescent="0.2">
      <c r="A142" s="149"/>
      <c r="B142" s="14">
        <f t="shared" si="100"/>
        <v>1</v>
      </c>
      <c r="C142" s="12">
        <f t="shared" si="101"/>
        <v>1</v>
      </c>
      <c r="D142" s="17">
        <f t="shared" si="139"/>
        <v>136</v>
      </c>
      <c r="E142" s="17">
        <f t="shared" ca="1" si="102"/>
        <v>71</v>
      </c>
      <c r="F142" s="12">
        <f t="shared" si="97"/>
        <v>3</v>
      </c>
      <c r="G142" s="12">
        <f t="shared" ref="G142:G205" si="140">G136+1</f>
        <v>23</v>
      </c>
      <c r="H142" s="17">
        <f t="shared" si="98"/>
        <v>12</v>
      </c>
      <c r="I142" s="29">
        <f t="shared" si="103"/>
        <v>0</v>
      </c>
      <c r="J142" s="211">
        <f>IFERROR(VLOOKUP(H142,Charges!$T$6:$U$35,2,0)*C142,0)</f>
        <v>1</v>
      </c>
      <c r="K142" s="29">
        <f t="shared" si="104"/>
        <v>0</v>
      </c>
      <c r="L142" s="29">
        <f t="shared" si="105"/>
        <v>0</v>
      </c>
      <c r="M142" s="147">
        <f t="shared" ca="1" si="106"/>
        <v>0</v>
      </c>
      <c r="N142" s="148">
        <f ca="1">IF(AND(Option_SPW="Y",Z141&gt;=SPW_Start_Min_FV,H142&gt;=Lock_In_Period,Z141&gt;SPW_Amount_pa+IF(option="Single",1/5*pr,2*pr),H142&gt;=SPW_Start_Year,H142&lt;=SPW_Start_Year+SPW_Duration-1,F142=0,age+H142&gt;=Legal_Age),SPW_Amount_pa,0)+IFERROR(VLOOKUP(H142,Input!$B$68:$C$74,2,0),0)*(F142=0)*(Option_PW="Y")*(Option_SPW="N")*(age+H142&gt;=Legal_Age)</f>
        <v>0</v>
      </c>
      <c r="O142" s="148">
        <f t="shared" ca="1" si="132"/>
        <v>0</v>
      </c>
      <c r="P142" s="14">
        <f ca="1">(MAX(MAX(sa-CF141*Flag_UL_Type,105%*SUM($I$7:I142))-(AD141+L142-N142)*Flag_UL_Type,0)*B142)</f>
        <v>0</v>
      </c>
      <c r="Q142" s="213">
        <f t="shared" ca="1" si="107"/>
        <v>0</v>
      </c>
      <c r="R142" s="14">
        <f t="shared" ca="1" si="108"/>
        <v>0</v>
      </c>
      <c r="S142" s="14">
        <f t="shared" ca="1" si="109"/>
        <v>0</v>
      </c>
      <c r="T142" s="14">
        <f>IFERROR(IF(WoP_Flag="Y",IF(fq=1,VLOOKUP(ppt*fq-H142,Charges!$AN$41:$AO$59,2,FALSE),IF(fq=2,VLOOKUP(ppt*fq-G142,Charges!$AP$41:$AQ$79,2,FALSE),VLOOKUP(ppt*fq-D142,Charges!$AR$41:$AS$279,2,FALSE)))*pr/fq,0),0)</f>
        <v>0</v>
      </c>
      <c r="U142" s="14">
        <f ca="1">IFERROR(((T142*(VLOOKUP(Input!$D$18+H142-1,Tab_Mort_Charge,IF(Gender_2="M",2,3),FALSE)*(1+_emr2)+_rpm2)/IF(Model_Type="LA_PQIS",1000/0.0833,(12*1000))))*Flag_Mort_Rider_Charge*(T142&gt;0),0)</f>
        <v>0</v>
      </c>
      <c r="V142" s="34">
        <f>ROUND(MIN(IF(H142&gt;=7,Charges!$C$12*(1+Charges!$C$14)^((H142-7+1)),VLOOKUP(H142,Charges!$B$7:$C$12,2,0))*pr,Charges!$C$13)*B142,Round)</f>
        <v>500</v>
      </c>
      <c r="W142" s="14">
        <f t="shared" ca="1" si="110"/>
        <v>5063396.7728652572</v>
      </c>
      <c r="X142" s="14">
        <f t="shared" ca="1" si="111"/>
        <v>5095974.8201607661</v>
      </c>
      <c r="Y142" s="213">
        <f t="shared" ca="1" si="133"/>
        <v>5736.091614107806</v>
      </c>
      <c r="Z142" s="14">
        <f t="shared" ca="1" si="112"/>
        <v>5090238.7285466585</v>
      </c>
      <c r="AA142" s="14">
        <f>IF(AND($H142=pt,$F142=11),SUM($K$7:K142)*VLOOKUP(pt,ROC,2,FALSE),0)</f>
        <v>0</v>
      </c>
      <c r="AB142" s="14">
        <f>IF(AND($H142=pt,$F142=11),SUM($V$7:V142)*VLOOKUP(pt,ROC,2,FALSE),0)</f>
        <v>0</v>
      </c>
      <c r="AC142" s="14">
        <f>IF(AND($H142=pt,$F142=11),SUM($Q$7:Q142)*VLOOKUP(pt,ROC,2,FALSE),0)</f>
        <v>0</v>
      </c>
      <c r="AD142" s="14">
        <f t="shared" ca="1" si="134"/>
        <v>5090238.7285466585</v>
      </c>
      <c r="AE142" s="14">
        <f ca="1">(MAX(sa-CF141*Flag_UL_Type,105%*SUM($I$7:I142),Z142)+AU142)*B142</f>
        <v>5090238.7285466585</v>
      </c>
      <c r="AF142" s="136"/>
      <c r="AG142" s="18">
        <v>136</v>
      </c>
      <c r="AH142" s="30">
        <f t="shared" ca="1" si="113"/>
        <v>0</v>
      </c>
      <c r="AI142" s="58"/>
      <c r="AJ142" s="50">
        <f>IF(AND(Option_Sys_TopUp&gt;="Y",H142&gt;=sytp,H142&lt;=(dtp+sytp-1),F142=0,H142&lt;=ppt+1),atp,0)+IFERROR(VLOOKUP(H142,Input!$B$55:$C$61,2,0),0)*(F142=0)*(Option_TopUP="Y")*(Option_Sys_TopUp="N")*B142*(pt&gt;=H142+5)</f>
        <v>0</v>
      </c>
      <c r="AK142" s="50">
        <f t="shared" si="114"/>
        <v>0</v>
      </c>
      <c r="AL142" s="50">
        <f t="shared" si="135"/>
        <v>0</v>
      </c>
      <c r="AM142" s="50">
        <f t="shared" ca="1" si="115"/>
        <v>0</v>
      </c>
      <c r="AN142" s="50">
        <f ca="1">IF(B142=0,0,AT142*(_rpm1+(1+_emr1)*VLOOKUP(E142,Tab_Mort_Charge,IF(Input!$C$12="M",2,3),0))*(0.001*0.0833)*Flag_Mort_Rider_Charge*(AT142&gt;0))</f>
        <v>0</v>
      </c>
      <c r="AO142" s="50">
        <f t="shared" ca="1" si="136"/>
        <v>0</v>
      </c>
      <c r="AP142" s="50">
        <f t="shared" ca="1" si="99"/>
        <v>0</v>
      </c>
      <c r="AQ142" s="50">
        <f t="shared" ca="1" si="116"/>
        <v>0</v>
      </c>
      <c r="AR142" s="50">
        <f t="shared" ca="1" si="117"/>
        <v>0</v>
      </c>
      <c r="AS142" s="50">
        <f t="shared" si="118"/>
        <v>0</v>
      </c>
      <c r="AT142" s="50">
        <f ca="1">(MAX((MAX(AS142,105%*SUM($AJ$7:AJ142))-AM142*Flag_UL_Type),0)*B142)</f>
        <v>0</v>
      </c>
      <c r="AU142" s="50">
        <f ca="1">(MAX(AS142,AR142,105%*SUM($AJ$7:AJ142))*B142)</f>
        <v>0</v>
      </c>
      <c r="AV142" s="125"/>
      <c r="AW142" s="13"/>
      <c r="AX142" s="13"/>
      <c r="AY142" s="13"/>
      <c r="AZ142" s="13"/>
      <c r="BA142" s="13"/>
      <c r="BG142" s="51">
        <f t="shared" si="119"/>
        <v>0</v>
      </c>
      <c r="BH142" s="51">
        <f t="shared" ca="1" si="120"/>
        <v>0</v>
      </c>
      <c r="BI142" s="51">
        <f t="shared" ca="1" si="121"/>
        <v>0</v>
      </c>
      <c r="BJ142" s="51">
        <f t="shared" ca="1" si="122"/>
        <v>0</v>
      </c>
      <c r="BK142" s="51">
        <f t="shared" si="123"/>
        <v>0</v>
      </c>
      <c r="BL142" s="51">
        <f t="shared" ca="1" si="124"/>
        <v>0</v>
      </c>
      <c r="BM142" s="51">
        <f t="shared" si="125"/>
        <v>0</v>
      </c>
      <c r="BN142" s="51">
        <f t="shared" ca="1" si="126"/>
        <v>0</v>
      </c>
      <c r="BO142" s="51">
        <f t="shared" ca="1" si="127"/>
        <v>0</v>
      </c>
      <c r="BP142" s="51">
        <f t="shared" ca="1" si="128"/>
        <v>0</v>
      </c>
      <c r="BQ142" s="120"/>
      <c r="BR142" s="32"/>
      <c r="BS142" s="126"/>
      <c r="BT142" s="16"/>
      <c r="BU142" s="58"/>
      <c r="BW142" s="51">
        <f>VLOOKUP(H142,Charges!$AT$4:$AU$33,2,FALSE)*I142</f>
        <v>0</v>
      </c>
      <c r="BX142" s="51">
        <f t="shared" si="129"/>
        <v>0</v>
      </c>
      <c r="BY142" s="51">
        <f t="shared" si="137"/>
        <v>0</v>
      </c>
      <c r="BZ142" s="151"/>
      <c r="CA142" s="151"/>
      <c r="CB142" s="32"/>
      <c r="CC142" s="16">
        <f ca="1">SUM($N$7:$N142)</f>
        <v>0</v>
      </c>
      <c r="CD142" s="16">
        <f t="shared" ca="1" si="130"/>
        <v>0</v>
      </c>
      <c r="CE142" s="16">
        <f t="shared" ca="1" si="131"/>
        <v>0</v>
      </c>
      <c r="CF142" s="7">
        <f t="shared" ca="1" si="138"/>
        <v>0</v>
      </c>
    </row>
    <row r="143" spans="1:84" s="7" customFormat="1" x14ac:dyDescent="0.2">
      <c r="A143" s="149"/>
      <c r="B143" s="14">
        <f t="shared" si="100"/>
        <v>1</v>
      </c>
      <c r="C143" s="12">
        <f t="shared" si="101"/>
        <v>1</v>
      </c>
      <c r="D143" s="17">
        <f t="shared" si="139"/>
        <v>137</v>
      </c>
      <c r="E143" s="17">
        <f t="shared" ca="1" si="102"/>
        <v>71</v>
      </c>
      <c r="F143" s="12">
        <f t="shared" si="97"/>
        <v>4</v>
      </c>
      <c r="G143" s="12">
        <f t="shared" si="140"/>
        <v>23</v>
      </c>
      <c r="H143" s="17">
        <f t="shared" si="98"/>
        <v>12</v>
      </c>
      <c r="I143" s="29">
        <f t="shared" si="103"/>
        <v>0</v>
      </c>
      <c r="J143" s="211">
        <f>IFERROR(VLOOKUP(H143,Charges!$T$6:$U$35,2,0)*C143,0)</f>
        <v>1</v>
      </c>
      <c r="K143" s="29">
        <f t="shared" si="104"/>
        <v>0</v>
      </c>
      <c r="L143" s="29">
        <f t="shared" si="105"/>
        <v>0</v>
      </c>
      <c r="M143" s="147">
        <f t="shared" ca="1" si="106"/>
        <v>0</v>
      </c>
      <c r="N143" s="148">
        <f ca="1">IF(AND(Option_SPW="Y",Z142&gt;=SPW_Start_Min_FV,H143&gt;=Lock_In_Period,Z142&gt;SPW_Amount_pa+IF(option="Single",1/5*pr,2*pr),H143&gt;=SPW_Start_Year,H143&lt;=SPW_Start_Year+SPW_Duration-1,F143=0,age+H143&gt;=Legal_Age),SPW_Amount_pa,0)+IFERROR(VLOOKUP(H143,Input!$B$68:$C$74,2,0),0)*(F143=0)*(Option_PW="Y")*(Option_SPW="N")*(age+H143&gt;=Legal_Age)</f>
        <v>0</v>
      </c>
      <c r="O143" s="148">
        <f t="shared" ca="1" si="132"/>
        <v>0</v>
      </c>
      <c r="P143" s="14">
        <f ca="1">(MAX(MAX(sa-CF142*Flag_UL_Type,105%*SUM($I$7:I143))-(AD142+L143-N143)*Flag_UL_Type,0)*B143)</f>
        <v>0</v>
      </c>
      <c r="Q143" s="213">
        <f t="shared" ca="1" si="107"/>
        <v>0</v>
      </c>
      <c r="R143" s="14">
        <f t="shared" ca="1" si="108"/>
        <v>0</v>
      </c>
      <c r="S143" s="14">
        <f t="shared" ca="1" si="109"/>
        <v>0</v>
      </c>
      <c r="T143" s="14">
        <f>IFERROR(IF(WoP_Flag="Y",IF(fq=1,VLOOKUP(ppt*fq-H143,Charges!$AN$41:$AO$59,2,FALSE),IF(fq=2,VLOOKUP(ppt*fq-G143,Charges!$AP$41:$AQ$79,2,FALSE),VLOOKUP(ppt*fq-D143,Charges!$AR$41:$AS$279,2,FALSE)))*pr/fq,0),0)</f>
        <v>0</v>
      </c>
      <c r="U143" s="14">
        <f ca="1">IFERROR(((T143*(VLOOKUP(Input!$D$18+H143-1,Tab_Mort_Charge,IF(Gender_2="M",2,3),FALSE)*(1+_emr2)+_rpm2)/IF(Model_Type="LA_PQIS",1000/0.0833,(12*1000))))*Flag_Mort_Rider_Charge*(T143&gt;0),0)</f>
        <v>0</v>
      </c>
      <c r="V143" s="34">
        <f>ROUND(MIN(IF(H143&gt;=7,Charges!$C$12*(1+Charges!$C$14)^((H143-7+1)),VLOOKUP(H143,Charges!$B$7:$C$12,2,0))*pr,Charges!$C$13)*B143,Round)</f>
        <v>500</v>
      </c>
      <c r="W143" s="14">
        <f t="shared" ca="1" si="110"/>
        <v>5089738.7285466585</v>
      </c>
      <c r="X143" s="14">
        <f t="shared" ca="1" si="111"/>
        <v>5122486.2607781785</v>
      </c>
      <c r="Y143" s="213">
        <f t="shared" ca="1" si="133"/>
        <v>5765.9332160721306</v>
      </c>
      <c r="Z143" s="14">
        <f t="shared" ca="1" si="112"/>
        <v>5116720.3275621068</v>
      </c>
      <c r="AA143" s="14">
        <f>IF(AND($H143=pt,$F143=11),SUM($K$7:K143)*VLOOKUP(pt,ROC,2,FALSE),0)</f>
        <v>0</v>
      </c>
      <c r="AB143" s="14">
        <f>IF(AND($H143=pt,$F143=11),SUM($V$7:V143)*VLOOKUP(pt,ROC,2,FALSE),0)</f>
        <v>0</v>
      </c>
      <c r="AC143" s="14">
        <f>IF(AND($H143=pt,$F143=11),SUM($Q$7:Q143)*VLOOKUP(pt,ROC,2,FALSE),0)</f>
        <v>0</v>
      </c>
      <c r="AD143" s="14">
        <f t="shared" ca="1" si="134"/>
        <v>5116720.3275621068</v>
      </c>
      <c r="AE143" s="14">
        <f ca="1">(MAX(sa-CF142*Flag_UL_Type,105%*SUM($I$7:I143),Z143)+AU143)*B143</f>
        <v>5116720.3275621068</v>
      </c>
      <c r="AF143" s="136"/>
      <c r="AG143" s="18">
        <v>137</v>
      </c>
      <c r="AH143" s="30">
        <f t="shared" ca="1" si="113"/>
        <v>0</v>
      </c>
      <c r="AI143" s="58"/>
      <c r="AJ143" s="50">
        <f>IF(AND(Option_Sys_TopUp&gt;="Y",H143&gt;=sytp,H143&lt;=(dtp+sytp-1),F143=0,H143&lt;=ppt+1),atp,0)+IFERROR(VLOOKUP(H143,Input!$B$55:$C$61,2,0),0)*(F143=0)*(Option_TopUP="Y")*(Option_Sys_TopUp="N")*B143*(pt&gt;=H143+5)</f>
        <v>0</v>
      </c>
      <c r="AK143" s="50">
        <f t="shared" si="114"/>
        <v>0</v>
      </c>
      <c r="AL143" s="50">
        <f t="shared" si="135"/>
        <v>0</v>
      </c>
      <c r="AM143" s="50">
        <f t="shared" ca="1" si="115"/>
        <v>0</v>
      </c>
      <c r="AN143" s="50">
        <f ca="1">IF(B143=0,0,AT143*(_rpm1+(1+_emr1)*VLOOKUP(E143,Tab_Mort_Charge,IF(Input!$C$12="M",2,3),0))*(0.001*0.0833)*Flag_Mort_Rider_Charge*(AT143&gt;0))</f>
        <v>0</v>
      </c>
      <c r="AO143" s="50">
        <f t="shared" ca="1" si="136"/>
        <v>0</v>
      </c>
      <c r="AP143" s="50">
        <f t="shared" ca="1" si="99"/>
        <v>0</v>
      </c>
      <c r="AQ143" s="50">
        <f t="shared" ca="1" si="116"/>
        <v>0</v>
      </c>
      <c r="AR143" s="50">
        <f t="shared" ca="1" si="117"/>
        <v>0</v>
      </c>
      <c r="AS143" s="50">
        <f t="shared" si="118"/>
        <v>0</v>
      </c>
      <c r="AT143" s="50">
        <f ca="1">(MAX((MAX(AS143,105%*SUM($AJ$7:AJ143))-AM143*Flag_UL_Type),0)*B143)</f>
        <v>0</v>
      </c>
      <c r="AU143" s="50">
        <f ca="1">(MAX(AS143,AR143,105%*SUM($AJ$7:AJ143))*B143)</f>
        <v>0</v>
      </c>
      <c r="AV143" s="125"/>
      <c r="AW143" s="13"/>
      <c r="AX143" s="13"/>
      <c r="AY143" s="13"/>
      <c r="AZ143" s="13"/>
      <c r="BA143" s="13"/>
      <c r="BG143" s="51">
        <f t="shared" si="119"/>
        <v>0</v>
      </c>
      <c r="BH143" s="51">
        <f t="shared" ca="1" si="120"/>
        <v>0</v>
      </c>
      <c r="BI143" s="51">
        <f t="shared" ca="1" si="121"/>
        <v>0</v>
      </c>
      <c r="BJ143" s="51">
        <f t="shared" ca="1" si="122"/>
        <v>0</v>
      </c>
      <c r="BK143" s="51">
        <f t="shared" si="123"/>
        <v>0</v>
      </c>
      <c r="BL143" s="51">
        <f t="shared" ca="1" si="124"/>
        <v>0</v>
      </c>
      <c r="BM143" s="51">
        <f t="shared" si="125"/>
        <v>0</v>
      </c>
      <c r="BN143" s="51">
        <f t="shared" ca="1" si="126"/>
        <v>0</v>
      </c>
      <c r="BO143" s="51">
        <f t="shared" ca="1" si="127"/>
        <v>0</v>
      </c>
      <c r="BP143" s="51">
        <f t="shared" ca="1" si="128"/>
        <v>0</v>
      </c>
      <c r="BQ143" s="120"/>
      <c r="BR143" s="32"/>
      <c r="BS143" s="126"/>
      <c r="BT143" s="16"/>
      <c r="BU143" s="58"/>
      <c r="BW143" s="51">
        <f>VLOOKUP(H143,Charges!$AT$4:$AU$33,2,FALSE)*I143</f>
        <v>0</v>
      </c>
      <c r="BX143" s="51">
        <f t="shared" si="129"/>
        <v>0</v>
      </c>
      <c r="BY143" s="51">
        <f t="shared" si="137"/>
        <v>0</v>
      </c>
      <c r="BZ143" s="151"/>
      <c r="CA143" s="151"/>
      <c r="CB143" s="32"/>
      <c r="CC143" s="16">
        <f ca="1">SUM($N$7:$N143)</f>
        <v>0</v>
      </c>
      <c r="CD143" s="16">
        <f t="shared" ca="1" si="130"/>
        <v>0</v>
      </c>
      <c r="CE143" s="16">
        <f t="shared" ca="1" si="131"/>
        <v>0</v>
      </c>
      <c r="CF143" s="7">
        <f t="shared" ca="1" si="138"/>
        <v>0</v>
      </c>
    </row>
    <row r="144" spans="1:84" s="7" customFormat="1" x14ac:dyDescent="0.2">
      <c r="A144" s="149"/>
      <c r="B144" s="14">
        <f t="shared" si="100"/>
        <v>1</v>
      </c>
      <c r="C144" s="12">
        <f t="shared" si="101"/>
        <v>1</v>
      </c>
      <c r="D144" s="17">
        <f t="shared" si="139"/>
        <v>138</v>
      </c>
      <c r="E144" s="17">
        <f t="shared" ca="1" si="102"/>
        <v>71</v>
      </c>
      <c r="F144" s="12">
        <f t="shared" si="97"/>
        <v>5</v>
      </c>
      <c r="G144" s="12">
        <f t="shared" si="140"/>
        <v>23</v>
      </c>
      <c r="H144" s="17">
        <f t="shared" si="98"/>
        <v>12</v>
      </c>
      <c r="I144" s="29">
        <f t="shared" si="103"/>
        <v>0</v>
      </c>
      <c r="J144" s="211">
        <f>IFERROR(VLOOKUP(H144,Charges!$T$6:$U$35,2,0)*C144,0)</f>
        <v>1</v>
      </c>
      <c r="K144" s="29">
        <f t="shared" si="104"/>
        <v>0</v>
      </c>
      <c r="L144" s="29">
        <f t="shared" si="105"/>
        <v>0</v>
      </c>
      <c r="M144" s="147">
        <f t="shared" ca="1" si="106"/>
        <v>0</v>
      </c>
      <c r="N144" s="148">
        <f ca="1">IF(AND(Option_SPW="Y",Z143&gt;=SPW_Start_Min_FV,H144&gt;=Lock_In_Period,Z143&gt;SPW_Amount_pa+IF(option="Single",1/5*pr,2*pr),H144&gt;=SPW_Start_Year,H144&lt;=SPW_Start_Year+SPW_Duration-1,F144=0,age+H144&gt;=Legal_Age),SPW_Amount_pa,0)+IFERROR(VLOOKUP(H144,Input!$B$68:$C$74,2,0),0)*(F144=0)*(Option_PW="Y")*(Option_SPW="N")*(age+H144&gt;=Legal_Age)</f>
        <v>0</v>
      </c>
      <c r="O144" s="148">
        <f t="shared" ca="1" si="132"/>
        <v>0</v>
      </c>
      <c r="P144" s="14">
        <f ca="1">(MAX(MAX(sa-CF143*Flag_UL_Type,105%*SUM($I$7:I144))-(AD143+L144-N144)*Flag_UL_Type,0)*B144)</f>
        <v>0</v>
      </c>
      <c r="Q144" s="213">
        <f t="shared" ca="1" si="107"/>
        <v>0</v>
      </c>
      <c r="R144" s="14">
        <f t="shared" ca="1" si="108"/>
        <v>0</v>
      </c>
      <c r="S144" s="14">
        <f t="shared" ca="1" si="109"/>
        <v>0</v>
      </c>
      <c r="T144" s="14">
        <f>IFERROR(IF(WoP_Flag="Y",IF(fq=1,VLOOKUP(ppt*fq-H144,Charges!$AN$41:$AO$59,2,FALSE),IF(fq=2,VLOOKUP(ppt*fq-G144,Charges!$AP$41:$AQ$79,2,FALSE),VLOOKUP(ppt*fq-D144,Charges!$AR$41:$AS$279,2,FALSE)))*pr/fq,0),0)</f>
        <v>0</v>
      </c>
      <c r="U144" s="14">
        <f ca="1">IFERROR(((T144*(VLOOKUP(Input!$D$18+H144-1,Tab_Mort_Charge,IF(Gender_2="M",2,3),FALSE)*(1+_emr2)+_rpm2)/IF(Model_Type="LA_PQIS",1000/0.0833,(12*1000))))*Flag_Mort_Rider_Charge*(T144&gt;0),0)</f>
        <v>0</v>
      </c>
      <c r="V144" s="34">
        <f>ROUND(MIN(IF(H144&gt;=7,Charges!$C$12*(1+Charges!$C$14)^((H144-7+1)),VLOOKUP(H144,Charges!$B$7:$C$12,2,0))*pr,Charges!$C$13)*B144,Round)</f>
        <v>500</v>
      </c>
      <c r="W144" s="14">
        <f t="shared" ca="1" si="110"/>
        <v>5116220.3275621068</v>
      </c>
      <c r="X144" s="14">
        <f t="shared" ca="1" si="111"/>
        <v>5149138.2431990532</v>
      </c>
      <c r="Y144" s="213">
        <f t="shared" ca="1" si="133"/>
        <v>5795.9330136101617</v>
      </c>
      <c r="Z144" s="14">
        <f t="shared" ca="1" si="112"/>
        <v>5143342.3101854427</v>
      </c>
      <c r="AA144" s="14">
        <f>IF(AND($H144=pt,$F144=11),SUM($K$7:K144)*VLOOKUP(pt,ROC,2,FALSE),0)</f>
        <v>0</v>
      </c>
      <c r="AB144" s="14">
        <f>IF(AND($H144=pt,$F144=11),SUM($V$7:V144)*VLOOKUP(pt,ROC,2,FALSE),0)</f>
        <v>0</v>
      </c>
      <c r="AC144" s="14">
        <f>IF(AND($H144=pt,$F144=11),SUM($Q$7:Q144)*VLOOKUP(pt,ROC,2,FALSE),0)</f>
        <v>0</v>
      </c>
      <c r="AD144" s="14">
        <f t="shared" ca="1" si="134"/>
        <v>5143342.3101854427</v>
      </c>
      <c r="AE144" s="14">
        <f ca="1">(MAX(sa-CF143*Flag_UL_Type,105%*SUM($I$7:I144),Z144)+AU144)*B144</f>
        <v>5143342.3101854427</v>
      </c>
      <c r="AF144" s="136"/>
      <c r="AG144" s="18">
        <v>138</v>
      </c>
      <c r="AH144" s="30">
        <f t="shared" ca="1" si="113"/>
        <v>0</v>
      </c>
      <c r="AI144" s="58"/>
      <c r="AJ144" s="50">
        <f>IF(AND(Option_Sys_TopUp&gt;="Y",H144&gt;=sytp,H144&lt;=(dtp+sytp-1),F144=0,H144&lt;=ppt+1),atp,0)+IFERROR(VLOOKUP(H144,Input!$B$55:$C$61,2,0),0)*(F144=0)*(Option_TopUP="Y")*(Option_Sys_TopUp="N")*B144*(pt&gt;=H144+5)</f>
        <v>0</v>
      </c>
      <c r="AK144" s="50">
        <f t="shared" si="114"/>
        <v>0</v>
      </c>
      <c r="AL144" s="50">
        <f t="shared" si="135"/>
        <v>0</v>
      </c>
      <c r="AM144" s="50">
        <f t="shared" ca="1" si="115"/>
        <v>0</v>
      </c>
      <c r="AN144" s="50">
        <f ca="1">IF(B144=0,0,AT144*(_rpm1+(1+_emr1)*VLOOKUP(E144,Tab_Mort_Charge,IF(Input!$C$12="M",2,3),0))*(0.001*0.0833)*Flag_Mort_Rider_Charge*(AT144&gt;0))</f>
        <v>0</v>
      </c>
      <c r="AO144" s="50">
        <f t="shared" ca="1" si="136"/>
        <v>0</v>
      </c>
      <c r="AP144" s="50">
        <f t="shared" ca="1" si="99"/>
        <v>0</v>
      </c>
      <c r="AQ144" s="50">
        <f t="shared" ca="1" si="116"/>
        <v>0</v>
      </c>
      <c r="AR144" s="50">
        <f t="shared" ca="1" si="117"/>
        <v>0</v>
      </c>
      <c r="AS144" s="50">
        <f t="shared" si="118"/>
        <v>0</v>
      </c>
      <c r="AT144" s="50">
        <f ca="1">(MAX((MAX(AS144,105%*SUM($AJ$7:AJ144))-AM144*Flag_UL_Type),0)*B144)</f>
        <v>0</v>
      </c>
      <c r="AU144" s="50">
        <f ca="1">(MAX(AS144,AR144,105%*SUM($AJ$7:AJ144))*B144)</f>
        <v>0</v>
      </c>
      <c r="AV144" s="125"/>
      <c r="AW144" s="13"/>
      <c r="AX144" s="13"/>
      <c r="AY144" s="13"/>
      <c r="AZ144" s="13"/>
      <c r="BA144" s="13"/>
      <c r="BG144" s="51">
        <f t="shared" si="119"/>
        <v>0</v>
      </c>
      <c r="BH144" s="51">
        <f t="shared" ca="1" si="120"/>
        <v>0</v>
      </c>
      <c r="BI144" s="51">
        <f t="shared" ca="1" si="121"/>
        <v>0</v>
      </c>
      <c r="BJ144" s="51">
        <f t="shared" ca="1" si="122"/>
        <v>0</v>
      </c>
      <c r="BK144" s="51">
        <f t="shared" si="123"/>
        <v>0</v>
      </c>
      <c r="BL144" s="51">
        <f t="shared" ca="1" si="124"/>
        <v>0</v>
      </c>
      <c r="BM144" s="51">
        <f t="shared" si="125"/>
        <v>0</v>
      </c>
      <c r="BN144" s="51">
        <f t="shared" ca="1" si="126"/>
        <v>0</v>
      </c>
      <c r="BO144" s="51">
        <f t="shared" ca="1" si="127"/>
        <v>0</v>
      </c>
      <c r="BP144" s="51">
        <f t="shared" ca="1" si="128"/>
        <v>0</v>
      </c>
      <c r="BQ144" s="120"/>
      <c r="BR144" s="32"/>
      <c r="BS144" s="126"/>
      <c r="BT144" s="16"/>
      <c r="BU144" s="58"/>
      <c r="BW144" s="51">
        <f>VLOOKUP(H144,Charges!$AT$4:$AU$33,2,FALSE)*I144</f>
        <v>0</v>
      </c>
      <c r="BX144" s="51">
        <f t="shared" si="129"/>
        <v>0</v>
      </c>
      <c r="BY144" s="51">
        <f t="shared" si="137"/>
        <v>0</v>
      </c>
      <c r="BZ144" s="151"/>
      <c r="CA144" s="151"/>
      <c r="CB144" s="32"/>
      <c r="CC144" s="16">
        <f ca="1">SUM($N$7:$N144)</f>
        <v>0</v>
      </c>
      <c r="CD144" s="16">
        <f t="shared" ca="1" si="130"/>
        <v>0</v>
      </c>
      <c r="CE144" s="16">
        <f t="shared" ca="1" si="131"/>
        <v>0</v>
      </c>
      <c r="CF144" s="7">
        <f t="shared" ca="1" si="138"/>
        <v>0</v>
      </c>
    </row>
    <row r="145" spans="1:84" s="7" customFormat="1" x14ac:dyDescent="0.2">
      <c r="A145" s="149"/>
      <c r="B145" s="14">
        <f t="shared" si="100"/>
        <v>1</v>
      </c>
      <c r="C145" s="12">
        <f t="shared" si="101"/>
        <v>1</v>
      </c>
      <c r="D145" s="17">
        <f t="shared" si="139"/>
        <v>139</v>
      </c>
      <c r="E145" s="17">
        <f t="shared" ca="1" si="102"/>
        <v>71</v>
      </c>
      <c r="F145" s="12">
        <f t="shared" si="97"/>
        <v>6</v>
      </c>
      <c r="G145" s="12">
        <f t="shared" si="140"/>
        <v>24</v>
      </c>
      <c r="H145" s="17">
        <f t="shared" si="98"/>
        <v>12</v>
      </c>
      <c r="I145" s="29">
        <f t="shared" si="103"/>
        <v>0</v>
      </c>
      <c r="J145" s="211">
        <f>IFERROR(VLOOKUP(H145,Charges!$T$6:$U$35,2,0)*C145,0)</f>
        <v>1</v>
      </c>
      <c r="K145" s="29">
        <f t="shared" si="104"/>
        <v>0</v>
      </c>
      <c r="L145" s="29">
        <f t="shared" si="105"/>
        <v>0</v>
      </c>
      <c r="M145" s="147">
        <f t="shared" ca="1" si="106"/>
        <v>0</v>
      </c>
      <c r="N145" s="148">
        <f ca="1">IF(AND(Option_SPW="Y",Z144&gt;=SPW_Start_Min_FV,H145&gt;=Lock_In_Period,Z144&gt;SPW_Amount_pa+IF(option="Single",1/5*pr,2*pr),H145&gt;=SPW_Start_Year,H145&lt;=SPW_Start_Year+SPW_Duration-1,F145=0,age+H145&gt;=Legal_Age),SPW_Amount_pa,0)+IFERROR(VLOOKUP(H145,Input!$B$68:$C$74,2,0),0)*(F145=0)*(Option_PW="Y")*(Option_SPW="N")*(age+H145&gt;=Legal_Age)</f>
        <v>0</v>
      </c>
      <c r="O145" s="148">
        <f t="shared" ca="1" si="132"/>
        <v>0</v>
      </c>
      <c r="P145" s="14">
        <f ca="1">(MAX(MAX(sa-CF144*Flag_UL_Type,105%*SUM($I$7:I145))-(AD144+L145-N145)*Flag_UL_Type,0)*B145)</f>
        <v>0</v>
      </c>
      <c r="Q145" s="213">
        <f t="shared" ca="1" si="107"/>
        <v>0</v>
      </c>
      <c r="R145" s="14">
        <f t="shared" ca="1" si="108"/>
        <v>0</v>
      </c>
      <c r="S145" s="14">
        <f t="shared" ca="1" si="109"/>
        <v>0</v>
      </c>
      <c r="T145" s="14">
        <f>IFERROR(IF(WoP_Flag="Y",IF(fq=1,VLOOKUP(ppt*fq-H145,Charges!$AN$41:$AO$59,2,FALSE),IF(fq=2,VLOOKUP(ppt*fq-G145,Charges!$AP$41:$AQ$79,2,FALSE),VLOOKUP(ppt*fq-D145,Charges!$AR$41:$AS$279,2,FALSE)))*pr/fq,0),0)</f>
        <v>0</v>
      </c>
      <c r="U145" s="14">
        <f ca="1">IFERROR(((T145*(VLOOKUP(Input!$D$18+H145-1,Tab_Mort_Charge,IF(Gender_2="M",2,3),FALSE)*(1+_emr2)+_rpm2)/IF(Model_Type="LA_PQIS",1000/0.0833,(12*1000))))*Flag_Mort_Rider_Charge*(T145&gt;0),0)</f>
        <v>0</v>
      </c>
      <c r="V145" s="34">
        <f>ROUND(MIN(IF(H145&gt;=7,Charges!$C$12*(1+Charges!$C$14)^((H145-7+1)),VLOOKUP(H145,Charges!$B$7:$C$12,2,0))*pr,Charges!$C$13)*B145,Round)</f>
        <v>500</v>
      </c>
      <c r="W145" s="14">
        <f t="shared" ca="1" si="110"/>
        <v>5142842.3101854427</v>
      </c>
      <c r="X145" s="14">
        <f t="shared" ca="1" si="111"/>
        <v>5175931.512460175</v>
      </c>
      <c r="Y145" s="213">
        <f t="shared" ca="1" si="133"/>
        <v>5826.091845344421</v>
      </c>
      <c r="Z145" s="14">
        <f t="shared" ca="1" si="112"/>
        <v>5170105.4206148302</v>
      </c>
      <c r="AA145" s="14">
        <f>IF(AND($H145=pt,$F145=11),SUM($K$7:K145)*VLOOKUP(pt,ROC,2,FALSE),0)</f>
        <v>0</v>
      </c>
      <c r="AB145" s="14">
        <f>IF(AND($H145=pt,$F145=11),SUM($V$7:V145)*VLOOKUP(pt,ROC,2,FALSE),0)</f>
        <v>0</v>
      </c>
      <c r="AC145" s="14">
        <f>IF(AND($H145=pt,$F145=11),SUM($Q$7:Q145)*VLOOKUP(pt,ROC,2,FALSE),0)</f>
        <v>0</v>
      </c>
      <c r="AD145" s="14">
        <f t="shared" ca="1" si="134"/>
        <v>5170105.4206148302</v>
      </c>
      <c r="AE145" s="14">
        <f ca="1">(MAX(sa-CF144*Flag_UL_Type,105%*SUM($I$7:I145),Z145)+AU145)*B145</f>
        <v>5170105.4206148302</v>
      </c>
      <c r="AF145" s="136"/>
      <c r="AG145" s="18">
        <v>139</v>
      </c>
      <c r="AH145" s="30">
        <f t="shared" ca="1" si="113"/>
        <v>0</v>
      </c>
      <c r="AI145" s="58"/>
      <c r="AJ145" s="50">
        <f>IF(AND(Option_Sys_TopUp&gt;="Y",H145&gt;=sytp,H145&lt;=(dtp+sytp-1),F145=0,H145&lt;=ppt+1),atp,0)+IFERROR(VLOOKUP(H145,Input!$B$55:$C$61,2,0),0)*(F145=0)*(Option_TopUP="Y")*(Option_Sys_TopUp="N")*B145*(pt&gt;=H145+5)</f>
        <v>0</v>
      </c>
      <c r="AK145" s="50">
        <f t="shared" si="114"/>
        <v>0</v>
      </c>
      <c r="AL145" s="50">
        <f t="shared" si="135"/>
        <v>0</v>
      </c>
      <c r="AM145" s="50">
        <f t="shared" ca="1" si="115"/>
        <v>0</v>
      </c>
      <c r="AN145" s="50">
        <f ca="1">IF(B145=0,0,AT145*(_rpm1+(1+_emr1)*VLOOKUP(E145,Tab_Mort_Charge,IF(Input!$C$12="M",2,3),0))*(0.001*0.0833)*Flag_Mort_Rider_Charge*(AT145&gt;0))</f>
        <v>0</v>
      </c>
      <c r="AO145" s="50">
        <f t="shared" ca="1" si="136"/>
        <v>0</v>
      </c>
      <c r="AP145" s="50">
        <f t="shared" ca="1" si="99"/>
        <v>0</v>
      </c>
      <c r="AQ145" s="50">
        <f t="shared" ca="1" si="116"/>
        <v>0</v>
      </c>
      <c r="AR145" s="50">
        <f t="shared" ca="1" si="117"/>
        <v>0</v>
      </c>
      <c r="AS145" s="50">
        <f t="shared" si="118"/>
        <v>0</v>
      </c>
      <c r="AT145" s="50">
        <f ca="1">(MAX((MAX(AS145,105%*SUM($AJ$7:AJ145))-AM145*Flag_UL_Type),0)*B145)</f>
        <v>0</v>
      </c>
      <c r="AU145" s="50">
        <f ca="1">(MAX(AS145,AR145,105%*SUM($AJ$7:AJ145))*B145)</f>
        <v>0</v>
      </c>
      <c r="AV145" s="125"/>
      <c r="AW145" s="13"/>
      <c r="AX145" s="13"/>
      <c r="AY145" s="13"/>
      <c r="AZ145" s="13"/>
      <c r="BA145" s="13"/>
      <c r="BG145" s="51">
        <f t="shared" si="119"/>
        <v>0</v>
      </c>
      <c r="BH145" s="51">
        <f t="shared" ca="1" si="120"/>
        <v>0</v>
      </c>
      <c r="BI145" s="51">
        <f t="shared" ca="1" si="121"/>
        <v>0</v>
      </c>
      <c r="BJ145" s="51">
        <f t="shared" ca="1" si="122"/>
        <v>0</v>
      </c>
      <c r="BK145" s="51">
        <f t="shared" si="123"/>
        <v>0</v>
      </c>
      <c r="BL145" s="51">
        <f t="shared" ca="1" si="124"/>
        <v>0</v>
      </c>
      <c r="BM145" s="51">
        <f t="shared" si="125"/>
        <v>0</v>
      </c>
      <c r="BN145" s="51">
        <f t="shared" ca="1" si="126"/>
        <v>0</v>
      </c>
      <c r="BO145" s="51">
        <f t="shared" ca="1" si="127"/>
        <v>0</v>
      </c>
      <c r="BP145" s="51">
        <f t="shared" ca="1" si="128"/>
        <v>0</v>
      </c>
      <c r="BQ145" s="120"/>
      <c r="BR145" s="32"/>
      <c r="BS145" s="126"/>
      <c r="BT145" s="16"/>
      <c r="BU145" s="58"/>
      <c r="BW145" s="51">
        <f>VLOOKUP(H145,Charges!$AT$4:$AU$33,2,FALSE)*I145</f>
        <v>0</v>
      </c>
      <c r="BX145" s="51">
        <f t="shared" si="129"/>
        <v>0</v>
      </c>
      <c r="BY145" s="51">
        <f t="shared" si="137"/>
        <v>0</v>
      </c>
      <c r="BZ145" s="151"/>
      <c r="CA145" s="151"/>
      <c r="CB145" s="32"/>
      <c r="CC145" s="16">
        <f ca="1">SUM($N$7:$N145)</f>
        <v>0</v>
      </c>
      <c r="CD145" s="16">
        <f t="shared" ca="1" si="130"/>
        <v>0</v>
      </c>
      <c r="CE145" s="16">
        <f t="shared" ca="1" si="131"/>
        <v>0</v>
      </c>
      <c r="CF145" s="7">
        <f t="shared" ca="1" si="138"/>
        <v>0</v>
      </c>
    </row>
    <row r="146" spans="1:84" s="7" customFormat="1" x14ac:dyDescent="0.2">
      <c r="A146" s="149"/>
      <c r="B146" s="14">
        <f t="shared" si="100"/>
        <v>1</v>
      </c>
      <c r="C146" s="12">
        <f t="shared" si="101"/>
        <v>1</v>
      </c>
      <c r="D146" s="17">
        <f t="shared" si="139"/>
        <v>140</v>
      </c>
      <c r="E146" s="17">
        <f t="shared" ca="1" si="102"/>
        <v>71</v>
      </c>
      <c r="F146" s="12">
        <f t="shared" si="97"/>
        <v>7</v>
      </c>
      <c r="G146" s="12">
        <f t="shared" si="140"/>
        <v>24</v>
      </c>
      <c r="H146" s="17">
        <f t="shared" si="98"/>
        <v>12</v>
      </c>
      <c r="I146" s="29">
        <f t="shared" si="103"/>
        <v>0</v>
      </c>
      <c r="J146" s="211">
        <f>IFERROR(VLOOKUP(H146,Charges!$T$6:$U$35,2,0)*C146,0)</f>
        <v>1</v>
      </c>
      <c r="K146" s="29">
        <f t="shared" si="104"/>
        <v>0</v>
      </c>
      <c r="L146" s="29">
        <f t="shared" si="105"/>
        <v>0</v>
      </c>
      <c r="M146" s="147">
        <f t="shared" ca="1" si="106"/>
        <v>0</v>
      </c>
      <c r="N146" s="148">
        <f ca="1">IF(AND(Option_SPW="Y",Z145&gt;=SPW_Start_Min_FV,H146&gt;=Lock_In_Period,Z145&gt;SPW_Amount_pa+IF(option="Single",1/5*pr,2*pr),H146&gt;=SPW_Start_Year,H146&lt;=SPW_Start_Year+SPW_Duration-1,F146=0,age+H146&gt;=Legal_Age),SPW_Amount_pa,0)+IFERROR(VLOOKUP(H146,Input!$B$68:$C$74,2,0),0)*(F146=0)*(Option_PW="Y")*(Option_SPW="N")*(age+H146&gt;=Legal_Age)</f>
        <v>0</v>
      </c>
      <c r="O146" s="148">
        <f t="shared" ca="1" si="132"/>
        <v>0</v>
      </c>
      <c r="P146" s="14">
        <f ca="1">(MAX(MAX(sa-CF145*Flag_UL_Type,105%*SUM($I$7:I146))-(AD145+L146-N146)*Flag_UL_Type,0)*B146)</f>
        <v>0</v>
      </c>
      <c r="Q146" s="213">
        <f t="shared" ca="1" si="107"/>
        <v>0</v>
      </c>
      <c r="R146" s="14">
        <f t="shared" ca="1" si="108"/>
        <v>0</v>
      </c>
      <c r="S146" s="14">
        <f t="shared" ca="1" si="109"/>
        <v>0</v>
      </c>
      <c r="T146" s="14">
        <f>IFERROR(IF(WoP_Flag="Y",IF(fq=1,VLOOKUP(ppt*fq-H146,Charges!$AN$41:$AO$59,2,FALSE),IF(fq=2,VLOOKUP(ppt*fq-G146,Charges!$AP$41:$AQ$79,2,FALSE),VLOOKUP(ppt*fq-D146,Charges!$AR$41:$AS$279,2,FALSE)))*pr/fq,0),0)</f>
        <v>0</v>
      </c>
      <c r="U146" s="14">
        <f ca="1">IFERROR(((T146*(VLOOKUP(Input!$D$18+H146-1,Tab_Mort_Charge,IF(Gender_2="M",2,3),FALSE)*(1+_emr2)+_rpm2)/IF(Model_Type="LA_PQIS",1000/0.0833,(12*1000))))*Flag_Mort_Rider_Charge*(T146&gt;0),0)</f>
        <v>0</v>
      </c>
      <c r="V146" s="34">
        <f>ROUND(MIN(IF(H146&gt;=7,Charges!$C$12*(1+Charges!$C$14)^((H146-7+1)),VLOOKUP(H146,Charges!$B$7:$C$12,2,0))*pr,Charges!$C$13)*B146,Round)</f>
        <v>500</v>
      </c>
      <c r="W146" s="14">
        <f t="shared" ca="1" si="110"/>
        <v>5169605.4206148302</v>
      </c>
      <c r="X146" s="14">
        <f t="shared" ca="1" si="111"/>
        <v>5202866.8175479034</v>
      </c>
      <c r="Y146" s="213">
        <f t="shared" ca="1" si="133"/>
        <v>5856.4105543431206</v>
      </c>
      <c r="Z146" s="14">
        <f t="shared" ca="1" si="112"/>
        <v>5197010.4069935605</v>
      </c>
      <c r="AA146" s="14">
        <f>IF(AND($H146=pt,$F146=11),SUM($K$7:K146)*VLOOKUP(pt,ROC,2,FALSE),0)</f>
        <v>0</v>
      </c>
      <c r="AB146" s="14">
        <f>IF(AND($H146=pt,$F146=11),SUM($V$7:V146)*VLOOKUP(pt,ROC,2,FALSE),0)</f>
        <v>0</v>
      </c>
      <c r="AC146" s="14">
        <f>IF(AND($H146=pt,$F146=11),SUM($Q$7:Q146)*VLOOKUP(pt,ROC,2,FALSE),0)</f>
        <v>0</v>
      </c>
      <c r="AD146" s="14">
        <f t="shared" ca="1" si="134"/>
        <v>5197010.4069935605</v>
      </c>
      <c r="AE146" s="14">
        <f ca="1">(MAX(sa-CF145*Flag_UL_Type,105%*SUM($I$7:I146),Z146)+AU146)*B146</f>
        <v>5197010.4069935605</v>
      </c>
      <c r="AF146" s="136"/>
      <c r="AG146" s="18">
        <v>140</v>
      </c>
      <c r="AH146" s="30">
        <f t="shared" ca="1" si="113"/>
        <v>0</v>
      </c>
      <c r="AI146" s="58"/>
      <c r="AJ146" s="50">
        <f>IF(AND(Option_Sys_TopUp&gt;="Y",H146&gt;=sytp,H146&lt;=(dtp+sytp-1),F146=0,H146&lt;=ppt+1),atp,0)+IFERROR(VLOOKUP(H146,Input!$B$55:$C$61,2,0),0)*(F146=0)*(Option_TopUP="Y")*(Option_Sys_TopUp="N")*B146*(pt&gt;=H146+5)</f>
        <v>0</v>
      </c>
      <c r="AK146" s="50">
        <f t="shared" si="114"/>
        <v>0</v>
      </c>
      <c r="AL146" s="50">
        <f t="shared" si="135"/>
        <v>0</v>
      </c>
      <c r="AM146" s="50">
        <f t="shared" ca="1" si="115"/>
        <v>0</v>
      </c>
      <c r="AN146" s="50">
        <f ca="1">IF(B146=0,0,AT146*(_rpm1+(1+_emr1)*VLOOKUP(E146,Tab_Mort_Charge,IF(Input!$C$12="M",2,3),0))*(0.001*0.0833)*Flag_Mort_Rider_Charge*(AT146&gt;0))</f>
        <v>0</v>
      </c>
      <c r="AO146" s="50">
        <f t="shared" ca="1" si="136"/>
        <v>0</v>
      </c>
      <c r="AP146" s="50">
        <f t="shared" ca="1" si="99"/>
        <v>0</v>
      </c>
      <c r="AQ146" s="50">
        <f t="shared" ca="1" si="116"/>
        <v>0</v>
      </c>
      <c r="AR146" s="50">
        <f t="shared" ca="1" si="117"/>
        <v>0</v>
      </c>
      <c r="AS146" s="50">
        <f t="shared" si="118"/>
        <v>0</v>
      </c>
      <c r="AT146" s="50">
        <f ca="1">(MAX((MAX(AS146,105%*SUM($AJ$7:AJ146))-AM146*Flag_UL_Type),0)*B146)</f>
        <v>0</v>
      </c>
      <c r="AU146" s="50">
        <f ca="1">(MAX(AS146,AR146,105%*SUM($AJ$7:AJ146))*B146)</f>
        <v>0</v>
      </c>
      <c r="AV146" s="125"/>
      <c r="AW146" s="13"/>
      <c r="AX146" s="13"/>
      <c r="AY146" s="13"/>
      <c r="AZ146" s="13"/>
      <c r="BA146" s="13"/>
      <c r="BG146" s="51">
        <f t="shared" si="119"/>
        <v>0</v>
      </c>
      <c r="BH146" s="51">
        <f t="shared" ca="1" si="120"/>
        <v>0</v>
      </c>
      <c r="BI146" s="51">
        <f t="shared" ca="1" si="121"/>
        <v>0</v>
      </c>
      <c r="BJ146" s="51">
        <f t="shared" ca="1" si="122"/>
        <v>0</v>
      </c>
      <c r="BK146" s="51">
        <f t="shared" si="123"/>
        <v>0</v>
      </c>
      <c r="BL146" s="51">
        <f t="shared" ca="1" si="124"/>
        <v>0</v>
      </c>
      <c r="BM146" s="51">
        <f t="shared" si="125"/>
        <v>0</v>
      </c>
      <c r="BN146" s="51">
        <f t="shared" ca="1" si="126"/>
        <v>0</v>
      </c>
      <c r="BO146" s="51">
        <f t="shared" ca="1" si="127"/>
        <v>0</v>
      </c>
      <c r="BP146" s="51">
        <f t="shared" ca="1" si="128"/>
        <v>0</v>
      </c>
      <c r="BQ146" s="120"/>
      <c r="BR146" s="32"/>
      <c r="BS146" s="126"/>
      <c r="BT146" s="16"/>
      <c r="BU146" s="58"/>
      <c r="BW146" s="51">
        <f>VLOOKUP(H146,Charges!$AT$4:$AU$33,2,FALSE)*I146</f>
        <v>0</v>
      </c>
      <c r="BX146" s="51">
        <f t="shared" si="129"/>
        <v>0</v>
      </c>
      <c r="BY146" s="51">
        <f t="shared" si="137"/>
        <v>0</v>
      </c>
      <c r="BZ146" s="151"/>
      <c r="CA146" s="151"/>
      <c r="CB146" s="32"/>
      <c r="CC146" s="16">
        <f ca="1">SUM($N$7:$N146)</f>
        <v>0</v>
      </c>
      <c r="CD146" s="16">
        <f t="shared" ca="1" si="130"/>
        <v>0</v>
      </c>
      <c r="CE146" s="16">
        <f t="shared" ca="1" si="131"/>
        <v>0</v>
      </c>
      <c r="CF146" s="7">
        <f t="shared" ca="1" si="138"/>
        <v>0</v>
      </c>
    </row>
    <row r="147" spans="1:84" s="7" customFormat="1" x14ac:dyDescent="0.2">
      <c r="A147" s="149"/>
      <c r="B147" s="14">
        <f t="shared" si="100"/>
        <v>1</v>
      </c>
      <c r="C147" s="12">
        <f t="shared" si="101"/>
        <v>1</v>
      </c>
      <c r="D147" s="17">
        <f t="shared" si="139"/>
        <v>141</v>
      </c>
      <c r="E147" s="17">
        <f t="shared" ca="1" si="102"/>
        <v>71</v>
      </c>
      <c r="F147" s="12">
        <f t="shared" si="97"/>
        <v>8</v>
      </c>
      <c r="G147" s="12">
        <f t="shared" si="140"/>
        <v>24</v>
      </c>
      <c r="H147" s="17">
        <f t="shared" si="98"/>
        <v>12</v>
      </c>
      <c r="I147" s="29">
        <f t="shared" si="103"/>
        <v>0</v>
      </c>
      <c r="J147" s="211">
        <f>IFERROR(VLOOKUP(H147,Charges!$T$6:$U$35,2,0)*C147,0)</f>
        <v>1</v>
      </c>
      <c r="K147" s="29">
        <f t="shared" si="104"/>
        <v>0</v>
      </c>
      <c r="L147" s="29">
        <f t="shared" si="105"/>
        <v>0</v>
      </c>
      <c r="M147" s="147">
        <f t="shared" ca="1" si="106"/>
        <v>0</v>
      </c>
      <c r="N147" s="148">
        <f ca="1">IF(AND(Option_SPW="Y",Z146&gt;=SPW_Start_Min_FV,H147&gt;=Lock_In_Period,Z146&gt;SPW_Amount_pa+IF(option="Single",1/5*pr,2*pr),H147&gt;=SPW_Start_Year,H147&lt;=SPW_Start_Year+SPW_Duration-1,F147=0,age+H147&gt;=Legal_Age),SPW_Amount_pa,0)+IFERROR(VLOOKUP(H147,Input!$B$68:$C$74,2,0),0)*(F147=0)*(Option_PW="Y")*(Option_SPW="N")*(age+H147&gt;=Legal_Age)</f>
        <v>0</v>
      </c>
      <c r="O147" s="148">
        <f t="shared" ca="1" si="132"/>
        <v>0</v>
      </c>
      <c r="P147" s="14">
        <f ca="1">(MAX(MAX(sa-CF146*Flag_UL_Type,105%*SUM($I$7:I147))-(AD146+L147-N147)*Flag_UL_Type,0)*B147)</f>
        <v>0</v>
      </c>
      <c r="Q147" s="213">
        <f t="shared" ca="1" si="107"/>
        <v>0</v>
      </c>
      <c r="R147" s="14">
        <f t="shared" ca="1" si="108"/>
        <v>0</v>
      </c>
      <c r="S147" s="14">
        <f t="shared" ca="1" si="109"/>
        <v>0</v>
      </c>
      <c r="T147" s="14">
        <f>IFERROR(IF(WoP_Flag="Y",IF(fq=1,VLOOKUP(ppt*fq-H147,Charges!$AN$41:$AO$59,2,FALSE),IF(fq=2,VLOOKUP(ppt*fq-G147,Charges!$AP$41:$AQ$79,2,FALSE),VLOOKUP(ppt*fq-D147,Charges!$AR$41:$AS$279,2,FALSE)))*pr/fq,0),0)</f>
        <v>0</v>
      </c>
      <c r="U147" s="14">
        <f ca="1">IFERROR(((T147*(VLOOKUP(Input!$D$18+H147-1,Tab_Mort_Charge,IF(Gender_2="M",2,3),FALSE)*(1+_emr2)+_rpm2)/IF(Model_Type="LA_PQIS",1000/0.0833,(12*1000))))*Flag_Mort_Rider_Charge*(T147&gt;0),0)</f>
        <v>0</v>
      </c>
      <c r="V147" s="34">
        <f>ROUND(MIN(IF(H147&gt;=7,Charges!$C$12*(1+Charges!$C$14)^((H147-7+1)),VLOOKUP(H147,Charges!$B$7:$C$12,2,0))*pr,Charges!$C$13)*B147,Round)</f>
        <v>500</v>
      </c>
      <c r="W147" s="14">
        <f t="shared" ca="1" si="110"/>
        <v>5196510.4069935605</v>
      </c>
      <c r="X147" s="14">
        <f t="shared" ca="1" si="111"/>
        <v>5229944.9114191029</v>
      </c>
      <c r="Y147" s="213">
        <f t="shared" ca="1" si="133"/>
        <v>5886.8899881437201</v>
      </c>
      <c r="Z147" s="14">
        <f t="shared" ca="1" si="112"/>
        <v>5224058.021430959</v>
      </c>
      <c r="AA147" s="14">
        <f>IF(AND($H147=pt,$F147=11),SUM($K$7:K147)*VLOOKUP(pt,ROC,2,FALSE),0)</f>
        <v>0</v>
      </c>
      <c r="AB147" s="14">
        <f>IF(AND($H147=pt,$F147=11),SUM($V$7:V147)*VLOOKUP(pt,ROC,2,FALSE),0)</f>
        <v>0</v>
      </c>
      <c r="AC147" s="14">
        <f>IF(AND($H147=pt,$F147=11),SUM($Q$7:Q147)*VLOOKUP(pt,ROC,2,FALSE),0)</f>
        <v>0</v>
      </c>
      <c r="AD147" s="14">
        <f t="shared" ca="1" si="134"/>
        <v>5224058.021430959</v>
      </c>
      <c r="AE147" s="14">
        <f ca="1">(MAX(sa-CF146*Flag_UL_Type,105%*SUM($I$7:I147),Z147)+AU147)*B147</f>
        <v>5224058.021430959</v>
      </c>
      <c r="AF147" s="136"/>
      <c r="AG147" s="18">
        <v>141</v>
      </c>
      <c r="AH147" s="30">
        <f t="shared" ca="1" si="113"/>
        <v>0</v>
      </c>
      <c r="AI147" s="58"/>
      <c r="AJ147" s="50">
        <f>IF(AND(Option_Sys_TopUp&gt;="Y",H147&gt;=sytp,H147&lt;=(dtp+sytp-1),F147=0,H147&lt;=ppt+1),atp,0)+IFERROR(VLOOKUP(H147,Input!$B$55:$C$61,2,0),0)*(F147=0)*(Option_TopUP="Y")*(Option_Sys_TopUp="N")*B147*(pt&gt;=H147+5)</f>
        <v>0</v>
      </c>
      <c r="AK147" s="50">
        <f t="shared" si="114"/>
        <v>0</v>
      </c>
      <c r="AL147" s="50">
        <f t="shared" si="135"/>
        <v>0</v>
      </c>
      <c r="AM147" s="50">
        <f t="shared" ca="1" si="115"/>
        <v>0</v>
      </c>
      <c r="AN147" s="50">
        <f ca="1">IF(B147=0,0,AT147*(_rpm1+(1+_emr1)*VLOOKUP(E147,Tab_Mort_Charge,IF(Input!$C$12="M",2,3),0))*(0.001*0.0833)*Flag_Mort_Rider_Charge*(AT147&gt;0))</f>
        <v>0</v>
      </c>
      <c r="AO147" s="50">
        <f t="shared" ca="1" si="136"/>
        <v>0</v>
      </c>
      <c r="AP147" s="50">
        <f t="shared" ca="1" si="99"/>
        <v>0</v>
      </c>
      <c r="AQ147" s="50">
        <f t="shared" ca="1" si="116"/>
        <v>0</v>
      </c>
      <c r="AR147" s="50">
        <f t="shared" ca="1" si="117"/>
        <v>0</v>
      </c>
      <c r="AS147" s="50">
        <f t="shared" si="118"/>
        <v>0</v>
      </c>
      <c r="AT147" s="50">
        <f ca="1">(MAX((MAX(AS147,105%*SUM($AJ$7:AJ147))-AM147*Flag_UL_Type),0)*B147)</f>
        <v>0</v>
      </c>
      <c r="AU147" s="50">
        <f ca="1">(MAX(AS147,AR147,105%*SUM($AJ$7:AJ147))*B147)</f>
        <v>0</v>
      </c>
      <c r="AV147" s="125"/>
      <c r="AW147" s="13"/>
      <c r="AX147" s="13"/>
      <c r="AY147" s="13"/>
      <c r="AZ147" s="13"/>
      <c r="BA147" s="13"/>
      <c r="BG147" s="51">
        <f t="shared" si="119"/>
        <v>0</v>
      </c>
      <c r="BH147" s="51">
        <f t="shared" ca="1" si="120"/>
        <v>0</v>
      </c>
      <c r="BI147" s="51">
        <f t="shared" ca="1" si="121"/>
        <v>0</v>
      </c>
      <c r="BJ147" s="51">
        <f t="shared" ca="1" si="122"/>
        <v>0</v>
      </c>
      <c r="BK147" s="51">
        <f t="shared" si="123"/>
        <v>0</v>
      </c>
      <c r="BL147" s="51">
        <f t="shared" ca="1" si="124"/>
        <v>0</v>
      </c>
      <c r="BM147" s="51">
        <f t="shared" si="125"/>
        <v>0</v>
      </c>
      <c r="BN147" s="51">
        <f t="shared" ca="1" si="126"/>
        <v>0</v>
      </c>
      <c r="BO147" s="51">
        <f t="shared" ca="1" si="127"/>
        <v>0</v>
      </c>
      <c r="BP147" s="51">
        <f t="shared" ca="1" si="128"/>
        <v>0</v>
      </c>
      <c r="BQ147" s="120"/>
      <c r="BR147" s="32"/>
      <c r="BS147" s="126"/>
      <c r="BT147" s="16"/>
      <c r="BU147" s="58"/>
      <c r="BW147" s="51">
        <f>VLOOKUP(H147,Charges!$AT$4:$AU$33,2,FALSE)*I147</f>
        <v>0</v>
      </c>
      <c r="BX147" s="51">
        <f t="shared" si="129"/>
        <v>0</v>
      </c>
      <c r="BY147" s="51">
        <f t="shared" si="137"/>
        <v>0</v>
      </c>
      <c r="BZ147" s="151"/>
      <c r="CA147" s="151"/>
      <c r="CB147" s="32"/>
      <c r="CC147" s="16">
        <f ca="1">SUM($N$7:$N147)</f>
        <v>0</v>
      </c>
      <c r="CD147" s="16">
        <f t="shared" ca="1" si="130"/>
        <v>0</v>
      </c>
      <c r="CE147" s="16">
        <f t="shared" ca="1" si="131"/>
        <v>0</v>
      </c>
      <c r="CF147" s="7">
        <f t="shared" ca="1" si="138"/>
        <v>0</v>
      </c>
    </row>
    <row r="148" spans="1:84" s="7" customFormat="1" x14ac:dyDescent="0.2">
      <c r="A148" s="149"/>
      <c r="B148" s="14">
        <f t="shared" si="100"/>
        <v>1</v>
      </c>
      <c r="C148" s="12">
        <f t="shared" si="101"/>
        <v>1</v>
      </c>
      <c r="D148" s="17">
        <f t="shared" si="139"/>
        <v>142</v>
      </c>
      <c r="E148" s="17">
        <f t="shared" ca="1" si="102"/>
        <v>71</v>
      </c>
      <c r="F148" s="12">
        <f t="shared" ref="F148:F211" si="141">F136</f>
        <v>9</v>
      </c>
      <c r="G148" s="12">
        <f t="shared" si="140"/>
        <v>24</v>
      </c>
      <c r="H148" s="17">
        <f t="shared" ref="H148:H211" si="142">+H136+1</f>
        <v>12</v>
      </c>
      <c r="I148" s="29">
        <f t="shared" si="103"/>
        <v>0</v>
      </c>
      <c r="J148" s="211">
        <f>IFERROR(VLOOKUP(H148,Charges!$T$6:$U$35,2,0)*C148,0)</f>
        <v>1</v>
      </c>
      <c r="K148" s="29">
        <f t="shared" si="104"/>
        <v>0</v>
      </c>
      <c r="L148" s="29">
        <f t="shared" si="105"/>
        <v>0</v>
      </c>
      <c r="M148" s="147">
        <f t="shared" ca="1" si="106"/>
        <v>0</v>
      </c>
      <c r="N148" s="148">
        <f ca="1">IF(AND(Option_SPW="Y",Z147&gt;=SPW_Start_Min_FV,H148&gt;=Lock_In_Period,Z147&gt;SPW_Amount_pa+IF(option="Single",1/5*pr,2*pr),H148&gt;=SPW_Start_Year,H148&lt;=SPW_Start_Year+SPW_Duration-1,F148=0,age+H148&gt;=Legal_Age),SPW_Amount_pa,0)+IFERROR(VLOOKUP(H148,Input!$B$68:$C$74,2,0),0)*(F148=0)*(Option_PW="Y")*(Option_SPW="N")*(age+H148&gt;=Legal_Age)</f>
        <v>0</v>
      </c>
      <c r="O148" s="148">
        <f t="shared" ca="1" si="132"/>
        <v>0</v>
      </c>
      <c r="P148" s="14">
        <f ca="1">(MAX(MAX(sa-CF147*Flag_UL_Type,105%*SUM($I$7:I148))-(AD147+L148-N148)*Flag_UL_Type,0)*B148)</f>
        <v>0</v>
      </c>
      <c r="Q148" s="213">
        <f t="shared" ca="1" si="107"/>
        <v>0</v>
      </c>
      <c r="R148" s="14">
        <f t="shared" ca="1" si="108"/>
        <v>0</v>
      </c>
      <c r="S148" s="14">
        <f t="shared" ca="1" si="109"/>
        <v>0</v>
      </c>
      <c r="T148" s="14">
        <f>IFERROR(IF(WoP_Flag="Y",IF(fq=1,VLOOKUP(ppt*fq-H148,Charges!$AN$41:$AO$59,2,FALSE),IF(fq=2,VLOOKUP(ppt*fq-G148,Charges!$AP$41:$AQ$79,2,FALSE),VLOOKUP(ppt*fq-D148,Charges!$AR$41:$AS$279,2,FALSE)))*pr/fq,0),0)</f>
        <v>0</v>
      </c>
      <c r="U148" s="14">
        <f ca="1">IFERROR(((T148*(VLOOKUP(Input!$D$18+H148-1,Tab_Mort_Charge,IF(Gender_2="M",2,3),FALSE)*(1+_emr2)+_rpm2)/IF(Model_Type="LA_PQIS",1000/0.0833,(12*1000))))*Flag_Mort_Rider_Charge*(T148&gt;0),0)</f>
        <v>0</v>
      </c>
      <c r="V148" s="34">
        <f>ROUND(MIN(IF(H148&gt;=7,Charges!$C$12*(1+Charges!$C$14)^((H148-7+1)),VLOOKUP(H148,Charges!$B$7:$C$12,2,0))*pr,Charges!$C$13)*B148,Round)</f>
        <v>500</v>
      </c>
      <c r="W148" s="14">
        <f t="shared" ca="1" si="110"/>
        <v>5223558.021430959</v>
      </c>
      <c r="X148" s="14">
        <f t="shared" ca="1" si="111"/>
        <v>5257166.5510221962</v>
      </c>
      <c r="Y148" s="213">
        <f t="shared" ca="1" si="133"/>
        <v>5917.5309987766268</v>
      </c>
      <c r="Z148" s="14">
        <f t="shared" ca="1" si="112"/>
        <v>5251249.0200234195</v>
      </c>
      <c r="AA148" s="14">
        <f>IF(AND($H148=pt,$F148=11),SUM($K$7:K148)*VLOOKUP(pt,ROC,2,FALSE),0)</f>
        <v>0</v>
      </c>
      <c r="AB148" s="14">
        <f>IF(AND($H148=pt,$F148=11),SUM($V$7:V148)*VLOOKUP(pt,ROC,2,FALSE),0)</f>
        <v>0</v>
      </c>
      <c r="AC148" s="14">
        <f>IF(AND($H148=pt,$F148=11),SUM($Q$7:Q148)*VLOOKUP(pt,ROC,2,FALSE),0)</f>
        <v>0</v>
      </c>
      <c r="AD148" s="14">
        <f t="shared" ca="1" si="134"/>
        <v>5251249.0200234195</v>
      </c>
      <c r="AE148" s="14">
        <f ca="1">(MAX(sa-CF147*Flag_UL_Type,105%*SUM($I$7:I148),Z148)+AU148)*B148</f>
        <v>5251249.0200234195</v>
      </c>
      <c r="AF148" s="136"/>
      <c r="AG148" s="18">
        <v>142</v>
      </c>
      <c r="AH148" s="30">
        <f t="shared" ca="1" si="113"/>
        <v>0</v>
      </c>
      <c r="AI148" s="58"/>
      <c r="AJ148" s="50">
        <f>IF(AND(Option_Sys_TopUp&gt;="Y",H148&gt;=sytp,H148&lt;=(dtp+sytp-1),F148=0,H148&lt;=ppt+1),atp,0)+IFERROR(VLOOKUP(H148,Input!$B$55:$C$61,2,0),0)*(F148=0)*(Option_TopUP="Y")*(Option_Sys_TopUp="N")*B148*(pt&gt;=H148+5)</f>
        <v>0</v>
      </c>
      <c r="AK148" s="50">
        <f t="shared" si="114"/>
        <v>0</v>
      </c>
      <c r="AL148" s="50">
        <f t="shared" si="135"/>
        <v>0</v>
      </c>
      <c r="AM148" s="50">
        <f t="shared" ca="1" si="115"/>
        <v>0</v>
      </c>
      <c r="AN148" s="50">
        <f ca="1">IF(B148=0,0,AT148*(_rpm1+(1+_emr1)*VLOOKUP(E148,Tab_Mort_Charge,IF(Input!$C$12="M",2,3),0))*(0.001*0.0833)*Flag_Mort_Rider_Charge*(AT148&gt;0))</f>
        <v>0</v>
      </c>
      <c r="AO148" s="50">
        <f t="shared" ca="1" si="136"/>
        <v>0</v>
      </c>
      <c r="AP148" s="50">
        <f t="shared" ca="1" si="99"/>
        <v>0</v>
      </c>
      <c r="AQ148" s="50">
        <f t="shared" ca="1" si="116"/>
        <v>0</v>
      </c>
      <c r="AR148" s="50">
        <f t="shared" ca="1" si="117"/>
        <v>0</v>
      </c>
      <c r="AS148" s="50">
        <f t="shared" si="118"/>
        <v>0</v>
      </c>
      <c r="AT148" s="50">
        <f ca="1">(MAX((MAX(AS148,105%*SUM($AJ$7:AJ148))-AM148*Flag_UL_Type),0)*B148)</f>
        <v>0</v>
      </c>
      <c r="AU148" s="50">
        <f ca="1">(MAX(AS148,AR148,105%*SUM($AJ$7:AJ148))*B148)</f>
        <v>0</v>
      </c>
      <c r="AV148" s="125"/>
      <c r="AW148" s="13"/>
      <c r="AX148" s="13"/>
      <c r="AY148" s="13"/>
      <c r="AZ148" s="13"/>
      <c r="BA148" s="13"/>
      <c r="BG148" s="51">
        <f t="shared" si="119"/>
        <v>0</v>
      </c>
      <c r="BH148" s="51">
        <f t="shared" ca="1" si="120"/>
        <v>0</v>
      </c>
      <c r="BI148" s="51">
        <f t="shared" ca="1" si="121"/>
        <v>0</v>
      </c>
      <c r="BJ148" s="51">
        <f t="shared" ca="1" si="122"/>
        <v>0</v>
      </c>
      <c r="BK148" s="51">
        <f t="shared" si="123"/>
        <v>0</v>
      </c>
      <c r="BL148" s="51">
        <f t="shared" ca="1" si="124"/>
        <v>0</v>
      </c>
      <c r="BM148" s="51">
        <f t="shared" si="125"/>
        <v>0</v>
      </c>
      <c r="BN148" s="51">
        <f t="shared" ca="1" si="126"/>
        <v>0</v>
      </c>
      <c r="BO148" s="51">
        <f t="shared" ca="1" si="127"/>
        <v>0</v>
      </c>
      <c r="BP148" s="51">
        <f t="shared" ca="1" si="128"/>
        <v>0</v>
      </c>
      <c r="BQ148" s="120"/>
      <c r="BR148" s="32"/>
      <c r="BS148" s="126"/>
      <c r="BT148" s="16"/>
      <c r="BU148" s="58"/>
      <c r="BW148" s="51">
        <f>VLOOKUP(H148,Charges!$AT$4:$AU$33,2,FALSE)*I148</f>
        <v>0</v>
      </c>
      <c r="BX148" s="51">
        <f t="shared" si="129"/>
        <v>0</v>
      </c>
      <c r="BY148" s="51">
        <f t="shared" si="137"/>
        <v>0</v>
      </c>
      <c r="BZ148" s="151"/>
      <c r="CA148" s="151"/>
      <c r="CB148" s="32"/>
      <c r="CC148" s="16">
        <f ca="1">SUM($N$7:$N148)</f>
        <v>0</v>
      </c>
      <c r="CD148" s="16">
        <f t="shared" ca="1" si="130"/>
        <v>0</v>
      </c>
      <c r="CE148" s="16">
        <f t="shared" ca="1" si="131"/>
        <v>0</v>
      </c>
      <c r="CF148" s="7">
        <f t="shared" ca="1" si="138"/>
        <v>0</v>
      </c>
    </row>
    <row r="149" spans="1:84" s="7" customFormat="1" x14ac:dyDescent="0.2">
      <c r="A149" s="149"/>
      <c r="B149" s="14">
        <f t="shared" si="100"/>
        <v>1</v>
      </c>
      <c r="C149" s="12">
        <f t="shared" si="101"/>
        <v>1</v>
      </c>
      <c r="D149" s="17">
        <f t="shared" si="139"/>
        <v>143</v>
      </c>
      <c r="E149" s="17">
        <f t="shared" ca="1" si="102"/>
        <v>71</v>
      </c>
      <c r="F149" s="12">
        <f t="shared" si="141"/>
        <v>10</v>
      </c>
      <c r="G149" s="12">
        <f t="shared" si="140"/>
        <v>24</v>
      </c>
      <c r="H149" s="17">
        <f t="shared" si="142"/>
        <v>12</v>
      </c>
      <c r="I149" s="29">
        <f t="shared" si="103"/>
        <v>0</v>
      </c>
      <c r="J149" s="211">
        <f>IFERROR(VLOOKUP(H149,Charges!$T$6:$U$35,2,0)*C149,0)</f>
        <v>1</v>
      </c>
      <c r="K149" s="29">
        <f t="shared" si="104"/>
        <v>0</v>
      </c>
      <c r="L149" s="29">
        <f t="shared" si="105"/>
        <v>0</v>
      </c>
      <c r="M149" s="147">
        <f t="shared" ca="1" si="106"/>
        <v>0</v>
      </c>
      <c r="N149" s="148">
        <f ca="1">IF(AND(Option_SPW="Y",Z148&gt;=SPW_Start_Min_FV,H149&gt;=Lock_In_Period,Z148&gt;SPW_Amount_pa+IF(option="Single",1/5*pr,2*pr),H149&gt;=SPW_Start_Year,H149&lt;=SPW_Start_Year+SPW_Duration-1,F149=0,age+H149&gt;=Legal_Age),SPW_Amount_pa,0)+IFERROR(VLOOKUP(H149,Input!$B$68:$C$74,2,0),0)*(F149=0)*(Option_PW="Y")*(Option_SPW="N")*(age+H149&gt;=Legal_Age)</f>
        <v>0</v>
      </c>
      <c r="O149" s="148">
        <f t="shared" ca="1" si="132"/>
        <v>0</v>
      </c>
      <c r="P149" s="14">
        <f ca="1">(MAX(MAX(sa-CF148*Flag_UL_Type,105%*SUM($I$7:I149))-(AD148+L149-N149)*Flag_UL_Type,0)*B149)</f>
        <v>0</v>
      </c>
      <c r="Q149" s="213">
        <f t="shared" ca="1" si="107"/>
        <v>0</v>
      </c>
      <c r="R149" s="14">
        <f t="shared" ca="1" si="108"/>
        <v>0</v>
      </c>
      <c r="S149" s="14">
        <f t="shared" ca="1" si="109"/>
        <v>0</v>
      </c>
      <c r="T149" s="14">
        <f>IFERROR(IF(WoP_Flag="Y",IF(fq=1,VLOOKUP(ppt*fq-H149,Charges!$AN$41:$AO$59,2,FALSE),IF(fq=2,VLOOKUP(ppt*fq-G149,Charges!$AP$41:$AQ$79,2,FALSE),VLOOKUP(ppt*fq-D149,Charges!$AR$41:$AS$279,2,FALSE)))*pr/fq,0),0)</f>
        <v>0</v>
      </c>
      <c r="U149" s="14">
        <f ca="1">IFERROR(((T149*(VLOOKUP(Input!$D$18+H149-1,Tab_Mort_Charge,IF(Gender_2="M",2,3),FALSE)*(1+_emr2)+_rpm2)/IF(Model_Type="LA_PQIS",1000/0.0833,(12*1000))))*Flag_Mort_Rider_Charge*(T149&gt;0),0)</f>
        <v>0</v>
      </c>
      <c r="V149" s="34">
        <f>ROUND(MIN(IF(H149&gt;=7,Charges!$C$12*(1+Charges!$C$14)^((H149-7+1)),VLOOKUP(H149,Charges!$B$7:$C$12,2,0))*pr,Charges!$C$13)*B149,Round)</f>
        <v>500</v>
      </c>
      <c r="W149" s="14">
        <f t="shared" ca="1" si="110"/>
        <v>5250749.0200234195</v>
      </c>
      <c r="X149" s="14">
        <f t="shared" ca="1" si="111"/>
        <v>5284532.4973183209</v>
      </c>
      <c r="Y149" s="213">
        <f t="shared" ca="1" si="133"/>
        <v>5948.334442789007</v>
      </c>
      <c r="Z149" s="14">
        <f t="shared" ca="1" si="112"/>
        <v>5278584.1628755322</v>
      </c>
      <c r="AA149" s="14">
        <f>IF(AND($H149=pt,$F149=11),SUM($K$7:K149)*VLOOKUP(pt,ROC,2,FALSE),0)</f>
        <v>0</v>
      </c>
      <c r="AB149" s="14">
        <f>IF(AND($H149=pt,$F149=11),SUM($V$7:V149)*VLOOKUP(pt,ROC,2,FALSE),0)</f>
        <v>0</v>
      </c>
      <c r="AC149" s="14">
        <f>IF(AND($H149=pt,$F149=11),SUM($Q$7:Q149)*VLOOKUP(pt,ROC,2,FALSE),0)</f>
        <v>0</v>
      </c>
      <c r="AD149" s="14">
        <f t="shared" ca="1" si="134"/>
        <v>5278584.1628755322</v>
      </c>
      <c r="AE149" s="14">
        <f ca="1">(MAX(sa-CF148*Flag_UL_Type,105%*SUM($I$7:I149),Z149)+AU149)*B149</f>
        <v>5278584.1628755322</v>
      </c>
      <c r="AF149" s="136"/>
      <c r="AG149" s="18">
        <v>143</v>
      </c>
      <c r="AH149" s="30">
        <f t="shared" ca="1" si="113"/>
        <v>0</v>
      </c>
      <c r="AI149" s="58"/>
      <c r="AJ149" s="50">
        <f>IF(AND(Option_Sys_TopUp&gt;="Y",H149&gt;=sytp,H149&lt;=(dtp+sytp-1),F149=0,H149&lt;=ppt+1),atp,0)+IFERROR(VLOOKUP(H149,Input!$B$55:$C$61,2,0),0)*(F149=0)*(Option_TopUP="Y")*(Option_Sys_TopUp="N")*B149*(pt&gt;=H149+5)</f>
        <v>0</v>
      </c>
      <c r="AK149" s="50">
        <f t="shared" si="114"/>
        <v>0</v>
      </c>
      <c r="AL149" s="50">
        <f t="shared" si="135"/>
        <v>0</v>
      </c>
      <c r="AM149" s="50">
        <f t="shared" ca="1" si="115"/>
        <v>0</v>
      </c>
      <c r="AN149" s="50">
        <f ca="1">IF(B149=0,0,AT149*(_rpm1+(1+_emr1)*VLOOKUP(E149,Tab_Mort_Charge,IF(Input!$C$12="M",2,3),0))*(0.001*0.0833)*Flag_Mort_Rider_Charge*(AT149&gt;0))</f>
        <v>0</v>
      </c>
      <c r="AO149" s="50">
        <f t="shared" ca="1" si="136"/>
        <v>0</v>
      </c>
      <c r="AP149" s="50">
        <f t="shared" ca="1" si="99"/>
        <v>0</v>
      </c>
      <c r="AQ149" s="50">
        <f t="shared" ca="1" si="116"/>
        <v>0</v>
      </c>
      <c r="AR149" s="50">
        <f t="shared" ca="1" si="117"/>
        <v>0</v>
      </c>
      <c r="AS149" s="50">
        <f t="shared" si="118"/>
        <v>0</v>
      </c>
      <c r="AT149" s="50">
        <f ca="1">(MAX((MAX(AS149,105%*SUM($AJ$7:AJ149))-AM149*Flag_UL_Type),0)*B149)</f>
        <v>0</v>
      </c>
      <c r="AU149" s="50">
        <f ca="1">(MAX(AS149,AR149,105%*SUM($AJ$7:AJ149))*B149)</f>
        <v>0</v>
      </c>
      <c r="AV149" s="125"/>
      <c r="AW149" s="13"/>
      <c r="AX149" s="13"/>
      <c r="AY149" s="13"/>
      <c r="AZ149" s="13"/>
      <c r="BA149" s="13"/>
      <c r="BG149" s="51">
        <f t="shared" si="119"/>
        <v>0</v>
      </c>
      <c r="BH149" s="51">
        <f t="shared" ca="1" si="120"/>
        <v>0</v>
      </c>
      <c r="BI149" s="51">
        <f t="shared" ca="1" si="121"/>
        <v>0</v>
      </c>
      <c r="BJ149" s="51">
        <f t="shared" ca="1" si="122"/>
        <v>0</v>
      </c>
      <c r="BK149" s="51">
        <f t="shared" si="123"/>
        <v>0</v>
      </c>
      <c r="BL149" s="51">
        <f t="shared" ca="1" si="124"/>
        <v>0</v>
      </c>
      <c r="BM149" s="51">
        <f t="shared" si="125"/>
        <v>0</v>
      </c>
      <c r="BN149" s="51">
        <f t="shared" ca="1" si="126"/>
        <v>0</v>
      </c>
      <c r="BO149" s="51">
        <f t="shared" ca="1" si="127"/>
        <v>0</v>
      </c>
      <c r="BP149" s="51">
        <f t="shared" ca="1" si="128"/>
        <v>0</v>
      </c>
      <c r="BQ149" s="120"/>
      <c r="BR149" s="32"/>
      <c r="BS149" s="126"/>
      <c r="BT149" s="16"/>
      <c r="BU149" s="58"/>
      <c r="BW149" s="51">
        <f>VLOOKUP(H149,Charges!$AT$4:$AU$33,2,FALSE)*I149</f>
        <v>0</v>
      </c>
      <c r="BX149" s="51">
        <f t="shared" si="129"/>
        <v>0</v>
      </c>
      <c r="BY149" s="51">
        <f t="shared" si="137"/>
        <v>0</v>
      </c>
      <c r="BZ149" s="151"/>
      <c r="CA149" s="151"/>
      <c r="CB149" s="32"/>
      <c r="CC149" s="16">
        <f ca="1">SUM($N$7:$N149)</f>
        <v>0</v>
      </c>
      <c r="CD149" s="16">
        <f t="shared" ca="1" si="130"/>
        <v>0</v>
      </c>
      <c r="CE149" s="16">
        <f t="shared" ca="1" si="131"/>
        <v>0</v>
      </c>
      <c r="CF149" s="7">
        <f t="shared" ca="1" si="138"/>
        <v>0</v>
      </c>
    </row>
    <row r="150" spans="1:84" s="7" customFormat="1" x14ac:dyDescent="0.2">
      <c r="A150" s="149"/>
      <c r="B150" s="14">
        <f t="shared" si="100"/>
        <v>1</v>
      </c>
      <c r="C150" s="12">
        <f t="shared" si="101"/>
        <v>1</v>
      </c>
      <c r="D150" s="17">
        <f t="shared" si="139"/>
        <v>144</v>
      </c>
      <c r="E150" s="17">
        <f t="shared" ca="1" si="102"/>
        <v>71</v>
      </c>
      <c r="F150" s="12">
        <f t="shared" si="141"/>
        <v>11</v>
      </c>
      <c r="G150" s="12">
        <f t="shared" si="140"/>
        <v>24</v>
      </c>
      <c r="H150" s="17">
        <f t="shared" si="142"/>
        <v>12</v>
      </c>
      <c r="I150" s="29">
        <f t="shared" si="103"/>
        <v>0</v>
      </c>
      <c r="J150" s="211">
        <f>IFERROR(VLOOKUP(H150,Charges!$T$6:$U$35,2,0)*C150,0)</f>
        <v>1</v>
      </c>
      <c r="K150" s="29">
        <f t="shared" si="104"/>
        <v>0</v>
      </c>
      <c r="L150" s="29">
        <f t="shared" si="105"/>
        <v>0</v>
      </c>
      <c r="M150" s="147">
        <f t="shared" ca="1" si="106"/>
        <v>0</v>
      </c>
      <c r="N150" s="148">
        <f ca="1">IF(AND(Option_SPW="Y",Z149&gt;=SPW_Start_Min_FV,H150&gt;=Lock_In_Period,Z149&gt;SPW_Amount_pa+IF(option="Single",1/5*pr,2*pr),H150&gt;=SPW_Start_Year,H150&lt;=SPW_Start_Year+SPW_Duration-1,F150=0,age+H150&gt;=Legal_Age),SPW_Amount_pa,0)+IFERROR(VLOOKUP(H150,Input!$B$68:$C$74,2,0),0)*(F150=0)*(Option_PW="Y")*(Option_SPW="N")*(age+H150&gt;=Legal_Age)</f>
        <v>0</v>
      </c>
      <c r="O150" s="148">
        <f t="shared" ca="1" si="132"/>
        <v>0</v>
      </c>
      <c r="P150" s="14">
        <f ca="1">(MAX(MAX(sa-CF149*Flag_UL_Type,105%*SUM($I$7:I150))-(AD149+L150-N150)*Flag_UL_Type,0)*B150)</f>
        <v>0</v>
      </c>
      <c r="Q150" s="213">
        <f t="shared" ca="1" si="107"/>
        <v>0</v>
      </c>
      <c r="R150" s="14">
        <f t="shared" ca="1" si="108"/>
        <v>0</v>
      </c>
      <c r="S150" s="14">
        <f t="shared" ca="1" si="109"/>
        <v>0</v>
      </c>
      <c r="T150" s="14">
        <f>IFERROR(IF(WoP_Flag="Y",IF(fq=1,VLOOKUP(ppt*fq-H150,Charges!$AN$41:$AO$59,2,FALSE),IF(fq=2,VLOOKUP(ppt*fq-G150,Charges!$AP$41:$AQ$79,2,FALSE),VLOOKUP(ppt*fq-D150,Charges!$AR$41:$AS$279,2,FALSE)))*pr/fq,0),0)</f>
        <v>0</v>
      </c>
      <c r="U150" s="14">
        <f ca="1">IFERROR(((T150*(VLOOKUP(Input!$D$18+H150-1,Tab_Mort_Charge,IF(Gender_2="M",2,3),FALSE)*(1+_emr2)+_rpm2)/IF(Model_Type="LA_PQIS",1000/0.0833,(12*1000))))*Flag_Mort_Rider_Charge*(T150&gt;0),0)</f>
        <v>0</v>
      </c>
      <c r="V150" s="34">
        <f>ROUND(MIN(IF(H150&gt;=7,Charges!$C$12*(1+Charges!$C$14)^((H150-7+1)),VLOOKUP(H150,Charges!$B$7:$C$12,2,0))*pr,Charges!$C$13)*B150,Round)</f>
        <v>500</v>
      </c>
      <c r="W150" s="14">
        <f t="shared" ca="1" si="110"/>
        <v>5278084.1628755322</v>
      </c>
      <c r="X150" s="14">
        <f t="shared" ca="1" si="111"/>
        <v>5312043.5153026059</v>
      </c>
      <c r="Y150" s="213">
        <f t="shared" ca="1" si="133"/>
        <v>5979.3011812687409</v>
      </c>
      <c r="Z150" s="14">
        <f t="shared" ca="1" si="112"/>
        <v>5306064.214121337</v>
      </c>
      <c r="AA150" s="14">
        <f>IF(AND($H150=pt,$F150=11),SUM($K$7:K150)*VLOOKUP(pt,ROC,2,FALSE),0)</f>
        <v>0</v>
      </c>
      <c r="AB150" s="14">
        <f>IF(AND($H150=pt,$F150=11),SUM($V$7:V150)*VLOOKUP(pt,ROC,2,FALSE),0)</f>
        <v>0</v>
      </c>
      <c r="AC150" s="14">
        <f>IF(AND($H150=pt,$F150=11),SUM($Q$7:Q150)*VLOOKUP(pt,ROC,2,FALSE),0)</f>
        <v>0</v>
      </c>
      <c r="AD150" s="14">
        <f t="shared" ca="1" si="134"/>
        <v>5306064.214121337</v>
      </c>
      <c r="AE150" s="14">
        <f ca="1">(MAX(sa-CF149*Flag_UL_Type,105%*SUM($I$7:I150),Z150)+AU150)*B150</f>
        <v>5306064.214121337</v>
      </c>
      <c r="AF150" s="136"/>
      <c r="AG150" s="18">
        <v>144</v>
      </c>
      <c r="AH150" s="30">
        <f t="shared" ca="1" si="113"/>
        <v>0</v>
      </c>
      <c r="AI150" s="58"/>
      <c r="AJ150" s="50">
        <f>IF(AND(Option_Sys_TopUp&gt;="Y",H150&gt;=sytp,H150&lt;=(dtp+sytp-1),F150=0,H150&lt;=ppt+1),atp,0)+IFERROR(VLOOKUP(H150,Input!$B$55:$C$61,2,0),0)*(F150=0)*(Option_TopUP="Y")*(Option_Sys_TopUp="N")*B150*(pt&gt;=H150+5)</f>
        <v>0</v>
      </c>
      <c r="AK150" s="50">
        <f t="shared" si="114"/>
        <v>0</v>
      </c>
      <c r="AL150" s="50">
        <f t="shared" si="135"/>
        <v>0</v>
      </c>
      <c r="AM150" s="50">
        <f t="shared" ca="1" si="115"/>
        <v>0</v>
      </c>
      <c r="AN150" s="50">
        <f ca="1">IF(B150=0,0,AT150*(_rpm1+(1+_emr1)*VLOOKUP(E150,Tab_Mort_Charge,IF(Input!$C$12="M",2,3),0))*(0.001*0.0833)*Flag_Mort_Rider_Charge*(AT150&gt;0))</f>
        <v>0</v>
      </c>
      <c r="AO150" s="50">
        <f t="shared" ca="1" si="136"/>
        <v>0</v>
      </c>
      <c r="AP150" s="50">
        <f t="shared" ca="1" si="99"/>
        <v>0</v>
      </c>
      <c r="AQ150" s="50">
        <f t="shared" ca="1" si="116"/>
        <v>0</v>
      </c>
      <c r="AR150" s="50">
        <f t="shared" ca="1" si="117"/>
        <v>0</v>
      </c>
      <c r="AS150" s="50">
        <f t="shared" si="118"/>
        <v>0</v>
      </c>
      <c r="AT150" s="50">
        <f ca="1">(MAX((MAX(AS150,105%*SUM($AJ$7:AJ150))-AM150*Flag_UL_Type),0)*B150)</f>
        <v>0</v>
      </c>
      <c r="AU150" s="50">
        <f ca="1">(MAX(AS150,AR150,105%*SUM($AJ$7:AJ150))*B150)</f>
        <v>0</v>
      </c>
      <c r="AV150" s="125"/>
      <c r="AW150" s="13"/>
      <c r="AX150" s="13"/>
      <c r="AY150" s="13"/>
      <c r="AZ150" s="13"/>
      <c r="BA150" s="13"/>
      <c r="BG150" s="51">
        <f t="shared" si="119"/>
        <v>0</v>
      </c>
      <c r="BH150" s="51">
        <f t="shared" ca="1" si="120"/>
        <v>0</v>
      </c>
      <c r="BI150" s="51">
        <f t="shared" ca="1" si="121"/>
        <v>0</v>
      </c>
      <c r="BJ150" s="51">
        <f t="shared" ca="1" si="122"/>
        <v>0</v>
      </c>
      <c r="BK150" s="51">
        <f t="shared" si="123"/>
        <v>0</v>
      </c>
      <c r="BL150" s="51">
        <f t="shared" ca="1" si="124"/>
        <v>0</v>
      </c>
      <c r="BM150" s="51">
        <f t="shared" si="125"/>
        <v>0</v>
      </c>
      <c r="BN150" s="51">
        <f t="shared" ca="1" si="126"/>
        <v>0</v>
      </c>
      <c r="BO150" s="51">
        <f t="shared" ca="1" si="127"/>
        <v>0</v>
      </c>
      <c r="BP150" s="51">
        <f t="shared" ca="1" si="128"/>
        <v>0</v>
      </c>
      <c r="BQ150" s="120"/>
      <c r="BR150" s="32"/>
      <c r="BS150" s="126"/>
      <c r="BT150" s="16"/>
      <c r="BU150" s="58"/>
      <c r="BW150" s="51">
        <f>VLOOKUP(H150,Charges!$AT$4:$AU$33,2,FALSE)*I150</f>
        <v>0</v>
      </c>
      <c r="BX150" s="51">
        <f t="shared" si="129"/>
        <v>0</v>
      </c>
      <c r="BY150" s="51">
        <f t="shared" si="137"/>
        <v>0</v>
      </c>
      <c r="BZ150" s="151"/>
      <c r="CA150" s="151"/>
      <c r="CB150" s="32"/>
      <c r="CC150" s="16">
        <f ca="1">SUM($N$7:$N150)</f>
        <v>0</v>
      </c>
      <c r="CD150" s="16">
        <f t="shared" ca="1" si="130"/>
        <v>0</v>
      </c>
      <c r="CE150" s="16">
        <f t="shared" ca="1" si="131"/>
        <v>0</v>
      </c>
      <c r="CF150" s="7">
        <f t="shared" ca="1" si="138"/>
        <v>0</v>
      </c>
    </row>
    <row r="151" spans="1:84" s="7" customFormat="1" x14ac:dyDescent="0.2">
      <c r="A151" s="149"/>
      <c r="B151" s="14">
        <f t="shared" si="100"/>
        <v>1</v>
      </c>
      <c r="C151" s="12">
        <f t="shared" si="101"/>
        <v>1</v>
      </c>
      <c r="D151" s="17">
        <f t="shared" si="139"/>
        <v>145</v>
      </c>
      <c r="E151" s="17">
        <f t="shared" ca="1" si="102"/>
        <v>72</v>
      </c>
      <c r="F151" s="12">
        <f t="shared" si="141"/>
        <v>0</v>
      </c>
      <c r="G151" s="12">
        <f t="shared" si="140"/>
        <v>25</v>
      </c>
      <c r="H151" s="17">
        <f t="shared" si="142"/>
        <v>13</v>
      </c>
      <c r="I151" s="29">
        <f t="shared" si="103"/>
        <v>300000</v>
      </c>
      <c r="J151" s="211">
        <f>IFERROR(VLOOKUP(H151,Charges!$T$6:$U$35,2,0)*C151,0)</f>
        <v>1</v>
      </c>
      <c r="K151" s="29">
        <f t="shared" si="104"/>
        <v>0</v>
      </c>
      <c r="L151" s="29">
        <f t="shared" si="105"/>
        <v>300000</v>
      </c>
      <c r="M151" s="147">
        <f t="shared" ca="1" si="106"/>
        <v>0</v>
      </c>
      <c r="N151" s="148">
        <f ca="1">IF(AND(Option_SPW="Y",Z150&gt;=SPW_Start_Min_FV,H151&gt;=Lock_In_Period,Z150&gt;SPW_Amount_pa+IF(option="Single",1/5*pr,2*pr),H151&gt;=SPW_Start_Year,H151&lt;=SPW_Start_Year+SPW_Duration-1,F151=0,age+H151&gt;=Legal_Age),SPW_Amount_pa,0)+IFERROR(VLOOKUP(H151,Input!$B$68:$C$74,2,0),0)*(F151=0)*(Option_PW="Y")*(Option_SPW="N")*(age+H151&gt;=Legal_Age)</f>
        <v>0</v>
      </c>
      <c r="O151" s="148">
        <f t="shared" ca="1" si="132"/>
        <v>0</v>
      </c>
      <c r="P151" s="14">
        <f ca="1">(MAX(MAX(sa-CF150*Flag_UL_Type,105%*SUM($I$7:I151))-(AD150+L151-N151)*Flag_UL_Type,0)*B151)</f>
        <v>0</v>
      </c>
      <c r="Q151" s="213">
        <f t="shared" ca="1" si="107"/>
        <v>0</v>
      </c>
      <c r="R151" s="14">
        <f t="shared" ca="1" si="108"/>
        <v>0</v>
      </c>
      <c r="S151" s="14">
        <f t="shared" ca="1" si="109"/>
        <v>0</v>
      </c>
      <c r="T151" s="14">
        <f>IFERROR(IF(WoP_Flag="Y",IF(fq=1,VLOOKUP(ppt*fq-H151,Charges!$AN$41:$AO$59,2,FALSE),IF(fq=2,VLOOKUP(ppt*fq-G151,Charges!$AP$41:$AQ$79,2,FALSE),VLOOKUP(ppt*fq-D151,Charges!$AR$41:$AS$279,2,FALSE)))*pr/fq,0),0)</f>
        <v>0</v>
      </c>
      <c r="U151" s="14">
        <f ca="1">IFERROR(((T151*(VLOOKUP(Input!$D$18+H151-1,Tab_Mort_Charge,IF(Gender_2="M",2,3),FALSE)*(1+_emr2)+_rpm2)/IF(Model_Type="LA_PQIS",1000/0.0833,(12*1000))))*Flag_Mort_Rider_Charge*(T151&gt;0),0)</f>
        <v>0</v>
      </c>
      <c r="V151" s="34">
        <f>ROUND(MIN(IF(H151&gt;=7,Charges!$C$12*(1+Charges!$C$14)^((H151-7+1)),VLOOKUP(H151,Charges!$B$7:$C$12,2,0))*pr,Charges!$C$13)*B151,Round)</f>
        <v>500</v>
      </c>
      <c r="W151" s="14">
        <f t="shared" ca="1" si="110"/>
        <v>5605564.214121337</v>
      </c>
      <c r="X151" s="14">
        <f t="shared" ca="1" si="111"/>
        <v>5641630.5830585519</v>
      </c>
      <c r="Y151" s="213">
        <f t="shared" ca="1" si="133"/>
        <v>6350.2884177036376</v>
      </c>
      <c r="Z151" s="14">
        <f t="shared" ca="1" si="112"/>
        <v>5635280.2946408484</v>
      </c>
      <c r="AA151" s="14">
        <f>IF(AND($H151=pt,$F151=11),SUM($K$7:K151)*VLOOKUP(pt,ROC,2,FALSE),0)</f>
        <v>0</v>
      </c>
      <c r="AB151" s="14">
        <f>IF(AND($H151=pt,$F151=11),SUM($V$7:V151)*VLOOKUP(pt,ROC,2,FALSE),0)</f>
        <v>0</v>
      </c>
      <c r="AC151" s="14">
        <f>IF(AND($H151=pt,$F151=11),SUM($Q$7:Q151)*VLOOKUP(pt,ROC,2,FALSE),0)</f>
        <v>0</v>
      </c>
      <c r="AD151" s="14">
        <f t="shared" ca="1" si="134"/>
        <v>5635280.2946408484</v>
      </c>
      <c r="AE151" s="14">
        <f ca="1">(MAX(sa-CF150*Flag_UL_Type,105%*SUM($I$7:I151),Z151)+AU151)*B151</f>
        <v>5635280.2946408484</v>
      </c>
      <c r="AF151" s="136"/>
      <c r="AG151" s="18">
        <v>145</v>
      </c>
      <c r="AH151" s="30">
        <f t="shared" ca="1" si="113"/>
        <v>300000</v>
      </c>
      <c r="AI151" s="58"/>
      <c r="AJ151" s="50">
        <f>IF(AND(Option_Sys_TopUp&gt;="Y",H151&gt;=sytp,H151&lt;=(dtp+sytp-1),F151=0,H151&lt;=ppt+1),atp,0)+IFERROR(VLOOKUP(H151,Input!$B$55:$C$61,2,0),0)*(F151=0)*(Option_TopUP="Y")*(Option_Sys_TopUp="N")*B151*(pt&gt;=H151+5)</f>
        <v>0</v>
      </c>
      <c r="AK151" s="50">
        <f t="shared" si="114"/>
        <v>0</v>
      </c>
      <c r="AL151" s="50">
        <f t="shared" si="135"/>
        <v>0</v>
      </c>
      <c r="AM151" s="50">
        <f t="shared" ca="1" si="115"/>
        <v>0</v>
      </c>
      <c r="AN151" s="50">
        <f ca="1">IF(B151=0,0,AT151*(_rpm1+(1+_emr1)*VLOOKUP(E151,Tab_Mort_Charge,IF(Input!$C$12="M",2,3),0))*(0.001*0.0833)*Flag_Mort_Rider_Charge*(AT151&gt;0))</f>
        <v>0</v>
      </c>
      <c r="AO151" s="50">
        <f t="shared" ca="1" si="136"/>
        <v>0</v>
      </c>
      <c r="AP151" s="50">
        <f t="shared" ca="1" si="99"/>
        <v>0</v>
      </c>
      <c r="AQ151" s="50">
        <f t="shared" ca="1" si="116"/>
        <v>0</v>
      </c>
      <c r="AR151" s="50">
        <f t="shared" ca="1" si="117"/>
        <v>0</v>
      </c>
      <c r="AS151" s="50">
        <f t="shared" si="118"/>
        <v>0</v>
      </c>
      <c r="AT151" s="50">
        <f ca="1">(MAX((MAX(AS151,105%*SUM($AJ$7:AJ151))-AM151*Flag_UL_Type),0)*B151)</f>
        <v>0</v>
      </c>
      <c r="AU151" s="50">
        <f ca="1">(MAX(AS151,AR151,105%*SUM($AJ$7:AJ151))*B151)</f>
        <v>0</v>
      </c>
      <c r="AV151" s="125"/>
      <c r="AW151" s="13"/>
      <c r="AX151" s="13"/>
      <c r="AY151" s="13"/>
      <c r="AZ151" s="13"/>
      <c r="BA151" s="13"/>
      <c r="BG151" s="51">
        <f t="shared" si="119"/>
        <v>0</v>
      </c>
      <c r="BH151" s="51">
        <f t="shared" ca="1" si="120"/>
        <v>0</v>
      </c>
      <c r="BI151" s="51">
        <f t="shared" ca="1" si="121"/>
        <v>0</v>
      </c>
      <c r="BJ151" s="51">
        <f t="shared" ca="1" si="122"/>
        <v>0</v>
      </c>
      <c r="BK151" s="51">
        <f t="shared" si="123"/>
        <v>0</v>
      </c>
      <c r="BL151" s="51">
        <f t="shared" ca="1" si="124"/>
        <v>0</v>
      </c>
      <c r="BM151" s="51">
        <f t="shared" si="125"/>
        <v>0</v>
      </c>
      <c r="BN151" s="51">
        <f t="shared" ca="1" si="126"/>
        <v>0</v>
      </c>
      <c r="BO151" s="51">
        <f t="shared" ca="1" si="127"/>
        <v>0</v>
      </c>
      <c r="BP151" s="51">
        <f t="shared" ca="1" si="128"/>
        <v>0</v>
      </c>
      <c r="BQ151" s="120"/>
      <c r="BR151" s="32"/>
      <c r="BS151" s="126"/>
      <c r="BT151" s="16"/>
      <c r="BU151" s="58"/>
      <c r="BW151" s="51">
        <f>VLOOKUP(H151,Charges!$AT$4:$AU$33,2,FALSE)*I151</f>
        <v>0</v>
      </c>
      <c r="BX151" s="51">
        <f t="shared" si="129"/>
        <v>0</v>
      </c>
      <c r="BY151" s="51">
        <f t="shared" si="137"/>
        <v>0</v>
      </c>
      <c r="BZ151" s="151"/>
      <c r="CA151" s="151"/>
      <c r="CB151" s="32"/>
      <c r="CC151" s="16">
        <f ca="1">SUM($N$7:$N151)</f>
        <v>0</v>
      </c>
      <c r="CD151" s="16">
        <f t="shared" ca="1" si="130"/>
        <v>0</v>
      </c>
      <c r="CE151" s="16">
        <f t="shared" ca="1" si="131"/>
        <v>0</v>
      </c>
      <c r="CF151" s="7">
        <f t="shared" ca="1" si="138"/>
        <v>0</v>
      </c>
    </row>
    <row r="152" spans="1:84" s="7" customFormat="1" x14ac:dyDescent="0.2">
      <c r="A152" s="149"/>
      <c r="B152" s="14">
        <f t="shared" si="100"/>
        <v>1</v>
      </c>
      <c r="C152" s="12">
        <f t="shared" si="101"/>
        <v>1</v>
      </c>
      <c r="D152" s="17">
        <f t="shared" si="139"/>
        <v>146</v>
      </c>
      <c r="E152" s="17">
        <f t="shared" ca="1" si="102"/>
        <v>72</v>
      </c>
      <c r="F152" s="12">
        <f t="shared" si="141"/>
        <v>1</v>
      </c>
      <c r="G152" s="12">
        <f t="shared" si="140"/>
        <v>25</v>
      </c>
      <c r="H152" s="17">
        <f t="shared" si="142"/>
        <v>13</v>
      </c>
      <c r="I152" s="29">
        <f t="shared" si="103"/>
        <v>0</v>
      </c>
      <c r="J152" s="211">
        <f>IFERROR(VLOOKUP(H152,Charges!$T$6:$U$35,2,0)*C152,0)</f>
        <v>1</v>
      </c>
      <c r="K152" s="29">
        <f t="shared" si="104"/>
        <v>0</v>
      </c>
      <c r="L152" s="29">
        <f t="shared" si="105"/>
        <v>0</v>
      </c>
      <c r="M152" s="147">
        <f t="shared" ca="1" si="106"/>
        <v>0</v>
      </c>
      <c r="N152" s="148">
        <f ca="1">IF(AND(Option_SPW="Y",Z151&gt;=SPW_Start_Min_FV,H152&gt;=Lock_In_Period,Z151&gt;SPW_Amount_pa+IF(option="Single",1/5*pr,2*pr),H152&gt;=SPW_Start_Year,H152&lt;=SPW_Start_Year+SPW_Duration-1,F152=0,age+H152&gt;=Legal_Age),SPW_Amount_pa,0)+IFERROR(VLOOKUP(H152,Input!$B$68:$C$74,2,0),0)*(F152=0)*(Option_PW="Y")*(Option_SPW="N")*(age+H152&gt;=Legal_Age)</f>
        <v>0</v>
      </c>
      <c r="O152" s="148">
        <f t="shared" ca="1" si="132"/>
        <v>0</v>
      </c>
      <c r="P152" s="14">
        <f ca="1">(MAX(MAX(sa-CF151*Flag_UL_Type,105%*SUM($I$7:I152))-(AD151+L152-N152)*Flag_UL_Type,0)*B152)</f>
        <v>0</v>
      </c>
      <c r="Q152" s="213">
        <f t="shared" ca="1" si="107"/>
        <v>0</v>
      </c>
      <c r="R152" s="14">
        <f t="shared" ca="1" si="108"/>
        <v>0</v>
      </c>
      <c r="S152" s="14">
        <f t="shared" ca="1" si="109"/>
        <v>0</v>
      </c>
      <c r="T152" s="14">
        <f>IFERROR(IF(WoP_Flag="Y",IF(fq=1,VLOOKUP(ppt*fq-H152,Charges!$AN$41:$AO$59,2,FALSE),IF(fq=2,VLOOKUP(ppt*fq-G152,Charges!$AP$41:$AQ$79,2,FALSE),VLOOKUP(ppt*fq-D152,Charges!$AR$41:$AS$279,2,FALSE)))*pr/fq,0),0)</f>
        <v>0</v>
      </c>
      <c r="U152" s="14">
        <f ca="1">IFERROR(((T152*(VLOOKUP(Input!$D$18+H152-1,Tab_Mort_Charge,IF(Gender_2="M",2,3),FALSE)*(1+_emr2)+_rpm2)/IF(Model_Type="LA_PQIS",1000/0.0833,(12*1000))))*Flag_Mort_Rider_Charge*(T152&gt;0),0)</f>
        <v>0</v>
      </c>
      <c r="V152" s="34">
        <f>ROUND(MIN(IF(H152&gt;=7,Charges!$C$12*(1+Charges!$C$14)^((H152-7+1)),VLOOKUP(H152,Charges!$B$7:$C$12,2,0))*pr,Charges!$C$13)*B152,Round)</f>
        <v>500</v>
      </c>
      <c r="W152" s="14">
        <f t="shared" ca="1" si="110"/>
        <v>5634780.2946408484</v>
      </c>
      <c r="X152" s="14">
        <f t="shared" ca="1" si="111"/>
        <v>5671034.6407198217</v>
      </c>
      <c r="Y152" s="213">
        <f t="shared" ca="1" si="133"/>
        <v>6383.3859848078318</v>
      </c>
      <c r="Z152" s="14">
        <f t="shared" ca="1" si="112"/>
        <v>5664651.2547350135</v>
      </c>
      <c r="AA152" s="14">
        <f>IF(AND($H152=pt,$F152=11),SUM($K$7:K152)*VLOOKUP(pt,ROC,2,FALSE),0)</f>
        <v>0</v>
      </c>
      <c r="AB152" s="14">
        <f>IF(AND($H152=pt,$F152=11),SUM($V$7:V152)*VLOOKUP(pt,ROC,2,FALSE),0)</f>
        <v>0</v>
      </c>
      <c r="AC152" s="14">
        <f>IF(AND($H152=pt,$F152=11),SUM($Q$7:Q152)*VLOOKUP(pt,ROC,2,FALSE),0)</f>
        <v>0</v>
      </c>
      <c r="AD152" s="14">
        <f t="shared" ca="1" si="134"/>
        <v>5664651.2547350135</v>
      </c>
      <c r="AE152" s="14">
        <f ca="1">(MAX(sa-CF151*Flag_UL_Type,105%*SUM($I$7:I152),Z152)+AU152)*B152</f>
        <v>5664651.2547350135</v>
      </c>
      <c r="AF152" s="136"/>
      <c r="AG152" s="18">
        <v>146</v>
      </c>
      <c r="AH152" s="30">
        <f t="shared" ca="1" si="113"/>
        <v>0</v>
      </c>
      <c r="AI152" s="58"/>
      <c r="AJ152" s="50">
        <f>IF(AND(Option_Sys_TopUp&gt;="Y",H152&gt;=sytp,H152&lt;=(dtp+sytp-1),F152=0,H152&lt;=ppt+1),atp,0)+IFERROR(VLOOKUP(H152,Input!$B$55:$C$61,2,0),0)*(F152=0)*(Option_TopUP="Y")*(Option_Sys_TopUp="N")*B152*(pt&gt;=H152+5)</f>
        <v>0</v>
      </c>
      <c r="AK152" s="50">
        <f t="shared" si="114"/>
        <v>0</v>
      </c>
      <c r="AL152" s="50">
        <f t="shared" si="135"/>
        <v>0</v>
      </c>
      <c r="AM152" s="50">
        <f t="shared" ca="1" si="115"/>
        <v>0</v>
      </c>
      <c r="AN152" s="50">
        <f ca="1">IF(B152=0,0,AT152*(_rpm1+(1+_emr1)*VLOOKUP(E152,Tab_Mort_Charge,IF(Input!$C$12="M",2,3),0))*(0.001*0.0833)*Flag_Mort_Rider_Charge*(AT152&gt;0))</f>
        <v>0</v>
      </c>
      <c r="AO152" s="50">
        <f t="shared" ca="1" si="136"/>
        <v>0</v>
      </c>
      <c r="AP152" s="50">
        <f t="shared" ca="1" si="99"/>
        <v>0</v>
      </c>
      <c r="AQ152" s="50">
        <f t="shared" ca="1" si="116"/>
        <v>0</v>
      </c>
      <c r="AR152" s="50">
        <f t="shared" ca="1" si="117"/>
        <v>0</v>
      </c>
      <c r="AS152" s="50">
        <f t="shared" si="118"/>
        <v>0</v>
      </c>
      <c r="AT152" s="50">
        <f ca="1">(MAX((MAX(AS152,105%*SUM($AJ$7:AJ152))-AM152*Flag_UL_Type),0)*B152)</f>
        <v>0</v>
      </c>
      <c r="AU152" s="50">
        <f ca="1">(MAX(AS152,AR152,105%*SUM($AJ$7:AJ152))*B152)</f>
        <v>0</v>
      </c>
      <c r="AV152" s="125"/>
      <c r="AW152" s="13"/>
      <c r="AX152" s="13"/>
      <c r="AY152" s="13"/>
      <c r="AZ152" s="13"/>
      <c r="BA152" s="13"/>
      <c r="BG152" s="51">
        <f t="shared" si="119"/>
        <v>0</v>
      </c>
      <c r="BH152" s="51">
        <f t="shared" ca="1" si="120"/>
        <v>0</v>
      </c>
      <c r="BI152" s="51">
        <f t="shared" ca="1" si="121"/>
        <v>0</v>
      </c>
      <c r="BJ152" s="51">
        <f t="shared" ca="1" si="122"/>
        <v>0</v>
      </c>
      <c r="BK152" s="51">
        <f t="shared" si="123"/>
        <v>0</v>
      </c>
      <c r="BL152" s="51">
        <f t="shared" ca="1" si="124"/>
        <v>0</v>
      </c>
      <c r="BM152" s="51">
        <f t="shared" si="125"/>
        <v>0</v>
      </c>
      <c r="BN152" s="51">
        <f t="shared" ca="1" si="126"/>
        <v>0</v>
      </c>
      <c r="BO152" s="51">
        <f t="shared" ca="1" si="127"/>
        <v>0</v>
      </c>
      <c r="BP152" s="51">
        <f t="shared" ca="1" si="128"/>
        <v>0</v>
      </c>
      <c r="BQ152" s="120"/>
      <c r="BR152" s="32"/>
      <c r="BS152" s="126"/>
      <c r="BT152" s="16"/>
      <c r="BU152" s="58"/>
      <c r="BW152" s="51">
        <f>VLOOKUP(H152,Charges!$AT$4:$AU$33,2,FALSE)*I152</f>
        <v>0</v>
      </c>
      <c r="BX152" s="51">
        <f t="shared" si="129"/>
        <v>0</v>
      </c>
      <c r="BY152" s="51">
        <f t="shared" si="137"/>
        <v>0</v>
      </c>
      <c r="BZ152" s="151"/>
      <c r="CA152" s="151"/>
      <c r="CB152" s="32"/>
      <c r="CC152" s="16">
        <f ca="1">SUM($N$7:$N152)</f>
        <v>0</v>
      </c>
      <c r="CD152" s="16">
        <f t="shared" ca="1" si="130"/>
        <v>0</v>
      </c>
      <c r="CE152" s="16">
        <f t="shared" ca="1" si="131"/>
        <v>0</v>
      </c>
      <c r="CF152" s="7">
        <f t="shared" ca="1" si="138"/>
        <v>0</v>
      </c>
    </row>
    <row r="153" spans="1:84" s="7" customFormat="1" x14ac:dyDescent="0.2">
      <c r="A153" s="149"/>
      <c r="B153" s="14">
        <f t="shared" si="100"/>
        <v>1</v>
      </c>
      <c r="C153" s="12">
        <f t="shared" si="101"/>
        <v>1</v>
      </c>
      <c r="D153" s="17">
        <f t="shared" si="139"/>
        <v>147</v>
      </c>
      <c r="E153" s="17">
        <f t="shared" ca="1" si="102"/>
        <v>72</v>
      </c>
      <c r="F153" s="12">
        <f t="shared" si="141"/>
        <v>2</v>
      </c>
      <c r="G153" s="12">
        <f t="shared" si="140"/>
        <v>25</v>
      </c>
      <c r="H153" s="17">
        <f t="shared" si="142"/>
        <v>13</v>
      </c>
      <c r="I153" s="29">
        <f t="shared" si="103"/>
        <v>0</v>
      </c>
      <c r="J153" s="211">
        <f>IFERROR(VLOOKUP(H153,Charges!$T$6:$U$35,2,0)*C153,0)</f>
        <v>1</v>
      </c>
      <c r="K153" s="29">
        <f t="shared" si="104"/>
        <v>0</v>
      </c>
      <c r="L153" s="29">
        <f t="shared" si="105"/>
        <v>0</v>
      </c>
      <c r="M153" s="147">
        <f t="shared" ca="1" si="106"/>
        <v>0</v>
      </c>
      <c r="N153" s="148">
        <f ca="1">IF(AND(Option_SPW="Y",Z152&gt;=SPW_Start_Min_FV,H153&gt;=Lock_In_Period,Z152&gt;SPW_Amount_pa+IF(option="Single",1/5*pr,2*pr),H153&gt;=SPW_Start_Year,H153&lt;=SPW_Start_Year+SPW_Duration-1,F153=0,age+H153&gt;=Legal_Age),SPW_Amount_pa,0)+IFERROR(VLOOKUP(H153,Input!$B$68:$C$74,2,0),0)*(F153=0)*(Option_PW="Y")*(Option_SPW="N")*(age+H153&gt;=Legal_Age)</f>
        <v>0</v>
      </c>
      <c r="O153" s="148">
        <f t="shared" ca="1" si="132"/>
        <v>0</v>
      </c>
      <c r="P153" s="14">
        <f ca="1">(MAX(MAX(sa-CF152*Flag_UL_Type,105%*SUM($I$7:I153))-(AD152+L153-N153)*Flag_UL_Type,0)*B153)</f>
        <v>0</v>
      </c>
      <c r="Q153" s="213">
        <f t="shared" ca="1" si="107"/>
        <v>0</v>
      </c>
      <c r="R153" s="14">
        <f t="shared" ca="1" si="108"/>
        <v>0</v>
      </c>
      <c r="S153" s="14">
        <f t="shared" ca="1" si="109"/>
        <v>0</v>
      </c>
      <c r="T153" s="14">
        <f>IFERROR(IF(WoP_Flag="Y",IF(fq=1,VLOOKUP(ppt*fq-H153,Charges!$AN$41:$AO$59,2,FALSE),IF(fq=2,VLOOKUP(ppt*fq-G153,Charges!$AP$41:$AQ$79,2,FALSE),VLOOKUP(ppt*fq-D153,Charges!$AR$41:$AS$279,2,FALSE)))*pr/fq,0),0)</f>
        <v>0</v>
      </c>
      <c r="U153" s="14">
        <f ca="1">IFERROR(((T153*(VLOOKUP(Input!$D$18+H153-1,Tab_Mort_Charge,IF(Gender_2="M",2,3),FALSE)*(1+_emr2)+_rpm2)/IF(Model_Type="LA_PQIS",1000/0.0833,(12*1000))))*Flag_Mort_Rider_Charge*(T153&gt;0),0)</f>
        <v>0</v>
      </c>
      <c r="V153" s="34">
        <f>ROUND(MIN(IF(H153&gt;=7,Charges!$C$12*(1+Charges!$C$14)^((H153-7+1)),VLOOKUP(H153,Charges!$B$7:$C$12,2,0))*pr,Charges!$C$13)*B153,Round)</f>
        <v>500</v>
      </c>
      <c r="W153" s="14">
        <f t="shared" ca="1" si="110"/>
        <v>5664151.2547350135</v>
      </c>
      <c r="X153" s="14">
        <f t="shared" ca="1" si="111"/>
        <v>5700594.5744555918</v>
      </c>
      <c r="Y153" s="213">
        <f t="shared" ca="1" si="133"/>
        <v>6416.659007928849</v>
      </c>
      <c r="Z153" s="14">
        <f t="shared" ca="1" si="112"/>
        <v>5694177.9154476626</v>
      </c>
      <c r="AA153" s="14">
        <f>IF(AND($H153=pt,$F153=11),SUM($K$7:K153)*VLOOKUP(pt,ROC,2,FALSE),0)</f>
        <v>0</v>
      </c>
      <c r="AB153" s="14">
        <f>IF(AND($H153=pt,$F153=11),SUM($V$7:V153)*VLOOKUP(pt,ROC,2,FALSE),0)</f>
        <v>0</v>
      </c>
      <c r="AC153" s="14">
        <f>IF(AND($H153=pt,$F153=11),SUM($Q$7:Q153)*VLOOKUP(pt,ROC,2,FALSE),0)</f>
        <v>0</v>
      </c>
      <c r="AD153" s="14">
        <f t="shared" ca="1" si="134"/>
        <v>5694177.9154476626</v>
      </c>
      <c r="AE153" s="14">
        <f ca="1">(MAX(sa-CF152*Flag_UL_Type,105%*SUM($I$7:I153),Z153)+AU153)*B153</f>
        <v>5694177.9154476626</v>
      </c>
      <c r="AF153" s="136"/>
      <c r="AG153" s="18">
        <v>147</v>
      </c>
      <c r="AH153" s="30">
        <f t="shared" ca="1" si="113"/>
        <v>0</v>
      </c>
      <c r="AI153" s="58"/>
      <c r="AJ153" s="50">
        <f>IF(AND(Option_Sys_TopUp&gt;="Y",H153&gt;=sytp,H153&lt;=(dtp+sytp-1),F153=0,H153&lt;=ppt+1),atp,0)+IFERROR(VLOOKUP(H153,Input!$B$55:$C$61,2,0),0)*(F153=0)*(Option_TopUP="Y")*(Option_Sys_TopUp="N")*B153*(pt&gt;=H153+5)</f>
        <v>0</v>
      </c>
      <c r="AK153" s="50">
        <f t="shared" si="114"/>
        <v>0</v>
      </c>
      <c r="AL153" s="50">
        <f t="shared" si="135"/>
        <v>0</v>
      </c>
      <c r="AM153" s="50">
        <f t="shared" ca="1" si="115"/>
        <v>0</v>
      </c>
      <c r="AN153" s="50">
        <f ca="1">IF(B153=0,0,AT153*(_rpm1+(1+_emr1)*VLOOKUP(E153,Tab_Mort_Charge,IF(Input!$C$12="M",2,3),0))*(0.001*0.0833)*Flag_Mort_Rider_Charge*(AT153&gt;0))</f>
        <v>0</v>
      </c>
      <c r="AO153" s="50">
        <f t="shared" ca="1" si="136"/>
        <v>0</v>
      </c>
      <c r="AP153" s="50">
        <f t="shared" ca="1" si="99"/>
        <v>0</v>
      </c>
      <c r="AQ153" s="50">
        <f t="shared" ca="1" si="116"/>
        <v>0</v>
      </c>
      <c r="AR153" s="50">
        <f t="shared" ca="1" si="117"/>
        <v>0</v>
      </c>
      <c r="AS153" s="50">
        <f t="shared" si="118"/>
        <v>0</v>
      </c>
      <c r="AT153" s="50">
        <f ca="1">(MAX((MAX(AS153,105%*SUM($AJ$7:AJ153))-AM153*Flag_UL_Type),0)*B153)</f>
        <v>0</v>
      </c>
      <c r="AU153" s="50">
        <f ca="1">(MAX(AS153,AR153,105%*SUM($AJ$7:AJ153))*B153)</f>
        <v>0</v>
      </c>
      <c r="AV153" s="125"/>
      <c r="AW153" s="13"/>
      <c r="AX153" s="13"/>
      <c r="AY153" s="13"/>
      <c r="AZ153" s="13"/>
      <c r="BA153" s="13"/>
      <c r="BG153" s="51">
        <f t="shared" si="119"/>
        <v>0</v>
      </c>
      <c r="BH153" s="51">
        <f t="shared" ca="1" si="120"/>
        <v>0</v>
      </c>
      <c r="BI153" s="51">
        <f t="shared" ca="1" si="121"/>
        <v>0</v>
      </c>
      <c r="BJ153" s="51">
        <f t="shared" ca="1" si="122"/>
        <v>0</v>
      </c>
      <c r="BK153" s="51">
        <f t="shared" si="123"/>
        <v>0</v>
      </c>
      <c r="BL153" s="51">
        <f t="shared" ca="1" si="124"/>
        <v>0</v>
      </c>
      <c r="BM153" s="51">
        <f t="shared" si="125"/>
        <v>0</v>
      </c>
      <c r="BN153" s="51">
        <f t="shared" ca="1" si="126"/>
        <v>0</v>
      </c>
      <c r="BO153" s="51">
        <f t="shared" ca="1" si="127"/>
        <v>0</v>
      </c>
      <c r="BP153" s="51">
        <f t="shared" ca="1" si="128"/>
        <v>0</v>
      </c>
      <c r="BQ153" s="120"/>
      <c r="BR153" s="32"/>
      <c r="BS153" s="126"/>
      <c r="BT153" s="16"/>
      <c r="BU153" s="58"/>
      <c r="BW153" s="51">
        <f>VLOOKUP(H153,Charges!$AT$4:$AU$33,2,FALSE)*I153</f>
        <v>0</v>
      </c>
      <c r="BX153" s="51">
        <f t="shared" si="129"/>
        <v>0</v>
      </c>
      <c r="BY153" s="51">
        <f t="shared" si="137"/>
        <v>0</v>
      </c>
      <c r="BZ153" s="151"/>
      <c r="CA153" s="151"/>
      <c r="CB153" s="32"/>
      <c r="CC153" s="16">
        <f ca="1">SUM($N$7:$N153)</f>
        <v>0</v>
      </c>
      <c r="CD153" s="16">
        <f t="shared" ca="1" si="130"/>
        <v>0</v>
      </c>
      <c r="CE153" s="16">
        <f t="shared" ca="1" si="131"/>
        <v>0</v>
      </c>
      <c r="CF153" s="7">
        <f t="shared" ca="1" si="138"/>
        <v>0</v>
      </c>
    </row>
    <row r="154" spans="1:84" s="7" customFormat="1" x14ac:dyDescent="0.2">
      <c r="A154" s="149"/>
      <c r="B154" s="14">
        <f t="shared" si="100"/>
        <v>1</v>
      </c>
      <c r="C154" s="12">
        <f t="shared" si="101"/>
        <v>1</v>
      </c>
      <c r="D154" s="17">
        <f t="shared" si="139"/>
        <v>148</v>
      </c>
      <c r="E154" s="17">
        <f t="shared" ca="1" si="102"/>
        <v>72</v>
      </c>
      <c r="F154" s="12">
        <f t="shared" si="141"/>
        <v>3</v>
      </c>
      <c r="G154" s="12">
        <f t="shared" si="140"/>
        <v>25</v>
      </c>
      <c r="H154" s="17">
        <f t="shared" si="142"/>
        <v>13</v>
      </c>
      <c r="I154" s="29">
        <f t="shared" si="103"/>
        <v>0</v>
      </c>
      <c r="J154" s="211">
        <f>IFERROR(VLOOKUP(H154,Charges!$T$6:$U$35,2,0)*C154,0)</f>
        <v>1</v>
      </c>
      <c r="K154" s="29">
        <f t="shared" si="104"/>
        <v>0</v>
      </c>
      <c r="L154" s="29">
        <f t="shared" si="105"/>
        <v>0</v>
      </c>
      <c r="M154" s="147">
        <f t="shared" ca="1" si="106"/>
        <v>0</v>
      </c>
      <c r="N154" s="148">
        <f ca="1">IF(AND(Option_SPW="Y",Z153&gt;=SPW_Start_Min_FV,H154&gt;=Lock_In_Period,Z153&gt;SPW_Amount_pa+IF(option="Single",1/5*pr,2*pr),H154&gt;=SPW_Start_Year,H154&lt;=SPW_Start_Year+SPW_Duration-1,F154=0,age+H154&gt;=Legal_Age),SPW_Amount_pa,0)+IFERROR(VLOOKUP(H154,Input!$B$68:$C$74,2,0),0)*(F154=0)*(Option_PW="Y")*(Option_SPW="N")*(age+H154&gt;=Legal_Age)</f>
        <v>0</v>
      </c>
      <c r="O154" s="148">
        <f t="shared" ca="1" si="132"/>
        <v>0</v>
      </c>
      <c r="P154" s="14">
        <f ca="1">(MAX(MAX(sa-CF153*Flag_UL_Type,105%*SUM($I$7:I154))-(AD153+L154-N154)*Flag_UL_Type,0)*B154)</f>
        <v>0</v>
      </c>
      <c r="Q154" s="213">
        <f t="shared" ca="1" si="107"/>
        <v>0</v>
      </c>
      <c r="R154" s="14">
        <f t="shared" ca="1" si="108"/>
        <v>0</v>
      </c>
      <c r="S154" s="14">
        <f t="shared" ca="1" si="109"/>
        <v>0</v>
      </c>
      <c r="T154" s="14">
        <f>IFERROR(IF(WoP_Flag="Y",IF(fq=1,VLOOKUP(ppt*fq-H154,Charges!$AN$41:$AO$59,2,FALSE),IF(fq=2,VLOOKUP(ppt*fq-G154,Charges!$AP$41:$AQ$79,2,FALSE),VLOOKUP(ppt*fq-D154,Charges!$AR$41:$AS$279,2,FALSE)))*pr/fq,0),0)</f>
        <v>0</v>
      </c>
      <c r="U154" s="14">
        <f ca="1">IFERROR(((T154*(VLOOKUP(Input!$D$18+H154-1,Tab_Mort_Charge,IF(Gender_2="M",2,3),FALSE)*(1+_emr2)+_rpm2)/IF(Model_Type="LA_PQIS",1000/0.0833,(12*1000))))*Flag_Mort_Rider_Charge*(T154&gt;0),0)</f>
        <v>0</v>
      </c>
      <c r="V154" s="34">
        <f>ROUND(MIN(IF(H154&gt;=7,Charges!$C$12*(1+Charges!$C$14)^((H154-7+1)),VLOOKUP(H154,Charges!$B$7:$C$12,2,0))*pr,Charges!$C$13)*B154,Round)</f>
        <v>500</v>
      </c>
      <c r="W154" s="14">
        <f t="shared" ca="1" si="110"/>
        <v>5693677.9154476626</v>
      </c>
      <c r="X154" s="14">
        <f t="shared" ca="1" si="111"/>
        <v>5730311.2105923146</v>
      </c>
      <c r="Y154" s="213">
        <f t="shared" ca="1" si="133"/>
        <v>6450.1084171898574</v>
      </c>
      <c r="Z154" s="14">
        <f t="shared" ca="1" si="112"/>
        <v>5723861.1021751249</v>
      </c>
      <c r="AA154" s="14">
        <f>IF(AND($H154=pt,$F154=11),SUM($K$7:K154)*VLOOKUP(pt,ROC,2,FALSE),0)</f>
        <v>0</v>
      </c>
      <c r="AB154" s="14">
        <f>IF(AND($H154=pt,$F154=11),SUM($V$7:V154)*VLOOKUP(pt,ROC,2,FALSE),0)</f>
        <v>0</v>
      </c>
      <c r="AC154" s="14">
        <f>IF(AND($H154=pt,$F154=11),SUM($Q$7:Q154)*VLOOKUP(pt,ROC,2,FALSE),0)</f>
        <v>0</v>
      </c>
      <c r="AD154" s="14">
        <f t="shared" ca="1" si="134"/>
        <v>5723861.1021751249</v>
      </c>
      <c r="AE154" s="14">
        <f ca="1">(MAX(sa-CF153*Flag_UL_Type,105%*SUM($I$7:I154),Z154)+AU154)*B154</f>
        <v>5723861.1021751249</v>
      </c>
      <c r="AF154" s="136"/>
      <c r="AG154" s="18">
        <v>148</v>
      </c>
      <c r="AH154" s="30">
        <f t="shared" ca="1" si="113"/>
        <v>0</v>
      </c>
      <c r="AI154" s="58"/>
      <c r="AJ154" s="50">
        <f>IF(AND(Option_Sys_TopUp&gt;="Y",H154&gt;=sytp,H154&lt;=(dtp+sytp-1),F154=0,H154&lt;=ppt+1),atp,0)+IFERROR(VLOOKUP(H154,Input!$B$55:$C$61,2,0),0)*(F154=0)*(Option_TopUP="Y")*(Option_Sys_TopUp="N")*B154*(pt&gt;=H154+5)</f>
        <v>0</v>
      </c>
      <c r="AK154" s="50">
        <f t="shared" si="114"/>
        <v>0</v>
      </c>
      <c r="AL154" s="50">
        <f t="shared" si="135"/>
        <v>0</v>
      </c>
      <c r="AM154" s="50">
        <f t="shared" ca="1" si="115"/>
        <v>0</v>
      </c>
      <c r="AN154" s="50">
        <f ca="1">IF(B154=0,0,AT154*(_rpm1+(1+_emr1)*VLOOKUP(E154,Tab_Mort_Charge,IF(Input!$C$12="M",2,3),0))*(0.001*0.0833)*Flag_Mort_Rider_Charge*(AT154&gt;0))</f>
        <v>0</v>
      </c>
      <c r="AO154" s="50">
        <f t="shared" ca="1" si="136"/>
        <v>0</v>
      </c>
      <c r="AP154" s="50">
        <f t="shared" ca="1" si="99"/>
        <v>0</v>
      </c>
      <c r="AQ154" s="50">
        <f t="shared" ca="1" si="116"/>
        <v>0</v>
      </c>
      <c r="AR154" s="50">
        <f t="shared" ca="1" si="117"/>
        <v>0</v>
      </c>
      <c r="AS154" s="50">
        <f t="shared" si="118"/>
        <v>0</v>
      </c>
      <c r="AT154" s="50">
        <f ca="1">(MAX((MAX(AS154,105%*SUM($AJ$7:AJ154))-AM154*Flag_UL_Type),0)*B154)</f>
        <v>0</v>
      </c>
      <c r="AU154" s="50">
        <f ca="1">(MAX(AS154,AR154,105%*SUM($AJ$7:AJ154))*B154)</f>
        <v>0</v>
      </c>
      <c r="AV154" s="125"/>
      <c r="AW154" s="13"/>
      <c r="AX154" s="13"/>
      <c r="AY154" s="13"/>
      <c r="AZ154" s="13"/>
      <c r="BA154" s="13"/>
      <c r="BG154" s="51">
        <f t="shared" si="119"/>
        <v>0</v>
      </c>
      <c r="BH154" s="51">
        <f t="shared" ca="1" si="120"/>
        <v>0</v>
      </c>
      <c r="BI154" s="51">
        <f t="shared" ca="1" si="121"/>
        <v>0</v>
      </c>
      <c r="BJ154" s="51">
        <f t="shared" ca="1" si="122"/>
        <v>0</v>
      </c>
      <c r="BK154" s="51">
        <f t="shared" si="123"/>
        <v>0</v>
      </c>
      <c r="BL154" s="51">
        <f t="shared" ca="1" si="124"/>
        <v>0</v>
      </c>
      <c r="BM154" s="51">
        <f t="shared" si="125"/>
        <v>0</v>
      </c>
      <c r="BN154" s="51">
        <f t="shared" ca="1" si="126"/>
        <v>0</v>
      </c>
      <c r="BO154" s="51">
        <f t="shared" ca="1" si="127"/>
        <v>0</v>
      </c>
      <c r="BP154" s="51">
        <f t="shared" ca="1" si="128"/>
        <v>0</v>
      </c>
      <c r="BQ154" s="120"/>
      <c r="BR154" s="32"/>
      <c r="BS154" s="126"/>
      <c r="BT154" s="16"/>
      <c r="BU154" s="58"/>
      <c r="BW154" s="51">
        <f>VLOOKUP(H154,Charges!$AT$4:$AU$33,2,FALSE)*I154</f>
        <v>0</v>
      </c>
      <c r="BX154" s="51">
        <f t="shared" si="129"/>
        <v>0</v>
      </c>
      <c r="BY154" s="51">
        <f t="shared" si="137"/>
        <v>0</v>
      </c>
      <c r="BZ154" s="151"/>
      <c r="CA154" s="151"/>
      <c r="CB154" s="32"/>
      <c r="CC154" s="16">
        <f ca="1">SUM($N$7:$N154)</f>
        <v>0</v>
      </c>
      <c r="CD154" s="16">
        <f t="shared" ca="1" si="130"/>
        <v>0</v>
      </c>
      <c r="CE154" s="16">
        <f t="shared" ca="1" si="131"/>
        <v>0</v>
      </c>
      <c r="CF154" s="7">
        <f t="shared" ca="1" si="138"/>
        <v>0</v>
      </c>
    </row>
    <row r="155" spans="1:84" s="7" customFormat="1" x14ac:dyDescent="0.2">
      <c r="A155" s="149"/>
      <c r="B155" s="14">
        <f t="shared" si="100"/>
        <v>1</v>
      </c>
      <c r="C155" s="12">
        <f t="shared" si="101"/>
        <v>1</v>
      </c>
      <c r="D155" s="17">
        <f t="shared" si="139"/>
        <v>149</v>
      </c>
      <c r="E155" s="17">
        <f t="shared" ca="1" si="102"/>
        <v>72</v>
      </c>
      <c r="F155" s="12">
        <f t="shared" si="141"/>
        <v>4</v>
      </c>
      <c r="G155" s="12">
        <f t="shared" si="140"/>
        <v>25</v>
      </c>
      <c r="H155" s="17">
        <f t="shared" si="142"/>
        <v>13</v>
      </c>
      <c r="I155" s="29">
        <f t="shared" si="103"/>
        <v>0</v>
      </c>
      <c r="J155" s="211">
        <f>IFERROR(VLOOKUP(H155,Charges!$T$6:$U$35,2,0)*C155,0)</f>
        <v>1</v>
      </c>
      <c r="K155" s="29">
        <f t="shared" si="104"/>
        <v>0</v>
      </c>
      <c r="L155" s="29">
        <f t="shared" si="105"/>
        <v>0</v>
      </c>
      <c r="M155" s="147">
        <f t="shared" ca="1" si="106"/>
        <v>0</v>
      </c>
      <c r="N155" s="148">
        <f ca="1">IF(AND(Option_SPW="Y",Z154&gt;=SPW_Start_Min_FV,H155&gt;=Lock_In_Period,Z154&gt;SPW_Amount_pa+IF(option="Single",1/5*pr,2*pr),H155&gt;=SPW_Start_Year,H155&lt;=SPW_Start_Year+SPW_Duration-1,F155=0,age+H155&gt;=Legal_Age),SPW_Amount_pa,0)+IFERROR(VLOOKUP(H155,Input!$B$68:$C$74,2,0),0)*(F155=0)*(Option_PW="Y")*(Option_SPW="N")*(age+H155&gt;=Legal_Age)</f>
        <v>0</v>
      </c>
      <c r="O155" s="148">
        <f t="shared" ca="1" si="132"/>
        <v>0</v>
      </c>
      <c r="P155" s="14">
        <f ca="1">(MAX(MAX(sa-CF154*Flag_UL_Type,105%*SUM($I$7:I155))-(AD154+L155-N155)*Flag_UL_Type,0)*B155)</f>
        <v>0</v>
      </c>
      <c r="Q155" s="213">
        <f t="shared" ca="1" si="107"/>
        <v>0</v>
      </c>
      <c r="R155" s="14">
        <f t="shared" ca="1" si="108"/>
        <v>0</v>
      </c>
      <c r="S155" s="14">
        <f t="shared" ca="1" si="109"/>
        <v>0</v>
      </c>
      <c r="T155" s="14">
        <f>IFERROR(IF(WoP_Flag="Y",IF(fq=1,VLOOKUP(ppt*fq-H155,Charges!$AN$41:$AO$59,2,FALSE),IF(fq=2,VLOOKUP(ppt*fq-G155,Charges!$AP$41:$AQ$79,2,FALSE),VLOOKUP(ppt*fq-D155,Charges!$AR$41:$AS$279,2,FALSE)))*pr/fq,0),0)</f>
        <v>0</v>
      </c>
      <c r="U155" s="14">
        <f ca="1">IFERROR(((T155*(VLOOKUP(Input!$D$18+H155-1,Tab_Mort_Charge,IF(Gender_2="M",2,3),FALSE)*(1+_emr2)+_rpm2)/IF(Model_Type="LA_PQIS",1000/0.0833,(12*1000))))*Flag_Mort_Rider_Charge*(T155&gt;0),0)</f>
        <v>0</v>
      </c>
      <c r="V155" s="34">
        <f>ROUND(MIN(IF(H155&gt;=7,Charges!$C$12*(1+Charges!$C$14)^((H155-7+1)),VLOOKUP(H155,Charges!$B$7:$C$12,2,0))*pr,Charges!$C$13)*B155,Round)</f>
        <v>500</v>
      </c>
      <c r="W155" s="14">
        <f t="shared" ca="1" si="110"/>
        <v>5723361.1021751249</v>
      </c>
      <c r="X155" s="14">
        <f t="shared" ca="1" si="111"/>
        <v>5760185.3798369421</v>
      </c>
      <c r="Y155" s="213">
        <f t="shared" ca="1" si="133"/>
        <v>6483.7351476447657</v>
      </c>
      <c r="Z155" s="14">
        <f t="shared" ca="1" si="112"/>
        <v>5753701.6446892973</v>
      </c>
      <c r="AA155" s="14">
        <f>IF(AND($H155=pt,$F155=11),SUM($K$7:K155)*VLOOKUP(pt,ROC,2,FALSE),0)</f>
        <v>0</v>
      </c>
      <c r="AB155" s="14">
        <f>IF(AND($H155=pt,$F155=11),SUM($V$7:V155)*VLOOKUP(pt,ROC,2,FALSE),0)</f>
        <v>0</v>
      </c>
      <c r="AC155" s="14">
        <f>IF(AND($H155=pt,$F155=11),SUM($Q$7:Q155)*VLOOKUP(pt,ROC,2,FALSE),0)</f>
        <v>0</v>
      </c>
      <c r="AD155" s="14">
        <f t="shared" ca="1" si="134"/>
        <v>5753701.6446892973</v>
      </c>
      <c r="AE155" s="14">
        <f ca="1">(MAX(sa-CF154*Flag_UL_Type,105%*SUM($I$7:I155),Z155)+AU155)*B155</f>
        <v>5753701.6446892973</v>
      </c>
      <c r="AF155" s="136"/>
      <c r="AG155" s="18">
        <v>149</v>
      </c>
      <c r="AH155" s="30">
        <f t="shared" ca="1" si="113"/>
        <v>0</v>
      </c>
      <c r="AI155" s="58"/>
      <c r="AJ155" s="50">
        <f>IF(AND(Option_Sys_TopUp&gt;="Y",H155&gt;=sytp,H155&lt;=(dtp+sytp-1),F155=0,H155&lt;=ppt+1),atp,0)+IFERROR(VLOOKUP(H155,Input!$B$55:$C$61,2,0),0)*(F155=0)*(Option_TopUP="Y")*(Option_Sys_TopUp="N")*B155*(pt&gt;=H155+5)</f>
        <v>0</v>
      </c>
      <c r="AK155" s="50">
        <f t="shared" si="114"/>
        <v>0</v>
      </c>
      <c r="AL155" s="50">
        <f t="shared" si="135"/>
        <v>0</v>
      </c>
      <c r="AM155" s="50">
        <f t="shared" ca="1" si="115"/>
        <v>0</v>
      </c>
      <c r="AN155" s="50">
        <f ca="1">IF(B155=0,0,AT155*(_rpm1+(1+_emr1)*VLOOKUP(E155,Tab_Mort_Charge,IF(Input!$C$12="M",2,3),0))*(0.001*0.0833)*Flag_Mort_Rider_Charge*(AT155&gt;0))</f>
        <v>0</v>
      </c>
      <c r="AO155" s="50">
        <f t="shared" ca="1" si="136"/>
        <v>0</v>
      </c>
      <c r="AP155" s="50">
        <f t="shared" ca="1" si="99"/>
        <v>0</v>
      </c>
      <c r="AQ155" s="50">
        <f t="shared" ca="1" si="116"/>
        <v>0</v>
      </c>
      <c r="AR155" s="50">
        <f t="shared" ca="1" si="117"/>
        <v>0</v>
      </c>
      <c r="AS155" s="50">
        <f t="shared" si="118"/>
        <v>0</v>
      </c>
      <c r="AT155" s="50">
        <f ca="1">(MAX((MAX(AS155,105%*SUM($AJ$7:AJ155))-AM155*Flag_UL_Type),0)*B155)</f>
        <v>0</v>
      </c>
      <c r="AU155" s="50">
        <f ca="1">(MAX(AS155,AR155,105%*SUM($AJ$7:AJ155))*B155)</f>
        <v>0</v>
      </c>
      <c r="AV155" s="125"/>
      <c r="AW155" s="13"/>
      <c r="AX155" s="13"/>
      <c r="AY155" s="13"/>
      <c r="AZ155" s="13"/>
      <c r="BA155" s="13"/>
      <c r="BG155" s="51">
        <f t="shared" si="119"/>
        <v>0</v>
      </c>
      <c r="BH155" s="51">
        <f t="shared" ca="1" si="120"/>
        <v>0</v>
      </c>
      <c r="BI155" s="51">
        <f t="shared" ca="1" si="121"/>
        <v>0</v>
      </c>
      <c r="BJ155" s="51">
        <f t="shared" ca="1" si="122"/>
        <v>0</v>
      </c>
      <c r="BK155" s="51">
        <f t="shared" si="123"/>
        <v>0</v>
      </c>
      <c r="BL155" s="51">
        <f t="shared" ca="1" si="124"/>
        <v>0</v>
      </c>
      <c r="BM155" s="51">
        <f t="shared" si="125"/>
        <v>0</v>
      </c>
      <c r="BN155" s="51">
        <f t="shared" ca="1" si="126"/>
        <v>0</v>
      </c>
      <c r="BO155" s="51">
        <f t="shared" ca="1" si="127"/>
        <v>0</v>
      </c>
      <c r="BP155" s="51">
        <f t="shared" ca="1" si="128"/>
        <v>0</v>
      </c>
      <c r="BQ155" s="120"/>
      <c r="BR155" s="32"/>
      <c r="BS155" s="126"/>
      <c r="BT155" s="16"/>
      <c r="BU155" s="58"/>
      <c r="BW155" s="51">
        <f>VLOOKUP(H155,Charges!$AT$4:$AU$33,2,FALSE)*I155</f>
        <v>0</v>
      </c>
      <c r="BX155" s="51">
        <f t="shared" si="129"/>
        <v>0</v>
      </c>
      <c r="BY155" s="51">
        <f t="shared" si="137"/>
        <v>0</v>
      </c>
      <c r="BZ155" s="151"/>
      <c r="CA155" s="151"/>
      <c r="CB155" s="32"/>
      <c r="CC155" s="16">
        <f ca="1">SUM($N$7:$N155)</f>
        <v>0</v>
      </c>
      <c r="CD155" s="16">
        <f t="shared" ca="1" si="130"/>
        <v>0</v>
      </c>
      <c r="CE155" s="16">
        <f t="shared" ca="1" si="131"/>
        <v>0</v>
      </c>
      <c r="CF155" s="7">
        <f t="shared" ca="1" si="138"/>
        <v>0</v>
      </c>
    </row>
    <row r="156" spans="1:84" s="7" customFormat="1" x14ac:dyDescent="0.2">
      <c r="A156" s="149"/>
      <c r="B156" s="14">
        <f t="shared" si="100"/>
        <v>1</v>
      </c>
      <c r="C156" s="12">
        <f t="shared" si="101"/>
        <v>1</v>
      </c>
      <c r="D156" s="17">
        <f t="shared" si="139"/>
        <v>150</v>
      </c>
      <c r="E156" s="17">
        <f t="shared" ca="1" si="102"/>
        <v>72</v>
      </c>
      <c r="F156" s="12">
        <f t="shared" si="141"/>
        <v>5</v>
      </c>
      <c r="G156" s="12">
        <f t="shared" si="140"/>
        <v>25</v>
      </c>
      <c r="H156" s="17">
        <f t="shared" si="142"/>
        <v>13</v>
      </c>
      <c r="I156" s="29">
        <f t="shared" si="103"/>
        <v>0</v>
      </c>
      <c r="J156" s="211">
        <f>IFERROR(VLOOKUP(H156,Charges!$T$6:$U$35,2,0)*C156,0)</f>
        <v>1</v>
      </c>
      <c r="K156" s="29">
        <f t="shared" si="104"/>
        <v>0</v>
      </c>
      <c r="L156" s="29">
        <f t="shared" si="105"/>
        <v>0</v>
      </c>
      <c r="M156" s="147">
        <f t="shared" ca="1" si="106"/>
        <v>0</v>
      </c>
      <c r="N156" s="148">
        <f ca="1">IF(AND(Option_SPW="Y",Z155&gt;=SPW_Start_Min_FV,H156&gt;=Lock_In_Period,Z155&gt;SPW_Amount_pa+IF(option="Single",1/5*pr,2*pr),H156&gt;=SPW_Start_Year,H156&lt;=SPW_Start_Year+SPW_Duration-1,F156=0,age+H156&gt;=Legal_Age),SPW_Amount_pa,0)+IFERROR(VLOOKUP(H156,Input!$B$68:$C$74,2,0),0)*(F156=0)*(Option_PW="Y")*(Option_SPW="N")*(age+H156&gt;=Legal_Age)</f>
        <v>0</v>
      </c>
      <c r="O156" s="148">
        <f t="shared" ca="1" si="132"/>
        <v>0</v>
      </c>
      <c r="P156" s="14">
        <f ca="1">(MAX(MAX(sa-CF155*Flag_UL_Type,105%*SUM($I$7:I156))-(AD155+L156-N156)*Flag_UL_Type,0)*B156)</f>
        <v>0</v>
      </c>
      <c r="Q156" s="213">
        <f t="shared" ca="1" si="107"/>
        <v>0</v>
      </c>
      <c r="R156" s="14">
        <f t="shared" ca="1" si="108"/>
        <v>0</v>
      </c>
      <c r="S156" s="14">
        <f t="shared" ca="1" si="109"/>
        <v>0</v>
      </c>
      <c r="T156" s="14">
        <f>IFERROR(IF(WoP_Flag="Y",IF(fq=1,VLOOKUP(ppt*fq-H156,Charges!$AN$41:$AO$59,2,FALSE),IF(fq=2,VLOOKUP(ppt*fq-G156,Charges!$AP$41:$AQ$79,2,FALSE),VLOOKUP(ppt*fq-D156,Charges!$AR$41:$AS$279,2,FALSE)))*pr/fq,0),0)</f>
        <v>0</v>
      </c>
      <c r="U156" s="14">
        <f ca="1">IFERROR(((T156*(VLOOKUP(Input!$D$18+H156-1,Tab_Mort_Charge,IF(Gender_2="M",2,3),FALSE)*(1+_emr2)+_rpm2)/IF(Model_Type="LA_PQIS",1000/0.0833,(12*1000))))*Flag_Mort_Rider_Charge*(T156&gt;0),0)</f>
        <v>0</v>
      </c>
      <c r="V156" s="34">
        <f>ROUND(MIN(IF(H156&gt;=7,Charges!$C$12*(1+Charges!$C$14)^((H156-7+1)),VLOOKUP(H156,Charges!$B$7:$C$12,2,0))*pr,Charges!$C$13)*B156,Round)</f>
        <v>500</v>
      </c>
      <c r="W156" s="14">
        <f t="shared" ca="1" si="110"/>
        <v>5753201.6446892973</v>
      </c>
      <c r="X156" s="14">
        <f t="shared" ca="1" si="111"/>
        <v>5790217.9173001498</v>
      </c>
      <c r="Y156" s="213">
        <f t="shared" ca="1" si="133"/>
        <v>6517.5401393043685</v>
      </c>
      <c r="Z156" s="14">
        <f t="shared" ca="1" si="112"/>
        <v>5783700.3771608453</v>
      </c>
      <c r="AA156" s="14">
        <f>IF(AND($H156=pt,$F156=11),SUM($K$7:K156)*VLOOKUP(pt,ROC,2,FALSE),0)</f>
        <v>0</v>
      </c>
      <c r="AB156" s="14">
        <f>IF(AND($H156=pt,$F156=11),SUM($V$7:V156)*VLOOKUP(pt,ROC,2,FALSE),0)</f>
        <v>0</v>
      </c>
      <c r="AC156" s="14">
        <f>IF(AND($H156=pt,$F156=11),SUM($Q$7:Q156)*VLOOKUP(pt,ROC,2,FALSE),0)</f>
        <v>0</v>
      </c>
      <c r="AD156" s="14">
        <f t="shared" ca="1" si="134"/>
        <v>5783700.3771608453</v>
      </c>
      <c r="AE156" s="14">
        <f ca="1">(MAX(sa-CF155*Flag_UL_Type,105%*SUM($I$7:I156),Z156)+AU156)*B156</f>
        <v>5783700.3771608453</v>
      </c>
      <c r="AF156" s="136"/>
      <c r="AG156" s="18">
        <v>150</v>
      </c>
      <c r="AH156" s="30">
        <f t="shared" ca="1" si="113"/>
        <v>0</v>
      </c>
      <c r="AI156" s="58"/>
      <c r="AJ156" s="50">
        <f>IF(AND(Option_Sys_TopUp&gt;="Y",H156&gt;=sytp,H156&lt;=(dtp+sytp-1),F156=0,H156&lt;=ppt+1),atp,0)+IFERROR(VLOOKUP(H156,Input!$B$55:$C$61,2,0),0)*(F156=0)*(Option_TopUP="Y")*(Option_Sys_TopUp="N")*B156*(pt&gt;=H156+5)</f>
        <v>0</v>
      </c>
      <c r="AK156" s="50">
        <f t="shared" si="114"/>
        <v>0</v>
      </c>
      <c r="AL156" s="50">
        <f t="shared" si="135"/>
        <v>0</v>
      </c>
      <c r="AM156" s="50">
        <f t="shared" ca="1" si="115"/>
        <v>0</v>
      </c>
      <c r="AN156" s="50">
        <f ca="1">IF(B156=0,0,AT156*(_rpm1+(1+_emr1)*VLOOKUP(E156,Tab_Mort_Charge,IF(Input!$C$12="M",2,3),0))*(0.001*0.0833)*Flag_Mort_Rider_Charge*(AT156&gt;0))</f>
        <v>0</v>
      </c>
      <c r="AO156" s="50">
        <f t="shared" ca="1" si="136"/>
        <v>0</v>
      </c>
      <c r="AP156" s="50">
        <f t="shared" ref="AP156:AP219" ca="1" si="143">AO156*(1+$F$3)*B156</f>
        <v>0</v>
      </c>
      <c r="AQ156" s="50">
        <f t="shared" ca="1" si="116"/>
        <v>0</v>
      </c>
      <c r="AR156" s="50">
        <f t="shared" ca="1" si="117"/>
        <v>0</v>
      </c>
      <c r="AS156" s="50">
        <f t="shared" si="118"/>
        <v>0</v>
      </c>
      <c r="AT156" s="50">
        <f ca="1">(MAX((MAX(AS156,105%*SUM($AJ$7:AJ156))-AM156*Flag_UL_Type),0)*B156)</f>
        <v>0</v>
      </c>
      <c r="AU156" s="50">
        <f ca="1">(MAX(AS156,AR156,105%*SUM($AJ$7:AJ156))*B156)</f>
        <v>0</v>
      </c>
      <c r="AV156" s="125"/>
      <c r="AW156" s="13"/>
      <c r="AX156" s="13"/>
      <c r="AY156" s="13"/>
      <c r="AZ156" s="13"/>
      <c r="BA156" s="13"/>
      <c r="BG156" s="51">
        <f t="shared" si="119"/>
        <v>0</v>
      </c>
      <c r="BH156" s="51">
        <f t="shared" ca="1" si="120"/>
        <v>0</v>
      </c>
      <c r="BI156" s="51">
        <f t="shared" ca="1" si="121"/>
        <v>0</v>
      </c>
      <c r="BJ156" s="51">
        <f t="shared" ca="1" si="122"/>
        <v>0</v>
      </c>
      <c r="BK156" s="51">
        <f t="shared" si="123"/>
        <v>0</v>
      </c>
      <c r="BL156" s="51">
        <f t="shared" ca="1" si="124"/>
        <v>0</v>
      </c>
      <c r="BM156" s="51">
        <f t="shared" si="125"/>
        <v>0</v>
      </c>
      <c r="BN156" s="51">
        <f t="shared" ca="1" si="126"/>
        <v>0</v>
      </c>
      <c r="BO156" s="51">
        <f t="shared" ca="1" si="127"/>
        <v>0</v>
      </c>
      <c r="BP156" s="51">
        <f t="shared" ca="1" si="128"/>
        <v>0</v>
      </c>
      <c r="BQ156" s="120"/>
      <c r="BR156" s="32"/>
      <c r="BS156" s="126"/>
      <c r="BT156" s="16"/>
      <c r="BU156" s="58"/>
      <c r="BW156" s="51">
        <f>VLOOKUP(H156,Charges!$AT$4:$AU$33,2,FALSE)*I156</f>
        <v>0</v>
      </c>
      <c r="BX156" s="51">
        <f t="shared" si="129"/>
        <v>0</v>
      </c>
      <c r="BY156" s="51">
        <f t="shared" si="137"/>
        <v>0</v>
      </c>
      <c r="BZ156" s="151"/>
      <c r="CA156" s="151"/>
      <c r="CB156" s="32"/>
      <c r="CC156" s="16">
        <f ca="1">SUM($N$7:$N156)</f>
        <v>0</v>
      </c>
      <c r="CD156" s="16">
        <f t="shared" ca="1" si="130"/>
        <v>0</v>
      </c>
      <c r="CE156" s="16">
        <f t="shared" ca="1" si="131"/>
        <v>0</v>
      </c>
      <c r="CF156" s="7">
        <f t="shared" ca="1" si="138"/>
        <v>0</v>
      </c>
    </row>
    <row r="157" spans="1:84" s="7" customFormat="1" x14ac:dyDescent="0.2">
      <c r="A157" s="149"/>
      <c r="B157" s="14">
        <f t="shared" si="100"/>
        <v>1</v>
      </c>
      <c r="C157" s="12">
        <f t="shared" si="101"/>
        <v>1</v>
      </c>
      <c r="D157" s="17">
        <f t="shared" si="139"/>
        <v>151</v>
      </c>
      <c r="E157" s="17">
        <f t="shared" ca="1" si="102"/>
        <v>72</v>
      </c>
      <c r="F157" s="12">
        <f t="shared" si="141"/>
        <v>6</v>
      </c>
      <c r="G157" s="12">
        <f t="shared" si="140"/>
        <v>26</v>
      </c>
      <c r="H157" s="17">
        <f t="shared" si="142"/>
        <v>13</v>
      </c>
      <c r="I157" s="29">
        <f t="shared" si="103"/>
        <v>0</v>
      </c>
      <c r="J157" s="211">
        <f>IFERROR(VLOOKUP(H157,Charges!$T$6:$U$35,2,0)*C157,0)</f>
        <v>1</v>
      </c>
      <c r="K157" s="29">
        <f t="shared" si="104"/>
        <v>0</v>
      </c>
      <c r="L157" s="29">
        <f t="shared" si="105"/>
        <v>0</v>
      </c>
      <c r="M157" s="147">
        <f t="shared" ca="1" si="106"/>
        <v>0</v>
      </c>
      <c r="N157" s="148">
        <f ca="1">IF(AND(Option_SPW="Y",Z156&gt;=SPW_Start_Min_FV,H157&gt;=Lock_In_Period,Z156&gt;SPW_Amount_pa+IF(option="Single",1/5*pr,2*pr),H157&gt;=SPW_Start_Year,H157&lt;=SPW_Start_Year+SPW_Duration-1,F157=0,age+H157&gt;=Legal_Age),SPW_Amount_pa,0)+IFERROR(VLOOKUP(H157,Input!$B$68:$C$74,2,0),0)*(F157=0)*(Option_PW="Y")*(Option_SPW="N")*(age+H157&gt;=Legal_Age)</f>
        <v>0</v>
      </c>
      <c r="O157" s="148">
        <f t="shared" ca="1" si="132"/>
        <v>0</v>
      </c>
      <c r="P157" s="14">
        <f ca="1">(MAX(MAX(sa-CF156*Flag_UL_Type,105%*SUM($I$7:I157))-(AD156+L157-N157)*Flag_UL_Type,0)*B157)</f>
        <v>0</v>
      </c>
      <c r="Q157" s="213">
        <f t="shared" ca="1" si="107"/>
        <v>0</v>
      </c>
      <c r="R157" s="14">
        <f t="shared" ca="1" si="108"/>
        <v>0</v>
      </c>
      <c r="S157" s="14">
        <f t="shared" ca="1" si="109"/>
        <v>0</v>
      </c>
      <c r="T157" s="14">
        <f>IFERROR(IF(WoP_Flag="Y",IF(fq=1,VLOOKUP(ppt*fq-H157,Charges!$AN$41:$AO$59,2,FALSE),IF(fq=2,VLOOKUP(ppt*fq-G157,Charges!$AP$41:$AQ$79,2,FALSE),VLOOKUP(ppt*fq-D157,Charges!$AR$41:$AS$279,2,FALSE)))*pr/fq,0),0)</f>
        <v>0</v>
      </c>
      <c r="U157" s="14">
        <f ca="1">IFERROR(((T157*(VLOOKUP(Input!$D$18+H157-1,Tab_Mort_Charge,IF(Gender_2="M",2,3),FALSE)*(1+_emr2)+_rpm2)/IF(Model_Type="LA_PQIS",1000/0.0833,(12*1000))))*Flag_Mort_Rider_Charge*(T157&gt;0),0)</f>
        <v>0</v>
      </c>
      <c r="V157" s="34">
        <f>ROUND(MIN(IF(H157&gt;=7,Charges!$C$12*(1+Charges!$C$14)^((H157-7+1)),VLOOKUP(H157,Charges!$B$7:$C$12,2,0))*pr,Charges!$C$13)*B157,Round)</f>
        <v>500</v>
      </c>
      <c r="W157" s="14">
        <f t="shared" ca="1" si="110"/>
        <v>5783200.3771608453</v>
      </c>
      <c r="X157" s="14">
        <f t="shared" ca="1" si="111"/>
        <v>5820409.6625196813</v>
      </c>
      <c r="Y157" s="213">
        <f t="shared" ca="1" si="133"/>
        <v>6551.5243371626248</v>
      </c>
      <c r="Z157" s="14">
        <f t="shared" ca="1" si="112"/>
        <v>5813858.138182519</v>
      </c>
      <c r="AA157" s="14">
        <f>IF(AND($H157=pt,$F157=11),SUM($K$7:K157)*VLOOKUP(pt,ROC,2,FALSE),0)</f>
        <v>0</v>
      </c>
      <c r="AB157" s="14">
        <f>IF(AND($H157=pt,$F157=11),SUM($V$7:V157)*VLOOKUP(pt,ROC,2,FALSE),0)</f>
        <v>0</v>
      </c>
      <c r="AC157" s="14">
        <f>IF(AND($H157=pt,$F157=11),SUM($Q$7:Q157)*VLOOKUP(pt,ROC,2,FALSE),0)</f>
        <v>0</v>
      </c>
      <c r="AD157" s="14">
        <f t="shared" ca="1" si="134"/>
        <v>5813858.138182519</v>
      </c>
      <c r="AE157" s="14">
        <f ca="1">(MAX(sa-CF156*Flag_UL_Type,105%*SUM($I$7:I157),Z157)+AU157)*B157</f>
        <v>5813858.138182519</v>
      </c>
      <c r="AF157" s="136"/>
      <c r="AG157" s="18">
        <v>151</v>
      </c>
      <c r="AH157" s="30">
        <f t="shared" ca="1" si="113"/>
        <v>0</v>
      </c>
      <c r="AI157" s="58"/>
      <c r="AJ157" s="50">
        <f>IF(AND(Option_Sys_TopUp&gt;="Y",H157&gt;=sytp,H157&lt;=(dtp+sytp-1),F157=0,H157&lt;=ppt+1),atp,0)+IFERROR(VLOOKUP(H157,Input!$B$55:$C$61,2,0),0)*(F157=0)*(Option_TopUP="Y")*(Option_Sys_TopUp="N")*B157*(pt&gt;=H157+5)</f>
        <v>0</v>
      </c>
      <c r="AK157" s="50">
        <f t="shared" si="114"/>
        <v>0</v>
      </c>
      <c r="AL157" s="50">
        <f t="shared" si="135"/>
        <v>0</v>
      </c>
      <c r="AM157" s="50">
        <f t="shared" ca="1" si="115"/>
        <v>0</v>
      </c>
      <c r="AN157" s="50">
        <f ca="1">IF(B157=0,0,AT157*(_rpm1+(1+_emr1)*VLOOKUP(E157,Tab_Mort_Charge,IF(Input!$C$12="M",2,3),0))*(0.001*0.0833)*Flag_Mort_Rider_Charge*(AT157&gt;0))</f>
        <v>0</v>
      </c>
      <c r="AO157" s="50">
        <f t="shared" ca="1" si="136"/>
        <v>0</v>
      </c>
      <c r="AP157" s="50">
        <f t="shared" ca="1" si="143"/>
        <v>0</v>
      </c>
      <c r="AQ157" s="50">
        <f t="shared" ca="1" si="116"/>
        <v>0</v>
      </c>
      <c r="AR157" s="50">
        <f t="shared" ca="1" si="117"/>
        <v>0</v>
      </c>
      <c r="AS157" s="50">
        <f t="shared" si="118"/>
        <v>0</v>
      </c>
      <c r="AT157" s="50">
        <f ca="1">(MAX((MAX(AS157,105%*SUM($AJ$7:AJ157))-AM157*Flag_UL_Type),0)*B157)</f>
        <v>0</v>
      </c>
      <c r="AU157" s="50">
        <f ca="1">(MAX(AS157,AR157,105%*SUM($AJ$7:AJ157))*B157)</f>
        <v>0</v>
      </c>
      <c r="AV157" s="125"/>
      <c r="AW157" s="13"/>
      <c r="AX157" s="13"/>
      <c r="AY157" s="13"/>
      <c r="AZ157" s="13"/>
      <c r="BA157" s="13"/>
      <c r="BG157" s="51">
        <f t="shared" si="119"/>
        <v>0</v>
      </c>
      <c r="BH157" s="51">
        <f t="shared" ca="1" si="120"/>
        <v>0</v>
      </c>
      <c r="BI157" s="51">
        <f t="shared" ca="1" si="121"/>
        <v>0</v>
      </c>
      <c r="BJ157" s="51">
        <f t="shared" ca="1" si="122"/>
        <v>0</v>
      </c>
      <c r="BK157" s="51">
        <f t="shared" si="123"/>
        <v>0</v>
      </c>
      <c r="BL157" s="51">
        <f t="shared" ca="1" si="124"/>
        <v>0</v>
      </c>
      <c r="BM157" s="51">
        <f t="shared" si="125"/>
        <v>0</v>
      </c>
      <c r="BN157" s="51">
        <f t="shared" ca="1" si="126"/>
        <v>0</v>
      </c>
      <c r="BO157" s="51">
        <f t="shared" ca="1" si="127"/>
        <v>0</v>
      </c>
      <c r="BP157" s="51">
        <f t="shared" ca="1" si="128"/>
        <v>0</v>
      </c>
      <c r="BQ157" s="120"/>
      <c r="BR157" s="32"/>
      <c r="BS157" s="126"/>
      <c r="BT157" s="16"/>
      <c r="BU157" s="58"/>
      <c r="BW157" s="51">
        <f>VLOOKUP(H157,Charges!$AT$4:$AU$33,2,FALSE)*I157</f>
        <v>0</v>
      </c>
      <c r="BX157" s="51">
        <f t="shared" si="129"/>
        <v>0</v>
      </c>
      <c r="BY157" s="51">
        <f t="shared" si="137"/>
        <v>0</v>
      </c>
      <c r="BZ157" s="151"/>
      <c r="CA157" s="151"/>
      <c r="CB157" s="32"/>
      <c r="CC157" s="16">
        <f ca="1">SUM($N$7:$N157)</f>
        <v>0</v>
      </c>
      <c r="CD157" s="16">
        <f t="shared" ca="1" si="130"/>
        <v>0</v>
      </c>
      <c r="CE157" s="16">
        <f t="shared" ca="1" si="131"/>
        <v>0</v>
      </c>
      <c r="CF157" s="7">
        <f t="shared" ca="1" si="138"/>
        <v>0</v>
      </c>
    </row>
    <row r="158" spans="1:84" s="7" customFormat="1" x14ac:dyDescent="0.2">
      <c r="A158" s="149"/>
      <c r="B158" s="14">
        <f t="shared" si="100"/>
        <v>1</v>
      </c>
      <c r="C158" s="12">
        <f t="shared" si="101"/>
        <v>1</v>
      </c>
      <c r="D158" s="17">
        <f t="shared" si="139"/>
        <v>152</v>
      </c>
      <c r="E158" s="17">
        <f t="shared" ca="1" si="102"/>
        <v>72</v>
      </c>
      <c r="F158" s="12">
        <f t="shared" si="141"/>
        <v>7</v>
      </c>
      <c r="G158" s="12">
        <f t="shared" si="140"/>
        <v>26</v>
      </c>
      <c r="H158" s="17">
        <f t="shared" si="142"/>
        <v>13</v>
      </c>
      <c r="I158" s="29">
        <f t="shared" si="103"/>
        <v>0</v>
      </c>
      <c r="J158" s="211">
        <f>IFERROR(VLOOKUP(H158,Charges!$T$6:$U$35,2,0)*C158,0)</f>
        <v>1</v>
      </c>
      <c r="K158" s="29">
        <f t="shared" si="104"/>
        <v>0</v>
      </c>
      <c r="L158" s="29">
        <f t="shared" si="105"/>
        <v>0</v>
      </c>
      <c r="M158" s="147">
        <f t="shared" ca="1" si="106"/>
        <v>0</v>
      </c>
      <c r="N158" s="148">
        <f ca="1">IF(AND(Option_SPW="Y",Z157&gt;=SPW_Start_Min_FV,H158&gt;=Lock_In_Period,Z157&gt;SPW_Amount_pa+IF(option="Single",1/5*pr,2*pr),H158&gt;=SPW_Start_Year,H158&lt;=SPW_Start_Year+SPW_Duration-1,F158=0,age+H158&gt;=Legal_Age),SPW_Amount_pa,0)+IFERROR(VLOOKUP(H158,Input!$B$68:$C$74,2,0),0)*(F158=0)*(Option_PW="Y")*(Option_SPW="N")*(age+H158&gt;=Legal_Age)</f>
        <v>0</v>
      </c>
      <c r="O158" s="148">
        <f t="shared" ca="1" si="132"/>
        <v>0</v>
      </c>
      <c r="P158" s="14">
        <f ca="1">(MAX(MAX(sa-CF157*Flag_UL_Type,105%*SUM($I$7:I158))-(AD157+L158-N158)*Flag_UL_Type,0)*B158)</f>
        <v>0</v>
      </c>
      <c r="Q158" s="213">
        <f t="shared" ca="1" si="107"/>
        <v>0</v>
      </c>
      <c r="R158" s="14">
        <f t="shared" ca="1" si="108"/>
        <v>0</v>
      </c>
      <c r="S158" s="14">
        <f t="shared" ca="1" si="109"/>
        <v>0</v>
      </c>
      <c r="T158" s="14">
        <f>IFERROR(IF(WoP_Flag="Y",IF(fq=1,VLOOKUP(ppt*fq-H158,Charges!$AN$41:$AO$59,2,FALSE),IF(fq=2,VLOOKUP(ppt*fq-G158,Charges!$AP$41:$AQ$79,2,FALSE),VLOOKUP(ppt*fq-D158,Charges!$AR$41:$AS$279,2,FALSE)))*pr/fq,0),0)</f>
        <v>0</v>
      </c>
      <c r="U158" s="14">
        <f ca="1">IFERROR(((T158*(VLOOKUP(Input!$D$18+H158-1,Tab_Mort_Charge,IF(Gender_2="M",2,3),FALSE)*(1+_emr2)+_rpm2)/IF(Model_Type="LA_PQIS",1000/0.0833,(12*1000))))*Flag_Mort_Rider_Charge*(T158&gt;0),0)</f>
        <v>0</v>
      </c>
      <c r="V158" s="34">
        <f>ROUND(MIN(IF(H158&gt;=7,Charges!$C$12*(1+Charges!$C$14)^((H158-7+1)),VLOOKUP(H158,Charges!$B$7:$C$12,2,0))*pr,Charges!$C$13)*B158,Round)</f>
        <v>500</v>
      </c>
      <c r="W158" s="14">
        <f t="shared" ca="1" si="110"/>
        <v>5813358.138182519</v>
      </c>
      <c r="X158" s="14">
        <f t="shared" ca="1" si="111"/>
        <v>5850761.4594838191</v>
      </c>
      <c r="Y158" s="213">
        <f t="shared" ca="1" si="133"/>
        <v>6585.6886912230711</v>
      </c>
      <c r="Z158" s="14">
        <f t="shared" ca="1" si="112"/>
        <v>5844175.770792596</v>
      </c>
      <c r="AA158" s="14">
        <f>IF(AND($H158=pt,$F158=11),SUM($K$7:K158)*VLOOKUP(pt,ROC,2,FALSE),0)</f>
        <v>0</v>
      </c>
      <c r="AB158" s="14">
        <f>IF(AND($H158=pt,$F158=11),SUM($V$7:V158)*VLOOKUP(pt,ROC,2,FALSE),0)</f>
        <v>0</v>
      </c>
      <c r="AC158" s="14">
        <f>IF(AND($H158=pt,$F158=11),SUM($Q$7:Q158)*VLOOKUP(pt,ROC,2,FALSE),0)</f>
        <v>0</v>
      </c>
      <c r="AD158" s="14">
        <f t="shared" ca="1" si="134"/>
        <v>5844175.770792596</v>
      </c>
      <c r="AE158" s="14">
        <f ca="1">(MAX(sa-CF157*Flag_UL_Type,105%*SUM($I$7:I158),Z158)+AU158)*B158</f>
        <v>5844175.770792596</v>
      </c>
      <c r="AF158" s="136"/>
      <c r="AG158" s="18">
        <v>152</v>
      </c>
      <c r="AH158" s="30">
        <f t="shared" ca="1" si="113"/>
        <v>0</v>
      </c>
      <c r="AI158" s="58"/>
      <c r="AJ158" s="50">
        <f>IF(AND(Option_Sys_TopUp&gt;="Y",H158&gt;=sytp,H158&lt;=(dtp+sytp-1),F158=0,H158&lt;=ppt+1),atp,0)+IFERROR(VLOOKUP(H158,Input!$B$55:$C$61,2,0),0)*(F158=0)*(Option_TopUP="Y")*(Option_Sys_TopUp="N")*B158*(pt&gt;=H158+5)</f>
        <v>0</v>
      </c>
      <c r="AK158" s="50">
        <f t="shared" si="114"/>
        <v>0</v>
      </c>
      <c r="AL158" s="50">
        <f t="shared" si="135"/>
        <v>0</v>
      </c>
      <c r="AM158" s="50">
        <f t="shared" ca="1" si="115"/>
        <v>0</v>
      </c>
      <c r="AN158" s="50">
        <f ca="1">IF(B158=0,0,AT158*(_rpm1+(1+_emr1)*VLOOKUP(E158,Tab_Mort_Charge,IF(Input!$C$12="M",2,3),0))*(0.001*0.0833)*Flag_Mort_Rider_Charge*(AT158&gt;0))</f>
        <v>0</v>
      </c>
      <c r="AO158" s="50">
        <f t="shared" ca="1" si="136"/>
        <v>0</v>
      </c>
      <c r="AP158" s="50">
        <f t="shared" ca="1" si="143"/>
        <v>0</v>
      </c>
      <c r="AQ158" s="50">
        <f t="shared" ca="1" si="116"/>
        <v>0</v>
      </c>
      <c r="AR158" s="50">
        <f t="shared" ca="1" si="117"/>
        <v>0</v>
      </c>
      <c r="AS158" s="50">
        <f t="shared" si="118"/>
        <v>0</v>
      </c>
      <c r="AT158" s="50">
        <f ca="1">(MAX((MAX(AS158,105%*SUM($AJ$7:AJ158))-AM158*Flag_UL_Type),0)*B158)</f>
        <v>0</v>
      </c>
      <c r="AU158" s="50">
        <f ca="1">(MAX(AS158,AR158,105%*SUM($AJ$7:AJ158))*B158)</f>
        <v>0</v>
      </c>
      <c r="AV158" s="125"/>
      <c r="AW158" s="13"/>
      <c r="AX158" s="13"/>
      <c r="AY158" s="13"/>
      <c r="AZ158" s="13"/>
      <c r="BA158" s="13"/>
      <c r="BG158" s="51">
        <f t="shared" si="119"/>
        <v>0</v>
      </c>
      <c r="BH158" s="51">
        <f t="shared" ca="1" si="120"/>
        <v>0</v>
      </c>
      <c r="BI158" s="51">
        <f t="shared" ca="1" si="121"/>
        <v>0</v>
      </c>
      <c r="BJ158" s="51">
        <f t="shared" ca="1" si="122"/>
        <v>0</v>
      </c>
      <c r="BK158" s="51">
        <f t="shared" si="123"/>
        <v>0</v>
      </c>
      <c r="BL158" s="51">
        <f t="shared" ca="1" si="124"/>
        <v>0</v>
      </c>
      <c r="BM158" s="51">
        <f t="shared" si="125"/>
        <v>0</v>
      </c>
      <c r="BN158" s="51">
        <f t="shared" ca="1" si="126"/>
        <v>0</v>
      </c>
      <c r="BO158" s="51">
        <f t="shared" ca="1" si="127"/>
        <v>0</v>
      </c>
      <c r="BP158" s="51">
        <f t="shared" ca="1" si="128"/>
        <v>0</v>
      </c>
      <c r="BQ158" s="120"/>
      <c r="BR158" s="32"/>
      <c r="BS158" s="126"/>
      <c r="BT158" s="16"/>
      <c r="BU158" s="58"/>
      <c r="BW158" s="51">
        <f>VLOOKUP(H158,Charges!$AT$4:$AU$33,2,FALSE)*I158</f>
        <v>0</v>
      </c>
      <c r="BX158" s="51">
        <f t="shared" si="129"/>
        <v>0</v>
      </c>
      <c r="BY158" s="51">
        <f t="shared" si="137"/>
        <v>0</v>
      </c>
      <c r="BZ158" s="151"/>
      <c r="CA158" s="151"/>
      <c r="CB158" s="32"/>
      <c r="CC158" s="16">
        <f ca="1">SUM($N$7:$N158)</f>
        <v>0</v>
      </c>
      <c r="CD158" s="16">
        <f t="shared" ca="1" si="130"/>
        <v>0</v>
      </c>
      <c r="CE158" s="16">
        <f t="shared" ca="1" si="131"/>
        <v>0</v>
      </c>
      <c r="CF158" s="7">
        <f t="shared" ca="1" si="138"/>
        <v>0</v>
      </c>
    </row>
    <row r="159" spans="1:84" s="7" customFormat="1" x14ac:dyDescent="0.2">
      <c r="A159" s="149"/>
      <c r="B159" s="14">
        <f t="shared" si="100"/>
        <v>1</v>
      </c>
      <c r="C159" s="12">
        <f t="shared" si="101"/>
        <v>1</v>
      </c>
      <c r="D159" s="17">
        <f t="shared" si="139"/>
        <v>153</v>
      </c>
      <c r="E159" s="17">
        <f t="shared" ca="1" si="102"/>
        <v>72</v>
      </c>
      <c r="F159" s="12">
        <f t="shared" si="141"/>
        <v>8</v>
      </c>
      <c r="G159" s="12">
        <f t="shared" si="140"/>
        <v>26</v>
      </c>
      <c r="H159" s="17">
        <f t="shared" si="142"/>
        <v>13</v>
      </c>
      <c r="I159" s="29">
        <f t="shared" si="103"/>
        <v>0</v>
      </c>
      <c r="J159" s="211">
        <f>IFERROR(VLOOKUP(H159,Charges!$T$6:$U$35,2,0)*C159,0)</f>
        <v>1</v>
      </c>
      <c r="K159" s="29">
        <f t="shared" si="104"/>
        <v>0</v>
      </c>
      <c r="L159" s="29">
        <f t="shared" si="105"/>
        <v>0</v>
      </c>
      <c r="M159" s="147">
        <f t="shared" ca="1" si="106"/>
        <v>0</v>
      </c>
      <c r="N159" s="148">
        <f ca="1">IF(AND(Option_SPW="Y",Z158&gt;=SPW_Start_Min_FV,H159&gt;=Lock_In_Period,Z158&gt;SPW_Amount_pa+IF(option="Single",1/5*pr,2*pr),H159&gt;=SPW_Start_Year,H159&lt;=SPW_Start_Year+SPW_Duration-1,F159=0,age+H159&gt;=Legal_Age),SPW_Amount_pa,0)+IFERROR(VLOOKUP(H159,Input!$B$68:$C$74,2,0),0)*(F159=0)*(Option_PW="Y")*(Option_SPW="N")*(age+H159&gt;=Legal_Age)</f>
        <v>0</v>
      </c>
      <c r="O159" s="148">
        <f t="shared" ca="1" si="132"/>
        <v>0</v>
      </c>
      <c r="P159" s="14">
        <f ca="1">(MAX(MAX(sa-CF158*Flag_UL_Type,105%*SUM($I$7:I159))-(AD158+L159-N159)*Flag_UL_Type,0)*B159)</f>
        <v>0</v>
      </c>
      <c r="Q159" s="213">
        <f t="shared" ca="1" si="107"/>
        <v>0</v>
      </c>
      <c r="R159" s="14">
        <f t="shared" ca="1" si="108"/>
        <v>0</v>
      </c>
      <c r="S159" s="14">
        <f t="shared" ca="1" si="109"/>
        <v>0</v>
      </c>
      <c r="T159" s="14">
        <f>IFERROR(IF(WoP_Flag="Y",IF(fq=1,VLOOKUP(ppt*fq-H159,Charges!$AN$41:$AO$59,2,FALSE),IF(fq=2,VLOOKUP(ppt*fq-G159,Charges!$AP$41:$AQ$79,2,FALSE),VLOOKUP(ppt*fq-D159,Charges!$AR$41:$AS$279,2,FALSE)))*pr/fq,0),0)</f>
        <v>0</v>
      </c>
      <c r="U159" s="14">
        <f ca="1">IFERROR(((T159*(VLOOKUP(Input!$D$18+H159-1,Tab_Mort_Charge,IF(Gender_2="M",2,3),FALSE)*(1+_emr2)+_rpm2)/IF(Model_Type="LA_PQIS",1000/0.0833,(12*1000))))*Flag_Mort_Rider_Charge*(T159&gt;0),0)</f>
        <v>0</v>
      </c>
      <c r="V159" s="34">
        <f>ROUND(MIN(IF(H159&gt;=7,Charges!$C$12*(1+Charges!$C$14)^((H159-7+1)),VLOOKUP(H159,Charges!$B$7:$C$12,2,0))*pr,Charges!$C$13)*B159,Round)</f>
        <v>500</v>
      </c>
      <c r="W159" s="14">
        <f t="shared" ca="1" si="110"/>
        <v>5843675.770792596</v>
      </c>
      <c r="X159" s="14">
        <f t="shared" ca="1" si="111"/>
        <v>5881274.1566549735</v>
      </c>
      <c r="Y159" s="213">
        <f t="shared" ca="1" si="133"/>
        <v>6620.0341565253802</v>
      </c>
      <c r="Z159" s="14">
        <f t="shared" ca="1" si="112"/>
        <v>5874654.122498448</v>
      </c>
      <c r="AA159" s="14">
        <f>IF(AND($H159=pt,$F159=11),SUM($K$7:K159)*VLOOKUP(pt,ROC,2,FALSE),0)</f>
        <v>0</v>
      </c>
      <c r="AB159" s="14">
        <f>IF(AND($H159=pt,$F159=11),SUM($V$7:V159)*VLOOKUP(pt,ROC,2,FALSE),0)</f>
        <v>0</v>
      </c>
      <c r="AC159" s="14">
        <f>IF(AND($H159=pt,$F159=11),SUM($Q$7:Q159)*VLOOKUP(pt,ROC,2,FALSE),0)</f>
        <v>0</v>
      </c>
      <c r="AD159" s="14">
        <f t="shared" ca="1" si="134"/>
        <v>5874654.122498448</v>
      </c>
      <c r="AE159" s="14">
        <f ca="1">(MAX(sa-CF158*Flag_UL_Type,105%*SUM($I$7:I159),Z159)+AU159)*B159</f>
        <v>5874654.122498448</v>
      </c>
      <c r="AF159" s="136"/>
      <c r="AG159" s="18">
        <v>153</v>
      </c>
      <c r="AH159" s="30">
        <f t="shared" ca="1" si="113"/>
        <v>0</v>
      </c>
      <c r="AI159" s="58"/>
      <c r="AJ159" s="50">
        <f>IF(AND(Option_Sys_TopUp&gt;="Y",H159&gt;=sytp,H159&lt;=(dtp+sytp-1),F159=0,H159&lt;=ppt+1),atp,0)+IFERROR(VLOOKUP(H159,Input!$B$55:$C$61,2,0),0)*(F159=0)*(Option_TopUP="Y")*(Option_Sys_TopUp="N")*B159*(pt&gt;=H159+5)</f>
        <v>0</v>
      </c>
      <c r="AK159" s="50">
        <f t="shared" si="114"/>
        <v>0</v>
      </c>
      <c r="AL159" s="50">
        <f t="shared" si="135"/>
        <v>0</v>
      </c>
      <c r="AM159" s="50">
        <f t="shared" ca="1" si="115"/>
        <v>0</v>
      </c>
      <c r="AN159" s="50">
        <f ca="1">IF(B159=0,0,AT159*(_rpm1+(1+_emr1)*VLOOKUP(E159,Tab_Mort_Charge,IF(Input!$C$12="M",2,3),0))*(0.001*0.0833)*Flag_Mort_Rider_Charge*(AT159&gt;0))</f>
        <v>0</v>
      </c>
      <c r="AO159" s="50">
        <f t="shared" ca="1" si="136"/>
        <v>0</v>
      </c>
      <c r="AP159" s="50">
        <f t="shared" ca="1" si="143"/>
        <v>0</v>
      </c>
      <c r="AQ159" s="50">
        <f t="shared" ca="1" si="116"/>
        <v>0</v>
      </c>
      <c r="AR159" s="50">
        <f t="shared" ca="1" si="117"/>
        <v>0</v>
      </c>
      <c r="AS159" s="50">
        <f t="shared" si="118"/>
        <v>0</v>
      </c>
      <c r="AT159" s="50">
        <f ca="1">(MAX((MAX(AS159,105%*SUM($AJ$7:AJ159))-AM159*Flag_UL_Type),0)*B159)</f>
        <v>0</v>
      </c>
      <c r="AU159" s="50">
        <f ca="1">(MAX(AS159,AR159,105%*SUM($AJ$7:AJ159))*B159)</f>
        <v>0</v>
      </c>
      <c r="AV159" s="125"/>
      <c r="AW159" s="13"/>
      <c r="AX159" s="13"/>
      <c r="AY159" s="13"/>
      <c r="AZ159" s="13"/>
      <c r="BA159" s="13"/>
      <c r="BG159" s="51">
        <f t="shared" si="119"/>
        <v>0</v>
      </c>
      <c r="BH159" s="51">
        <f t="shared" ca="1" si="120"/>
        <v>0</v>
      </c>
      <c r="BI159" s="51">
        <f t="shared" ca="1" si="121"/>
        <v>0</v>
      </c>
      <c r="BJ159" s="51">
        <f t="shared" ca="1" si="122"/>
        <v>0</v>
      </c>
      <c r="BK159" s="51">
        <f t="shared" si="123"/>
        <v>0</v>
      </c>
      <c r="BL159" s="51">
        <f t="shared" ca="1" si="124"/>
        <v>0</v>
      </c>
      <c r="BM159" s="51">
        <f t="shared" si="125"/>
        <v>0</v>
      </c>
      <c r="BN159" s="51">
        <f t="shared" ca="1" si="126"/>
        <v>0</v>
      </c>
      <c r="BO159" s="51">
        <f t="shared" ca="1" si="127"/>
        <v>0</v>
      </c>
      <c r="BP159" s="51">
        <f t="shared" ca="1" si="128"/>
        <v>0</v>
      </c>
      <c r="BQ159" s="120"/>
      <c r="BR159" s="32"/>
      <c r="BS159" s="126"/>
      <c r="BT159" s="16"/>
      <c r="BU159" s="58"/>
      <c r="BW159" s="51">
        <f>VLOOKUP(H159,Charges!$AT$4:$AU$33,2,FALSE)*I159</f>
        <v>0</v>
      </c>
      <c r="BX159" s="51">
        <f t="shared" si="129"/>
        <v>0</v>
      </c>
      <c r="BY159" s="51">
        <f t="shared" si="137"/>
        <v>0</v>
      </c>
      <c r="BZ159" s="151"/>
      <c r="CA159" s="151"/>
      <c r="CB159" s="32"/>
      <c r="CC159" s="16">
        <f ca="1">SUM($N$7:$N159)</f>
        <v>0</v>
      </c>
      <c r="CD159" s="16">
        <f t="shared" ca="1" si="130"/>
        <v>0</v>
      </c>
      <c r="CE159" s="16">
        <f t="shared" ca="1" si="131"/>
        <v>0</v>
      </c>
      <c r="CF159" s="7">
        <f t="shared" ca="1" si="138"/>
        <v>0</v>
      </c>
    </row>
    <row r="160" spans="1:84" s="7" customFormat="1" x14ac:dyDescent="0.2">
      <c r="A160" s="149"/>
      <c r="B160" s="14">
        <f t="shared" si="100"/>
        <v>1</v>
      </c>
      <c r="C160" s="12">
        <f t="shared" si="101"/>
        <v>1</v>
      </c>
      <c r="D160" s="17">
        <f t="shared" si="139"/>
        <v>154</v>
      </c>
      <c r="E160" s="17">
        <f t="shared" ca="1" si="102"/>
        <v>72</v>
      </c>
      <c r="F160" s="12">
        <f t="shared" si="141"/>
        <v>9</v>
      </c>
      <c r="G160" s="12">
        <f t="shared" si="140"/>
        <v>26</v>
      </c>
      <c r="H160" s="17">
        <f t="shared" si="142"/>
        <v>13</v>
      </c>
      <c r="I160" s="29">
        <f t="shared" si="103"/>
        <v>0</v>
      </c>
      <c r="J160" s="211">
        <f>IFERROR(VLOOKUP(H160,Charges!$T$6:$U$35,2,0)*C160,0)</f>
        <v>1</v>
      </c>
      <c r="K160" s="29">
        <f t="shared" si="104"/>
        <v>0</v>
      </c>
      <c r="L160" s="29">
        <f t="shared" si="105"/>
        <v>0</v>
      </c>
      <c r="M160" s="147">
        <f t="shared" ca="1" si="106"/>
        <v>0</v>
      </c>
      <c r="N160" s="148">
        <f ca="1">IF(AND(Option_SPW="Y",Z159&gt;=SPW_Start_Min_FV,H160&gt;=Lock_In_Period,Z159&gt;SPW_Amount_pa+IF(option="Single",1/5*pr,2*pr),H160&gt;=SPW_Start_Year,H160&lt;=SPW_Start_Year+SPW_Duration-1,F160=0,age+H160&gt;=Legal_Age),SPW_Amount_pa,0)+IFERROR(VLOOKUP(H160,Input!$B$68:$C$74,2,0),0)*(F160=0)*(Option_PW="Y")*(Option_SPW="N")*(age+H160&gt;=Legal_Age)</f>
        <v>0</v>
      </c>
      <c r="O160" s="148">
        <f t="shared" ca="1" si="132"/>
        <v>0</v>
      </c>
      <c r="P160" s="14">
        <f ca="1">(MAX(MAX(sa-CF159*Flag_UL_Type,105%*SUM($I$7:I160))-(AD159+L160-N160)*Flag_UL_Type,0)*B160)</f>
        <v>0</v>
      </c>
      <c r="Q160" s="213">
        <f t="shared" ca="1" si="107"/>
        <v>0</v>
      </c>
      <c r="R160" s="14">
        <f t="shared" ca="1" si="108"/>
        <v>0</v>
      </c>
      <c r="S160" s="14">
        <f t="shared" ca="1" si="109"/>
        <v>0</v>
      </c>
      <c r="T160" s="14">
        <f>IFERROR(IF(WoP_Flag="Y",IF(fq=1,VLOOKUP(ppt*fq-H160,Charges!$AN$41:$AO$59,2,FALSE),IF(fq=2,VLOOKUP(ppt*fq-G160,Charges!$AP$41:$AQ$79,2,FALSE),VLOOKUP(ppt*fq-D160,Charges!$AR$41:$AS$279,2,FALSE)))*pr/fq,0),0)</f>
        <v>0</v>
      </c>
      <c r="U160" s="14">
        <f ca="1">IFERROR(((T160*(VLOOKUP(Input!$D$18+H160-1,Tab_Mort_Charge,IF(Gender_2="M",2,3),FALSE)*(1+_emr2)+_rpm2)/IF(Model_Type="LA_PQIS",1000/0.0833,(12*1000))))*Flag_Mort_Rider_Charge*(T160&gt;0),0)</f>
        <v>0</v>
      </c>
      <c r="V160" s="34">
        <f>ROUND(MIN(IF(H160&gt;=7,Charges!$C$12*(1+Charges!$C$14)^((H160-7+1)),VLOOKUP(H160,Charges!$B$7:$C$12,2,0))*pr,Charges!$C$13)*B160,Round)</f>
        <v>500</v>
      </c>
      <c r="W160" s="14">
        <f t="shared" ca="1" si="110"/>
        <v>5874154.122498448</v>
      </c>
      <c r="X160" s="14">
        <f t="shared" ca="1" si="111"/>
        <v>5911948.6069934042</v>
      </c>
      <c r="Y160" s="213">
        <f t="shared" ca="1" si="133"/>
        <v>6654.561693172056</v>
      </c>
      <c r="Z160" s="14">
        <f t="shared" ca="1" si="112"/>
        <v>5905294.0453002322</v>
      </c>
      <c r="AA160" s="14">
        <f>IF(AND($H160=pt,$F160=11),SUM($K$7:K160)*VLOOKUP(pt,ROC,2,FALSE),0)</f>
        <v>0</v>
      </c>
      <c r="AB160" s="14">
        <f>IF(AND($H160=pt,$F160=11),SUM($V$7:V160)*VLOOKUP(pt,ROC,2,FALSE),0)</f>
        <v>0</v>
      </c>
      <c r="AC160" s="14">
        <f>IF(AND($H160=pt,$F160=11),SUM($Q$7:Q160)*VLOOKUP(pt,ROC,2,FALSE),0)</f>
        <v>0</v>
      </c>
      <c r="AD160" s="14">
        <f t="shared" ca="1" si="134"/>
        <v>5905294.0453002322</v>
      </c>
      <c r="AE160" s="14">
        <f ca="1">(MAX(sa-CF159*Flag_UL_Type,105%*SUM($I$7:I160),Z160)+AU160)*B160</f>
        <v>5905294.0453002322</v>
      </c>
      <c r="AF160" s="136"/>
      <c r="AG160" s="18">
        <v>154</v>
      </c>
      <c r="AH160" s="30">
        <f t="shared" ca="1" si="113"/>
        <v>0</v>
      </c>
      <c r="AI160" s="58"/>
      <c r="AJ160" s="50">
        <f>IF(AND(Option_Sys_TopUp&gt;="Y",H160&gt;=sytp,H160&lt;=(dtp+sytp-1),F160=0,H160&lt;=ppt+1),atp,0)+IFERROR(VLOOKUP(H160,Input!$B$55:$C$61,2,0),0)*(F160=0)*(Option_TopUP="Y")*(Option_Sys_TopUp="N")*B160*(pt&gt;=H160+5)</f>
        <v>0</v>
      </c>
      <c r="AK160" s="50">
        <f t="shared" si="114"/>
        <v>0</v>
      </c>
      <c r="AL160" s="50">
        <f t="shared" si="135"/>
        <v>0</v>
      </c>
      <c r="AM160" s="50">
        <f t="shared" ca="1" si="115"/>
        <v>0</v>
      </c>
      <c r="AN160" s="50">
        <f ca="1">IF(B160=0,0,AT160*(_rpm1+(1+_emr1)*VLOOKUP(E160,Tab_Mort_Charge,IF(Input!$C$12="M",2,3),0))*(0.001*0.0833)*Flag_Mort_Rider_Charge*(AT160&gt;0))</f>
        <v>0</v>
      </c>
      <c r="AO160" s="50">
        <f t="shared" ca="1" si="136"/>
        <v>0</v>
      </c>
      <c r="AP160" s="50">
        <f t="shared" ca="1" si="143"/>
        <v>0</v>
      </c>
      <c r="AQ160" s="50">
        <f t="shared" ca="1" si="116"/>
        <v>0</v>
      </c>
      <c r="AR160" s="50">
        <f t="shared" ca="1" si="117"/>
        <v>0</v>
      </c>
      <c r="AS160" s="50">
        <f t="shared" si="118"/>
        <v>0</v>
      </c>
      <c r="AT160" s="50">
        <f ca="1">(MAX((MAX(AS160,105%*SUM($AJ$7:AJ160))-AM160*Flag_UL_Type),0)*B160)</f>
        <v>0</v>
      </c>
      <c r="AU160" s="50">
        <f ca="1">(MAX(AS160,AR160,105%*SUM($AJ$7:AJ160))*B160)</f>
        <v>0</v>
      </c>
      <c r="AV160" s="125"/>
      <c r="AW160" s="13"/>
      <c r="AX160" s="13"/>
      <c r="AY160" s="13"/>
      <c r="AZ160" s="13"/>
      <c r="BA160" s="13"/>
      <c r="BG160" s="51">
        <f t="shared" si="119"/>
        <v>0</v>
      </c>
      <c r="BH160" s="51">
        <f t="shared" ca="1" si="120"/>
        <v>0</v>
      </c>
      <c r="BI160" s="51">
        <f t="shared" ca="1" si="121"/>
        <v>0</v>
      </c>
      <c r="BJ160" s="51">
        <f t="shared" ca="1" si="122"/>
        <v>0</v>
      </c>
      <c r="BK160" s="51">
        <f t="shared" si="123"/>
        <v>0</v>
      </c>
      <c r="BL160" s="51">
        <f t="shared" ca="1" si="124"/>
        <v>0</v>
      </c>
      <c r="BM160" s="51">
        <f t="shared" si="125"/>
        <v>0</v>
      </c>
      <c r="BN160" s="51">
        <f t="shared" ca="1" si="126"/>
        <v>0</v>
      </c>
      <c r="BO160" s="51">
        <f t="shared" ca="1" si="127"/>
        <v>0</v>
      </c>
      <c r="BP160" s="51">
        <f t="shared" ca="1" si="128"/>
        <v>0</v>
      </c>
      <c r="BQ160" s="120"/>
      <c r="BR160" s="32"/>
      <c r="BS160" s="126"/>
      <c r="BT160" s="16"/>
      <c r="BU160" s="58"/>
      <c r="BW160" s="51">
        <f>VLOOKUP(H160,Charges!$AT$4:$AU$33,2,FALSE)*I160</f>
        <v>0</v>
      </c>
      <c r="BX160" s="51">
        <f t="shared" si="129"/>
        <v>0</v>
      </c>
      <c r="BY160" s="51">
        <f t="shared" si="137"/>
        <v>0</v>
      </c>
      <c r="BZ160" s="151"/>
      <c r="CA160" s="151"/>
      <c r="CB160" s="32"/>
      <c r="CC160" s="16">
        <f ca="1">SUM($N$7:$N160)</f>
        <v>0</v>
      </c>
      <c r="CD160" s="16">
        <f t="shared" ca="1" si="130"/>
        <v>0</v>
      </c>
      <c r="CE160" s="16">
        <f t="shared" ca="1" si="131"/>
        <v>0</v>
      </c>
      <c r="CF160" s="7">
        <f t="shared" ca="1" si="138"/>
        <v>0</v>
      </c>
    </row>
    <row r="161" spans="1:84" s="7" customFormat="1" x14ac:dyDescent="0.2">
      <c r="A161" s="149"/>
      <c r="B161" s="14">
        <f t="shared" si="100"/>
        <v>1</v>
      </c>
      <c r="C161" s="12">
        <f t="shared" si="101"/>
        <v>1</v>
      </c>
      <c r="D161" s="17">
        <f t="shared" si="139"/>
        <v>155</v>
      </c>
      <c r="E161" s="17">
        <f t="shared" ca="1" si="102"/>
        <v>72</v>
      </c>
      <c r="F161" s="12">
        <f t="shared" si="141"/>
        <v>10</v>
      </c>
      <c r="G161" s="12">
        <f t="shared" si="140"/>
        <v>26</v>
      </c>
      <c r="H161" s="17">
        <f t="shared" si="142"/>
        <v>13</v>
      </c>
      <c r="I161" s="29">
        <f t="shared" si="103"/>
        <v>0</v>
      </c>
      <c r="J161" s="211">
        <f>IFERROR(VLOOKUP(H161,Charges!$T$6:$U$35,2,0)*C161,0)</f>
        <v>1</v>
      </c>
      <c r="K161" s="29">
        <f t="shared" si="104"/>
        <v>0</v>
      </c>
      <c r="L161" s="29">
        <f t="shared" si="105"/>
        <v>0</v>
      </c>
      <c r="M161" s="147">
        <f t="shared" ca="1" si="106"/>
        <v>0</v>
      </c>
      <c r="N161" s="148">
        <f ca="1">IF(AND(Option_SPW="Y",Z160&gt;=SPW_Start_Min_FV,H161&gt;=Lock_In_Period,Z160&gt;SPW_Amount_pa+IF(option="Single",1/5*pr,2*pr),H161&gt;=SPW_Start_Year,H161&lt;=SPW_Start_Year+SPW_Duration-1,F161=0,age+H161&gt;=Legal_Age),SPW_Amount_pa,0)+IFERROR(VLOOKUP(H161,Input!$B$68:$C$74,2,0),0)*(F161=0)*(Option_PW="Y")*(Option_SPW="N")*(age+H161&gt;=Legal_Age)</f>
        <v>0</v>
      </c>
      <c r="O161" s="148">
        <f t="shared" ca="1" si="132"/>
        <v>0</v>
      </c>
      <c r="P161" s="14">
        <f ca="1">(MAX(MAX(sa-CF160*Flag_UL_Type,105%*SUM($I$7:I161))-(AD160+L161-N161)*Flag_UL_Type,0)*B161)</f>
        <v>0</v>
      </c>
      <c r="Q161" s="213">
        <f t="shared" ca="1" si="107"/>
        <v>0</v>
      </c>
      <c r="R161" s="14">
        <f t="shared" ca="1" si="108"/>
        <v>0</v>
      </c>
      <c r="S161" s="14">
        <f t="shared" ca="1" si="109"/>
        <v>0</v>
      </c>
      <c r="T161" s="14">
        <f>IFERROR(IF(WoP_Flag="Y",IF(fq=1,VLOOKUP(ppt*fq-H161,Charges!$AN$41:$AO$59,2,FALSE),IF(fq=2,VLOOKUP(ppt*fq-G161,Charges!$AP$41:$AQ$79,2,FALSE),VLOOKUP(ppt*fq-D161,Charges!$AR$41:$AS$279,2,FALSE)))*pr/fq,0),0)</f>
        <v>0</v>
      </c>
      <c r="U161" s="14">
        <f ca="1">IFERROR(((T161*(VLOOKUP(Input!$D$18+H161-1,Tab_Mort_Charge,IF(Gender_2="M",2,3),FALSE)*(1+_emr2)+_rpm2)/IF(Model_Type="LA_PQIS",1000/0.0833,(12*1000))))*Flag_Mort_Rider_Charge*(T161&gt;0),0)</f>
        <v>0</v>
      </c>
      <c r="V161" s="34">
        <f>ROUND(MIN(IF(H161&gt;=7,Charges!$C$12*(1+Charges!$C$14)^((H161-7+1)),VLOOKUP(H161,Charges!$B$7:$C$12,2,0))*pr,Charges!$C$13)*B161,Round)</f>
        <v>500</v>
      </c>
      <c r="W161" s="14">
        <f t="shared" ca="1" si="110"/>
        <v>5904794.0453002322</v>
      </c>
      <c r="X161" s="14">
        <f t="shared" ca="1" si="111"/>
        <v>5942785.667981063</v>
      </c>
      <c r="Y161" s="213">
        <f t="shared" ca="1" si="133"/>
        <v>6689.2722663552768</v>
      </c>
      <c r="Z161" s="14">
        <f t="shared" ca="1" si="112"/>
        <v>5936096.3957147077</v>
      </c>
      <c r="AA161" s="14">
        <f>IF(AND($H161=pt,$F161=11),SUM($K$7:K161)*VLOOKUP(pt,ROC,2,FALSE),0)</f>
        <v>0</v>
      </c>
      <c r="AB161" s="14">
        <f>IF(AND($H161=pt,$F161=11),SUM($V$7:V161)*VLOOKUP(pt,ROC,2,FALSE),0)</f>
        <v>0</v>
      </c>
      <c r="AC161" s="14">
        <f>IF(AND($H161=pt,$F161=11),SUM($Q$7:Q161)*VLOOKUP(pt,ROC,2,FALSE),0)</f>
        <v>0</v>
      </c>
      <c r="AD161" s="14">
        <f t="shared" ca="1" si="134"/>
        <v>5936096.3957147077</v>
      </c>
      <c r="AE161" s="14">
        <f ca="1">(MAX(sa-CF160*Flag_UL_Type,105%*SUM($I$7:I161),Z161)+AU161)*B161</f>
        <v>5936096.3957147077</v>
      </c>
      <c r="AF161" s="136"/>
      <c r="AG161" s="18">
        <v>155</v>
      </c>
      <c r="AH161" s="30">
        <f t="shared" ca="1" si="113"/>
        <v>0</v>
      </c>
      <c r="AI161" s="58"/>
      <c r="AJ161" s="50">
        <f>IF(AND(Option_Sys_TopUp&gt;="Y",H161&gt;=sytp,H161&lt;=(dtp+sytp-1),F161=0,H161&lt;=ppt+1),atp,0)+IFERROR(VLOOKUP(H161,Input!$B$55:$C$61,2,0),0)*(F161=0)*(Option_TopUP="Y")*(Option_Sys_TopUp="N")*B161*(pt&gt;=H161+5)</f>
        <v>0</v>
      </c>
      <c r="AK161" s="50">
        <f t="shared" si="114"/>
        <v>0</v>
      </c>
      <c r="AL161" s="50">
        <f t="shared" si="135"/>
        <v>0</v>
      </c>
      <c r="AM161" s="50">
        <f t="shared" ca="1" si="115"/>
        <v>0</v>
      </c>
      <c r="AN161" s="50">
        <f ca="1">IF(B161=0,0,AT161*(_rpm1+(1+_emr1)*VLOOKUP(E161,Tab_Mort_Charge,IF(Input!$C$12="M",2,3),0))*(0.001*0.0833)*Flag_Mort_Rider_Charge*(AT161&gt;0))</f>
        <v>0</v>
      </c>
      <c r="AO161" s="50">
        <f t="shared" ca="1" si="136"/>
        <v>0</v>
      </c>
      <c r="AP161" s="50">
        <f t="shared" ca="1" si="143"/>
        <v>0</v>
      </c>
      <c r="AQ161" s="50">
        <f t="shared" ca="1" si="116"/>
        <v>0</v>
      </c>
      <c r="AR161" s="50">
        <f t="shared" ca="1" si="117"/>
        <v>0</v>
      </c>
      <c r="AS161" s="50">
        <f t="shared" si="118"/>
        <v>0</v>
      </c>
      <c r="AT161" s="50">
        <f ca="1">(MAX((MAX(AS161,105%*SUM($AJ$7:AJ161))-AM161*Flag_UL_Type),0)*B161)</f>
        <v>0</v>
      </c>
      <c r="AU161" s="50">
        <f ca="1">(MAX(AS161,AR161,105%*SUM($AJ$7:AJ161))*B161)</f>
        <v>0</v>
      </c>
      <c r="AV161" s="125"/>
      <c r="AW161" s="13"/>
      <c r="AX161" s="13"/>
      <c r="AY161" s="13"/>
      <c r="AZ161" s="13"/>
      <c r="BA161" s="13"/>
      <c r="BG161" s="51">
        <f t="shared" si="119"/>
        <v>0</v>
      </c>
      <c r="BH161" s="51">
        <f t="shared" ca="1" si="120"/>
        <v>0</v>
      </c>
      <c r="BI161" s="51">
        <f t="shared" ca="1" si="121"/>
        <v>0</v>
      </c>
      <c r="BJ161" s="51">
        <f t="shared" ca="1" si="122"/>
        <v>0</v>
      </c>
      <c r="BK161" s="51">
        <f t="shared" si="123"/>
        <v>0</v>
      </c>
      <c r="BL161" s="51">
        <f t="shared" ca="1" si="124"/>
        <v>0</v>
      </c>
      <c r="BM161" s="51">
        <f t="shared" si="125"/>
        <v>0</v>
      </c>
      <c r="BN161" s="51">
        <f t="shared" ca="1" si="126"/>
        <v>0</v>
      </c>
      <c r="BO161" s="51">
        <f t="shared" ca="1" si="127"/>
        <v>0</v>
      </c>
      <c r="BP161" s="51">
        <f t="shared" ca="1" si="128"/>
        <v>0</v>
      </c>
      <c r="BQ161" s="120"/>
      <c r="BR161" s="32"/>
      <c r="BS161" s="126"/>
      <c r="BT161" s="16"/>
      <c r="BU161" s="58"/>
      <c r="BW161" s="51">
        <f>VLOOKUP(H161,Charges!$AT$4:$AU$33,2,FALSE)*I161</f>
        <v>0</v>
      </c>
      <c r="BX161" s="51">
        <f t="shared" si="129"/>
        <v>0</v>
      </c>
      <c r="BY161" s="51">
        <f t="shared" si="137"/>
        <v>0</v>
      </c>
      <c r="BZ161" s="151"/>
      <c r="CA161" s="151"/>
      <c r="CB161" s="32"/>
      <c r="CC161" s="16">
        <f ca="1">SUM($N$7:$N161)</f>
        <v>0</v>
      </c>
      <c r="CD161" s="16">
        <f t="shared" ca="1" si="130"/>
        <v>0</v>
      </c>
      <c r="CE161" s="16">
        <f t="shared" ca="1" si="131"/>
        <v>0</v>
      </c>
      <c r="CF161" s="7">
        <f t="shared" ca="1" si="138"/>
        <v>0</v>
      </c>
    </row>
    <row r="162" spans="1:84" s="7" customFormat="1" x14ac:dyDescent="0.2">
      <c r="A162" s="149"/>
      <c r="B162" s="14">
        <f t="shared" si="100"/>
        <v>1</v>
      </c>
      <c r="C162" s="12">
        <f t="shared" si="101"/>
        <v>1</v>
      </c>
      <c r="D162" s="17">
        <f t="shared" si="139"/>
        <v>156</v>
      </c>
      <c r="E162" s="17">
        <f t="shared" ca="1" si="102"/>
        <v>72</v>
      </c>
      <c r="F162" s="12">
        <f t="shared" si="141"/>
        <v>11</v>
      </c>
      <c r="G162" s="12">
        <f t="shared" si="140"/>
        <v>26</v>
      </c>
      <c r="H162" s="17">
        <f t="shared" si="142"/>
        <v>13</v>
      </c>
      <c r="I162" s="29">
        <f t="shared" si="103"/>
        <v>0</v>
      </c>
      <c r="J162" s="211">
        <f>IFERROR(VLOOKUP(H162,Charges!$T$6:$U$35,2,0)*C162,0)</f>
        <v>1</v>
      </c>
      <c r="K162" s="29">
        <f t="shared" si="104"/>
        <v>0</v>
      </c>
      <c r="L162" s="29">
        <f t="shared" si="105"/>
        <v>0</v>
      </c>
      <c r="M162" s="147">
        <f t="shared" ca="1" si="106"/>
        <v>0</v>
      </c>
      <c r="N162" s="148">
        <f ca="1">IF(AND(Option_SPW="Y",Z161&gt;=SPW_Start_Min_FV,H162&gt;=Lock_In_Period,Z161&gt;SPW_Amount_pa+IF(option="Single",1/5*pr,2*pr),H162&gt;=SPW_Start_Year,H162&lt;=SPW_Start_Year+SPW_Duration-1,F162=0,age+H162&gt;=Legal_Age),SPW_Amount_pa,0)+IFERROR(VLOOKUP(H162,Input!$B$68:$C$74,2,0),0)*(F162=0)*(Option_PW="Y")*(Option_SPW="N")*(age+H162&gt;=Legal_Age)</f>
        <v>0</v>
      </c>
      <c r="O162" s="148">
        <f t="shared" ca="1" si="132"/>
        <v>0</v>
      </c>
      <c r="P162" s="14">
        <f ca="1">(MAX(MAX(sa-CF161*Flag_UL_Type,105%*SUM($I$7:I162))-(AD161+L162-N162)*Flag_UL_Type,0)*B162)</f>
        <v>0</v>
      </c>
      <c r="Q162" s="213">
        <f t="shared" ca="1" si="107"/>
        <v>0</v>
      </c>
      <c r="R162" s="14">
        <f t="shared" ca="1" si="108"/>
        <v>0</v>
      </c>
      <c r="S162" s="14">
        <f t="shared" ca="1" si="109"/>
        <v>0</v>
      </c>
      <c r="T162" s="14">
        <f>IFERROR(IF(WoP_Flag="Y",IF(fq=1,VLOOKUP(ppt*fq-H162,Charges!$AN$41:$AO$59,2,FALSE),IF(fq=2,VLOOKUP(ppt*fq-G162,Charges!$AP$41:$AQ$79,2,FALSE),VLOOKUP(ppt*fq-D162,Charges!$AR$41:$AS$279,2,FALSE)))*pr/fq,0),0)</f>
        <v>0</v>
      </c>
      <c r="U162" s="14">
        <f ca="1">IFERROR(((T162*(VLOOKUP(Input!$D$18+H162-1,Tab_Mort_Charge,IF(Gender_2="M",2,3),FALSE)*(1+_emr2)+_rpm2)/IF(Model_Type="LA_PQIS",1000/0.0833,(12*1000))))*Flag_Mort_Rider_Charge*(T162&gt;0),0)</f>
        <v>0</v>
      </c>
      <c r="V162" s="34">
        <f>ROUND(MIN(IF(H162&gt;=7,Charges!$C$12*(1+Charges!$C$14)^((H162-7+1)),VLOOKUP(H162,Charges!$B$7:$C$12,2,0))*pr,Charges!$C$13)*B162,Round)</f>
        <v>500</v>
      </c>
      <c r="W162" s="14">
        <f t="shared" ca="1" si="110"/>
        <v>5935596.3957147077</v>
      </c>
      <c r="X162" s="14">
        <f t="shared" ca="1" si="111"/>
        <v>5973786.2016455643</v>
      </c>
      <c r="Y162" s="213">
        <f t="shared" ca="1" si="133"/>
        <v>6724.1668463838732</v>
      </c>
      <c r="Z162" s="14">
        <f t="shared" ca="1" si="112"/>
        <v>5967062.03479918</v>
      </c>
      <c r="AA162" s="14">
        <f>IF(AND($H162=pt,$F162=11),SUM($K$7:K162)*VLOOKUP(pt,ROC,2,FALSE),0)</f>
        <v>0</v>
      </c>
      <c r="AB162" s="14">
        <f>IF(AND($H162=pt,$F162=11),SUM($V$7:V162)*VLOOKUP(pt,ROC,2,FALSE),0)</f>
        <v>0</v>
      </c>
      <c r="AC162" s="14">
        <f>IF(AND($H162=pt,$F162=11),SUM($Q$7:Q162)*VLOOKUP(pt,ROC,2,FALSE),0)</f>
        <v>0</v>
      </c>
      <c r="AD162" s="14">
        <f t="shared" ca="1" si="134"/>
        <v>5967062.03479918</v>
      </c>
      <c r="AE162" s="14">
        <f ca="1">(MAX(sa-CF161*Flag_UL_Type,105%*SUM($I$7:I162),Z162)+AU162)*B162</f>
        <v>5967062.03479918</v>
      </c>
      <c r="AF162" s="136"/>
      <c r="AG162" s="18">
        <v>156</v>
      </c>
      <c r="AH162" s="30">
        <f t="shared" ca="1" si="113"/>
        <v>0</v>
      </c>
      <c r="AI162" s="58"/>
      <c r="AJ162" s="50">
        <f>IF(AND(Option_Sys_TopUp&gt;="Y",H162&gt;=sytp,H162&lt;=(dtp+sytp-1),F162=0,H162&lt;=ppt+1),atp,0)+IFERROR(VLOOKUP(H162,Input!$B$55:$C$61,2,0),0)*(F162=0)*(Option_TopUP="Y")*(Option_Sys_TopUp="N")*B162*(pt&gt;=H162+5)</f>
        <v>0</v>
      </c>
      <c r="AK162" s="50">
        <f t="shared" si="114"/>
        <v>0</v>
      </c>
      <c r="AL162" s="50">
        <f t="shared" si="135"/>
        <v>0</v>
      </c>
      <c r="AM162" s="50">
        <f t="shared" ca="1" si="115"/>
        <v>0</v>
      </c>
      <c r="AN162" s="50">
        <f ca="1">IF(B162=0,0,AT162*(_rpm1+(1+_emr1)*VLOOKUP(E162,Tab_Mort_Charge,IF(Input!$C$12="M",2,3),0))*(0.001*0.0833)*Flag_Mort_Rider_Charge*(AT162&gt;0))</f>
        <v>0</v>
      </c>
      <c r="AO162" s="50">
        <f t="shared" ca="1" si="136"/>
        <v>0</v>
      </c>
      <c r="AP162" s="50">
        <f t="shared" ca="1" si="143"/>
        <v>0</v>
      </c>
      <c r="AQ162" s="50">
        <f t="shared" ca="1" si="116"/>
        <v>0</v>
      </c>
      <c r="AR162" s="50">
        <f t="shared" ca="1" si="117"/>
        <v>0</v>
      </c>
      <c r="AS162" s="50">
        <f t="shared" si="118"/>
        <v>0</v>
      </c>
      <c r="AT162" s="50">
        <f ca="1">(MAX((MAX(AS162,105%*SUM($AJ$7:AJ162))-AM162*Flag_UL_Type),0)*B162)</f>
        <v>0</v>
      </c>
      <c r="AU162" s="50">
        <f ca="1">(MAX(AS162,AR162,105%*SUM($AJ$7:AJ162))*B162)</f>
        <v>0</v>
      </c>
      <c r="AV162" s="125"/>
      <c r="AW162" s="13"/>
      <c r="AX162" s="13"/>
      <c r="AY162" s="13"/>
      <c r="AZ162" s="13"/>
      <c r="BA162" s="13"/>
      <c r="BG162" s="51">
        <f t="shared" si="119"/>
        <v>0</v>
      </c>
      <c r="BH162" s="51">
        <f t="shared" ca="1" si="120"/>
        <v>0</v>
      </c>
      <c r="BI162" s="51">
        <f t="shared" ca="1" si="121"/>
        <v>0</v>
      </c>
      <c r="BJ162" s="51">
        <f t="shared" ca="1" si="122"/>
        <v>0</v>
      </c>
      <c r="BK162" s="51">
        <f t="shared" si="123"/>
        <v>0</v>
      </c>
      <c r="BL162" s="51">
        <f t="shared" ca="1" si="124"/>
        <v>0</v>
      </c>
      <c r="BM162" s="51">
        <f t="shared" si="125"/>
        <v>0</v>
      </c>
      <c r="BN162" s="51">
        <f t="shared" ca="1" si="126"/>
        <v>0</v>
      </c>
      <c r="BO162" s="51">
        <f t="shared" ca="1" si="127"/>
        <v>0</v>
      </c>
      <c r="BP162" s="51">
        <f t="shared" ca="1" si="128"/>
        <v>0</v>
      </c>
      <c r="BQ162" s="120"/>
      <c r="BR162" s="32"/>
      <c r="BS162" s="126"/>
      <c r="BT162" s="16"/>
      <c r="BU162" s="58"/>
      <c r="BW162" s="51">
        <f>VLOOKUP(H162,Charges!$AT$4:$AU$33,2,FALSE)*I162</f>
        <v>0</v>
      </c>
      <c r="BX162" s="51">
        <f t="shared" si="129"/>
        <v>0</v>
      </c>
      <c r="BY162" s="51">
        <f t="shared" si="137"/>
        <v>0</v>
      </c>
      <c r="BZ162" s="151"/>
      <c r="CA162" s="151"/>
      <c r="CB162" s="32"/>
      <c r="CC162" s="16">
        <f ca="1">SUM($N$7:$N162)</f>
        <v>0</v>
      </c>
      <c r="CD162" s="16">
        <f t="shared" ca="1" si="130"/>
        <v>0</v>
      </c>
      <c r="CE162" s="16">
        <f t="shared" ca="1" si="131"/>
        <v>0</v>
      </c>
      <c r="CF162" s="7">
        <f t="shared" ca="1" si="138"/>
        <v>0</v>
      </c>
    </row>
    <row r="163" spans="1:84" s="7" customFormat="1" x14ac:dyDescent="0.2">
      <c r="A163" s="149"/>
      <c r="B163" s="14">
        <f t="shared" si="100"/>
        <v>1</v>
      </c>
      <c r="C163" s="12">
        <f t="shared" si="101"/>
        <v>1</v>
      </c>
      <c r="D163" s="17">
        <f t="shared" si="139"/>
        <v>157</v>
      </c>
      <c r="E163" s="17">
        <f t="shared" ca="1" si="102"/>
        <v>73</v>
      </c>
      <c r="F163" s="12">
        <f t="shared" si="141"/>
        <v>0</v>
      </c>
      <c r="G163" s="12">
        <f t="shared" si="140"/>
        <v>27</v>
      </c>
      <c r="H163" s="17">
        <f t="shared" si="142"/>
        <v>14</v>
      </c>
      <c r="I163" s="29">
        <f t="shared" si="103"/>
        <v>300000</v>
      </c>
      <c r="J163" s="211">
        <f>IFERROR(VLOOKUP(H163,Charges!$T$6:$U$35,2,0)*C163,0)</f>
        <v>1</v>
      </c>
      <c r="K163" s="29">
        <f t="shared" si="104"/>
        <v>0</v>
      </c>
      <c r="L163" s="29">
        <f t="shared" si="105"/>
        <v>300000</v>
      </c>
      <c r="M163" s="147">
        <f t="shared" ca="1" si="106"/>
        <v>0</v>
      </c>
      <c r="N163" s="148">
        <f ca="1">IF(AND(Option_SPW="Y",Z162&gt;=SPW_Start_Min_FV,H163&gt;=Lock_In_Period,Z162&gt;SPW_Amount_pa+IF(option="Single",1/5*pr,2*pr),H163&gt;=SPW_Start_Year,H163&lt;=SPW_Start_Year+SPW_Duration-1,F163=0,age+H163&gt;=Legal_Age),SPW_Amount_pa,0)+IFERROR(VLOOKUP(H163,Input!$B$68:$C$74,2,0),0)*(F163=0)*(Option_PW="Y")*(Option_SPW="N")*(age+H163&gt;=Legal_Age)</f>
        <v>0</v>
      </c>
      <c r="O163" s="148">
        <f t="shared" ca="1" si="132"/>
        <v>0</v>
      </c>
      <c r="P163" s="14">
        <f ca="1">(MAX(MAX(sa-CF162*Flag_UL_Type,105%*SUM($I$7:I163))-(AD162+L163-N163)*Flag_UL_Type,0)*B163)</f>
        <v>0</v>
      </c>
      <c r="Q163" s="213">
        <f t="shared" ca="1" si="107"/>
        <v>0</v>
      </c>
      <c r="R163" s="14">
        <f t="shared" ca="1" si="108"/>
        <v>0</v>
      </c>
      <c r="S163" s="14">
        <f t="shared" ca="1" si="109"/>
        <v>0</v>
      </c>
      <c r="T163" s="14">
        <f>IFERROR(IF(WoP_Flag="Y",IF(fq=1,VLOOKUP(ppt*fq-H163,Charges!$AN$41:$AO$59,2,FALSE),IF(fq=2,VLOOKUP(ppt*fq-G163,Charges!$AP$41:$AQ$79,2,FALSE),VLOOKUP(ppt*fq-D163,Charges!$AR$41:$AS$279,2,FALSE)))*pr/fq,0),0)</f>
        <v>0</v>
      </c>
      <c r="U163" s="14">
        <f ca="1">IFERROR(((T163*(VLOOKUP(Input!$D$18+H163-1,Tab_Mort_Charge,IF(Gender_2="M",2,3),FALSE)*(1+_emr2)+_rpm2)/IF(Model_Type="LA_PQIS",1000/0.0833,(12*1000))))*Flag_Mort_Rider_Charge*(T163&gt;0),0)</f>
        <v>0</v>
      </c>
      <c r="V163" s="34">
        <f>ROUND(MIN(IF(H163&gt;=7,Charges!$C$12*(1+Charges!$C$14)^((H163-7+1)),VLOOKUP(H163,Charges!$B$7:$C$12,2,0))*pr,Charges!$C$13)*B163,Round)</f>
        <v>500</v>
      </c>
      <c r="W163" s="14">
        <f t="shared" ca="1" si="110"/>
        <v>6266562.03479918</v>
      </c>
      <c r="X163" s="14">
        <f t="shared" ca="1" si="111"/>
        <v>6306881.2836172823</v>
      </c>
      <c r="Y163" s="213">
        <f t="shared" ca="1" si="133"/>
        <v>7099.1027465456109</v>
      </c>
      <c r="Z163" s="14">
        <f t="shared" ca="1" si="112"/>
        <v>6299782.1808707369</v>
      </c>
      <c r="AA163" s="14">
        <f>IF(AND($H163=pt,$F163=11),SUM($K$7:K163)*VLOOKUP(pt,ROC,2,FALSE),0)</f>
        <v>0</v>
      </c>
      <c r="AB163" s="14">
        <f>IF(AND($H163=pt,$F163=11),SUM($V$7:V163)*VLOOKUP(pt,ROC,2,FALSE),0)</f>
        <v>0</v>
      </c>
      <c r="AC163" s="14">
        <f>IF(AND($H163=pt,$F163=11),SUM($Q$7:Q163)*VLOOKUP(pt,ROC,2,FALSE),0)</f>
        <v>0</v>
      </c>
      <c r="AD163" s="14">
        <f t="shared" ca="1" si="134"/>
        <v>6299782.1808707369</v>
      </c>
      <c r="AE163" s="14">
        <f ca="1">(MAX(sa-CF162*Flag_UL_Type,105%*SUM($I$7:I163),Z163)+AU163)*B163</f>
        <v>6299782.1808707369</v>
      </c>
      <c r="AF163" s="136"/>
      <c r="AG163" s="18">
        <v>157</v>
      </c>
      <c r="AH163" s="30">
        <f t="shared" ca="1" si="113"/>
        <v>300000</v>
      </c>
      <c r="AI163" s="58"/>
      <c r="AJ163" s="50">
        <f>IF(AND(Option_Sys_TopUp&gt;="Y",H163&gt;=sytp,H163&lt;=(dtp+sytp-1),F163=0,H163&lt;=ppt+1),atp,0)+IFERROR(VLOOKUP(H163,Input!$B$55:$C$61,2,0),0)*(F163=0)*(Option_TopUP="Y")*(Option_Sys_TopUp="N")*B163*(pt&gt;=H163+5)</f>
        <v>0</v>
      </c>
      <c r="AK163" s="50">
        <f t="shared" si="114"/>
        <v>0</v>
      </c>
      <c r="AL163" s="50">
        <f t="shared" si="135"/>
        <v>0</v>
      </c>
      <c r="AM163" s="50">
        <f t="shared" ca="1" si="115"/>
        <v>0</v>
      </c>
      <c r="AN163" s="50">
        <f ca="1">IF(B163=0,0,AT163*(_rpm1+(1+_emr1)*VLOOKUP(E163,Tab_Mort_Charge,IF(Input!$C$12="M",2,3),0))*(0.001*0.0833)*Flag_Mort_Rider_Charge*(AT163&gt;0))</f>
        <v>0</v>
      </c>
      <c r="AO163" s="50">
        <f t="shared" ca="1" si="136"/>
        <v>0</v>
      </c>
      <c r="AP163" s="50">
        <f t="shared" ca="1" si="143"/>
        <v>0</v>
      </c>
      <c r="AQ163" s="50">
        <f t="shared" ca="1" si="116"/>
        <v>0</v>
      </c>
      <c r="AR163" s="50">
        <f t="shared" ca="1" si="117"/>
        <v>0</v>
      </c>
      <c r="AS163" s="50">
        <f t="shared" si="118"/>
        <v>0</v>
      </c>
      <c r="AT163" s="50">
        <f ca="1">(MAX((MAX(AS163,105%*SUM($AJ$7:AJ163))-AM163*Flag_UL_Type),0)*B163)</f>
        <v>0</v>
      </c>
      <c r="AU163" s="50">
        <f ca="1">(MAX(AS163,AR163,105%*SUM($AJ$7:AJ163))*B163)</f>
        <v>0</v>
      </c>
      <c r="AV163" s="125"/>
      <c r="AW163" s="13"/>
      <c r="AX163" s="13"/>
      <c r="AY163" s="13"/>
      <c r="AZ163" s="13"/>
      <c r="BA163" s="13"/>
      <c r="BG163" s="51">
        <f t="shared" si="119"/>
        <v>0</v>
      </c>
      <c r="BH163" s="51">
        <f t="shared" ca="1" si="120"/>
        <v>0</v>
      </c>
      <c r="BI163" s="51">
        <f t="shared" ca="1" si="121"/>
        <v>0</v>
      </c>
      <c r="BJ163" s="51">
        <f t="shared" ca="1" si="122"/>
        <v>0</v>
      </c>
      <c r="BK163" s="51">
        <f t="shared" si="123"/>
        <v>0</v>
      </c>
      <c r="BL163" s="51">
        <f t="shared" ca="1" si="124"/>
        <v>0</v>
      </c>
      <c r="BM163" s="51">
        <f t="shared" si="125"/>
        <v>0</v>
      </c>
      <c r="BN163" s="51">
        <f t="shared" ca="1" si="126"/>
        <v>0</v>
      </c>
      <c r="BO163" s="51">
        <f t="shared" ca="1" si="127"/>
        <v>0</v>
      </c>
      <c r="BP163" s="51">
        <f t="shared" ca="1" si="128"/>
        <v>0</v>
      </c>
      <c r="BQ163" s="120"/>
      <c r="BR163" s="32"/>
      <c r="BS163" s="126"/>
      <c r="BT163" s="16"/>
      <c r="BU163" s="58"/>
      <c r="BW163" s="51">
        <f>VLOOKUP(H163,Charges!$AT$4:$AU$33,2,FALSE)*I163</f>
        <v>0</v>
      </c>
      <c r="BX163" s="51">
        <f t="shared" si="129"/>
        <v>0</v>
      </c>
      <c r="BY163" s="51">
        <f t="shared" si="137"/>
        <v>0</v>
      </c>
      <c r="BZ163" s="151"/>
      <c r="CA163" s="151"/>
      <c r="CB163" s="32"/>
      <c r="CC163" s="16">
        <f ca="1">SUM($N$7:$N163)</f>
        <v>0</v>
      </c>
      <c r="CD163" s="16">
        <f t="shared" ca="1" si="130"/>
        <v>0</v>
      </c>
      <c r="CE163" s="16">
        <f t="shared" ca="1" si="131"/>
        <v>0</v>
      </c>
      <c r="CF163" s="7">
        <f t="shared" ca="1" si="138"/>
        <v>0</v>
      </c>
    </row>
    <row r="164" spans="1:84" s="7" customFormat="1" x14ac:dyDescent="0.2">
      <c r="A164" s="149"/>
      <c r="B164" s="14">
        <f t="shared" si="100"/>
        <v>1</v>
      </c>
      <c r="C164" s="12">
        <f t="shared" si="101"/>
        <v>1</v>
      </c>
      <c r="D164" s="17">
        <f t="shared" si="139"/>
        <v>158</v>
      </c>
      <c r="E164" s="17">
        <f t="shared" ca="1" si="102"/>
        <v>73</v>
      </c>
      <c r="F164" s="12">
        <f t="shared" si="141"/>
        <v>1</v>
      </c>
      <c r="G164" s="12">
        <f t="shared" si="140"/>
        <v>27</v>
      </c>
      <c r="H164" s="17">
        <f t="shared" si="142"/>
        <v>14</v>
      </c>
      <c r="I164" s="29">
        <f t="shared" si="103"/>
        <v>0</v>
      </c>
      <c r="J164" s="211">
        <f>IFERROR(VLOOKUP(H164,Charges!$T$6:$U$35,2,0)*C164,0)</f>
        <v>1</v>
      </c>
      <c r="K164" s="29">
        <f t="shared" si="104"/>
        <v>0</v>
      </c>
      <c r="L164" s="29">
        <f t="shared" si="105"/>
        <v>0</v>
      </c>
      <c r="M164" s="147">
        <f t="shared" ca="1" si="106"/>
        <v>0</v>
      </c>
      <c r="N164" s="148">
        <f ca="1">IF(AND(Option_SPW="Y",Z163&gt;=SPW_Start_Min_FV,H164&gt;=Lock_In_Period,Z163&gt;SPW_Amount_pa+IF(option="Single",1/5*pr,2*pr),H164&gt;=SPW_Start_Year,H164&lt;=SPW_Start_Year+SPW_Duration-1,F164=0,age+H164&gt;=Legal_Age),SPW_Amount_pa,0)+IFERROR(VLOOKUP(H164,Input!$B$68:$C$74,2,0),0)*(F164=0)*(Option_PW="Y")*(Option_SPW="N")*(age+H164&gt;=Legal_Age)</f>
        <v>0</v>
      </c>
      <c r="O164" s="148">
        <f t="shared" ca="1" si="132"/>
        <v>0</v>
      </c>
      <c r="P164" s="14">
        <f ca="1">(MAX(MAX(sa-CF163*Flag_UL_Type,105%*SUM($I$7:I164))-(AD163+L164-N164)*Flag_UL_Type,0)*B164)</f>
        <v>0</v>
      </c>
      <c r="Q164" s="213">
        <f t="shared" ca="1" si="107"/>
        <v>0</v>
      </c>
      <c r="R164" s="14">
        <f t="shared" ca="1" si="108"/>
        <v>0</v>
      </c>
      <c r="S164" s="14">
        <f t="shared" ca="1" si="109"/>
        <v>0</v>
      </c>
      <c r="T164" s="14">
        <f>IFERROR(IF(WoP_Flag="Y",IF(fq=1,VLOOKUP(ppt*fq-H164,Charges!$AN$41:$AO$59,2,FALSE),IF(fq=2,VLOOKUP(ppt*fq-G164,Charges!$AP$41:$AQ$79,2,FALSE),VLOOKUP(ppt*fq-D164,Charges!$AR$41:$AS$279,2,FALSE)))*pr/fq,0),0)</f>
        <v>0</v>
      </c>
      <c r="U164" s="14">
        <f ca="1">IFERROR(((T164*(VLOOKUP(Input!$D$18+H164-1,Tab_Mort_Charge,IF(Gender_2="M",2,3),FALSE)*(1+_emr2)+_rpm2)/IF(Model_Type="LA_PQIS",1000/0.0833,(12*1000))))*Flag_Mort_Rider_Charge*(T164&gt;0),0)</f>
        <v>0</v>
      </c>
      <c r="V164" s="34">
        <f>ROUND(MIN(IF(H164&gt;=7,Charges!$C$12*(1+Charges!$C$14)^((H164-7+1)),VLOOKUP(H164,Charges!$B$7:$C$12,2,0))*pr,Charges!$C$13)*B164,Round)</f>
        <v>500</v>
      </c>
      <c r="W164" s="14">
        <f t="shared" ca="1" si="110"/>
        <v>6299282.1808707369</v>
      </c>
      <c r="X164" s="14">
        <f t="shared" ca="1" si="111"/>
        <v>6339811.9520938676</v>
      </c>
      <c r="Y164" s="213">
        <f t="shared" ca="1" si="133"/>
        <v>7136.1699099366469</v>
      </c>
      <c r="Z164" s="14">
        <f t="shared" ca="1" si="112"/>
        <v>6332675.7821839312</v>
      </c>
      <c r="AA164" s="14">
        <f>IF(AND($H164=pt,$F164=11),SUM($K$7:K164)*VLOOKUP(pt,ROC,2,FALSE),0)</f>
        <v>0</v>
      </c>
      <c r="AB164" s="14">
        <f>IF(AND($H164=pt,$F164=11),SUM($V$7:V164)*VLOOKUP(pt,ROC,2,FALSE),0)</f>
        <v>0</v>
      </c>
      <c r="AC164" s="14">
        <f>IF(AND($H164=pt,$F164=11),SUM($Q$7:Q164)*VLOOKUP(pt,ROC,2,FALSE),0)</f>
        <v>0</v>
      </c>
      <c r="AD164" s="14">
        <f t="shared" ca="1" si="134"/>
        <v>6332675.7821839312</v>
      </c>
      <c r="AE164" s="14">
        <f ca="1">(MAX(sa-CF163*Flag_UL_Type,105%*SUM($I$7:I164),Z164)+AU164)*B164</f>
        <v>6332675.7821839312</v>
      </c>
      <c r="AF164" s="136"/>
      <c r="AG164" s="18">
        <v>158</v>
      </c>
      <c r="AH164" s="30">
        <f t="shared" ca="1" si="113"/>
        <v>0</v>
      </c>
      <c r="AI164" s="58"/>
      <c r="AJ164" s="50">
        <f>IF(AND(Option_Sys_TopUp&gt;="Y",H164&gt;=sytp,H164&lt;=(dtp+sytp-1),F164=0,H164&lt;=ppt+1),atp,0)+IFERROR(VLOOKUP(H164,Input!$B$55:$C$61,2,0),0)*(F164=0)*(Option_TopUP="Y")*(Option_Sys_TopUp="N")*B164*(pt&gt;=H164+5)</f>
        <v>0</v>
      </c>
      <c r="AK164" s="50">
        <f t="shared" si="114"/>
        <v>0</v>
      </c>
      <c r="AL164" s="50">
        <f t="shared" si="135"/>
        <v>0</v>
      </c>
      <c r="AM164" s="50">
        <f t="shared" ca="1" si="115"/>
        <v>0</v>
      </c>
      <c r="AN164" s="50">
        <f ca="1">IF(B164=0,0,AT164*(_rpm1+(1+_emr1)*VLOOKUP(E164,Tab_Mort_Charge,IF(Input!$C$12="M",2,3),0))*(0.001*0.0833)*Flag_Mort_Rider_Charge*(AT164&gt;0))</f>
        <v>0</v>
      </c>
      <c r="AO164" s="50">
        <f t="shared" ca="1" si="136"/>
        <v>0</v>
      </c>
      <c r="AP164" s="50">
        <f t="shared" ca="1" si="143"/>
        <v>0</v>
      </c>
      <c r="AQ164" s="50">
        <f t="shared" ca="1" si="116"/>
        <v>0</v>
      </c>
      <c r="AR164" s="50">
        <f t="shared" ca="1" si="117"/>
        <v>0</v>
      </c>
      <c r="AS164" s="50">
        <f t="shared" si="118"/>
        <v>0</v>
      </c>
      <c r="AT164" s="50">
        <f ca="1">(MAX((MAX(AS164,105%*SUM($AJ$7:AJ164))-AM164*Flag_UL_Type),0)*B164)</f>
        <v>0</v>
      </c>
      <c r="AU164" s="50">
        <f ca="1">(MAX(AS164,AR164,105%*SUM($AJ$7:AJ164))*B164)</f>
        <v>0</v>
      </c>
      <c r="AV164" s="125"/>
      <c r="AW164" s="13"/>
      <c r="AX164" s="13"/>
      <c r="AY164" s="13"/>
      <c r="AZ164" s="13"/>
      <c r="BA164" s="13"/>
      <c r="BG164" s="51">
        <f t="shared" si="119"/>
        <v>0</v>
      </c>
      <c r="BH164" s="51">
        <f t="shared" ca="1" si="120"/>
        <v>0</v>
      </c>
      <c r="BI164" s="51">
        <f t="shared" ca="1" si="121"/>
        <v>0</v>
      </c>
      <c r="BJ164" s="51">
        <f t="shared" ca="1" si="122"/>
        <v>0</v>
      </c>
      <c r="BK164" s="51">
        <f t="shared" si="123"/>
        <v>0</v>
      </c>
      <c r="BL164" s="51">
        <f t="shared" ca="1" si="124"/>
        <v>0</v>
      </c>
      <c r="BM164" s="51">
        <f t="shared" si="125"/>
        <v>0</v>
      </c>
      <c r="BN164" s="51">
        <f t="shared" ca="1" si="126"/>
        <v>0</v>
      </c>
      <c r="BO164" s="51">
        <f t="shared" ca="1" si="127"/>
        <v>0</v>
      </c>
      <c r="BP164" s="51">
        <f t="shared" ca="1" si="128"/>
        <v>0</v>
      </c>
      <c r="BQ164" s="120"/>
      <c r="BR164" s="32"/>
      <c r="BS164" s="126"/>
      <c r="BT164" s="16"/>
      <c r="BU164" s="58"/>
      <c r="BW164" s="51">
        <f>VLOOKUP(H164,Charges!$AT$4:$AU$33,2,FALSE)*I164</f>
        <v>0</v>
      </c>
      <c r="BX164" s="51">
        <f t="shared" si="129"/>
        <v>0</v>
      </c>
      <c r="BY164" s="51">
        <f t="shared" si="137"/>
        <v>0</v>
      </c>
      <c r="BZ164" s="151"/>
      <c r="CA164" s="151"/>
      <c r="CB164" s="32"/>
      <c r="CC164" s="16">
        <f ca="1">SUM($N$7:$N164)</f>
        <v>0</v>
      </c>
      <c r="CD164" s="16">
        <f t="shared" ca="1" si="130"/>
        <v>0</v>
      </c>
      <c r="CE164" s="16">
        <f t="shared" ca="1" si="131"/>
        <v>0</v>
      </c>
      <c r="CF164" s="7">
        <f t="shared" ca="1" si="138"/>
        <v>0</v>
      </c>
    </row>
    <row r="165" spans="1:84" s="7" customFormat="1" x14ac:dyDescent="0.2">
      <c r="A165" s="149"/>
      <c r="B165" s="14">
        <f t="shared" si="100"/>
        <v>1</v>
      </c>
      <c r="C165" s="12">
        <f t="shared" si="101"/>
        <v>1</v>
      </c>
      <c r="D165" s="17">
        <f t="shared" si="139"/>
        <v>159</v>
      </c>
      <c r="E165" s="17">
        <f t="shared" ca="1" si="102"/>
        <v>73</v>
      </c>
      <c r="F165" s="12">
        <f t="shared" si="141"/>
        <v>2</v>
      </c>
      <c r="G165" s="12">
        <f t="shared" si="140"/>
        <v>27</v>
      </c>
      <c r="H165" s="17">
        <f t="shared" si="142"/>
        <v>14</v>
      </c>
      <c r="I165" s="29">
        <f t="shared" si="103"/>
        <v>0</v>
      </c>
      <c r="J165" s="211">
        <f>IFERROR(VLOOKUP(H165,Charges!$T$6:$U$35,2,0)*C165,0)</f>
        <v>1</v>
      </c>
      <c r="K165" s="29">
        <f t="shared" si="104"/>
        <v>0</v>
      </c>
      <c r="L165" s="29">
        <f t="shared" si="105"/>
        <v>0</v>
      </c>
      <c r="M165" s="147">
        <f t="shared" ca="1" si="106"/>
        <v>0</v>
      </c>
      <c r="N165" s="148">
        <f ca="1">IF(AND(Option_SPW="Y",Z164&gt;=SPW_Start_Min_FV,H165&gt;=Lock_In_Period,Z164&gt;SPW_Amount_pa+IF(option="Single",1/5*pr,2*pr),H165&gt;=SPW_Start_Year,H165&lt;=SPW_Start_Year+SPW_Duration-1,F165=0,age+H165&gt;=Legal_Age),SPW_Amount_pa,0)+IFERROR(VLOOKUP(H165,Input!$B$68:$C$74,2,0),0)*(F165=0)*(Option_PW="Y")*(Option_SPW="N")*(age+H165&gt;=Legal_Age)</f>
        <v>0</v>
      </c>
      <c r="O165" s="148">
        <f t="shared" ca="1" si="132"/>
        <v>0</v>
      </c>
      <c r="P165" s="14">
        <f ca="1">(MAX(MAX(sa-CF164*Flag_UL_Type,105%*SUM($I$7:I165))-(AD164+L165-N165)*Flag_UL_Type,0)*B165)</f>
        <v>0</v>
      </c>
      <c r="Q165" s="213">
        <f t="shared" ca="1" si="107"/>
        <v>0</v>
      </c>
      <c r="R165" s="14">
        <f t="shared" ca="1" si="108"/>
        <v>0</v>
      </c>
      <c r="S165" s="14">
        <f t="shared" ca="1" si="109"/>
        <v>0</v>
      </c>
      <c r="T165" s="14">
        <f>IFERROR(IF(WoP_Flag="Y",IF(fq=1,VLOOKUP(ppt*fq-H165,Charges!$AN$41:$AO$59,2,FALSE),IF(fq=2,VLOOKUP(ppt*fq-G165,Charges!$AP$41:$AQ$79,2,FALSE),VLOOKUP(ppt*fq-D165,Charges!$AR$41:$AS$279,2,FALSE)))*pr/fq,0),0)</f>
        <v>0</v>
      </c>
      <c r="U165" s="14">
        <f ca="1">IFERROR(((T165*(VLOOKUP(Input!$D$18+H165-1,Tab_Mort_Charge,IF(Gender_2="M",2,3),FALSE)*(1+_emr2)+_rpm2)/IF(Model_Type="LA_PQIS",1000/0.0833,(12*1000))))*Flag_Mort_Rider_Charge*(T165&gt;0),0)</f>
        <v>0</v>
      </c>
      <c r="V165" s="34">
        <f>ROUND(MIN(IF(H165&gt;=7,Charges!$C$12*(1+Charges!$C$14)^((H165-7+1)),VLOOKUP(H165,Charges!$B$7:$C$12,2,0))*pr,Charges!$C$13)*B165,Round)</f>
        <v>500</v>
      </c>
      <c r="W165" s="14">
        <f t="shared" ca="1" si="110"/>
        <v>6332175.7821839312</v>
      </c>
      <c r="X165" s="14">
        <f t="shared" ca="1" si="111"/>
        <v>6372917.1918283375</v>
      </c>
      <c r="Y165" s="213">
        <f t="shared" ca="1" si="133"/>
        <v>7173.4335728716869</v>
      </c>
      <c r="Z165" s="14">
        <f t="shared" ca="1" si="112"/>
        <v>6365743.7582554659</v>
      </c>
      <c r="AA165" s="14">
        <f>IF(AND($H165=pt,$F165=11),SUM($K$7:K165)*VLOOKUP(pt,ROC,2,FALSE),0)</f>
        <v>0</v>
      </c>
      <c r="AB165" s="14">
        <f>IF(AND($H165=pt,$F165=11),SUM($V$7:V165)*VLOOKUP(pt,ROC,2,FALSE),0)</f>
        <v>0</v>
      </c>
      <c r="AC165" s="14">
        <f>IF(AND($H165=pt,$F165=11),SUM($Q$7:Q165)*VLOOKUP(pt,ROC,2,FALSE),0)</f>
        <v>0</v>
      </c>
      <c r="AD165" s="14">
        <f t="shared" ca="1" si="134"/>
        <v>6365743.7582554659</v>
      </c>
      <c r="AE165" s="14">
        <f ca="1">(MAX(sa-CF164*Flag_UL_Type,105%*SUM($I$7:I165),Z165)+AU165)*B165</f>
        <v>6365743.7582554659</v>
      </c>
      <c r="AF165" s="136"/>
      <c r="AG165" s="18">
        <v>159</v>
      </c>
      <c r="AH165" s="30">
        <f t="shared" ca="1" si="113"/>
        <v>0</v>
      </c>
      <c r="AI165" s="58"/>
      <c r="AJ165" s="50">
        <f>IF(AND(Option_Sys_TopUp&gt;="Y",H165&gt;=sytp,H165&lt;=(dtp+sytp-1),F165=0,H165&lt;=ppt+1),atp,0)+IFERROR(VLOOKUP(H165,Input!$B$55:$C$61,2,0),0)*(F165=0)*(Option_TopUP="Y")*(Option_Sys_TopUp="N")*B165*(pt&gt;=H165+5)</f>
        <v>0</v>
      </c>
      <c r="AK165" s="50">
        <f t="shared" si="114"/>
        <v>0</v>
      </c>
      <c r="AL165" s="50">
        <f t="shared" si="135"/>
        <v>0</v>
      </c>
      <c r="AM165" s="50">
        <f t="shared" ca="1" si="115"/>
        <v>0</v>
      </c>
      <c r="AN165" s="50">
        <f ca="1">IF(B165=0,0,AT165*(_rpm1+(1+_emr1)*VLOOKUP(E165,Tab_Mort_Charge,IF(Input!$C$12="M",2,3),0))*(0.001*0.0833)*Flag_Mort_Rider_Charge*(AT165&gt;0))</f>
        <v>0</v>
      </c>
      <c r="AO165" s="50">
        <f t="shared" ca="1" si="136"/>
        <v>0</v>
      </c>
      <c r="AP165" s="50">
        <f t="shared" ca="1" si="143"/>
        <v>0</v>
      </c>
      <c r="AQ165" s="50">
        <f t="shared" ca="1" si="116"/>
        <v>0</v>
      </c>
      <c r="AR165" s="50">
        <f t="shared" ca="1" si="117"/>
        <v>0</v>
      </c>
      <c r="AS165" s="50">
        <f t="shared" si="118"/>
        <v>0</v>
      </c>
      <c r="AT165" s="50">
        <f ca="1">(MAX((MAX(AS165,105%*SUM($AJ$7:AJ165))-AM165*Flag_UL_Type),0)*B165)</f>
        <v>0</v>
      </c>
      <c r="AU165" s="50">
        <f ca="1">(MAX(AS165,AR165,105%*SUM($AJ$7:AJ165))*B165)</f>
        <v>0</v>
      </c>
      <c r="AV165" s="125"/>
      <c r="AW165" s="13"/>
      <c r="AX165" s="13"/>
      <c r="AY165" s="13"/>
      <c r="AZ165" s="13"/>
      <c r="BA165" s="13"/>
      <c r="BG165" s="51">
        <f t="shared" si="119"/>
        <v>0</v>
      </c>
      <c r="BH165" s="51">
        <f t="shared" ca="1" si="120"/>
        <v>0</v>
      </c>
      <c r="BI165" s="51">
        <f t="shared" ca="1" si="121"/>
        <v>0</v>
      </c>
      <c r="BJ165" s="51">
        <f t="shared" ca="1" si="122"/>
        <v>0</v>
      </c>
      <c r="BK165" s="51">
        <f t="shared" si="123"/>
        <v>0</v>
      </c>
      <c r="BL165" s="51">
        <f t="shared" ca="1" si="124"/>
        <v>0</v>
      </c>
      <c r="BM165" s="51">
        <f t="shared" si="125"/>
        <v>0</v>
      </c>
      <c r="BN165" s="51">
        <f t="shared" ca="1" si="126"/>
        <v>0</v>
      </c>
      <c r="BO165" s="51">
        <f t="shared" ca="1" si="127"/>
        <v>0</v>
      </c>
      <c r="BP165" s="51">
        <f t="shared" ca="1" si="128"/>
        <v>0</v>
      </c>
      <c r="BQ165" s="120"/>
      <c r="BR165" s="32"/>
      <c r="BS165" s="126"/>
      <c r="BT165" s="16"/>
      <c r="BU165" s="58"/>
      <c r="BW165" s="51">
        <f>VLOOKUP(H165,Charges!$AT$4:$AU$33,2,FALSE)*I165</f>
        <v>0</v>
      </c>
      <c r="BX165" s="51">
        <f t="shared" si="129"/>
        <v>0</v>
      </c>
      <c r="BY165" s="51">
        <f t="shared" si="137"/>
        <v>0</v>
      </c>
      <c r="BZ165" s="151"/>
      <c r="CA165" s="151"/>
      <c r="CB165" s="32"/>
      <c r="CC165" s="16">
        <f ca="1">SUM($N$7:$N165)</f>
        <v>0</v>
      </c>
      <c r="CD165" s="16">
        <f t="shared" ca="1" si="130"/>
        <v>0</v>
      </c>
      <c r="CE165" s="16">
        <f t="shared" ca="1" si="131"/>
        <v>0</v>
      </c>
      <c r="CF165" s="7">
        <f t="shared" ca="1" si="138"/>
        <v>0</v>
      </c>
    </row>
    <row r="166" spans="1:84" s="7" customFormat="1" x14ac:dyDescent="0.2">
      <c r="A166" s="149"/>
      <c r="B166" s="14">
        <f t="shared" si="100"/>
        <v>1</v>
      </c>
      <c r="C166" s="12">
        <f t="shared" si="101"/>
        <v>1</v>
      </c>
      <c r="D166" s="17">
        <f t="shared" si="139"/>
        <v>160</v>
      </c>
      <c r="E166" s="17">
        <f t="shared" ca="1" si="102"/>
        <v>73</v>
      </c>
      <c r="F166" s="12">
        <f t="shared" si="141"/>
        <v>3</v>
      </c>
      <c r="G166" s="12">
        <f t="shared" si="140"/>
        <v>27</v>
      </c>
      <c r="H166" s="17">
        <f t="shared" si="142"/>
        <v>14</v>
      </c>
      <c r="I166" s="29">
        <f t="shared" si="103"/>
        <v>0</v>
      </c>
      <c r="J166" s="211">
        <f>IFERROR(VLOOKUP(H166,Charges!$T$6:$U$35,2,0)*C166,0)</f>
        <v>1</v>
      </c>
      <c r="K166" s="29">
        <f t="shared" si="104"/>
        <v>0</v>
      </c>
      <c r="L166" s="29">
        <f t="shared" si="105"/>
        <v>0</v>
      </c>
      <c r="M166" s="147">
        <f t="shared" ca="1" si="106"/>
        <v>0</v>
      </c>
      <c r="N166" s="148">
        <f ca="1">IF(AND(Option_SPW="Y",Z165&gt;=SPW_Start_Min_FV,H166&gt;=Lock_In_Period,Z165&gt;SPW_Amount_pa+IF(option="Single",1/5*pr,2*pr),H166&gt;=SPW_Start_Year,H166&lt;=SPW_Start_Year+SPW_Duration-1,F166=0,age+H166&gt;=Legal_Age),SPW_Amount_pa,0)+IFERROR(VLOOKUP(H166,Input!$B$68:$C$74,2,0),0)*(F166=0)*(Option_PW="Y")*(Option_SPW="N")*(age+H166&gt;=Legal_Age)</f>
        <v>0</v>
      </c>
      <c r="O166" s="148">
        <f t="shared" ca="1" si="132"/>
        <v>0</v>
      </c>
      <c r="P166" s="14">
        <f ca="1">(MAX(MAX(sa-CF165*Flag_UL_Type,105%*SUM($I$7:I166))-(AD165+L166-N166)*Flag_UL_Type,0)*B166)</f>
        <v>0</v>
      </c>
      <c r="Q166" s="213">
        <f t="shared" ca="1" si="107"/>
        <v>0</v>
      </c>
      <c r="R166" s="14">
        <f t="shared" ca="1" si="108"/>
        <v>0</v>
      </c>
      <c r="S166" s="14">
        <f t="shared" ca="1" si="109"/>
        <v>0</v>
      </c>
      <c r="T166" s="14">
        <f>IFERROR(IF(WoP_Flag="Y",IF(fq=1,VLOOKUP(ppt*fq-H166,Charges!$AN$41:$AO$59,2,FALSE),IF(fq=2,VLOOKUP(ppt*fq-G166,Charges!$AP$41:$AQ$79,2,FALSE),VLOOKUP(ppt*fq-D166,Charges!$AR$41:$AS$279,2,FALSE)))*pr/fq,0),0)</f>
        <v>0</v>
      </c>
      <c r="U166" s="14">
        <f ca="1">IFERROR(((T166*(VLOOKUP(Input!$D$18+H166-1,Tab_Mort_Charge,IF(Gender_2="M",2,3),FALSE)*(1+_emr2)+_rpm2)/IF(Model_Type="LA_PQIS",1000/0.0833,(12*1000))))*Flag_Mort_Rider_Charge*(T166&gt;0),0)</f>
        <v>0</v>
      </c>
      <c r="V166" s="34">
        <f>ROUND(MIN(IF(H166&gt;=7,Charges!$C$12*(1+Charges!$C$14)^((H166-7+1)),VLOOKUP(H166,Charges!$B$7:$C$12,2,0))*pr,Charges!$C$13)*B166,Round)</f>
        <v>500</v>
      </c>
      <c r="W166" s="14">
        <f t="shared" ca="1" si="110"/>
        <v>6365243.7582554659</v>
      </c>
      <c r="X166" s="14">
        <f t="shared" ca="1" si="111"/>
        <v>6406197.9282535929</v>
      </c>
      <c r="Y166" s="213">
        <f t="shared" ca="1" si="133"/>
        <v>7210.8947770293271</v>
      </c>
      <c r="Z166" s="14">
        <f t="shared" ca="1" si="112"/>
        <v>6398987.0334765632</v>
      </c>
      <c r="AA166" s="14">
        <f>IF(AND($H166=pt,$F166=11),SUM($K$7:K166)*VLOOKUP(pt,ROC,2,FALSE),0)</f>
        <v>0</v>
      </c>
      <c r="AB166" s="14">
        <f>IF(AND($H166=pt,$F166=11),SUM($V$7:V166)*VLOOKUP(pt,ROC,2,FALSE),0)</f>
        <v>0</v>
      </c>
      <c r="AC166" s="14">
        <f>IF(AND($H166=pt,$F166=11),SUM($Q$7:Q166)*VLOOKUP(pt,ROC,2,FALSE),0)</f>
        <v>0</v>
      </c>
      <c r="AD166" s="14">
        <f t="shared" ca="1" si="134"/>
        <v>6398987.0334765632</v>
      </c>
      <c r="AE166" s="14">
        <f ca="1">(MAX(sa-CF165*Flag_UL_Type,105%*SUM($I$7:I166),Z166)+AU166)*B166</f>
        <v>6398987.0334765632</v>
      </c>
      <c r="AF166" s="136"/>
      <c r="AG166" s="18">
        <v>160</v>
      </c>
      <c r="AH166" s="30">
        <f t="shared" ca="1" si="113"/>
        <v>0</v>
      </c>
      <c r="AI166" s="58"/>
      <c r="AJ166" s="50">
        <f>IF(AND(Option_Sys_TopUp&gt;="Y",H166&gt;=sytp,H166&lt;=(dtp+sytp-1),F166=0,H166&lt;=ppt+1),atp,0)+IFERROR(VLOOKUP(H166,Input!$B$55:$C$61,2,0),0)*(F166=0)*(Option_TopUP="Y")*(Option_Sys_TopUp="N")*B166*(pt&gt;=H166+5)</f>
        <v>0</v>
      </c>
      <c r="AK166" s="50">
        <f t="shared" si="114"/>
        <v>0</v>
      </c>
      <c r="AL166" s="50">
        <f t="shared" si="135"/>
        <v>0</v>
      </c>
      <c r="AM166" s="50">
        <f t="shared" ca="1" si="115"/>
        <v>0</v>
      </c>
      <c r="AN166" s="50">
        <f ca="1">IF(B166=0,0,AT166*(_rpm1+(1+_emr1)*VLOOKUP(E166,Tab_Mort_Charge,IF(Input!$C$12="M",2,3),0))*(0.001*0.0833)*Flag_Mort_Rider_Charge*(AT166&gt;0))</f>
        <v>0</v>
      </c>
      <c r="AO166" s="50">
        <f t="shared" ca="1" si="136"/>
        <v>0</v>
      </c>
      <c r="AP166" s="50">
        <f t="shared" ca="1" si="143"/>
        <v>0</v>
      </c>
      <c r="AQ166" s="50">
        <f t="shared" ca="1" si="116"/>
        <v>0</v>
      </c>
      <c r="AR166" s="50">
        <f t="shared" ca="1" si="117"/>
        <v>0</v>
      </c>
      <c r="AS166" s="50">
        <f t="shared" si="118"/>
        <v>0</v>
      </c>
      <c r="AT166" s="50">
        <f ca="1">(MAX((MAX(AS166,105%*SUM($AJ$7:AJ166))-AM166*Flag_UL_Type),0)*B166)</f>
        <v>0</v>
      </c>
      <c r="AU166" s="50">
        <f ca="1">(MAX(AS166,AR166,105%*SUM($AJ$7:AJ166))*B166)</f>
        <v>0</v>
      </c>
      <c r="AV166" s="125"/>
      <c r="AW166" s="13"/>
      <c r="AX166" s="13"/>
      <c r="AY166" s="13"/>
      <c r="AZ166" s="13"/>
      <c r="BA166" s="13"/>
      <c r="BG166" s="51">
        <f t="shared" si="119"/>
        <v>0</v>
      </c>
      <c r="BH166" s="51">
        <f t="shared" ca="1" si="120"/>
        <v>0</v>
      </c>
      <c r="BI166" s="51">
        <f t="shared" ca="1" si="121"/>
        <v>0</v>
      </c>
      <c r="BJ166" s="51">
        <f t="shared" ca="1" si="122"/>
        <v>0</v>
      </c>
      <c r="BK166" s="51">
        <f t="shared" si="123"/>
        <v>0</v>
      </c>
      <c r="BL166" s="51">
        <f t="shared" ca="1" si="124"/>
        <v>0</v>
      </c>
      <c r="BM166" s="51">
        <f t="shared" si="125"/>
        <v>0</v>
      </c>
      <c r="BN166" s="51">
        <f t="shared" ca="1" si="126"/>
        <v>0</v>
      </c>
      <c r="BO166" s="51">
        <f t="shared" ca="1" si="127"/>
        <v>0</v>
      </c>
      <c r="BP166" s="51">
        <f t="shared" ca="1" si="128"/>
        <v>0</v>
      </c>
      <c r="BQ166" s="120"/>
      <c r="BR166" s="32"/>
      <c r="BS166" s="126"/>
      <c r="BT166" s="16"/>
      <c r="BU166" s="58"/>
      <c r="BW166" s="51">
        <f>VLOOKUP(H166,Charges!$AT$4:$AU$33,2,FALSE)*I166</f>
        <v>0</v>
      </c>
      <c r="BX166" s="51">
        <f t="shared" si="129"/>
        <v>0</v>
      </c>
      <c r="BY166" s="51">
        <f t="shared" si="137"/>
        <v>0</v>
      </c>
      <c r="BZ166" s="151"/>
      <c r="CA166" s="151"/>
      <c r="CB166" s="32"/>
      <c r="CC166" s="16">
        <f ca="1">SUM($N$7:$N166)</f>
        <v>0</v>
      </c>
      <c r="CD166" s="16">
        <f t="shared" ca="1" si="130"/>
        <v>0</v>
      </c>
      <c r="CE166" s="16">
        <f t="shared" ca="1" si="131"/>
        <v>0</v>
      </c>
      <c r="CF166" s="7">
        <f t="shared" ca="1" si="138"/>
        <v>0</v>
      </c>
    </row>
    <row r="167" spans="1:84" s="7" customFormat="1" x14ac:dyDescent="0.2">
      <c r="A167" s="149"/>
      <c r="B167" s="14">
        <f t="shared" si="100"/>
        <v>1</v>
      </c>
      <c r="C167" s="12">
        <f t="shared" si="101"/>
        <v>1</v>
      </c>
      <c r="D167" s="17">
        <f t="shared" si="139"/>
        <v>161</v>
      </c>
      <c r="E167" s="17">
        <f t="shared" ca="1" si="102"/>
        <v>73</v>
      </c>
      <c r="F167" s="12">
        <f t="shared" si="141"/>
        <v>4</v>
      </c>
      <c r="G167" s="12">
        <f t="shared" si="140"/>
        <v>27</v>
      </c>
      <c r="H167" s="17">
        <f t="shared" si="142"/>
        <v>14</v>
      </c>
      <c r="I167" s="29">
        <f t="shared" si="103"/>
        <v>0</v>
      </c>
      <c r="J167" s="211">
        <f>IFERROR(VLOOKUP(H167,Charges!$T$6:$U$35,2,0)*C167,0)</f>
        <v>1</v>
      </c>
      <c r="K167" s="29">
        <f t="shared" si="104"/>
        <v>0</v>
      </c>
      <c r="L167" s="29">
        <f t="shared" si="105"/>
        <v>0</v>
      </c>
      <c r="M167" s="147">
        <f t="shared" ca="1" si="106"/>
        <v>0</v>
      </c>
      <c r="N167" s="148">
        <f ca="1">IF(AND(Option_SPW="Y",Z166&gt;=SPW_Start_Min_FV,H167&gt;=Lock_In_Period,Z166&gt;SPW_Amount_pa+IF(option="Single",1/5*pr,2*pr),H167&gt;=SPW_Start_Year,H167&lt;=SPW_Start_Year+SPW_Duration-1,F167=0,age+H167&gt;=Legal_Age),SPW_Amount_pa,0)+IFERROR(VLOOKUP(H167,Input!$B$68:$C$74,2,0),0)*(F167=0)*(Option_PW="Y")*(Option_SPW="N")*(age+H167&gt;=Legal_Age)</f>
        <v>0</v>
      </c>
      <c r="O167" s="148">
        <f t="shared" ca="1" si="132"/>
        <v>0</v>
      </c>
      <c r="P167" s="14">
        <f ca="1">(MAX(MAX(sa-CF166*Flag_UL_Type,105%*SUM($I$7:I167))-(AD166+L167-N167)*Flag_UL_Type,0)*B167)</f>
        <v>0</v>
      </c>
      <c r="Q167" s="213">
        <f t="shared" ca="1" si="107"/>
        <v>0</v>
      </c>
      <c r="R167" s="14">
        <f t="shared" ca="1" si="108"/>
        <v>0</v>
      </c>
      <c r="S167" s="14">
        <f t="shared" ca="1" si="109"/>
        <v>0</v>
      </c>
      <c r="T167" s="14">
        <f>IFERROR(IF(WoP_Flag="Y",IF(fq=1,VLOOKUP(ppt*fq-H167,Charges!$AN$41:$AO$59,2,FALSE),IF(fq=2,VLOOKUP(ppt*fq-G167,Charges!$AP$41:$AQ$79,2,FALSE),VLOOKUP(ppt*fq-D167,Charges!$AR$41:$AS$279,2,FALSE)))*pr/fq,0),0)</f>
        <v>0</v>
      </c>
      <c r="U167" s="14">
        <f ca="1">IFERROR(((T167*(VLOOKUP(Input!$D$18+H167-1,Tab_Mort_Charge,IF(Gender_2="M",2,3),FALSE)*(1+_emr2)+_rpm2)/IF(Model_Type="LA_PQIS",1000/0.0833,(12*1000))))*Flag_Mort_Rider_Charge*(T167&gt;0),0)</f>
        <v>0</v>
      </c>
      <c r="V167" s="34">
        <f>ROUND(MIN(IF(H167&gt;=7,Charges!$C$12*(1+Charges!$C$14)^((H167-7+1)),VLOOKUP(H167,Charges!$B$7:$C$12,2,0))*pr,Charges!$C$13)*B167,Round)</f>
        <v>500</v>
      </c>
      <c r="W167" s="14">
        <f t="shared" ca="1" si="110"/>
        <v>6398487.0334765632</v>
      </c>
      <c r="X167" s="14">
        <f t="shared" ca="1" si="111"/>
        <v>6439655.091708418</v>
      </c>
      <c r="Y167" s="213">
        <f t="shared" ca="1" si="133"/>
        <v>7248.554569610289</v>
      </c>
      <c r="Z167" s="14">
        <f t="shared" ca="1" si="112"/>
        <v>6432406.5371388076</v>
      </c>
      <c r="AA167" s="14">
        <f>IF(AND($H167=pt,$F167=11),SUM($K$7:K167)*VLOOKUP(pt,ROC,2,FALSE),0)</f>
        <v>0</v>
      </c>
      <c r="AB167" s="14">
        <f>IF(AND($H167=pt,$F167=11),SUM($V$7:V167)*VLOOKUP(pt,ROC,2,FALSE),0)</f>
        <v>0</v>
      </c>
      <c r="AC167" s="14">
        <f>IF(AND($H167=pt,$F167=11),SUM($Q$7:Q167)*VLOOKUP(pt,ROC,2,FALSE),0)</f>
        <v>0</v>
      </c>
      <c r="AD167" s="14">
        <f t="shared" ca="1" si="134"/>
        <v>6432406.5371388076</v>
      </c>
      <c r="AE167" s="14">
        <f ca="1">(MAX(sa-CF166*Flag_UL_Type,105%*SUM($I$7:I167),Z167)+AU167)*B167</f>
        <v>6432406.5371388076</v>
      </c>
      <c r="AF167" s="136"/>
      <c r="AG167" s="18">
        <v>161</v>
      </c>
      <c r="AH167" s="30">
        <f t="shared" ca="1" si="113"/>
        <v>0</v>
      </c>
      <c r="AI167" s="58"/>
      <c r="AJ167" s="50">
        <f>IF(AND(Option_Sys_TopUp&gt;="Y",H167&gt;=sytp,H167&lt;=(dtp+sytp-1),F167=0,H167&lt;=ppt+1),atp,0)+IFERROR(VLOOKUP(H167,Input!$B$55:$C$61,2,0),0)*(F167=0)*(Option_TopUP="Y")*(Option_Sys_TopUp="N")*B167*(pt&gt;=H167+5)</f>
        <v>0</v>
      </c>
      <c r="AK167" s="50">
        <f t="shared" si="114"/>
        <v>0</v>
      </c>
      <c r="AL167" s="50">
        <f t="shared" si="135"/>
        <v>0</v>
      </c>
      <c r="AM167" s="50">
        <f t="shared" ca="1" si="115"/>
        <v>0</v>
      </c>
      <c r="AN167" s="50">
        <f ca="1">IF(B167=0,0,AT167*(_rpm1+(1+_emr1)*VLOOKUP(E167,Tab_Mort_Charge,IF(Input!$C$12="M",2,3),0))*(0.001*0.0833)*Flag_Mort_Rider_Charge*(AT167&gt;0))</f>
        <v>0</v>
      </c>
      <c r="AO167" s="50">
        <f t="shared" ca="1" si="136"/>
        <v>0</v>
      </c>
      <c r="AP167" s="50">
        <f t="shared" ca="1" si="143"/>
        <v>0</v>
      </c>
      <c r="AQ167" s="50">
        <f t="shared" ca="1" si="116"/>
        <v>0</v>
      </c>
      <c r="AR167" s="50">
        <f t="shared" ca="1" si="117"/>
        <v>0</v>
      </c>
      <c r="AS167" s="50">
        <f t="shared" si="118"/>
        <v>0</v>
      </c>
      <c r="AT167" s="50">
        <f ca="1">(MAX((MAX(AS167,105%*SUM($AJ$7:AJ167))-AM167*Flag_UL_Type),0)*B167)</f>
        <v>0</v>
      </c>
      <c r="AU167" s="50">
        <f ca="1">(MAX(AS167,AR167,105%*SUM($AJ$7:AJ167))*B167)</f>
        <v>0</v>
      </c>
      <c r="AV167" s="125"/>
      <c r="AW167" s="13"/>
      <c r="AX167" s="13"/>
      <c r="AY167" s="13"/>
      <c r="AZ167" s="13"/>
      <c r="BA167" s="13"/>
      <c r="BG167" s="51">
        <f t="shared" si="119"/>
        <v>0</v>
      </c>
      <c r="BH167" s="51">
        <f t="shared" ca="1" si="120"/>
        <v>0</v>
      </c>
      <c r="BI167" s="51">
        <f t="shared" ca="1" si="121"/>
        <v>0</v>
      </c>
      <c r="BJ167" s="51">
        <f t="shared" ca="1" si="122"/>
        <v>0</v>
      </c>
      <c r="BK167" s="51">
        <f t="shared" si="123"/>
        <v>0</v>
      </c>
      <c r="BL167" s="51">
        <f t="shared" ca="1" si="124"/>
        <v>0</v>
      </c>
      <c r="BM167" s="51">
        <f t="shared" si="125"/>
        <v>0</v>
      </c>
      <c r="BN167" s="51">
        <f t="shared" ca="1" si="126"/>
        <v>0</v>
      </c>
      <c r="BO167" s="51">
        <f t="shared" ca="1" si="127"/>
        <v>0</v>
      </c>
      <c r="BP167" s="51">
        <f t="shared" ca="1" si="128"/>
        <v>0</v>
      </c>
      <c r="BQ167" s="120"/>
      <c r="BR167" s="32"/>
      <c r="BS167" s="126"/>
      <c r="BT167" s="16"/>
      <c r="BU167" s="58"/>
      <c r="BW167" s="51">
        <f>VLOOKUP(H167,Charges!$AT$4:$AU$33,2,FALSE)*I167</f>
        <v>0</v>
      </c>
      <c r="BX167" s="51">
        <f t="shared" si="129"/>
        <v>0</v>
      </c>
      <c r="BY167" s="51">
        <f t="shared" si="137"/>
        <v>0</v>
      </c>
      <c r="BZ167" s="151"/>
      <c r="CA167" s="151"/>
      <c r="CB167" s="32"/>
      <c r="CC167" s="16">
        <f ca="1">SUM($N$7:$N167)</f>
        <v>0</v>
      </c>
      <c r="CD167" s="16">
        <f t="shared" ca="1" si="130"/>
        <v>0</v>
      </c>
      <c r="CE167" s="16">
        <f t="shared" ca="1" si="131"/>
        <v>0</v>
      </c>
      <c r="CF167" s="7">
        <f t="shared" ca="1" si="138"/>
        <v>0</v>
      </c>
    </row>
    <row r="168" spans="1:84" s="7" customFormat="1" x14ac:dyDescent="0.2">
      <c r="A168" s="149"/>
      <c r="B168" s="14">
        <f t="shared" si="100"/>
        <v>1</v>
      </c>
      <c r="C168" s="12">
        <f t="shared" si="101"/>
        <v>1</v>
      </c>
      <c r="D168" s="17">
        <f t="shared" si="139"/>
        <v>162</v>
      </c>
      <c r="E168" s="17">
        <f t="shared" ca="1" si="102"/>
        <v>73</v>
      </c>
      <c r="F168" s="12">
        <f t="shared" si="141"/>
        <v>5</v>
      </c>
      <c r="G168" s="12">
        <f t="shared" si="140"/>
        <v>27</v>
      </c>
      <c r="H168" s="17">
        <f t="shared" si="142"/>
        <v>14</v>
      </c>
      <c r="I168" s="29">
        <f t="shared" si="103"/>
        <v>0</v>
      </c>
      <c r="J168" s="211">
        <f>IFERROR(VLOOKUP(H168,Charges!$T$6:$U$35,2,0)*C168,0)</f>
        <v>1</v>
      </c>
      <c r="K168" s="29">
        <f t="shared" si="104"/>
        <v>0</v>
      </c>
      <c r="L168" s="29">
        <f t="shared" si="105"/>
        <v>0</v>
      </c>
      <c r="M168" s="147">
        <f t="shared" ca="1" si="106"/>
        <v>0</v>
      </c>
      <c r="N168" s="148">
        <f ca="1">IF(AND(Option_SPW="Y",Z167&gt;=SPW_Start_Min_FV,H168&gt;=Lock_In_Period,Z167&gt;SPW_Amount_pa+IF(option="Single",1/5*pr,2*pr),H168&gt;=SPW_Start_Year,H168&lt;=SPW_Start_Year+SPW_Duration-1,F168=0,age+H168&gt;=Legal_Age),SPW_Amount_pa,0)+IFERROR(VLOOKUP(H168,Input!$B$68:$C$74,2,0),0)*(F168=0)*(Option_PW="Y")*(Option_SPW="N")*(age+H168&gt;=Legal_Age)</f>
        <v>0</v>
      </c>
      <c r="O168" s="148">
        <f t="shared" ca="1" si="132"/>
        <v>0</v>
      </c>
      <c r="P168" s="14">
        <f ca="1">(MAX(MAX(sa-CF167*Flag_UL_Type,105%*SUM($I$7:I168))-(AD167+L168-N168)*Flag_UL_Type,0)*B168)</f>
        <v>0</v>
      </c>
      <c r="Q168" s="213">
        <f t="shared" ca="1" si="107"/>
        <v>0</v>
      </c>
      <c r="R168" s="14">
        <f t="shared" ca="1" si="108"/>
        <v>0</v>
      </c>
      <c r="S168" s="14">
        <f t="shared" ca="1" si="109"/>
        <v>0</v>
      </c>
      <c r="T168" s="14">
        <f>IFERROR(IF(WoP_Flag="Y",IF(fq=1,VLOOKUP(ppt*fq-H168,Charges!$AN$41:$AO$59,2,FALSE),IF(fq=2,VLOOKUP(ppt*fq-G168,Charges!$AP$41:$AQ$79,2,FALSE),VLOOKUP(ppt*fq-D168,Charges!$AR$41:$AS$279,2,FALSE)))*pr/fq,0),0)</f>
        <v>0</v>
      </c>
      <c r="U168" s="14">
        <f ca="1">IFERROR(((T168*(VLOOKUP(Input!$D$18+H168-1,Tab_Mort_Charge,IF(Gender_2="M",2,3),FALSE)*(1+_emr2)+_rpm2)/IF(Model_Type="LA_PQIS",1000/0.0833,(12*1000))))*Flag_Mort_Rider_Charge*(T168&gt;0),0)</f>
        <v>0</v>
      </c>
      <c r="V168" s="34">
        <f>ROUND(MIN(IF(H168&gt;=7,Charges!$C$12*(1+Charges!$C$14)^((H168-7+1)),VLOOKUP(H168,Charges!$B$7:$C$12,2,0))*pr,Charges!$C$13)*B168,Round)</f>
        <v>500</v>
      </c>
      <c r="W168" s="14">
        <f t="shared" ca="1" si="110"/>
        <v>6431906.5371388076</v>
      </c>
      <c r="X168" s="14">
        <f t="shared" ca="1" si="111"/>
        <v>6473289.6174634863</v>
      </c>
      <c r="Y168" s="213">
        <f t="shared" ca="1" si="133"/>
        <v>7286.4140033666854</v>
      </c>
      <c r="Z168" s="14">
        <f t="shared" ca="1" si="112"/>
        <v>6466003.2034601197</v>
      </c>
      <c r="AA168" s="14">
        <f>IF(AND($H168=pt,$F168=11),SUM($K$7:K168)*VLOOKUP(pt,ROC,2,FALSE),0)</f>
        <v>0</v>
      </c>
      <c r="AB168" s="14">
        <f>IF(AND($H168=pt,$F168=11),SUM($V$7:V168)*VLOOKUP(pt,ROC,2,FALSE),0)</f>
        <v>0</v>
      </c>
      <c r="AC168" s="14">
        <f>IF(AND($H168=pt,$F168=11),SUM($Q$7:Q168)*VLOOKUP(pt,ROC,2,FALSE),0)</f>
        <v>0</v>
      </c>
      <c r="AD168" s="14">
        <f t="shared" ca="1" si="134"/>
        <v>6466003.2034601197</v>
      </c>
      <c r="AE168" s="14">
        <f ca="1">(MAX(sa-CF167*Flag_UL_Type,105%*SUM($I$7:I168),Z168)+AU168)*B168</f>
        <v>6466003.2034601197</v>
      </c>
      <c r="AF168" s="136"/>
      <c r="AG168" s="18">
        <v>162</v>
      </c>
      <c r="AH168" s="30">
        <f t="shared" ca="1" si="113"/>
        <v>0</v>
      </c>
      <c r="AI168" s="58"/>
      <c r="AJ168" s="50">
        <f>IF(AND(Option_Sys_TopUp&gt;="Y",H168&gt;=sytp,H168&lt;=(dtp+sytp-1),F168=0,H168&lt;=ppt+1),atp,0)+IFERROR(VLOOKUP(H168,Input!$B$55:$C$61,2,0),0)*(F168=0)*(Option_TopUP="Y")*(Option_Sys_TopUp="N")*B168*(pt&gt;=H168+5)</f>
        <v>0</v>
      </c>
      <c r="AK168" s="50">
        <f t="shared" si="114"/>
        <v>0</v>
      </c>
      <c r="AL168" s="50">
        <f t="shared" si="135"/>
        <v>0</v>
      </c>
      <c r="AM168" s="50">
        <f t="shared" ca="1" si="115"/>
        <v>0</v>
      </c>
      <c r="AN168" s="50">
        <f ca="1">IF(B168=0,0,AT168*(_rpm1+(1+_emr1)*VLOOKUP(E168,Tab_Mort_Charge,IF(Input!$C$12="M",2,3),0))*(0.001*0.0833)*Flag_Mort_Rider_Charge*(AT168&gt;0))</f>
        <v>0</v>
      </c>
      <c r="AO168" s="50">
        <f t="shared" ca="1" si="136"/>
        <v>0</v>
      </c>
      <c r="AP168" s="50">
        <f t="shared" ca="1" si="143"/>
        <v>0</v>
      </c>
      <c r="AQ168" s="50">
        <f t="shared" ca="1" si="116"/>
        <v>0</v>
      </c>
      <c r="AR168" s="50">
        <f t="shared" ca="1" si="117"/>
        <v>0</v>
      </c>
      <c r="AS168" s="50">
        <f t="shared" si="118"/>
        <v>0</v>
      </c>
      <c r="AT168" s="50">
        <f ca="1">(MAX((MAX(AS168,105%*SUM($AJ$7:AJ168))-AM168*Flag_UL_Type),0)*B168)</f>
        <v>0</v>
      </c>
      <c r="AU168" s="50">
        <f ca="1">(MAX(AS168,AR168,105%*SUM($AJ$7:AJ168))*B168)</f>
        <v>0</v>
      </c>
      <c r="AV168" s="125"/>
      <c r="AW168" s="13"/>
      <c r="AX168" s="13"/>
      <c r="AY168" s="13"/>
      <c r="AZ168" s="13"/>
      <c r="BA168" s="13"/>
      <c r="BG168" s="51">
        <f t="shared" si="119"/>
        <v>0</v>
      </c>
      <c r="BH168" s="51">
        <f t="shared" ca="1" si="120"/>
        <v>0</v>
      </c>
      <c r="BI168" s="51">
        <f t="shared" ca="1" si="121"/>
        <v>0</v>
      </c>
      <c r="BJ168" s="51">
        <f t="shared" ca="1" si="122"/>
        <v>0</v>
      </c>
      <c r="BK168" s="51">
        <f t="shared" si="123"/>
        <v>0</v>
      </c>
      <c r="BL168" s="51">
        <f t="shared" ca="1" si="124"/>
        <v>0</v>
      </c>
      <c r="BM168" s="51">
        <f t="shared" si="125"/>
        <v>0</v>
      </c>
      <c r="BN168" s="51">
        <f t="shared" ca="1" si="126"/>
        <v>0</v>
      </c>
      <c r="BO168" s="51">
        <f t="shared" ca="1" si="127"/>
        <v>0</v>
      </c>
      <c r="BP168" s="51">
        <f t="shared" ca="1" si="128"/>
        <v>0</v>
      </c>
      <c r="BQ168" s="120"/>
      <c r="BR168" s="32"/>
      <c r="BS168" s="126"/>
      <c r="BT168" s="16"/>
      <c r="BU168" s="58"/>
      <c r="BW168" s="51">
        <f>VLOOKUP(H168,Charges!$AT$4:$AU$33,2,FALSE)*I168</f>
        <v>0</v>
      </c>
      <c r="BX168" s="51">
        <f t="shared" si="129"/>
        <v>0</v>
      </c>
      <c r="BY168" s="51">
        <f t="shared" si="137"/>
        <v>0</v>
      </c>
      <c r="BZ168" s="151"/>
      <c r="CA168" s="151"/>
      <c r="CB168" s="32"/>
      <c r="CC168" s="16">
        <f ca="1">SUM($N$7:$N168)</f>
        <v>0</v>
      </c>
      <c r="CD168" s="16">
        <f t="shared" ca="1" si="130"/>
        <v>0</v>
      </c>
      <c r="CE168" s="16">
        <f t="shared" ca="1" si="131"/>
        <v>0</v>
      </c>
      <c r="CF168" s="7">
        <f t="shared" ca="1" si="138"/>
        <v>0</v>
      </c>
    </row>
    <row r="169" spans="1:84" s="7" customFormat="1" x14ac:dyDescent="0.2">
      <c r="A169" s="149"/>
      <c r="B169" s="14">
        <f t="shared" si="100"/>
        <v>1</v>
      </c>
      <c r="C169" s="12">
        <f t="shared" si="101"/>
        <v>1</v>
      </c>
      <c r="D169" s="17">
        <f t="shared" si="139"/>
        <v>163</v>
      </c>
      <c r="E169" s="17">
        <f t="shared" ca="1" si="102"/>
        <v>73</v>
      </c>
      <c r="F169" s="12">
        <f t="shared" si="141"/>
        <v>6</v>
      </c>
      <c r="G169" s="12">
        <f t="shared" si="140"/>
        <v>28</v>
      </c>
      <c r="H169" s="17">
        <f t="shared" si="142"/>
        <v>14</v>
      </c>
      <c r="I169" s="29">
        <f t="shared" si="103"/>
        <v>0</v>
      </c>
      <c r="J169" s="211">
        <f>IFERROR(VLOOKUP(H169,Charges!$T$6:$U$35,2,0)*C169,0)</f>
        <v>1</v>
      </c>
      <c r="K169" s="29">
        <f t="shared" si="104"/>
        <v>0</v>
      </c>
      <c r="L169" s="29">
        <f t="shared" si="105"/>
        <v>0</v>
      </c>
      <c r="M169" s="147">
        <f t="shared" ca="1" si="106"/>
        <v>0</v>
      </c>
      <c r="N169" s="148">
        <f ca="1">IF(AND(Option_SPW="Y",Z168&gt;=SPW_Start_Min_FV,H169&gt;=Lock_In_Period,Z168&gt;SPW_Amount_pa+IF(option="Single",1/5*pr,2*pr),H169&gt;=SPW_Start_Year,H169&lt;=SPW_Start_Year+SPW_Duration-1,F169=0,age+H169&gt;=Legal_Age),SPW_Amount_pa,0)+IFERROR(VLOOKUP(H169,Input!$B$68:$C$74,2,0),0)*(F169=0)*(Option_PW="Y")*(Option_SPW="N")*(age+H169&gt;=Legal_Age)</f>
        <v>0</v>
      </c>
      <c r="O169" s="148">
        <f t="shared" ca="1" si="132"/>
        <v>0</v>
      </c>
      <c r="P169" s="14">
        <f ca="1">(MAX(MAX(sa-CF168*Flag_UL_Type,105%*SUM($I$7:I169))-(AD168+L169-N169)*Flag_UL_Type,0)*B169)</f>
        <v>0</v>
      </c>
      <c r="Q169" s="213">
        <f t="shared" ca="1" si="107"/>
        <v>0</v>
      </c>
      <c r="R169" s="14">
        <f t="shared" ca="1" si="108"/>
        <v>0</v>
      </c>
      <c r="S169" s="14">
        <f t="shared" ca="1" si="109"/>
        <v>0</v>
      </c>
      <c r="T169" s="14">
        <f>IFERROR(IF(WoP_Flag="Y",IF(fq=1,VLOOKUP(ppt*fq-H169,Charges!$AN$41:$AO$59,2,FALSE),IF(fq=2,VLOOKUP(ppt*fq-G169,Charges!$AP$41:$AQ$79,2,FALSE),VLOOKUP(ppt*fq-D169,Charges!$AR$41:$AS$279,2,FALSE)))*pr/fq,0),0)</f>
        <v>0</v>
      </c>
      <c r="U169" s="14">
        <f ca="1">IFERROR(((T169*(VLOOKUP(Input!$D$18+H169-1,Tab_Mort_Charge,IF(Gender_2="M",2,3),FALSE)*(1+_emr2)+_rpm2)/IF(Model_Type="LA_PQIS",1000/0.0833,(12*1000))))*Flag_Mort_Rider_Charge*(T169&gt;0),0)</f>
        <v>0</v>
      </c>
      <c r="V169" s="34">
        <f>ROUND(MIN(IF(H169&gt;=7,Charges!$C$12*(1+Charges!$C$14)^((H169-7+1)),VLOOKUP(H169,Charges!$B$7:$C$12,2,0))*pr,Charges!$C$13)*B169,Round)</f>
        <v>500</v>
      </c>
      <c r="W169" s="14">
        <f t="shared" ca="1" si="110"/>
        <v>6465503.2034601197</v>
      </c>
      <c r="X169" s="14">
        <f t="shared" ca="1" si="111"/>
        <v>6507102.4457475059</v>
      </c>
      <c r="Y169" s="213">
        <f t="shared" ca="1" si="133"/>
        <v>7324.4741366314556</v>
      </c>
      <c r="Z169" s="14">
        <f t="shared" ca="1" si="112"/>
        <v>6499777.9716108749</v>
      </c>
      <c r="AA169" s="14">
        <f>IF(AND($H169=pt,$F169=11),SUM($K$7:K169)*VLOOKUP(pt,ROC,2,FALSE),0)</f>
        <v>0</v>
      </c>
      <c r="AB169" s="14">
        <f>IF(AND($H169=pt,$F169=11),SUM($V$7:V169)*VLOOKUP(pt,ROC,2,FALSE),0)</f>
        <v>0</v>
      </c>
      <c r="AC169" s="14">
        <f>IF(AND($H169=pt,$F169=11),SUM($Q$7:Q169)*VLOOKUP(pt,ROC,2,FALSE),0)</f>
        <v>0</v>
      </c>
      <c r="AD169" s="14">
        <f t="shared" ca="1" si="134"/>
        <v>6499777.9716108749</v>
      </c>
      <c r="AE169" s="14">
        <f ca="1">(MAX(sa-CF168*Flag_UL_Type,105%*SUM($I$7:I169),Z169)+AU169)*B169</f>
        <v>6499777.9716108749</v>
      </c>
      <c r="AF169" s="136"/>
      <c r="AG169" s="18">
        <v>163</v>
      </c>
      <c r="AH169" s="30">
        <f t="shared" ca="1" si="113"/>
        <v>0</v>
      </c>
      <c r="AI169" s="58"/>
      <c r="AJ169" s="50">
        <f>IF(AND(Option_Sys_TopUp&gt;="Y",H169&gt;=sytp,H169&lt;=(dtp+sytp-1),F169=0,H169&lt;=ppt+1),atp,0)+IFERROR(VLOOKUP(H169,Input!$B$55:$C$61,2,0),0)*(F169=0)*(Option_TopUP="Y")*(Option_Sys_TopUp="N")*B169*(pt&gt;=H169+5)</f>
        <v>0</v>
      </c>
      <c r="AK169" s="50">
        <f t="shared" si="114"/>
        <v>0</v>
      </c>
      <c r="AL169" s="50">
        <f t="shared" si="135"/>
        <v>0</v>
      </c>
      <c r="AM169" s="50">
        <f t="shared" ca="1" si="115"/>
        <v>0</v>
      </c>
      <c r="AN169" s="50">
        <f ca="1">IF(B169=0,0,AT169*(_rpm1+(1+_emr1)*VLOOKUP(E169,Tab_Mort_Charge,IF(Input!$C$12="M",2,3),0))*(0.001*0.0833)*Flag_Mort_Rider_Charge*(AT169&gt;0))</f>
        <v>0</v>
      </c>
      <c r="AO169" s="50">
        <f t="shared" ca="1" si="136"/>
        <v>0</v>
      </c>
      <c r="AP169" s="50">
        <f t="shared" ca="1" si="143"/>
        <v>0</v>
      </c>
      <c r="AQ169" s="50">
        <f t="shared" ca="1" si="116"/>
        <v>0</v>
      </c>
      <c r="AR169" s="50">
        <f t="shared" ca="1" si="117"/>
        <v>0</v>
      </c>
      <c r="AS169" s="50">
        <f t="shared" si="118"/>
        <v>0</v>
      </c>
      <c r="AT169" s="50">
        <f ca="1">(MAX((MAX(AS169,105%*SUM($AJ$7:AJ169))-AM169*Flag_UL_Type),0)*B169)</f>
        <v>0</v>
      </c>
      <c r="AU169" s="50">
        <f ca="1">(MAX(AS169,AR169,105%*SUM($AJ$7:AJ169))*B169)</f>
        <v>0</v>
      </c>
      <c r="AV169" s="125"/>
      <c r="AW169" s="13"/>
      <c r="AX169" s="13"/>
      <c r="AY169" s="13"/>
      <c r="AZ169" s="13"/>
      <c r="BA169" s="13"/>
      <c r="BG169" s="51">
        <f t="shared" si="119"/>
        <v>0</v>
      </c>
      <c r="BH169" s="51">
        <f t="shared" ca="1" si="120"/>
        <v>0</v>
      </c>
      <c r="BI169" s="51">
        <f t="shared" ca="1" si="121"/>
        <v>0</v>
      </c>
      <c r="BJ169" s="51">
        <f t="shared" ca="1" si="122"/>
        <v>0</v>
      </c>
      <c r="BK169" s="51">
        <f t="shared" si="123"/>
        <v>0</v>
      </c>
      <c r="BL169" s="51">
        <f t="shared" ca="1" si="124"/>
        <v>0</v>
      </c>
      <c r="BM169" s="51">
        <f t="shared" si="125"/>
        <v>0</v>
      </c>
      <c r="BN169" s="51">
        <f t="shared" ca="1" si="126"/>
        <v>0</v>
      </c>
      <c r="BO169" s="51">
        <f t="shared" ca="1" si="127"/>
        <v>0</v>
      </c>
      <c r="BP169" s="51">
        <f t="shared" ca="1" si="128"/>
        <v>0</v>
      </c>
      <c r="BQ169" s="120"/>
      <c r="BR169" s="32"/>
      <c r="BS169" s="126"/>
      <c r="BT169" s="16"/>
      <c r="BU169" s="58"/>
      <c r="BW169" s="51">
        <f>VLOOKUP(H169,Charges!$AT$4:$AU$33,2,FALSE)*I169</f>
        <v>0</v>
      </c>
      <c r="BX169" s="51">
        <f t="shared" si="129"/>
        <v>0</v>
      </c>
      <c r="BY169" s="51">
        <f t="shared" si="137"/>
        <v>0</v>
      </c>
      <c r="BZ169" s="151"/>
      <c r="CA169" s="151"/>
      <c r="CB169" s="32"/>
      <c r="CC169" s="16">
        <f ca="1">SUM($N$7:$N169)</f>
        <v>0</v>
      </c>
      <c r="CD169" s="16">
        <f t="shared" ca="1" si="130"/>
        <v>0</v>
      </c>
      <c r="CE169" s="16">
        <f t="shared" ca="1" si="131"/>
        <v>0</v>
      </c>
      <c r="CF169" s="7">
        <f t="shared" ca="1" si="138"/>
        <v>0</v>
      </c>
    </row>
    <row r="170" spans="1:84" s="7" customFormat="1" x14ac:dyDescent="0.2">
      <c r="A170" s="149"/>
      <c r="B170" s="14">
        <f t="shared" si="100"/>
        <v>1</v>
      </c>
      <c r="C170" s="12">
        <f t="shared" si="101"/>
        <v>1</v>
      </c>
      <c r="D170" s="17">
        <f t="shared" si="139"/>
        <v>164</v>
      </c>
      <c r="E170" s="17">
        <f t="shared" ca="1" si="102"/>
        <v>73</v>
      </c>
      <c r="F170" s="12">
        <f t="shared" si="141"/>
        <v>7</v>
      </c>
      <c r="G170" s="12">
        <f t="shared" si="140"/>
        <v>28</v>
      </c>
      <c r="H170" s="17">
        <f t="shared" si="142"/>
        <v>14</v>
      </c>
      <c r="I170" s="29">
        <f t="shared" si="103"/>
        <v>0</v>
      </c>
      <c r="J170" s="211">
        <f>IFERROR(VLOOKUP(H170,Charges!$T$6:$U$35,2,0)*C170,0)</f>
        <v>1</v>
      </c>
      <c r="K170" s="29">
        <f t="shared" si="104"/>
        <v>0</v>
      </c>
      <c r="L170" s="29">
        <f t="shared" si="105"/>
        <v>0</v>
      </c>
      <c r="M170" s="147">
        <f t="shared" ca="1" si="106"/>
        <v>0</v>
      </c>
      <c r="N170" s="148">
        <f ca="1">IF(AND(Option_SPW="Y",Z169&gt;=SPW_Start_Min_FV,H170&gt;=Lock_In_Period,Z169&gt;SPW_Amount_pa+IF(option="Single",1/5*pr,2*pr),H170&gt;=SPW_Start_Year,H170&lt;=SPW_Start_Year+SPW_Duration-1,F170=0,age+H170&gt;=Legal_Age),SPW_Amount_pa,0)+IFERROR(VLOOKUP(H170,Input!$B$68:$C$74,2,0),0)*(F170=0)*(Option_PW="Y")*(Option_SPW="N")*(age+H170&gt;=Legal_Age)</f>
        <v>0</v>
      </c>
      <c r="O170" s="148">
        <f t="shared" ca="1" si="132"/>
        <v>0</v>
      </c>
      <c r="P170" s="14">
        <f ca="1">(MAX(MAX(sa-CF169*Flag_UL_Type,105%*SUM($I$7:I170))-(AD169+L170-N170)*Flag_UL_Type,0)*B170)</f>
        <v>0</v>
      </c>
      <c r="Q170" s="213">
        <f t="shared" ca="1" si="107"/>
        <v>0</v>
      </c>
      <c r="R170" s="14">
        <f t="shared" ca="1" si="108"/>
        <v>0</v>
      </c>
      <c r="S170" s="14">
        <f t="shared" ca="1" si="109"/>
        <v>0</v>
      </c>
      <c r="T170" s="14">
        <f>IFERROR(IF(WoP_Flag="Y",IF(fq=1,VLOOKUP(ppt*fq-H170,Charges!$AN$41:$AO$59,2,FALSE),IF(fq=2,VLOOKUP(ppt*fq-G170,Charges!$AP$41:$AQ$79,2,FALSE),VLOOKUP(ppt*fq-D170,Charges!$AR$41:$AS$279,2,FALSE)))*pr/fq,0),0)</f>
        <v>0</v>
      </c>
      <c r="U170" s="14">
        <f ca="1">IFERROR(((T170*(VLOOKUP(Input!$D$18+H170-1,Tab_Mort_Charge,IF(Gender_2="M",2,3),FALSE)*(1+_emr2)+_rpm2)/IF(Model_Type="LA_PQIS",1000/0.0833,(12*1000))))*Flag_Mort_Rider_Charge*(T170&gt;0),0)</f>
        <v>0</v>
      </c>
      <c r="V170" s="34">
        <f>ROUND(MIN(IF(H170&gt;=7,Charges!$C$12*(1+Charges!$C$14)^((H170-7+1)),VLOOKUP(H170,Charges!$B$7:$C$12,2,0))*pr,Charges!$C$13)*B170,Round)</f>
        <v>500</v>
      </c>
      <c r="W170" s="14">
        <f t="shared" ca="1" si="110"/>
        <v>6499277.9716108749</v>
      </c>
      <c r="X170" s="14">
        <f t="shared" ca="1" si="111"/>
        <v>6541094.5217735013</v>
      </c>
      <c r="Y170" s="213">
        <f t="shared" ca="1" si="133"/>
        <v>7362.7360333479455</v>
      </c>
      <c r="Z170" s="14">
        <f t="shared" ca="1" si="112"/>
        <v>6533731.7857401529</v>
      </c>
      <c r="AA170" s="14">
        <f>IF(AND($H170=pt,$F170=11),SUM($K$7:K170)*VLOOKUP(pt,ROC,2,FALSE),0)</f>
        <v>0</v>
      </c>
      <c r="AB170" s="14">
        <f>IF(AND($H170=pt,$F170=11),SUM($V$7:V170)*VLOOKUP(pt,ROC,2,FALSE),0)</f>
        <v>0</v>
      </c>
      <c r="AC170" s="14">
        <f>IF(AND($H170=pt,$F170=11),SUM($Q$7:Q170)*VLOOKUP(pt,ROC,2,FALSE),0)</f>
        <v>0</v>
      </c>
      <c r="AD170" s="14">
        <f t="shared" ca="1" si="134"/>
        <v>6533731.7857401529</v>
      </c>
      <c r="AE170" s="14">
        <f ca="1">(MAX(sa-CF169*Flag_UL_Type,105%*SUM($I$7:I170),Z170)+AU170)*B170</f>
        <v>6533731.7857401529</v>
      </c>
      <c r="AF170" s="136"/>
      <c r="AG170" s="18">
        <v>164</v>
      </c>
      <c r="AH170" s="30">
        <f t="shared" ca="1" si="113"/>
        <v>0</v>
      </c>
      <c r="AI170" s="58"/>
      <c r="AJ170" s="50">
        <f>IF(AND(Option_Sys_TopUp&gt;="Y",H170&gt;=sytp,H170&lt;=(dtp+sytp-1),F170=0,H170&lt;=ppt+1),atp,0)+IFERROR(VLOOKUP(H170,Input!$B$55:$C$61,2,0),0)*(F170=0)*(Option_TopUP="Y")*(Option_Sys_TopUp="N")*B170*(pt&gt;=H170+5)</f>
        <v>0</v>
      </c>
      <c r="AK170" s="50">
        <f t="shared" si="114"/>
        <v>0</v>
      </c>
      <c r="AL170" s="50">
        <f t="shared" si="135"/>
        <v>0</v>
      </c>
      <c r="AM170" s="50">
        <f t="shared" ca="1" si="115"/>
        <v>0</v>
      </c>
      <c r="AN170" s="50">
        <f ca="1">IF(B170=0,0,AT170*(_rpm1+(1+_emr1)*VLOOKUP(E170,Tab_Mort_Charge,IF(Input!$C$12="M",2,3),0))*(0.001*0.0833)*Flag_Mort_Rider_Charge*(AT170&gt;0))</f>
        <v>0</v>
      </c>
      <c r="AO170" s="50">
        <f t="shared" ca="1" si="136"/>
        <v>0</v>
      </c>
      <c r="AP170" s="50">
        <f t="shared" ca="1" si="143"/>
        <v>0</v>
      </c>
      <c r="AQ170" s="50">
        <f t="shared" ca="1" si="116"/>
        <v>0</v>
      </c>
      <c r="AR170" s="50">
        <f t="shared" ca="1" si="117"/>
        <v>0</v>
      </c>
      <c r="AS170" s="50">
        <f t="shared" si="118"/>
        <v>0</v>
      </c>
      <c r="AT170" s="50">
        <f ca="1">(MAX((MAX(AS170,105%*SUM($AJ$7:AJ170))-AM170*Flag_UL_Type),0)*B170)</f>
        <v>0</v>
      </c>
      <c r="AU170" s="50">
        <f ca="1">(MAX(AS170,AR170,105%*SUM($AJ$7:AJ170))*B170)</f>
        <v>0</v>
      </c>
      <c r="AV170" s="125"/>
      <c r="AW170" s="13"/>
      <c r="AX170" s="13"/>
      <c r="AY170" s="13"/>
      <c r="AZ170" s="13"/>
      <c r="BA170" s="13"/>
      <c r="BG170" s="51">
        <f t="shared" si="119"/>
        <v>0</v>
      </c>
      <c r="BH170" s="51">
        <f t="shared" ca="1" si="120"/>
        <v>0</v>
      </c>
      <c r="BI170" s="51">
        <f t="shared" ca="1" si="121"/>
        <v>0</v>
      </c>
      <c r="BJ170" s="51">
        <f t="shared" ca="1" si="122"/>
        <v>0</v>
      </c>
      <c r="BK170" s="51">
        <f t="shared" si="123"/>
        <v>0</v>
      </c>
      <c r="BL170" s="51">
        <f t="shared" ca="1" si="124"/>
        <v>0</v>
      </c>
      <c r="BM170" s="51">
        <f t="shared" si="125"/>
        <v>0</v>
      </c>
      <c r="BN170" s="51">
        <f t="shared" ca="1" si="126"/>
        <v>0</v>
      </c>
      <c r="BO170" s="51">
        <f t="shared" ca="1" si="127"/>
        <v>0</v>
      </c>
      <c r="BP170" s="51">
        <f t="shared" ca="1" si="128"/>
        <v>0</v>
      </c>
      <c r="BQ170" s="120"/>
      <c r="BR170" s="32"/>
      <c r="BS170" s="126"/>
      <c r="BT170" s="16"/>
      <c r="BU170" s="58"/>
      <c r="BW170" s="51">
        <f>VLOOKUP(H170,Charges!$AT$4:$AU$33,2,FALSE)*I170</f>
        <v>0</v>
      </c>
      <c r="BX170" s="51">
        <f t="shared" si="129"/>
        <v>0</v>
      </c>
      <c r="BY170" s="51">
        <f t="shared" si="137"/>
        <v>0</v>
      </c>
      <c r="BZ170" s="151"/>
      <c r="CA170" s="151"/>
      <c r="CB170" s="32"/>
      <c r="CC170" s="16">
        <f ca="1">SUM($N$7:$N170)</f>
        <v>0</v>
      </c>
      <c r="CD170" s="16">
        <f t="shared" ca="1" si="130"/>
        <v>0</v>
      </c>
      <c r="CE170" s="16">
        <f t="shared" ca="1" si="131"/>
        <v>0</v>
      </c>
      <c r="CF170" s="7">
        <f t="shared" ca="1" si="138"/>
        <v>0</v>
      </c>
    </row>
    <row r="171" spans="1:84" s="7" customFormat="1" x14ac:dyDescent="0.2">
      <c r="A171" s="149"/>
      <c r="B171" s="14">
        <f t="shared" si="100"/>
        <v>1</v>
      </c>
      <c r="C171" s="12">
        <f t="shared" si="101"/>
        <v>1</v>
      </c>
      <c r="D171" s="17">
        <f t="shared" si="139"/>
        <v>165</v>
      </c>
      <c r="E171" s="17">
        <f t="shared" ca="1" si="102"/>
        <v>73</v>
      </c>
      <c r="F171" s="12">
        <f t="shared" si="141"/>
        <v>8</v>
      </c>
      <c r="G171" s="12">
        <f t="shared" si="140"/>
        <v>28</v>
      </c>
      <c r="H171" s="17">
        <f t="shared" si="142"/>
        <v>14</v>
      </c>
      <c r="I171" s="29">
        <f t="shared" si="103"/>
        <v>0</v>
      </c>
      <c r="J171" s="211">
        <f>IFERROR(VLOOKUP(H171,Charges!$T$6:$U$35,2,0)*C171,0)</f>
        <v>1</v>
      </c>
      <c r="K171" s="29">
        <f t="shared" si="104"/>
        <v>0</v>
      </c>
      <c r="L171" s="29">
        <f t="shared" si="105"/>
        <v>0</v>
      </c>
      <c r="M171" s="147">
        <f t="shared" ca="1" si="106"/>
        <v>0</v>
      </c>
      <c r="N171" s="148">
        <f ca="1">IF(AND(Option_SPW="Y",Z170&gt;=SPW_Start_Min_FV,H171&gt;=Lock_In_Period,Z170&gt;SPW_Amount_pa+IF(option="Single",1/5*pr,2*pr),H171&gt;=SPW_Start_Year,H171&lt;=SPW_Start_Year+SPW_Duration-1,F171=0,age+H171&gt;=Legal_Age),SPW_Amount_pa,0)+IFERROR(VLOOKUP(H171,Input!$B$68:$C$74,2,0),0)*(F171=0)*(Option_PW="Y")*(Option_SPW="N")*(age+H171&gt;=Legal_Age)</f>
        <v>0</v>
      </c>
      <c r="O171" s="148">
        <f t="shared" ca="1" si="132"/>
        <v>0</v>
      </c>
      <c r="P171" s="14">
        <f ca="1">(MAX(MAX(sa-CF170*Flag_UL_Type,105%*SUM($I$7:I171))-(AD170+L171-N171)*Flag_UL_Type,0)*B171)</f>
        <v>0</v>
      </c>
      <c r="Q171" s="213">
        <f t="shared" ca="1" si="107"/>
        <v>0</v>
      </c>
      <c r="R171" s="14">
        <f t="shared" ca="1" si="108"/>
        <v>0</v>
      </c>
      <c r="S171" s="14">
        <f t="shared" ca="1" si="109"/>
        <v>0</v>
      </c>
      <c r="T171" s="14">
        <f>IFERROR(IF(WoP_Flag="Y",IF(fq=1,VLOOKUP(ppt*fq-H171,Charges!$AN$41:$AO$59,2,FALSE),IF(fq=2,VLOOKUP(ppt*fq-G171,Charges!$AP$41:$AQ$79,2,FALSE),VLOOKUP(ppt*fq-D171,Charges!$AR$41:$AS$279,2,FALSE)))*pr/fq,0),0)</f>
        <v>0</v>
      </c>
      <c r="U171" s="14">
        <f ca="1">IFERROR(((T171*(VLOOKUP(Input!$D$18+H171-1,Tab_Mort_Charge,IF(Gender_2="M",2,3),FALSE)*(1+_emr2)+_rpm2)/IF(Model_Type="LA_PQIS",1000/0.0833,(12*1000))))*Flag_Mort_Rider_Charge*(T171&gt;0),0)</f>
        <v>0</v>
      </c>
      <c r="V171" s="34">
        <f>ROUND(MIN(IF(H171&gt;=7,Charges!$C$12*(1+Charges!$C$14)^((H171-7+1)),VLOOKUP(H171,Charges!$B$7:$C$12,2,0))*pr,Charges!$C$13)*B171,Round)</f>
        <v>500</v>
      </c>
      <c r="W171" s="14">
        <f t="shared" ca="1" si="110"/>
        <v>6533231.7857401529</v>
      </c>
      <c r="X171" s="14">
        <f t="shared" ca="1" si="111"/>
        <v>6575266.795765237</v>
      </c>
      <c r="Y171" s="213">
        <f t="shared" ca="1" si="133"/>
        <v>7401.2007630996532</v>
      </c>
      <c r="Z171" s="14">
        <f t="shared" ca="1" si="112"/>
        <v>6567865.5950021371</v>
      </c>
      <c r="AA171" s="14">
        <f>IF(AND($H171=pt,$F171=11),SUM($K$7:K171)*VLOOKUP(pt,ROC,2,FALSE),0)</f>
        <v>0</v>
      </c>
      <c r="AB171" s="14">
        <f>IF(AND($H171=pt,$F171=11),SUM($V$7:V171)*VLOOKUP(pt,ROC,2,FALSE),0)</f>
        <v>0</v>
      </c>
      <c r="AC171" s="14">
        <f>IF(AND($H171=pt,$F171=11),SUM($Q$7:Q171)*VLOOKUP(pt,ROC,2,FALSE),0)</f>
        <v>0</v>
      </c>
      <c r="AD171" s="14">
        <f t="shared" ca="1" si="134"/>
        <v>6567865.5950021371</v>
      </c>
      <c r="AE171" s="14">
        <f ca="1">(MAX(sa-CF170*Flag_UL_Type,105%*SUM($I$7:I171),Z171)+AU171)*B171</f>
        <v>6567865.5950021371</v>
      </c>
      <c r="AF171" s="136"/>
      <c r="AG171" s="18">
        <v>165</v>
      </c>
      <c r="AH171" s="30">
        <f t="shared" ca="1" si="113"/>
        <v>0</v>
      </c>
      <c r="AI171" s="58"/>
      <c r="AJ171" s="50">
        <f>IF(AND(Option_Sys_TopUp&gt;="Y",H171&gt;=sytp,H171&lt;=(dtp+sytp-1),F171=0,H171&lt;=ppt+1),atp,0)+IFERROR(VLOOKUP(H171,Input!$B$55:$C$61,2,0),0)*(F171=0)*(Option_TopUP="Y")*(Option_Sys_TopUp="N")*B171*(pt&gt;=H171+5)</f>
        <v>0</v>
      </c>
      <c r="AK171" s="50">
        <f t="shared" si="114"/>
        <v>0</v>
      </c>
      <c r="AL171" s="50">
        <f t="shared" si="135"/>
        <v>0</v>
      </c>
      <c r="AM171" s="50">
        <f t="shared" ca="1" si="115"/>
        <v>0</v>
      </c>
      <c r="AN171" s="50">
        <f ca="1">IF(B171=0,0,AT171*(_rpm1+(1+_emr1)*VLOOKUP(E171,Tab_Mort_Charge,IF(Input!$C$12="M",2,3),0))*(0.001*0.0833)*Flag_Mort_Rider_Charge*(AT171&gt;0))</f>
        <v>0</v>
      </c>
      <c r="AO171" s="50">
        <f t="shared" ca="1" si="136"/>
        <v>0</v>
      </c>
      <c r="AP171" s="50">
        <f t="shared" ca="1" si="143"/>
        <v>0</v>
      </c>
      <c r="AQ171" s="50">
        <f t="shared" ca="1" si="116"/>
        <v>0</v>
      </c>
      <c r="AR171" s="50">
        <f t="shared" ca="1" si="117"/>
        <v>0</v>
      </c>
      <c r="AS171" s="50">
        <f t="shared" si="118"/>
        <v>0</v>
      </c>
      <c r="AT171" s="50">
        <f ca="1">(MAX((MAX(AS171,105%*SUM($AJ$7:AJ171))-AM171*Flag_UL_Type),0)*B171)</f>
        <v>0</v>
      </c>
      <c r="AU171" s="50">
        <f ca="1">(MAX(AS171,AR171,105%*SUM($AJ$7:AJ171))*B171)</f>
        <v>0</v>
      </c>
      <c r="AV171" s="125"/>
      <c r="AW171" s="13"/>
      <c r="AX171" s="13"/>
      <c r="AY171" s="13"/>
      <c r="AZ171" s="13"/>
      <c r="BA171" s="13"/>
      <c r="BG171" s="51">
        <f t="shared" si="119"/>
        <v>0</v>
      </c>
      <c r="BH171" s="51">
        <f t="shared" ca="1" si="120"/>
        <v>0</v>
      </c>
      <c r="BI171" s="51">
        <f t="shared" ca="1" si="121"/>
        <v>0</v>
      </c>
      <c r="BJ171" s="51">
        <f t="shared" ca="1" si="122"/>
        <v>0</v>
      </c>
      <c r="BK171" s="51">
        <f t="shared" si="123"/>
        <v>0</v>
      </c>
      <c r="BL171" s="51">
        <f t="shared" ca="1" si="124"/>
        <v>0</v>
      </c>
      <c r="BM171" s="51">
        <f t="shared" si="125"/>
        <v>0</v>
      </c>
      <c r="BN171" s="51">
        <f t="shared" ca="1" si="126"/>
        <v>0</v>
      </c>
      <c r="BO171" s="51">
        <f t="shared" ca="1" si="127"/>
        <v>0</v>
      </c>
      <c r="BP171" s="51">
        <f t="shared" ca="1" si="128"/>
        <v>0</v>
      </c>
      <c r="BQ171" s="120"/>
      <c r="BR171" s="32"/>
      <c r="BS171" s="126"/>
      <c r="BT171" s="16"/>
      <c r="BU171" s="58"/>
      <c r="BW171" s="51">
        <f>VLOOKUP(H171,Charges!$AT$4:$AU$33,2,FALSE)*I171</f>
        <v>0</v>
      </c>
      <c r="BX171" s="51">
        <f t="shared" si="129"/>
        <v>0</v>
      </c>
      <c r="BY171" s="51">
        <f t="shared" si="137"/>
        <v>0</v>
      </c>
      <c r="BZ171" s="151"/>
      <c r="CA171" s="151"/>
      <c r="CB171" s="32"/>
      <c r="CC171" s="16">
        <f ca="1">SUM($N$7:$N171)</f>
        <v>0</v>
      </c>
      <c r="CD171" s="16">
        <f t="shared" ca="1" si="130"/>
        <v>0</v>
      </c>
      <c r="CE171" s="16">
        <f t="shared" ca="1" si="131"/>
        <v>0</v>
      </c>
      <c r="CF171" s="7">
        <f t="shared" ca="1" si="138"/>
        <v>0</v>
      </c>
    </row>
    <row r="172" spans="1:84" s="7" customFormat="1" x14ac:dyDescent="0.2">
      <c r="A172" s="149"/>
      <c r="B172" s="14">
        <f t="shared" si="100"/>
        <v>1</v>
      </c>
      <c r="C172" s="12">
        <f t="shared" si="101"/>
        <v>1</v>
      </c>
      <c r="D172" s="17">
        <f t="shared" si="139"/>
        <v>166</v>
      </c>
      <c r="E172" s="17">
        <f t="shared" ca="1" si="102"/>
        <v>73</v>
      </c>
      <c r="F172" s="12">
        <f t="shared" si="141"/>
        <v>9</v>
      </c>
      <c r="G172" s="12">
        <f t="shared" si="140"/>
        <v>28</v>
      </c>
      <c r="H172" s="17">
        <f t="shared" si="142"/>
        <v>14</v>
      </c>
      <c r="I172" s="29">
        <f t="shared" si="103"/>
        <v>0</v>
      </c>
      <c r="J172" s="211">
        <f>IFERROR(VLOOKUP(H172,Charges!$T$6:$U$35,2,0)*C172,0)</f>
        <v>1</v>
      </c>
      <c r="K172" s="29">
        <f t="shared" si="104"/>
        <v>0</v>
      </c>
      <c r="L172" s="29">
        <f t="shared" si="105"/>
        <v>0</v>
      </c>
      <c r="M172" s="147">
        <f t="shared" ca="1" si="106"/>
        <v>0</v>
      </c>
      <c r="N172" s="148">
        <f ca="1">IF(AND(Option_SPW="Y",Z171&gt;=SPW_Start_Min_FV,H172&gt;=Lock_In_Period,Z171&gt;SPW_Amount_pa+IF(option="Single",1/5*pr,2*pr),H172&gt;=SPW_Start_Year,H172&lt;=SPW_Start_Year+SPW_Duration-1,F172=0,age+H172&gt;=Legal_Age),SPW_Amount_pa,0)+IFERROR(VLOOKUP(H172,Input!$B$68:$C$74,2,0),0)*(F172=0)*(Option_PW="Y")*(Option_SPW="N")*(age+H172&gt;=Legal_Age)</f>
        <v>0</v>
      </c>
      <c r="O172" s="148">
        <f t="shared" ca="1" si="132"/>
        <v>0</v>
      </c>
      <c r="P172" s="14">
        <f ca="1">(MAX(MAX(sa-CF171*Flag_UL_Type,105%*SUM($I$7:I172))-(AD171+L172-N172)*Flag_UL_Type,0)*B172)</f>
        <v>0</v>
      </c>
      <c r="Q172" s="213">
        <f t="shared" ca="1" si="107"/>
        <v>0</v>
      </c>
      <c r="R172" s="14">
        <f t="shared" ca="1" si="108"/>
        <v>0</v>
      </c>
      <c r="S172" s="14">
        <f t="shared" ca="1" si="109"/>
        <v>0</v>
      </c>
      <c r="T172" s="14">
        <f>IFERROR(IF(WoP_Flag="Y",IF(fq=1,VLOOKUP(ppt*fq-H172,Charges!$AN$41:$AO$59,2,FALSE),IF(fq=2,VLOOKUP(ppt*fq-G172,Charges!$AP$41:$AQ$79,2,FALSE),VLOOKUP(ppt*fq-D172,Charges!$AR$41:$AS$279,2,FALSE)))*pr/fq,0),0)</f>
        <v>0</v>
      </c>
      <c r="U172" s="14">
        <f ca="1">IFERROR(((T172*(VLOOKUP(Input!$D$18+H172-1,Tab_Mort_Charge,IF(Gender_2="M",2,3),FALSE)*(1+_emr2)+_rpm2)/IF(Model_Type="LA_PQIS",1000/0.0833,(12*1000))))*Flag_Mort_Rider_Charge*(T172&gt;0),0)</f>
        <v>0</v>
      </c>
      <c r="V172" s="34">
        <f>ROUND(MIN(IF(H172&gt;=7,Charges!$C$12*(1+Charges!$C$14)^((H172-7+1)),VLOOKUP(H172,Charges!$B$7:$C$12,2,0))*pr,Charges!$C$13)*B172,Round)</f>
        <v>500</v>
      </c>
      <c r="W172" s="14">
        <f t="shared" ca="1" si="110"/>
        <v>6567365.5950021371</v>
      </c>
      <c r="X172" s="14">
        <f t="shared" ca="1" si="111"/>
        <v>6609620.2229837812</v>
      </c>
      <c r="Y172" s="213">
        <f t="shared" ca="1" si="133"/>
        <v>7439.8694011401249</v>
      </c>
      <c r="Z172" s="14">
        <f t="shared" ca="1" si="112"/>
        <v>6602180.3535826411</v>
      </c>
      <c r="AA172" s="14">
        <f>IF(AND($H172=pt,$F172=11),SUM($K$7:K172)*VLOOKUP(pt,ROC,2,FALSE),0)</f>
        <v>0</v>
      </c>
      <c r="AB172" s="14">
        <f>IF(AND($H172=pt,$F172=11),SUM($V$7:V172)*VLOOKUP(pt,ROC,2,FALSE),0)</f>
        <v>0</v>
      </c>
      <c r="AC172" s="14">
        <f>IF(AND($H172=pt,$F172=11),SUM($Q$7:Q172)*VLOOKUP(pt,ROC,2,FALSE),0)</f>
        <v>0</v>
      </c>
      <c r="AD172" s="14">
        <f t="shared" ca="1" si="134"/>
        <v>6602180.3535826411</v>
      </c>
      <c r="AE172" s="14">
        <f ca="1">(MAX(sa-CF171*Flag_UL_Type,105%*SUM($I$7:I172),Z172)+AU172)*B172</f>
        <v>6602180.3535826411</v>
      </c>
      <c r="AF172" s="136"/>
      <c r="AG172" s="18">
        <v>166</v>
      </c>
      <c r="AH172" s="30">
        <f t="shared" ca="1" si="113"/>
        <v>0</v>
      </c>
      <c r="AI172" s="58"/>
      <c r="AJ172" s="50">
        <f>IF(AND(Option_Sys_TopUp&gt;="Y",H172&gt;=sytp,H172&lt;=(dtp+sytp-1),F172=0,H172&lt;=ppt+1),atp,0)+IFERROR(VLOOKUP(H172,Input!$B$55:$C$61,2,0),0)*(F172=0)*(Option_TopUP="Y")*(Option_Sys_TopUp="N")*B172*(pt&gt;=H172+5)</f>
        <v>0</v>
      </c>
      <c r="AK172" s="50">
        <f t="shared" si="114"/>
        <v>0</v>
      </c>
      <c r="AL172" s="50">
        <f t="shared" si="135"/>
        <v>0</v>
      </c>
      <c r="AM172" s="50">
        <f t="shared" ca="1" si="115"/>
        <v>0</v>
      </c>
      <c r="AN172" s="50">
        <f ca="1">IF(B172=0,0,AT172*(_rpm1+(1+_emr1)*VLOOKUP(E172,Tab_Mort_Charge,IF(Input!$C$12="M",2,3),0))*(0.001*0.0833)*Flag_Mort_Rider_Charge*(AT172&gt;0))</f>
        <v>0</v>
      </c>
      <c r="AO172" s="50">
        <f t="shared" ca="1" si="136"/>
        <v>0</v>
      </c>
      <c r="AP172" s="50">
        <f t="shared" ca="1" si="143"/>
        <v>0</v>
      </c>
      <c r="AQ172" s="50">
        <f t="shared" ca="1" si="116"/>
        <v>0</v>
      </c>
      <c r="AR172" s="50">
        <f t="shared" ca="1" si="117"/>
        <v>0</v>
      </c>
      <c r="AS172" s="50">
        <f t="shared" si="118"/>
        <v>0</v>
      </c>
      <c r="AT172" s="50">
        <f ca="1">(MAX((MAX(AS172,105%*SUM($AJ$7:AJ172))-AM172*Flag_UL_Type),0)*B172)</f>
        <v>0</v>
      </c>
      <c r="AU172" s="50">
        <f ca="1">(MAX(AS172,AR172,105%*SUM($AJ$7:AJ172))*B172)</f>
        <v>0</v>
      </c>
      <c r="AV172" s="125"/>
      <c r="AW172" s="13"/>
      <c r="AX172" s="13"/>
      <c r="AY172" s="13"/>
      <c r="AZ172" s="13"/>
      <c r="BA172" s="13"/>
      <c r="BG172" s="51">
        <f t="shared" si="119"/>
        <v>0</v>
      </c>
      <c r="BH172" s="51">
        <f t="shared" ca="1" si="120"/>
        <v>0</v>
      </c>
      <c r="BI172" s="51">
        <f t="shared" ca="1" si="121"/>
        <v>0</v>
      </c>
      <c r="BJ172" s="51">
        <f t="shared" ca="1" si="122"/>
        <v>0</v>
      </c>
      <c r="BK172" s="51">
        <f t="shared" si="123"/>
        <v>0</v>
      </c>
      <c r="BL172" s="51">
        <f t="shared" ca="1" si="124"/>
        <v>0</v>
      </c>
      <c r="BM172" s="51">
        <f t="shared" si="125"/>
        <v>0</v>
      </c>
      <c r="BN172" s="51">
        <f t="shared" ca="1" si="126"/>
        <v>0</v>
      </c>
      <c r="BO172" s="51">
        <f t="shared" ca="1" si="127"/>
        <v>0</v>
      </c>
      <c r="BP172" s="51">
        <f t="shared" ca="1" si="128"/>
        <v>0</v>
      </c>
      <c r="BQ172" s="120"/>
      <c r="BR172" s="32"/>
      <c r="BS172" s="126"/>
      <c r="BT172" s="16"/>
      <c r="BU172" s="58"/>
      <c r="BW172" s="51">
        <f>VLOOKUP(H172,Charges!$AT$4:$AU$33,2,FALSE)*I172</f>
        <v>0</v>
      </c>
      <c r="BX172" s="51">
        <f t="shared" si="129"/>
        <v>0</v>
      </c>
      <c r="BY172" s="51">
        <f t="shared" si="137"/>
        <v>0</v>
      </c>
      <c r="BZ172" s="151"/>
      <c r="CA172" s="151"/>
      <c r="CB172" s="32"/>
      <c r="CC172" s="16">
        <f ca="1">SUM($N$7:$N172)</f>
        <v>0</v>
      </c>
      <c r="CD172" s="16">
        <f t="shared" ca="1" si="130"/>
        <v>0</v>
      </c>
      <c r="CE172" s="16">
        <f t="shared" ca="1" si="131"/>
        <v>0</v>
      </c>
      <c r="CF172" s="7">
        <f t="shared" ca="1" si="138"/>
        <v>0</v>
      </c>
    </row>
    <row r="173" spans="1:84" s="7" customFormat="1" x14ac:dyDescent="0.2">
      <c r="A173" s="149"/>
      <c r="B173" s="14">
        <f t="shared" si="100"/>
        <v>1</v>
      </c>
      <c r="C173" s="12">
        <f t="shared" si="101"/>
        <v>1</v>
      </c>
      <c r="D173" s="17">
        <f t="shared" si="139"/>
        <v>167</v>
      </c>
      <c r="E173" s="17">
        <f t="shared" ca="1" si="102"/>
        <v>73</v>
      </c>
      <c r="F173" s="12">
        <f t="shared" si="141"/>
        <v>10</v>
      </c>
      <c r="G173" s="12">
        <f t="shared" si="140"/>
        <v>28</v>
      </c>
      <c r="H173" s="17">
        <f t="shared" si="142"/>
        <v>14</v>
      </c>
      <c r="I173" s="29">
        <f t="shared" si="103"/>
        <v>0</v>
      </c>
      <c r="J173" s="211">
        <f>IFERROR(VLOOKUP(H173,Charges!$T$6:$U$35,2,0)*C173,0)</f>
        <v>1</v>
      </c>
      <c r="K173" s="29">
        <f t="shared" si="104"/>
        <v>0</v>
      </c>
      <c r="L173" s="29">
        <f t="shared" si="105"/>
        <v>0</v>
      </c>
      <c r="M173" s="147">
        <f t="shared" ca="1" si="106"/>
        <v>0</v>
      </c>
      <c r="N173" s="148">
        <f ca="1">IF(AND(Option_SPW="Y",Z172&gt;=SPW_Start_Min_FV,H173&gt;=Lock_In_Period,Z172&gt;SPW_Amount_pa+IF(option="Single",1/5*pr,2*pr),H173&gt;=SPW_Start_Year,H173&lt;=SPW_Start_Year+SPW_Duration-1,F173=0,age+H173&gt;=Legal_Age),SPW_Amount_pa,0)+IFERROR(VLOOKUP(H173,Input!$B$68:$C$74,2,0),0)*(F173=0)*(Option_PW="Y")*(Option_SPW="N")*(age+H173&gt;=Legal_Age)</f>
        <v>0</v>
      </c>
      <c r="O173" s="148">
        <f t="shared" ca="1" si="132"/>
        <v>0</v>
      </c>
      <c r="P173" s="14">
        <f ca="1">(MAX(MAX(sa-CF172*Flag_UL_Type,105%*SUM($I$7:I173))-(AD172+L173-N173)*Flag_UL_Type,0)*B173)</f>
        <v>0</v>
      </c>
      <c r="Q173" s="213">
        <f t="shared" ca="1" si="107"/>
        <v>0</v>
      </c>
      <c r="R173" s="14">
        <f t="shared" ca="1" si="108"/>
        <v>0</v>
      </c>
      <c r="S173" s="14">
        <f t="shared" ca="1" si="109"/>
        <v>0</v>
      </c>
      <c r="T173" s="14">
        <f>IFERROR(IF(WoP_Flag="Y",IF(fq=1,VLOOKUP(ppt*fq-H173,Charges!$AN$41:$AO$59,2,FALSE),IF(fq=2,VLOOKUP(ppt*fq-G173,Charges!$AP$41:$AQ$79,2,FALSE),VLOOKUP(ppt*fq-D173,Charges!$AR$41:$AS$279,2,FALSE)))*pr/fq,0),0)</f>
        <v>0</v>
      </c>
      <c r="U173" s="14">
        <f ca="1">IFERROR(((T173*(VLOOKUP(Input!$D$18+H173-1,Tab_Mort_Charge,IF(Gender_2="M",2,3),FALSE)*(1+_emr2)+_rpm2)/IF(Model_Type="LA_PQIS",1000/0.0833,(12*1000))))*Flag_Mort_Rider_Charge*(T173&gt;0),0)</f>
        <v>0</v>
      </c>
      <c r="V173" s="34">
        <f>ROUND(MIN(IF(H173&gt;=7,Charges!$C$12*(1+Charges!$C$14)^((H173-7+1)),VLOOKUP(H173,Charges!$B$7:$C$12,2,0))*pr,Charges!$C$13)*B173,Round)</f>
        <v>500</v>
      </c>
      <c r="W173" s="14">
        <f t="shared" ca="1" si="110"/>
        <v>6601680.3535826411</v>
      </c>
      <c r="X173" s="14">
        <f t="shared" ca="1" si="111"/>
        <v>6644155.7637542095</v>
      </c>
      <c r="Y173" s="213">
        <f t="shared" ca="1" si="133"/>
        <v>7478.7430284230168</v>
      </c>
      <c r="Z173" s="14">
        <f t="shared" ca="1" si="112"/>
        <v>6636677.0207257867</v>
      </c>
      <c r="AA173" s="14">
        <f>IF(AND($H173=pt,$F173=11),SUM($K$7:K173)*VLOOKUP(pt,ROC,2,FALSE),0)</f>
        <v>0</v>
      </c>
      <c r="AB173" s="14">
        <f>IF(AND($H173=pt,$F173=11),SUM($V$7:V173)*VLOOKUP(pt,ROC,2,FALSE),0)</f>
        <v>0</v>
      </c>
      <c r="AC173" s="14">
        <f>IF(AND($H173=pt,$F173=11),SUM($Q$7:Q173)*VLOOKUP(pt,ROC,2,FALSE),0)</f>
        <v>0</v>
      </c>
      <c r="AD173" s="14">
        <f t="shared" ca="1" si="134"/>
        <v>6636677.0207257867</v>
      </c>
      <c r="AE173" s="14">
        <f ca="1">(MAX(sa-CF172*Flag_UL_Type,105%*SUM($I$7:I173),Z173)+AU173)*B173</f>
        <v>6636677.0207257867</v>
      </c>
      <c r="AF173" s="136"/>
      <c r="AG173" s="18">
        <v>167</v>
      </c>
      <c r="AH173" s="30">
        <f t="shared" ca="1" si="113"/>
        <v>0</v>
      </c>
      <c r="AI173" s="58"/>
      <c r="AJ173" s="50">
        <f>IF(AND(Option_Sys_TopUp&gt;="Y",H173&gt;=sytp,H173&lt;=(dtp+sytp-1),F173=0,H173&lt;=ppt+1),atp,0)+IFERROR(VLOOKUP(H173,Input!$B$55:$C$61,2,0),0)*(F173=0)*(Option_TopUP="Y")*(Option_Sys_TopUp="N")*B173*(pt&gt;=H173+5)</f>
        <v>0</v>
      </c>
      <c r="AK173" s="50">
        <f t="shared" si="114"/>
        <v>0</v>
      </c>
      <c r="AL173" s="50">
        <f t="shared" si="135"/>
        <v>0</v>
      </c>
      <c r="AM173" s="50">
        <f t="shared" ca="1" si="115"/>
        <v>0</v>
      </c>
      <c r="AN173" s="50">
        <f ca="1">IF(B173=0,0,AT173*(_rpm1+(1+_emr1)*VLOOKUP(E173,Tab_Mort_Charge,IF(Input!$C$12="M",2,3),0))*(0.001*0.0833)*Flag_Mort_Rider_Charge*(AT173&gt;0))</f>
        <v>0</v>
      </c>
      <c r="AO173" s="50">
        <f t="shared" ca="1" si="136"/>
        <v>0</v>
      </c>
      <c r="AP173" s="50">
        <f t="shared" ca="1" si="143"/>
        <v>0</v>
      </c>
      <c r="AQ173" s="50">
        <f t="shared" ca="1" si="116"/>
        <v>0</v>
      </c>
      <c r="AR173" s="50">
        <f t="shared" ca="1" si="117"/>
        <v>0</v>
      </c>
      <c r="AS173" s="50">
        <f t="shared" si="118"/>
        <v>0</v>
      </c>
      <c r="AT173" s="50">
        <f ca="1">(MAX((MAX(AS173,105%*SUM($AJ$7:AJ173))-AM173*Flag_UL_Type),0)*B173)</f>
        <v>0</v>
      </c>
      <c r="AU173" s="50">
        <f ca="1">(MAX(AS173,AR173,105%*SUM($AJ$7:AJ173))*B173)</f>
        <v>0</v>
      </c>
      <c r="AV173" s="125"/>
      <c r="AW173" s="13"/>
      <c r="AX173" s="13"/>
      <c r="AY173" s="13"/>
      <c r="AZ173" s="13"/>
      <c r="BA173" s="13"/>
      <c r="BG173" s="51">
        <f t="shared" si="119"/>
        <v>0</v>
      </c>
      <c r="BH173" s="51">
        <f t="shared" ca="1" si="120"/>
        <v>0</v>
      </c>
      <c r="BI173" s="51">
        <f t="shared" ca="1" si="121"/>
        <v>0</v>
      </c>
      <c r="BJ173" s="51">
        <f t="shared" ca="1" si="122"/>
        <v>0</v>
      </c>
      <c r="BK173" s="51">
        <f t="shared" si="123"/>
        <v>0</v>
      </c>
      <c r="BL173" s="51">
        <f t="shared" ca="1" si="124"/>
        <v>0</v>
      </c>
      <c r="BM173" s="51">
        <f t="shared" si="125"/>
        <v>0</v>
      </c>
      <c r="BN173" s="51">
        <f t="shared" ca="1" si="126"/>
        <v>0</v>
      </c>
      <c r="BO173" s="51">
        <f t="shared" ca="1" si="127"/>
        <v>0</v>
      </c>
      <c r="BP173" s="51">
        <f t="shared" ca="1" si="128"/>
        <v>0</v>
      </c>
      <c r="BQ173" s="120"/>
      <c r="BR173" s="32"/>
      <c r="BS173" s="126"/>
      <c r="BT173" s="16"/>
      <c r="BU173" s="58"/>
      <c r="BW173" s="51">
        <f>VLOOKUP(H173,Charges!$AT$4:$AU$33,2,FALSE)*I173</f>
        <v>0</v>
      </c>
      <c r="BX173" s="51">
        <f t="shared" si="129"/>
        <v>0</v>
      </c>
      <c r="BY173" s="51">
        <f t="shared" si="137"/>
        <v>0</v>
      </c>
      <c r="BZ173" s="151"/>
      <c r="CA173" s="151"/>
      <c r="CB173" s="32"/>
      <c r="CC173" s="16">
        <f ca="1">SUM($N$7:$N173)</f>
        <v>0</v>
      </c>
      <c r="CD173" s="16">
        <f t="shared" ca="1" si="130"/>
        <v>0</v>
      </c>
      <c r="CE173" s="16">
        <f t="shared" ca="1" si="131"/>
        <v>0</v>
      </c>
      <c r="CF173" s="7">
        <f t="shared" ca="1" si="138"/>
        <v>0</v>
      </c>
    </row>
    <row r="174" spans="1:84" s="7" customFormat="1" x14ac:dyDescent="0.2">
      <c r="A174" s="149"/>
      <c r="B174" s="14">
        <f t="shared" si="100"/>
        <v>1</v>
      </c>
      <c r="C174" s="12">
        <f t="shared" si="101"/>
        <v>1</v>
      </c>
      <c r="D174" s="17">
        <f t="shared" si="139"/>
        <v>168</v>
      </c>
      <c r="E174" s="17">
        <f t="shared" ca="1" si="102"/>
        <v>73</v>
      </c>
      <c r="F174" s="12">
        <f t="shared" si="141"/>
        <v>11</v>
      </c>
      <c r="G174" s="12">
        <f t="shared" si="140"/>
        <v>28</v>
      </c>
      <c r="H174" s="17">
        <f t="shared" si="142"/>
        <v>14</v>
      </c>
      <c r="I174" s="29">
        <f t="shared" si="103"/>
        <v>0</v>
      </c>
      <c r="J174" s="211">
        <f>IFERROR(VLOOKUP(H174,Charges!$T$6:$U$35,2,0)*C174,0)</f>
        <v>1</v>
      </c>
      <c r="K174" s="29">
        <f t="shared" si="104"/>
        <v>0</v>
      </c>
      <c r="L174" s="29">
        <f t="shared" si="105"/>
        <v>0</v>
      </c>
      <c r="M174" s="147">
        <f t="shared" ca="1" si="106"/>
        <v>0</v>
      </c>
      <c r="N174" s="148">
        <f ca="1">IF(AND(Option_SPW="Y",Z173&gt;=SPW_Start_Min_FV,H174&gt;=Lock_In_Period,Z173&gt;SPW_Amount_pa+IF(option="Single",1/5*pr,2*pr),H174&gt;=SPW_Start_Year,H174&lt;=SPW_Start_Year+SPW_Duration-1,F174=0,age+H174&gt;=Legal_Age),SPW_Amount_pa,0)+IFERROR(VLOOKUP(H174,Input!$B$68:$C$74,2,0),0)*(F174=0)*(Option_PW="Y")*(Option_SPW="N")*(age+H174&gt;=Legal_Age)</f>
        <v>0</v>
      </c>
      <c r="O174" s="148">
        <f t="shared" ca="1" si="132"/>
        <v>0</v>
      </c>
      <c r="P174" s="14">
        <f ca="1">(MAX(MAX(sa-CF173*Flag_UL_Type,105%*SUM($I$7:I174))-(AD173+L174-N174)*Flag_UL_Type,0)*B174)</f>
        <v>0</v>
      </c>
      <c r="Q174" s="213">
        <f t="shared" ca="1" si="107"/>
        <v>0</v>
      </c>
      <c r="R174" s="14">
        <f t="shared" ca="1" si="108"/>
        <v>0</v>
      </c>
      <c r="S174" s="14">
        <f t="shared" ca="1" si="109"/>
        <v>0</v>
      </c>
      <c r="T174" s="14">
        <f>IFERROR(IF(WoP_Flag="Y",IF(fq=1,VLOOKUP(ppt*fq-H174,Charges!$AN$41:$AO$59,2,FALSE),IF(fq=2,VLOOKUP(ppt*fq-G174,Charges!$AP$41:$AQ$79,2,FALSE),VLOOKUP(ppt*fq-D174,Charges!$AR$41:$AS$279,2,FALSE)))*pr/fq,0),0)</f>
        <v>0</v>
      </c>
      <c r="U174" s="14">
        <f ca="1">IFERROR(((T174*(VLOOKUP(Input!$D$18+H174-1,Tab_Mort_Charge,IF(Gender_2="M",2,3),FALSE)*(1+_emr2)+_rpm2)/IF(Model_Type="LA_PQIS",1000/0.0833,(12*1000))))*Flag_Mort_Rider_Charge*(T174&gt;0),0)</f>
        <v>0</v>
      </c>
      <c r="V174" s="34">
        <f>ROUND(MIN(IF(H174&gt;=7,Charges!$C$12*(1+Charges!$C$14)^((H174-7+1)),VLOOKUP(H174,Charges!$B$7:$C$12,2,0))*pr,Charges!$C$13)*B174,Round)</f>
        <v>500</v>
      </c>
      <c r="W174" s="14">
        <f t="shared" ca="1" si="110"/>
        <v>6636177.0207257867</v>
      </c>
      <c r="X174" s="14">
        <f t="shared" ca="1" si="111"/>
        <v>6678874.3834924493</v>
      </c>
      <c r="Y174" s="213">
        <f t="shared" ca="1" si="133"/>
        <v>7517.82273163231</v>
      </c>
      <c r="Z174" s="14">
        <f t="shared" ca="1" si="112"/>
        <v>6671356.5607608166</v>
      </c>
      <c r="AA174" s="14">
        <f>IF(AND($H174=pt,$F174=11),SUM($K$7:K174)*VLOOKUP(pt,ROC,2,FALSE),0)</f>
        <v>0</v>
      </c>
      <c r="AB174" s="14">
        <f>IF(AND($H174=pt,$F174=11),SUM($V$7:V174)*VLOOKUP(pt,ROC,2,FALSE),0)</f>
        <v>0</v>
      </c>
      <c r="AC174" s="14">
        <f>IF(AND($H174=pt,$F174=11),SUM($Q$7:Q174)*VLOOKUP(pt,ROC,2,FALSE),0)</f>
        <v>0</v>
      </c>
      <c r="AD174" s="14">
        <f t="shared" ca="1" si="134"/>
        <v>6671356.5607608166</v>
      </c>
      <c r="AE174" s="14">
        <f ca="1">(MAX(sa-CF173*Flag_UL_Type,105%*SUM($I$7:I174),Z174)+AU174)*B174</f>
        <v>6671356.5607608166</v>
      </c>
      <c r="AF174" s="136"/>
      <c r="AG174" s="18">
        <v>168</v>
      </c>
      <c r="AH174" s="30">
        <f t="shared" ca="1" si="113"/>
        <v>0</v>
      </c>
      <c r="AI174" s="58"/>
      <c r="AJ174" s="50">
        <f>IF(AND(Option_Sys_TopUp&gt;="Y",H174&gt;=sytp,H174&lt;=(dtp+sytp-1),F174=0,H174&lt;=ppt+1),atp,0)+IFERROR(VLOOKUP(H174,Input!$B$55:$C$61,2,0),0)*(F174=0)*(Option_TopUP="Y")*(Option_Sys_TopUp="N")*B174*(pt&gt;=H174+5)</f>
        <v>0</v>
      </c>
      <c r="AK174" s="50">
        <f t="shared" si="114"/>
        <v>0</v>
      </c>
      <c r="AL174" s="50">
        <f t="shared" si="135"/>
        <v>0</v>
      </c>
      <c r="AM174" s="50">
        <f t="shared" ca="1" si="115"/>
        <v>0</v>
      </c>
      <c r="AN174" s="50">
        <f ca="1">IF(B174=0,0,AT174*(_rpm1+(1+_emr1)*VLOOKUP(E174,Tab_Mort_Charge,IF(Input!$C$12="M",2,3),0))*(0.001*0.0833)*Flag_Mort_Rider_Charge*(AT174&gt;0))</f>
        <v>0</v>
      </c>
      <c r="AO174" s="50">
        <f t="shared" ca="1" si="136"/>
        <v>0</v>
      </c>
      <c r="AP174" s="50">
        <f t="shared" ca="1" si="143"/>
        <v>0</v>
      </c>
      <c r="AQ174" s="50">
        <f t="shared" ca="1" si="116"/>
        <v>0</v>
      </c>
      <c r="AR174" s="50">
        <f t="shared" ca="1" si="117"/>
        <v>0</v>
      </c>
      <c r="AS174" s="50">
        <f t="shared" si="118"/>
        <v>0</v>
      </c>
      <c r="AT174" s="50">
        <f ca="1">(MAX((MAX(AS174,105%*SUM($AJ$7:AJ174))-AM174*Flag_UL_Type),0)*B174)</f>
        <v>0</v>
      </c>
      <c r="AU174" s="50">
        <f ca="1">(MAX(AS174,AR174,105%*SUM($AJ$7:AJ174))*B174)</f>
        <v>0</v>
      </c>
      <c r="AV174" s="125"/>
      <c r="AW174" s="13"/>
      <c r="AX174" s="13"/>
      <c r="AY174" s="13"/>
      <c r="AZ174" s="13"/>
      <c r="BA174" s="13"/>
      <c r="BG174" s="51">
        <f t="shared" si="119"/>
        <v>0</v>
      </c>
      <c r="BH174" s="51">
        <f t="shared" ca="1" si="120"/>
        <v>0</v>
      </c>
      <c r="BI174" s="51">
        <f t="shared" ca="1" si="121"/>
        <v>0</v>
      </c>
      <c r="BJ174" s="51">
        <f t="shared" ca="1" si="122"/>
        <v>0</v>
      </c>
      <c r="BK174" s="51">
        <f t="shared" si="123"/>
        <v>0</v>
      </c>
      <c r="BL174" s="51">
        <f t="shared" ca="1" si="124"/>
        <v>0</v>
      </c>
      <c r="BM174" s="51">
        <f t="shared" si="125"/>
        <v>0</v>
      </c>
      <c r="BN174" s="51">
        <f t="shared" ca="1" si="126"/>
        <v>0</v>
      </c>
      <c r="BO174" s="51">
        <f t="shared" ca="1" si="127"/>
        <v>0</v>
      </c>
      <c r="BP174" s="51">
        <f t="shared" ca="1" si="128"/>
        <v>0</v>
      </c>
      <c r="BQ174" s="120"/>
      <c r="BR174" s="32"/>
      <c r="BS174" s="126"/>
      <c r="BT174" s="16"/>
      <c r="BU174" s="58"/>
      <c r="BW174" s="51">
        <f>VLOOKUP(H174,Charges!$AT$4:$AU$33,2,FALSE)*I174</f>
        <v>0</v>
      </c>
      <c r="BX174" s="51">
        <f t="shared" si="129"/>
        <v>0</v>
      </c>
      <c r="BY174" s="51">
        <f t="shared" si="137"/>
        <v>0</v>
      </c>
      <c r="BZ174" s="151"/>
      <c r="CA174" s="151"/>
      <c r="CB174" s="32"/>
      <c r="CC174" s="16">
        <f ca="1">SUM($N$7:$N174)</f>
        <v>0</v>
      </c>
      <c r="CD174" s="16">
        <f t="shared" ca="1" si="130"/>
        <v>0</v>
      </c>
      <c r="CE174" s="16">
        <f t="shared" ca="1" si="131"/>
        <v>0</v>
      </c>
      <c r="CF174" s="7">
        <f t="shared" ca="1" si="138"/>
        <v>0</v>
      </c>
    </row>
    <row r="175" spans="1:84" s="7" customFormat="1" x14ac:dyDescent="0.2">
      <c r="A175" s="149"/>
      <c r="B175" s="14">
        <f t="shared" si="100"/>
        <v>1</v>
      </c>
      <c r="C175" s="12">
        <f t="shared" si="101"/>
        <v>1</v>
      </c>
      <c r="D175" s="17">
        <f t="shared" si="139"/>
        <v>169</v>
      </c>
      <c r="E175" s="17">
        <f t="shared" ca="1" si="102"/>
        <v>74</v>
      </c>
      <c r="F175" s="12">
        <f t="shared" si="141"/>
        <v>0</v>
      </c>
      <c r="G175" s="12">
        <f t="shared" si="140"/>
        <v>29</v>
      </c>
      <c r="H175" s="17">
        <f t="shared" si="142"/>
        <v>15</v>
      </c>
      <c r="I175" s="29">
        <f t="shared" si="103"/>
        <v>300000</v>
      </c>
      <c r="J175" s="211">
        <f>IFERROR(VLOOKUP(H175,Charges!$T$6:$U$35,2,0)*C175,0)</f>
        <v>1</v>
      </c>
      <c r="K175" s="29">
        <f t="shared" si="104"/>
        <v>0</v>
      </c>
      <c r="L175" s="29">
        <f t="shared" si="105"/>
        <v>300000</v>
      </c>
      <c r="M175" s="147">
        <f t="shared" ca="1" si="106"/>
        <v>0</v>
      </c>
      <c r="N175" s="148">
        <f ca="1">IF(AND(Option_SPW="Y",Z174&gt;=SPW_Start_Min_FV,H175&gt;=Lock_In_Period,Z174&gt;SPW_Amount_pa+IF(option="Single",1/5*pr,2*pr),H175&gt;=SPW_Start_Year,H175&lt;=SPW_Start_Year+SPW_Duration-1,F175=0,age+H175&gt;=Legal_Age),SPW_Amount_pa,0)+IFERROR(VLOOKUP(H175,Input!$B$68:$C$74,2,0),0)*(F175=0)*(Option_PW="Y")*(Option_SPW="N")*(age+H175&gt;=Legal_Age)</f>
        <v>0</v>
      </c>
      <c r="O175" s="148">
        <f t="shared" ca="1" si="132"/>
        <v>0</v>
      </c>
      <c r="P175" s="14">
        <f ca="1">(MAX(MAX(sa-CF174*Flag_UL_Type,105%*SUM($I$7:I175))-(AD174+L175-N175)*Flag_UL_Type,0)*B175)</f>
        <v>0</v>
      </c>
      <c r="Q175" s="213">
        <f t="shared" ca="1" si="107"/>
        <v>0</v>
      </c>
      <c r="R175" s="14">
        <f t="shared" ca="1" si="108"/>
        <v>0</v>
      </c>
      <c r="S175" s="14">
        <f t="shared" ca="1" si="109"/>
        <v>0</v>
      </c>
      <c r="T175" s="14">
        <f>IFERROR(IF(WoP_Flag="Y",IF(fq=1,VLOOKUP(ppt*fq-H175,Charges!$AN$41:$AO$59,2,FALSE),IF(fq=2,VLOOKUP(ppt*fq-G175,Charges!$AP$41:$AQ$79,2,FALSE),VLOOKUP(ppt*fq-D175,Charges!$AR$41:$AS$279,2,FALSE)))*pr/fq,0),0)</f>
        <v>0</v>
      </c>
      <c r="U175" s="14">
        <f ca="1">IFERROR(((T175*(VLOOKUP(Input!$D$18+H175-1,Tab_Mort_Charge,IF(Gender_2="M",2,3),FALSE)*(1+_emr2)+_rpm2)/IF(Model_Type="LA_PQIS",1000/0.0833,(12*1000))))*Flag_Mort_Rider_Charge*(T175&gt;0),0)</f>
        <v>0</v>
      </c>
      <c r="V175" s="34">
        <f>ROUND(MIN(IF(H175&gt;=7,Charges!$C$12*(1+Charges!$C$14)^((H175-7+1)),VLOOKUP(H175,Charges!$B$7:$C$12,2,0))*pr,Charges!$C$13)*B175,Round)</f>
        <v>500</v>
      </c>
      <c r="W175" s="14">
        <f t="shared" ca="1" si="110"/>
        <v>6970856.5607608166</v>
      </c>
      <c r="X175" s="14">
        <f t="shared" ca="1" si="111"/>
        <v>7015707.2617652668</v>
      </c>
      <c r="Y175" s="213">
        <f t="shared" ca="1" si="133"/>
        <v>7896.9659410478444</v>
      </c>
      <c r="Z175" s="14">
        <f t="shared" ca="1" si="112"/>
        <v>7007810.2958242185</v>
      </c>
      <c r="AA175" s="14">
        <f>IF(AND($H175=pt,$F175=11),SUM($K$7:K175)*VLOOKUP(pt,ROC,2,FALSE),0)</f>
        <v>0</v>
      </c>
      <c r="AB175" s="14">
        <f>IF(AND($H175=pt,$F175=11),SUM($V$7:V175)*VLOOKUP(pt,ROC,2,FALSE),0)</f>
        <v>0</v>
      </c>
      <c r="AC175" s="14">
        <f>IF(AND($H175=pt,$F175=11),SUM($Q$7:Q175)*VLOOKUP(pt,ROC,2,FALSE),0)</f>
        <v>0</v>
      </c>
      <c r="AD175" s="14">
        <f t="shared" ca="1" si="134"/>
        <v>7007810.2958242185</v>
      </c>
      <c r="AE175" s="14">
        <f ca="1">(MAX(sa-CF174*Flag_UL_Type,105%*SUM($I$7:I175),Z175)+AU175)*B175</f>
        <v>7007810.2958242185</v>
      </c>
      <c r="AF175" s="136"/>
      <c r="AG175" s="18">
        <v>169</v>
      </c>
      <c r="AH175" s="30">
        <f t="shared" ca="1" si="113"/>
        <v>300000</v>
      </c>
      <c r="AI175" s="58"/>
      <c r="AJ175" s="50">
        <f>IF(AND(Option_Sys_TopUp&gt;="Y",H175&gt;=sytp,H175&lt;=(dtp+sytp-1),F175=0,H175&lt;=ppt+1),atp,0)+IFERROR(VLOOKUP(H175,Input!$B$55:$C$61,2,0),0)*(F175=0)*(Option_TopUP="Y")*(Option_Sys_TopUp="N")*B175*(pt&gt;=H175+5)</f>
        <v>0</v>
      </c>
      <c r="AK175" s="50">
        <f t="shared" si="114"/>
        <v>0</v>
      </c>
      <c r="AL175" s="50">
        <f t="shared" si="135"/>
        <v>0</v>
      </c>
      <c r="AM175" s="50">
        <f t="shared" ca="1" si="115"/>
        <v>0</v>
      </c>
      <c r="AN175" s="50">
        <f ca="1">IF(B175=0,0,AT175*(_rpm1+(1+_emr1)*VLOOKUP(E175,Tab_Mort_Charge,IF(Input!$C$12="M",2,3),0))*(0.001*0.0833)*Flag_Mort_Rider_Charge*(AT175&gt;0))</f>
        <v>0</v>
      </c>
      <c r="AO175" s="50">
        <f t="shared" ca="1" si="136"/>
        <v>0</v>
      </c>
      <c r="AP175" s="50">
        <f t="shared" ca="1" si="143"/>
        <v>0</v>
      </c>
      <c r="AQ175" s="50">
        <f t="shared" ca="1" si="116"/>
        <v>0</v>
      </c>
      <c r="AR175" s="50">
        <f t="shared" ca="1" si="117"/>
        <v>0</v>
      </c>
      <c r="AS175" s="50">
        <f t="shared" si="118"/>
        <v>0</v>
      </c>
      <c r="AT175" s="50">
        <f ca="1">(MAX((MAX(AS175,105%*SUM($AJ$7:AJ175))-AM175*Flag_UL_Type),0)*B175)</f>
        <v>0</v>
      </c>
      <c r="AU175" s="50">
        <f ca="1">(MAX(AS175,AR175,105%*SUM($AJ$7:AJ175))*B175)</f>
        <v>0</v>
      </c>
      <c r="AV175" s="125"/>
      <c r="AW175" s="13"/>
      <c r="AX175" s="13"/>
      <c r="AY175" s="13"/>
      <c r="AZ175" s="13"/>
      <c r="BA175" s="13"/>
      <c r="BG175" s="51">
        <f t="shared" si="119"/>
        <v>0</v>
      </c>
      <c r="BH175" s="51">
        <f t="shared" ca="1" si="120"/>
        <v>0</v>
      </c>
      <c r="BI175" s="51">
        <f t="shared" ca="1" si="121"/>
        <v>0</v>
      </c>
      <c r="BJ175" s="51">
        <f t="shared" ca="1" si="122"/>
        <v>0</v>
      </c>
      <c r="BK175" s="51">
        <f t="shared" si="123"/>
        <v>0</v>
      </c>
      <c r="BL175" s="51">
        <f t="shared" ca="1" si="124"/>
        <v>0</v>
      </c>
      <c r="BM175" s="51">
        <f t="shared" si="125"/>
        <v>0</v>
      </c>
      <c r="BN175" s="51">
        <f t="shared" ca="1" si="126"/>
        <v>0</v>
      </c>
      <c r="BO175" s="51">
        <f t="shared" ca="1" si="127"/>
        <v>0</v>
      </c>
      <c r="BP175" s="51">
        <f t="shared" ca="1" si="128"/>
        <v>0</v>
      </c>
      <c r="BQ175" s="120"/>
      <c r="BR175" s="32"/>
      <c r="BS175" s="126"/>
      <c r="BT175" s="16"/>
      <c r="BU175" s="58"/>
      <c r="BW175" s="51">
        <f>VLOOKUP(H175,Charges!$AT$4:$AU$33,2,FALSE)*I175</f>
        <v>0</v>
      </c>
      <c r="BX175" s="51">
        <f t="shared" si="129"/>
        <v>0</v>
      </c>
      <c r="BY175" s="51">
        <f t="shared" si="137"/>
        <v>0</v>
      </c>
      <c r="BZ175" s="151"/>
      <c r="CA175" s="151"/>
      <c r="CB175" s="32"/>
      <c r="CC175" s="16">
        <f ca="1">SUM($N$7:$N175)</f>
        <v>0</v>
      </c>
      <c r="CD175" s="16">
        <f t="shared" ca="1" si="130"/>
        <v>0</v>
      </c>
      <c r="CE175" s="16">
        <f t="shared" ca="1" si="131"/>
        <v>0</v>
      </c>
      <c r="CF175" s="7">
        <f t="shared" ca="1" si="138"/>
        <v>0</v>
      </c>
    </row>
    <row r="176" spans="1:84" s="7" customFormat="1" x14ac:dyDescent="0.2">
      <c r="A176" s="149"/>
      <c r="B176" s="14">
        <f t="shared" si="100"/>
        <v>1</v>
      </c>
      <c r="C176" s="12">
        <f t="shared" si="101"/>
        <v>1</v>
      </c>
      <c r="D176" s="17">
        <f t="shared" si="139"/>
        <v>170</v>
      </c>
      <c r="E176" s="17">
        <f t="shared" ca="1" si="102"/>
        <v>74</v>
      </c>
      <c r="F176" s="12">
        <f t="shared" si="141"/>
        <v>1</v>
      </c>
      <c r="G176" s="12">
        <f t="shared" si="140"/>
        <v>29</v>
      </c>
      <c r="H176" s="17">
        <f t="shared" si="142"/>
        <v>15</v>
      </c>
      <c r="I176" s="29">
        <f t="shared" si="103"/>
        <v>0</v>
      </c>
      <c r="J176" s="211">
        <f>IFERROR(VLOOKUP(H176,Charges!$T$6:$U$35,2,0)*C176,0)</f>
        <v>1</v>
      </c>
      <c r="K176" s="29">
        <f t="shared" si="104"/>
        <v>0</v>
      </c>
      <c r="L176" s="29">
        <f t="shared" si="105"/>
        <v>0</v>
      </c>
      <c r="M176" s="147">
        <f t="shared" ca="1" si="106"/>
        <v>0</v>
      </c>
      <c r="N176" s="148">
        <f ca="1">IF(AND(Option_SPW="Y",Z175&gt;=SPW_Start_Min_FV,H176&gt;=Lock_In_Period,Z175&gt;SPW_Amount_pa+IF(option="Single",1/5*pr,2*pr),H176&gt;=SPW_Start_Year,H176&lt;=SPW_Start_Year+SPW_Duration-1,F176=0,age+H176&gt;=Legal_Age),SPW_Amount_pa,0)+IFERROR(VLOOKUP(H176,Input!$B$68:$C$74,2,0),0)*(F176=0)*(Option_PW="Y")*(Option_SPW="N")*(age+H176&gt;=Legal_Age)</f>
        <v>0</v>
      </c>
      <c r="O176" s="148">
        <f t="shared" ca="1" si="132"/>
        <v>0</v>
      </c>
      <c r="P176" s="14">
        <f ca="1">(MAX(MAX(sa-CF175*Flag_UL_Type,105%*SUM($I$7:I176))-(AD175+L176-N176)*Flag_UL_Type,0)*B176)</f>
        <v>0</v>
      </c>
      <c r="Q176" s="213">
        <f t="shared" ca="1" si="107"/>
        <v>0</v>
      </c>
      <c r="R176" s="14">
        <f t="shared" ca="1" si="108"/>
        <v>0</v>
      </c>
      <c r="S176" s="14">
        <f t="shared" ca="1" si="109"/>
        <v>0</v>
      </c>
      <c r="T176" s="14">
        <f>IFERROR(IF(WoP_Flag="Y",IF(fq=1,VLOOKUP(ppt*fq-H176,Charges!$AN$41:$AO$59,2,FALSE),IF(fq=2,VLOOKUP(ppt*fq-G176,Charges!$AP$41:$AQ$79,2,FALSE),VLOOKUP(ppt*fq-D176,Charges!$AR$41:$AS$279,2,FALSE)))*pr/fq,0),0)</f>
        <v>0</v>
      </c>
      <c r="U176" s="14">
        <f ca="1">IFERROR(((T176*(VLOOKUP(Input!$D$18+H176-1,Tab_Mort_Charge,IF(Gender_2="M",2,3),FALSE)*(1+_emr2)+_rpm2)/IF(Model_Type="LA_PQIS",1000/0.0833,(12*1000))))*Flag_Mort_Rider_Charge*(T176&gt;0),0)</f>
        <v>0</v>
      </c>
      <c r="V176" s="34">
        <f>ROUND(MIN(IF(H176&gt;=7,Charges!$C$12*(1+Charges!$C$14)^((H176-7+1)),VLOOKUP(H176,Charges!$B$7:$C$12,2,0))*pr,Charges!$C$13)*B176,Round)</f>
        <v>500</v>
      </c>
      <c r="W176" s="14">
        <f t="shared" ca="1" si="110"/>
        <v>7007310.2958242185</v>
      </c>
      <c r="X176" s="14">
        <f t="shared" ca="1" si="111"/>
        <v>7052395.5412576888</v>
      </c>
      <c r="Y176" s="213">
        <f t="shared" ca="1" si="133"/>
        <v>7938.2627173780475</v>
      </c>
      <c r="Z176" s="14">
        <f t="shared" ca="1" si="112"/>
        <v>7044457.2785403104</v>
      </c>
      <c r="AA176" s="14">
        <f>IF(AND($H176=pt,$F176=11),SUM($K$7:K176)*VLOOKUP(pt,ROC,2,FALSE),0)</f>
        <v>0</v>
      </c>
      <c r="AB176" s="14">
        <f>IF(AND($H176=pt,$F176=11),SUM($V$7:V176)*VLOOKUP(pt,ROC,2,FALSE),0)</f>
        <v>0</v>
      </c>
      <c r="AC176" s="14">
        <f>IF(AND($H176=pt,$F176=11),SUM($Q$7:Q176)*VLOOKUP(pt,ROC,2,FALSE),0)</f>
        <v>0</v>
      </c>
      <c r="AD176" s="14">
        <f t="shared" ca="1" si="134"/>
        <v>7044457.2785403104</v>
      </c>
      <c r="AE176" s="14">
        <f ca="1">(MAX(sa-CF175*Flag_UL_Type,105%*SUM($I$7:I176),Z176)+AU176)*B176</f>
        <v>7044457.2785403104</v>
      </c>
      <c r="AF176" s="136"/>
      <c r="AG176" s="18">
        <v>170</v>
      </c>
      <c r="AH176" s="30">
        <f t="shared" ca="1" si="113"/>
        <v>0</v>
      </c>
      <c r="AI176" s="58"/>
      <c r="AJ176" s="50">
        <f>IF(AND(Option_Sys_TopUp&gt;="Y",H176&gt;=sytp,H176&lt;=(dtp+sytp-1),F176=0,H176&lt;=ppt+1),atp,0)+IFERROR(VLOOKUP(H176,Input!$B$55:$C$61,2,0),0)*(F176=0)*(Option_TopUP="Y")*(Option_Sys_TopUp="N")*B176*(pt&gt;=H176+5)</f>
        <v>0</v>
      </c>
      <c r="AK176" s="50">
        <f t="shared" si="114"/>
        <v>0</v>
      </c>
      <c r="AL176" s="50">
        <f t="shared" si="135"/>
        <v>0</v>
      </c>
      <c r="AM176" s="50">
        <f t="shared" ca="1" si="115"/>
        <v>0</v>
      </c>
      <c r="AN176" s="50">
        <f ca="1">IF(B176=0,0,AT176*(_rpm1+(1+_emr1)*VLOOKUP(E176,Tab_Mort_Charge,IF(Input!$C$12="M",2,3),0))*(0.001*0.0833)*Flag_Mort_Rider_Charge*(AT176&gt;0))</f>
        <v>0</v>
      </c>
      <c r="AO176" s="50">
        <f t="shared" ca="1" si="136"/>
        <v>0</v>
      </c>
      <c r="AP176" s="50">
        <f t="shared" ca="1" si="143"/>
        <v>0</v>
      </c>
      <c r="AQ176" s="50">
        <f t="shared" ca="1" si="116"/>
        <v>0</v>
      </c>
      <c r="AR176" s="50">
        <f t="shared" ca="1" si="117"/>
        <v>0</v>
      </c>
      <c r="AS176" s="50">
        <f t="shared" si="118"/>
        <v>0</v>
      </c>
      <c r="AT176" s="50">
        <f ca="1">(MAX((MAX(AS176,105%*SUM($AJ$7:AJ176))-AM176*Flag_UL_Type),0)*B176)</f>
        <v>0</v>
      </c>
      <c r="AU176" s="50">
        <f ca="1">(MAX(AS176,AR176,105%*SUM($AJ$7:AJ176))*B176)</f>
        <v>0</v>
      </c>
      <c r="AV176" s="125"/>
      <c r="AW176" s="13"/>
      <c r="AX176" s="13"/>
      <c r="AY176" s="13"/>
      <c r="AZ176" s="13"/>
      <c r="BA176" s="13"/>
      <c r="BG176" s="51">
        <f t="shared" si="119"/>
        <v>0</v>
      </c>
      <c r="BH176" s="51">
        <f t="shared" ca="1" si="120"/>
        <v>0</v>
      </c>
      <c r="BI176" s="51">
        <f t="shared" ca="1" si="121"/>
        <v>0</v>
      </c>
      <c r="BJ176" s="51">
        <f t="shared" ca="1" si="122"/>
        <v>0</v>
      </c>
      <c r="BK176" s="51">
        <f t="shared" si="123"/>
        <v>0</v>
      </c>
      <c r="BL176" s="51">
        <f t="shared" ca="1" si="124"/>
        <v>0</v>
      </c>
      <c r="BM176" s="51">
        <f t="shared" si="125"/>
        <v>0</v>
      </c>
      <c r="BN176" s="51">
        <f t="shared" ca="1" si="126"/>
        <v>0</v>
      </c>
      <c r="BO176" s="51">
        <f t="shared" ca="1" si="127"/>
        <v>0</v>
      </c>
      <c r="BP176" s="51">
        <f t="shared" ca="1" si="128"/>
        <v>0</v>
      </c>
      <c r="BQ176" s="120"/>
      <c r="BR176" s="32"/>
      <c r="BS176" s="126"/>
      <c r="BT176" s="16"/>
      <c r="BU176" s="58"/>
      <c r="BW176" s="51">
        <f>VLOOKUP(H176,Charges!$AT$4:$AU$33,2,FALSE)*I176</f>
        <v>0</v>
      </c>
      <c r="BX176" s="51">
        <f t="shared" si="129"/>
        <v>0</v>
      </c>
      <c r="BY176" s="51">
        <f t="shared" si="137"/>
        <v>0</v>
      </c>
      <c r="BZ176" s="151"/>
      <c r="CA176" s="151"/>
      <c r="CB176" s="32"/>
      <c r="CC176" s="16">
        <f ca="1">SUM($N$7:$N176)</f>
        <v>0</v>
      </c>
      <c r="CD176" s="16">
        <f t="shared" ca="1" si="130"/>
        <v>0</v>
      </c>
      <c r="CE176" s="16">
        <f t="shared" ca="1" si="131"/>
        <v>0</v>
      </c>
      <c r="CF176" s="7">
        <f t="shared" ca="1" si="138"/>
        <v>0</v>
      </c>
    </row>
    <row r="177" spans="1:84" s="7" customFormat="1" x14ac:dyDescent="0.2">
      <c r="A177" s="149"/>
      <c r="B177" s="14">
        <f t="shared" si="100"/>
        <v>1</v>
      </c>
      <c r="C177" s="12">
        <f t="shared" si="101"/>
        <v>1</v>
      </c>
      <c r="D177" s="17">
        <f t="shared" si="139"/>
        <v>171</v>
      </c>
      <c r="E177" s="17">
        <f t="shared" ca="1" si="102"/>
        <v>74</v>
      </c>
      <c r="F177" s="12">
        <f t="shared" si="141"/>
        <v>2</v>
      </c>
      <c r="G177" s="12">
        <f t="shared" si="140"/>
        <v>29</v>
      </c>
      <c r="H177" s="17">
        <f t="shared" si="142"/>
        <v>15</v>
      </c>
      <c r="I177" s="29">
        <f t="shared" si="103"/>
        <v>0</v>
      </c>
      <c r="J177" s="211">
        <f>IFERROR(VLOOKUP(H177,Charges!$T$6:$U$35,2,0)*C177,0)</f>
        <v>1</v>
      </c>
      <c r="K177" s="29">
        <f t="shared" si="104"/>
        <v>0</v>
      </c>
      <c r="L177" s="29">
        <f t="shared" si="105"/>
        <v>0</v>
      </c>
      <c r="M177" s="147">
        <f t="shared" ca="1" si="106"/>
        <v>0</v>
      </c>
      <c r="N177" s="148">
        <f ca="1">IF(AND(Option_SPW="Y",Z176&gt;=SPW_Start_Min_FV,H177&gt;=Lock_In_Period,Z176&gt;SPW_Amount_pa+IF(option="Single",1/5*pr,2*pr),H177&gt;=SPW_Start_Year,H177&lt;=SPW_Start_Year+SPW_Duration-1,F177=0,age+H177&gt;=Legal_Age),SPW_Amount_pa,0)+IFERROR(VLOOKUP(H177,Input!$B$68:$C$74,2,0),0)*(F177=0)*(Option_PW="Y")*(Option_SPW="N")*(age+H177&gt;=Legal_Age)</f>
        <v>0</v>
      </c>
      <c r="O177" s="148">
        <f t="shared" ca="1" si="132"/>
        <v>0</v>
      </c>
      <c r="P177" s="14">
        <f ca="1">(MAX(MAX(sa-CF176*Flag_UL_Type,105%*SUM($I$7:I177))-(AD176+L177-N177)*Flag_UL_Type,0)*B177)</f>
        <v>0</v>
      </c>
      <c r="Q177" s="213">
        <f t="shared" ca="1" si="107"/>
        <v>0</v>
      </c>
      <c r="R177" s="14">
        <f t="shared" ca="1" si="108"/>
        <v>0</v>
      </c>
      <c r="S177" s="14">
        <f t="shared" ca="1" si="109"/>
        <v>0</v>
      </c>
      <c r="T177" s="14">
        <f>IFERROR(IF(WoP_Flag="Y",IF(fq=1,VLOOKUP(ppt*fq-H177,Charges!$AN$41:$AO$59,2,FALSE),IF(fq=2,VLOOKUP(ppt*fq-G177,Charges!$AP$41:$AQ$79,2,FALSE),VLOOKUP(ppt*fq-D177,Charges!$AR$41:$AS$279,2,FALSE)))*pr/fq,0),0)</f>
        <v>0</v>
      </c>
      <c r="U177" s="14">
        <f ca="1">IFERROR(((T177*(VLOOKUP(Input!$D$18+H177-1,Tab_Mort_Charge,IF(Gender_2="M",2,3),FALSE)*(1+_emr2)+_rpm2)/IF(Model_Type="LA_PQIS",1000/0.0833,(12*1000))))*Flag_Mort_Rider_Charge*(T177&gt;0),0)</f>
        <v>0</v>
      </c>
      <c r="V177" s="34">
        <f>ROUND(MIN(IF(H177&gt;=7,Charges!$C$12*(1+Charges!$C$14)^((H177-7+1)),VLOOKUP(H177,Charges!$B$7:$C$12,2,0))*pr,Charges!$C$13)*B177,Round)</f>
        <v>500</v>
      </c>
      <c r="W177" s="14">
        <f t="shared" ca="1" si="110"/>
        <v>7043957.2785403104</v>
      </c>
      <c r="X177" s="14">
        <f t="shared" ca="1" si="111"/>
        <v>7089278.3117640167</v>
      </c>
      <c r="Y177" s="213">
        <f t="shared" ca="1" si="133"/>
        <v>7979.7784151733786</v>
      </c>
      <c r="Z177" s="14">
        <f t="shared" ca="1" si="112"/>
        <v>7081298.5333488435</v>
      </c>
      <c r="AA177" s="14">
        <f>IF(AND($H177=pt,$F177=11),SUM($K$7:K177)*VLOOKUP(pt,ROC,2,FALSE),0)</f>
        <v>0</v>
      </c>
      <c r="AB177" s="14">
        <f>IF(AND($H177=pt,$F177=11),SUM($V$7:V177)*VLOOKUP(pt,ROC,2,FALSE),0)</f>
        <v>0</v>
      </c>
      <c r="AC177" s="14">
        <f>IF(AND($H177=pt,$F177=11),SUM($Q$7:Q177)*VLOOKUP(pt,ROC,2,FALSE),0)</f>
        <v>0</v>
      </c>
      <c r="AD177" s="14">
        <f t="shared" ca="1" si="134"/>
        <v>7081298.5333488435</v>
      </c>
      <c r="AE177" s="14">
        <f ca="1">(MAX(sa-CF176*Flag_UL_Type,105%*SUM($I$7:I177),Z177)+AU177)*B177</f>
        <v>7081298.5333488435</v>
      </c>
      <c r="AF177" s="136"/>
      <c r="AG177" s="18">
        <v>171</v>
      </c>
      <c r="AH177" s="30">
        <f t="shared" ca="1" si="113"/>
        <v>0</v>
      </c>
      <c r="AI177" s="58"/>
      <c r="AJ177" s="50">
        <f>IF(AND(Option_Sys_TopUp&gt;="Y",H177&gt;=sytp,H177&lt;=(dtp+sytp-1),F177=0,H177&lt;=ppt+1),atp,0)+IFERROR(VLOOKUP(H177,Input!$B$55:$C$61,2,0),0)*(F177=0)*(Option_TopUP="Y")*(Option_Sys_TopUp="N")*B177*(pt&gt;=H177+5)</f>
        <v>0</v>
      </c>
      <c r="AK177" s="50">
        <f t="shared" si="114"/>
        <v>0</v>
      </c>
      <c r="AL177" s="50">
        <f t="shared" si="135"/>
        <v>0</v>
      </c>
      <c r="AM177" s="50">
        <f t="shared" ca="1" si="115"/>
        <v>0</v>
      </c>
      <c r="AN177" s="50">
        <f ca="1">IF(B177=0,0,AT177*(_rpm1+(1+_emr1)*VLOOKUP(E177,Tab_Mort_Charge,IF(Input!$C$12="M",2,3),0))*(0.001*0.0833)*Flag_Mort_Rider_Charge*(AT177&gt;0))</f>
        <v>0</v>
      </c>
      <c r="AO177" s="50">
        <f t="shared" ca="1" si="136"/>
        <v>0</v>
      </c>
      <c r="AP177" s="50">
        <f t="shared" ca="1" si="143"/>
        <v>0</v>
      </c>
      <c r="AQ177" s="50">
        <f t="shared" ca="1" si="116"/>
        <v>0</v>
      </c>
      <c r="AR177" s="50">
        <f t="shared" ca="1" si="117"/>
        <v>0</v>
      </c>
      <c r="AS177" s="50">
        <f t="shared" si="118"/>
        <v>0</v>
      </c>
      <c r="AT177" s="50">
        <f ca="1">(MAX((MAX(AS177,105%*SUM($AJ$7:AJ177))-AM177*Flag_UL_Type),0)*B177)</f>
        <v>0</v>
      </c>
      <c r="AU177" s="50">
        <f ca="1">(MAX(AS177,AR177,105%*SUM($AJ$7:AJ177))*B177)</f>
        <v>0</v>
      </c>
      <c r="AV177" s="125"/>
      <c r="AW177" s="13"/>
      <c r="AX177" s="13"/>
      <c r="AY177" s="13"/>
      <c r="AZ177" s="13"/>
      <c r="BA177" s="13"/>
      <c r="BG177" s="51">
        <f t="shared" si="119"/>
        <v>0</v>
      </c>
      <c r="BH177" s="51">
        <f t="shared" ca="1" si="120"/>
        <v>0</v>
      </c>
      <c r="BI177" s="51">
        <f t="shared" ca="1" si="121"/>
        <v>0</v>
      </c>
      <c r="BJ177" s="51">
        <f t="shared" ca="1" si="122"/>
        <v>0</v>
      </c>
      <c r="BK177" s="51">
        <f t="shared" si="123"/>
        <v>0</v>
      </c>
      <c r="BL177" s="51">
        <f t="shared" ca="1" si="124"/>
        <v>0</v>
      </c>
      <c r="BM177" s="51">
        <f t="shared" si="125"/>
        <v>0</v>
      </c>
      <c r="BN177" s="51">
        <f t="shared" ca="1" si="126"/>
        <v>0</v>
      </c>
      <c r="BO177" s="51">
        <f t="shared" ca="1" si="127"/>
        <v>0</v>
      </c>
      <c r="BP177" s="51">
        <f t="shared" ca="1" si="128"/>
        <v>0</v>
      </c>
      <c r="BQ177" s="120"/>
      <c r="BR177" s="32"/>
      <c r="BS177" s="126"/>
      <c r="BT177" s="16"/>
      <c r="BU177" s="58"/>
      <c r="BW177" s="51">
        <f>VLOOKUP(H177,Charges!$AT$4:$AU$33,2,FALSE)*I177</f>
        <v>0</v>
      </c>
      <c r="BX177" s="51">
        <f t="shared" si="129"/>
        <v>0</v>
      </c>
      <c r="BY177" s="51">
        <f t="shared" si="137"/>
        <v>0</v>
      </c>
      <c r="BZ177" s="151"/>
      <c r="CA177" s="151"/>
      <c r="CB177" s="32"/>
      <c r="CC177" s="16">
        <f ca="1">SUM($N$7:$N177)</f>
        <v>0</v>
      </c>
      <c r="CD177" s="16">
        <f t="shared" ca="1" si="130"/>
        <v>0</v>
      </c>
      <c r="CE177" s="16">
        <f t="shared" ca="1" si="131"/>
        <v>0</v>
      </c>
      <c r="CF177" s="7">
        <f t="shared" ca="1" si="138"/>
        <v>0</v>
      </c>
    </row>
    <row r="178" spans="1:84" s="7" customFormat="1" x14ac:dyDescent="0.2">
      <c r="A178" s="149"/>
      <c r="B178" s="14">
        <f t="shared" si="100"/>
        <v>1</v>
      </c>
      <c r="C178" s="12">
        <f t="shared" si="101"/>
        <v>1</v>
      </c>
      <c r="D178" s="17">
        <f t="shared" si="139"/>
        <v>172</v>
      </c>
      <c r="E178" s="17">
        <f t="shared" ca="1" si="102"/>
        <v>74</v>
      </c>
      <c r="F178" s="12">
        <f t="shared" si="141"/>
        <v>3</v>
      </c>
      <c r="G178" s="12">
        <f t="shared" si="140"/>
        <v>29</v>
      </c>
      <c r="H178" s="17">
        <f t="shared" si="142"/>
        <v>15</v>
      </c>
      <c r="I178" s="29">
        <f t="shared" si="103"/>
        <v>0</v>
      </c>
      <c r="J178" s="211">
        <f>IFERROR(VLOOKUP(H178,Charges!$T$6:$U$35,2,0)*C178,0)</f>
        <v>1</v>
      </c>
      <c r="K178" s="29">
        <f t="shared" si="104"/>
        <v>0</v>
      </c>
      <c r="L178" s="29">
        <f t="shared" si="105"/>
        <v>0</v>
      </c>
      <c r="M178" s="147">
        <f t="shared" ca="1" si="106"/>
        <v>0</v>
      </c>
      <c r="N178" s="148">
        <f ca="1">IF(AND(Option_SPW="Y",Z177&gt;=SPW_Start_Min_FV,H178&gt;=Lock_In_Period,Z177&gt;SPW_Amount_pa+IF(option="Single",1/5*pr,2*pr),H178&gt;=SPW_Start_Year,H178&lt;=SPW_Start_Year+SPW_Duration-1,F178=0,age+H178&gt;=Legal_Age),SPW_Amount_pa,0)+IFERROR(VLOOKUP(H178,Input!$B$68:$C$74,2,0),0)*(F178=0)*(Option_PW="Y")*(Option_SPW="N")*(age+H178&gt;=Legal_Age)</f>
        <v>0</v>
      </c>
      <c r="O178" s="148">
        <f t="shared" ca="1" si="132"/>
        <v>0</v>
      </c>
      <c r="P178" s="14">
        <f ca="1">(MAX(MAX(sa-CF177*Flag_UL_Type,105%*SUM($I$7:I178))-(AD177+L178-N178)*Flag_UL_Type,0)*B178)</f>
        <v>0</v>
      </c>
      <c r="Q178" s="213">
        <f t="shared" ca="1" si="107"/>
        <v>0</v>
      </c>
      <c r="R178" s="14">
        <f t="shared" ca="1" si="108"/>
        <v>0</v>
      </c>
      <c r="S178" s="14">
        <f t="shared" ca="1" si="109"/>
        <v>0</v>
      </c>
      <c r="T178" s="14">
        <f>IFERROR(IF(WoP_Flag="Y",IF(fq=1,VLOOKUP(ppt*fq-H178,Charges!$AN$41:$AO$59,2,FALSE),IF(fq=2,VLOOKUP(ppt*fq-G178,Charges!$AP$41:$AQ$79,2,FALSE),VLOOKUP(ppt*fq-D178,Charges!$AR$41:$AS$279,2,FALSE)))*pr/fq,0),0)</f>
        <v>0</v>
      </c>
      <c r="U178" s="14">
        <f ca="1">IFERROR(((T178*(VLOOKUP(Input!$D$18+H178-1,Tab_Mort_Charge,IF(Gender_2="M",2,3),FALSE)*(1+_emr2)+_rpm2)/IF(Model_Type="LA_PQIS",1000/0.0833,(12*1000))))*Flag_Mort_Rider_Charge*(T178&gt;0),0)</f>
        <v>0</v>
      </c>
      <c r="V178" s="34">
        <f>ROUND(MIN(IF(H178&gt;=7,Charges!$C$12*(1+Charges!$C$14)^((H178-7+1)),VLOOKUP(H178,Charges!$B$7:$C$12,2,0))*pr,Charges!$C$13)*B178,Round)</f>
        <v>500</v>
      </c>
      <c r="W178" s="14">
        <f t="shared" ca="1" si="110"/>
        <v>7080798.5333488435</v>
      </c>
      <c r="X178" s="14">
        <f t="shared" ca="1" si="111"/>
        <v>7126356.6043152781</v>
      </c>
      <c r="Y178" s="213">
        <f t="shared" ca="1" si="133"/>
        <v>8021.5141949749786</v>
      </c>
      <c r="Z178" s="14">
        <f t="shared" ca="1" si="112"/>
        <v>7118335.0901203034</v>
      </c>
      <c r="AA178" s="14">
        <f>IF(AND($H178=pt,$F178=11),SUM($K$7:K178)*VLOOKUP(pt,ROC,2,FALSE),0)</f>
        <v>0</v>
      </c>
      <c r="AB178" s="14">
        <f>IF(AND($H178=pt,$F178=11),SUM($V$7:V178)*VLOOKUP(pt,ROC,2,FALSE),0)</f>
        <v>0</v>
      </c>
      <c r="AC178" s="14">
        <f>IF(AND($H178=pt,$F178=11),SUM($Q$7:Q178)*VLOOKUP(pt,ROC,2,FALSE),0)</f>
        <v>0</v>
      </c>
      <c r="AD178" s="14">
        <f t="shared" ca="1" si="134"/>
        <v>7118335.0901203034</v>
      </c>
      <c r="AE178" s="14">
        <f ca="1">(MAX(sa-CF177*Flag_UL_Type,105%*SUM($I$7:I178),Z178)+AU178)*B178</f>
        <v>7118335.0901203034</v>
      </c>
      <c r="AF178" s="136"/>
      <c r="AG178" s="18">
        <v>172</v>
      </c>
      <c r="AH178" s="30">
        <f t="shared" ca="1" si="113"/>
        <v>0</v>
      </c>
      <c r="AI178" s="58"/>
      <c r="AJ178" s="50">
        <f>IF(AND(Option_Sys_TopUp&gt;="Y",H178&gt;=sytp,H178&lt;=(dtp+sytp-1),F178=0,H178&lt;=ppt+1),atp,0)+IFERROR(VLOOKUP(H178,Input!$B$55:$C$61,2,0),0)*(F178=0)*(Option_TopUP="Y")*(Option_Sys_TopUp="N")*B178*(pt&gt;=H178+5)</f>
        <v>0</v>
      </c>
      <c r="AK178" s="50">
        <f t="shared" si="114"/>
        <v>0</v>
      </c>
      <c r="AL178" s="50">
        <f t="shared" si="135"/>
        <v>0</v>
      </c>
      <c r="AM178" s="50">
        <f t="shared" ca="1" si="115"/>
        <v>0</v>
      </c>
      <c r="AN178" s="50">
        <f ca="1">IF(B178=0,0,AT178*(_rpm1+(1+_emr1)*VLOOKUP(E178,Tab_Mort_Charge,IF(Input!$C$12="M",2,3),0))*(0.001*0.0833)*Flag_Mort_Rider_Charge*(AT178&gt;0))</f>
        <v>0</v>
      </c>
      <c r="AO178" s="50">
        <f t="shared" ca="1" si="136"/>
        <v>0</v>
      </c>
      <c r="AP178" s="50">
        <f t="shared" ca="1" si="143"/>
        <v>0</v>
      </c>
      <c r="AQ178" s="50">
        <f t="shared" ca="1" si="116"/>
        <v>0</v>
      </c>
      <c r="AR178" s="50">
        <f t="shared" ca="1" si="117"/>
        <v>0</v>
      </c>
      <c r="AS178" s="50">
        <f t="shared" si="118"/>
        <v>0</v>
      </c>
      <c r="AT178" s="50">
        <f ca="1">(MAX((MAX(AS178,105%*SUM($AJ$7:AJ178))-AM178*Flag_UL_Type),0)*B178)</f>
        <v>0</v>
      </c>
      <c r="AU178" s="50">
        <f ca="1">(MAX(AS178,AR178,105%*SUM($AJ$7:AJ178))*B178)</f>
        <v>0</v>
      </c>
      <c r="AV178" s="125"/>
      <c r="AW178" s="13"/>
      <c r="AX178" s="13"/>
      <c r="AY178" s="13"/>
      <c r="AZ178" s="13"/>
      <c r="BA178" s="13"/>
      <c r="BG178" s="51">
        <f t="shared" si="119"/>
        <v>0</v>
      </c>
      <c r="BH178" s="51">
        <f t="shared" ca="1" si="120"/>
        <v>0</v>
      </c>
      <c r="BI178" s="51">
        <f t="shared" ca="1" si="121"/>
        <v>0</v>
      </c>
      <c r="BJ178" s="51">
        <f t="shared" ca="1" si="122"/>
        <v>0</v>
      </c>
      <c r="BK178" s="51">
        <f t="shared" si="123"/>
        <v>0</v>
      </c>
      <c r="BL178" s="51">
        <f t="shared" ca="1" si="124"/>
        <v>0</v>
      </c>
      <c r="BM178" s="51">
        <f t="shared" si="125"/>
        <v>0</v>
      </c>
      <c r="BN178" s="51">
        <f t="shared" ca="1" si="126"/>
        <v>0</v>
      </c>
      <c r="BO178" s="51">
        <f t="shared" ca="1" si="127"/>
        <v>0</v>
      </c>
      <c r="BP178" s="51">
        <f t="shared" ca="1" si="128"/>
        <v>0</v>
      </c>
      <c r="BQ178" s="120"/>
      <c r="BR178" s="32"/>
      <c r="BS178" s="126"/>
      <c r="BT178" s="16"/>
      <c r="BU178" s="58"/>
      <c r="BW178" s="51">
        <f>VLOOKUP(H178,Charges!$AT$4:$AU$33,2,FALSE)*I178</f>
        <v>0</v>
      </c>
      <c r="BX178" s="51">
        <f t="shared" si="129"/>
        <v>0</v>
      </c>
      <c r="BY178" s="51">
        <f t="shared" si="137"/>
        <v>0</v>
      </c>
      <c r="BZ178" s="151"/>
      <c r="CA178" s="151"/>
      <c r="CB178" s="32"/>
      <c r="CC178" s="16">
        <f ca="1">SUM($N$7:$N178)</f>
        <v>0</v>
      </c>
      <c r="CD178" s="16">
        <f t="shared" ca="1" si="130"/>
        <v>0</v>
      </c>
      <c r="CE178" s="16">
        <f t="shared" ca="1" si="131"/>
        <v>0</v>
      </c>
      <c r="CF178" s="7">
        <f t="shared" ca="1" si="138"/>
        <v>0</v>
      </c>
    </row>
    <row r="179" spans="1:84" s="7" customFormat="1" x14ac:dyDescent="0.2">
      <c r="A179" s="149"/>
      <c r="B179" s="14">
        <f t="shared" si="100"/>
        <v>1</v>
      </c>
      <c r="C179" s="12">
        <f t="shared" si="101"/>
        <v>1</v>
      </c>
      <c r="D179" s="17">
        <f t="shared" si="139"/>
        <v>173</v>
      </c>
      <c r="E179" s="17">
        <f t="shared" ca="1" si="102"/>
        <v>74</v>
      </c>
      <c r="F179" s="12">
        <f t="shared" si="141"/>
        <v>4</v>
      </c>
      <c r="G179" s="12">
        <f t="shared" si="140"/>
        <v>29</v>
      </c>
      <c r="H179" s="17">
        <f t="shared" si="142"/>
        <v>15</v>
      </c>
      <c r="I179" s="29">
        <f t="shared" si="103"/>
        <v>0</v>
      </c>
      <c r="J179" s="211">
        <f>IFERROR(VLOOKUP(H179,Charges!$T$6:$U$35,2,0)*C179,0)</f>
        <v>1</v>
      </c>
      <c r="K179" s="29">
        <f t="shared" si="104"/>
        <v>0</v>
      </c>
      <c r="L179" s="29">
        <f t="shared" si="105"/>
        <v>0</v>
      </c>
      <c r="M179" s="147">
        <f t="shared" ca="1" si="106"/>
        <v>0</v>
      </c>
      <c r="N179" s="148">
        <f ca="1">IF(AND(Option_SPW="Y",Z178&gt;=SPW_Start_Min_FV,H179&gt;=Lock_In_Period,Z178&gt;SPW_Amount_pa+IF(option="Single",1/5*pr,2*pr),H179&gt;=SPW_Start_Year,H179&lt;=SPW_Start_Year+SPW_Duration-1,F179=0,age+H179&gt;=Legal_Age),SPW_Amount_pa,0)+IFERROR(VLOOKUP(H179,Input!$B$68:$C$74,2,0),0)*(F179=0)*(Option_PW="Y")*(Option_SPW="N")*(age+H179&gt;=Legal_Age)</f>
        <v>0</v>
      </c>
      <c r="O179" s="148">
        <f t="shared" ca="1" si="132"/>
        <v>0</v>
      </c>
      <c r="P179" s="14">
        <f ca="1">(MAX(MAX(sa-CF178*Flag_UL_Type,105%*SUM($I$7:I179))-(AD178+L179-N179)*Flag_UL_Type,0)*B179)</f>
        <v>0</v>
      </c>
      <c r="Q179" s="213">
        <f t="shared" ca="1" si="107"/>
        <v>0</v>
      </c>
      <c r="R179" s="14">
        <f t="shared" ca="1" si="108"/>
        <v>0</v>
      </c>
      <c r="S179" s="14">
        <f t="shared" ca="1" si="109"/>
        <v>0</v>
      </c>
      <c r="T179" s="14">
        <f>IFERROR(IF(WoP_Flag="Y",IF(fq=1,VLOOKUP(ppt*fq-H179,Charges!$AN$41:$AO$59,2,FALSE),IF(fq=2,VLOOKUP(ppt*fq-G179,Charges!$AP$41:$AQ$79,2,FALSE),VLOOKUP(ppt*fq-D179,Charges!$AR$41:$AS$279,2,FALSE)))*pr/fq,0),0)</f>
        <v>0</v>
      </c>
      <c r="U179" s="14">
        <f ca="1">IFERROR(((T179*(VLOOKUP(Input!$D$18+H179-1,Tab_Mort_Charge,IF(Gender_2="M",2,3),FALSE)*(1+_emr2)+_rpm2)/IF(Model_Type="LA_PQIS",1000/0.0833,(12*1000))))*Flag_Mort_Rider_Charge*(T179&gt;0),0)</f>
        <v>0</v>
      </c>
      <c r="V179" s="34">
        <f>ROUND(MIN(IF(H179&gt;=7,Charges!$C$12*(1+Charges!$C$14)^((H179-7+1)),VLOOKUP(H179,Charges!$B$7:$C$12,2,0))*pr,Charges!$C$13)*B179,Round)</f>
        <v>500</v>
      </c>
      <c r="W179" s="14">
        <f t="shared" ca="1" si="110"/>
        <v>7117835.0901203034</v>
      </c>
      <c r="X179" s="14">
        <f t="shared" ca="1" si="111"/>
        <v>7163631.4554081764</v>
      </c>
      <c r="Y179" s="213">
        <f t="shared" ca="1" si="133"/>
        <v>8063.4712234762192</v>
      </c>
      <c r="Z179" s="14">
        <f t="shared" ca="1" si="112"/>
        <v>7155567.9841847001</v>
      </c>
      <c r="AA179" s="14">
        <f>IF(AND($H179=pt,$F179=11),SUM($K$7:K179)*VLOOKUP(pt,ROC,2,FALSE),0)</f>
        <v>0</v>
      </c>
      <c r="AB179" s="14">
        <f>IF(AND($H179=pt,$F179=11),SUM($V$7:V179)*VLOOKUP(pt,ROC,2,FALSE),0)</f>
        <v>0</v>
      </c>
      <c r="AC179" s="14">
        <f>IF(AND($H179=pt,$F179=11),SUM($Q$7:Q179)*VLOOKUP(pt,ROC,2,FALSE),0)</f>
        <v>0</v>
      </c>
      <c r="AD179" s="14">
        <f t="shared" ca="1" si="134"/>
        <v>7155567.9841847001</v>
      </c>
      <c r="AE179" s="14">
        <f ca="1">(MAX(sa-CF178*Flag_UL_Type,105%*SUM($I$7:I179),Z179)+AU179)*B179</f>
        <v>7155567.9841847001</v>
      </c>
      <c r="AF179" s="136"/>
      <c r="AG179" s="18">
        <v>173</v>
      </c>
      <c r="AH179" s="30">
        <f t="shared" ca="1" si="113"/>
        <v>0</v>
      </c>
      <c r="AI179" s="58"/>
      <c r="AJ179" s="50">
        <f>IF(AND(Option_Sys_TopUp&gt;="Y",H179&gt;=sytp,H179&lt;=(dtp+sytp-1),F179=0,H179&lt;=ppt+1),atp,0)+IFERROR(VLOOKUP(H179,Input!$B$55:$C$61,2,0),0)*(F179=0)*(Option_TopUP="Y")*(Option_Sys_TopUp="N")*B179*(pt&gt;=H179+5)</f>
        <v>0</v>
      </c>
      <c r="AK179" s="50">
        <f t="shared" si="114"/>
        <v>0</v>
      </c>
      <c r="AL179" s="50">
        <f t="shared" si="135"/>
        <v>0</v>
      </c>
      <c r="AM179" s="50">
        <f t="shared" ca="1" si="115"/>
        <v>0</v>
      </c>
      <c r="AN179" s="50">
        <f ca="1">IF(B179=0,0,AT179*(_rpm1+(1+_emr1)*VLOOKUP(E179,Tab_Mort_Charge,IF(Input!$C$12="M",2,3),0))*(0.001*0.0833)*Flag_Mort_Rider_Charge*(AT179&gt;0))</f>
        <v>0</v>
      </c>
      <c r="AO179" s="50">
        <f t="shared" ca="1" si="136"/>
        <v>0</v>
      </c>
      <c r="AP179" s="50">
        <f t="shared" ca="1" si="143"/>
        <v>0</v>
      </c>
      <c r="AQ179" s="50">
        <f t="shared" ca="1" si="116"/>
        <v>0</v>
      </c>
      <c r="AR179" s="50">
        <f t="shared" ca="1" si="117"/>
        <v>0</v>
      </c>
      <c r="AS179" s="50">
        <f t="shared" si="118"/>
        <v>0</v>
      </c>
      <c r="AT179" s="50">
        <f ca="1">(MAX((MAX(AS179,105%*SUM($AJ$7:AJ179))-AM179*Flag_UL_Type),0)*B179)</f>
        <v>0</v>
      </c>
      <c r="AU179" s="50">
        <f ca="1">(MAX(AS179,AR179,105%*SUM($AJ$7:AJ179))*B179)</f>
        <v>0</v>
      </c>
      <c r="AV179" s="125"/>
      <c r="AW179" s="13"/>
      <c r="AX179" s="13"/>
      <c r="AY179" s="13"/>
      <c r="AZ179" s="13"/>
      <c r="BA179" s="13"/>
      <c r="BG179" s="51">
        <f t="shared" si="119"/>
        <v>0</v>
      </c>
      <c r="BH179" s="51">
        <f t="shared" ca="1" si="120"/>
        <v>0</v>
      </c>
      <c r="BI179" s="51">
        <f t="shared" ca="1" si="121"/>
        <v>0</v>
      </c>
      <c r="BJ179" s="51">
        <f t="shared" ca="1" si="122"/>
        <v>0</v>
      </c>
      <c r="BK179" s="51">
        <f t="shared" si="123"/>
        <v>0</v>
      </c>
      <c r="BL179" s="51">
        <f t="shared" ca="1" si="124"/>
        <v>0</v>
      </c>
      <c r="BM179" s="51">
        <f t="shared" si="125"/>
        <v>0</v>
      </c>
      <c r="BN179" s="51">
        <f t="shared" ca="1" si="126"/>
        <v>0</v>
      </c>
      <c r="BO179" s="51">
        <f t="shared" ca="1" si="127"/>
        <v>0</v>
      </c>
      <c r="BP179" s="51">
        <f t="shared" ca="1" si="128"/>
        <v>0</v>
      </c>
      <c r="BQ179" s="120"/>
      <c r="BR179" s="32"/>
      <c r="BS179" s="126"/>
      <c r="BT179" s="16"/>
      <c r="BU179" s="58"/>
      <c r="BW179" s="51">
        <f>VLOOKUP(H179,Charges!$AT$4:$AU$33,2,FALSE)*I179</f>
        <v>0</v>
      </c>
      <c r="BX179" s="51">
        <f t="shared" si="129"/>
        <v>0</v>
      </c>
      <c r="BY179" s="51">
        <f t="shared" si="137"/>
        <v>0</v>
      </c>
      <c r="BZ179" s="151"/>
      <c r="CA179" s="151"/>
      <c r="CB179" s="32"/>
      <c r="CC179" s="16">
        <f ca="1">SUM($N$7:$N179)</f>
        <v>0</v>
      </c>
      <c r="CD179" s="16">
        <f t="shared" ca="1" si="130"/>
        <v>0</v>
      </c>
      <c r="CE179" s="16">
        <f t="shared" ca="1" si="131"/>
        <v>0</v>
      </c>
      <c r="CF179" s="7">
        <f t="shared" ca="1" si="138"/>
        <v>0</v>
      </c>
    </row>
    <row r="180" spans="1:84" s="7" customFormat="1" x14ac:dyDescent="0.2">
      <c r="A180" s="149"/>
      <c r="B180" s="14">
        <f t="shared" si="100"/>
        <v>1</v>
      </c>
      <c r="C180" s="12">
        <f t="shared" si="101"/>
        <v>1</v>
      </c>
      <c r="D180" s="17">
        <f t="shared" si="139"/>
        <v>174</v>
      </c>
      <c r="E180" s="17">
        <f t="shared" ca="1" si="102"/>
        <v>74</v>
      </c>
      <c r="F180" s="12">
        <f t="shared" si="141"/>
        <v>5</v>
      </c>
      <c r="G180" s="12">
        <f t="shared" si="140"/>
        <v>29</v>
      </c>
      <c r="H180" s="17">
        <f t="shared" si="142"/>
        <v>15</v>
      </c>
      <c r="I180" s="29">
        <f t="shared" si="103"/>
        <v>0</v>
      </c>
      <c r="J180" s="211">
        <f>IFERROR(VLOOKUP(H180,Charges!$T$6:$U$35,2,0)*C180,0)</f>
        <v>1</v>
      </c>
      <c r="K180" s="29">
        <f t="shared" si="104"/>
        <v>0</v>
      </c>
      <c r="L180" s="29">
        <f t="shared" si="105"/>
        <v>0</v>
      </c>
      <c r="M180" s="147">
        <f t="shared" ca="1" si="106"/>
        <v>0</v>
      </c>
      <c r="N180" s="148">
        <f ca="1">IF(AND(Option_SPW="Y",Z179&gt;=SPW_Start_Min_FV,H180&gt;=Lock_In_Period,Z179&gt;SPW_Amount_pa+IF(option="Single",1/5*pr,2*pr),H180&gt;=SPW_Start_Year,H180&lt;=SPW_Start_Year+SPW_Duration-1,F180=0,age+H180&gt;=Legal_Age),SPW_Amount_pa,0)+IFERROR(VLOOKUP(H180,Input!$B$68:$C$74,2,0),0)*(F180=0)*(Option_PW="Y")*(Option_SPW="N")*(age+H180&gt;=Legal_Age)</f>
        <v>0</v>
      </c>
      <c r="O180" s="148">
        <f t="shared" ca="1" si="132"/>
        <v>0</v>
      </c>
      <c r="P180" s="14">
        <f ca="1">(MAX(MAX(sa-CF179*Flag_UL_Type,105%*SUM($I$7:I180))-(AD179+L180-N180)*Flag_UL_Type,0)*B180)</f>
        <v>0</v>
      </c>
      <c r="Q180" s="213">
        <f t="shared" ca="1" si="107"/>
        <v>0</v>
      </c>
      <c r="R180" s="14">
        <f t="shared" ca="1" si="108"/>
        <v>0</v>
      </c>
      <c r="S180" s="14">
        <f t="shared" ca="1" si="109"/>
        <v>0</v>
      </c>
      <c r="T180" s="14">
        <f>IFERROR(IF(WoP_Flag="Y",IF(fq=1,VLOOKUP(ppt*fq-H180,Charges!$AN$41:$AO$59,2,FALSE),IF(fq=2,VLOOKUP(ppt*fq-G180,Charges!$AP$41:$AQ$79,2,FALSE),VLOOKUP(ppt*fq-D180,Charges!$AR$41:$AS$279,2,FALSE)))*pr/fq,0),0)</f>
        <v>0</v>
      </c>
      <c r="U180" s="14">
        <f ca="1">IFERROR(((T180*(VLOOKUP(Input!$D$18+H180-1,Tab_Mort_Charge,IF(Gender_2="M",2,3),FALSE)*(1+_emr2)+_rpm2)/IF(Model_Type="LA_PQIS",1000/0.0833,(12*1000))))*Flag_Mort_Rider_Charge*(T180&gt;0),0)</f>
        <v>0</v>
      </c>
      <c r="V180" s="34">
        <f>ROUND(MIN(IF(H180&gt;=7,Charges!$C$12*(1+Charges!$C$14)^((H180-7+1)),VLOOKUP(H180,Charges!$B$7:$C$12,2,0))*pr,Charges!$C$13)*B180,Round)</f>
        <v>500</v>
      </c>
      <c r="W180" s="14">
        <f t="shared" ca="1" si="110"/>
        <v>7155067.9841847001</v>
      </c>
      <c r="X180" s="14">
        <f t="shared" ca="1" si="111"/>
        <v>7201103.9070340656</v>
      </c>
      <c r="Y180" s="213">
        <f t="shared" ca="1" si="133"/>
        <v>8105.6506735553194</v>
      </c>
      <c r="Z180" s="14">
        <f t="shared" ca="1" si="112"/>
        <v>7192998.2563605104</v>
      </c>
      <c r="AA180" s="14">
        <f>IF(AND($H180=pt,$F180=11),SUM($K$7:K180)*VLOOKUP(pt,ROC,2,FALSE),0)</f>
        <v>0</v>
      </c>
      <c r="AB180" s="14">
        <f>IF(AND($H180=pt,$F180=11),SUM($V$7:V180)*VLOOKUP(pt,ROC,2,FALSE),0)</f>
        <v>0</v>
      </c>
      <c r="AC180" s="14">
        <f>IF(AND($H180=pt,$F180=11),SUM($Q$7:Q180)*VLOOKUP(pt,ROC,2,FALSE),0)</f>
        <v>0</v>
      </c>
      <c r="AD180" s="14">
        <f t="shared" ca="1" si="134"/>
        <v>7192998.2563605104</v>
      </c>
      <c r="AE180" s="14">
        <f ca="1">(MAX(sa-CF179*Flag_UL_Type,105%*SUM($I$7:I180),Z180)+AU180)*B180</f>
        <v>7192998.2563605104</v>
      </c>
      <c r="AF180" s="136"/>
      <c r="AG180" s="18">
        <v>174</v>
      </c>
      <c r="AH180" s="30">
        <f t="shared" ca="1" si="113"/>
        <v>0</v>
      </c>
      <c r="AI180" s="58"/>
      <c r="AJ180" s="50">
        <f>IF(AND(Option_Sys_TopUp&gt;="Y",H180&gt;=sytp,H180&lt;=(dtp+sytp-1),F180=0,H180&lt;=ppt+1),atp,0)+IFERROR(VLOOKUP(H180,Input!$B$55:$C$61,2,0),0)*(F180=0)*(Option_TopUP="Y")*(Option_Sys_TopUp="N")*B180*(pt&gt;=H180+5)</f>
        <v>0</v>
      </c>
      <c r="AK180" s="50">
        <f t="shared" si="114"/>
        <v>0</v>
      </c>
      <c r="AL180" s="50">
        <f t="shared" si="135"/>
        <v>0</v>
      </c>
      <c r="AM180" s="50">
        <f t="shared" ca="1" si="115"/>
        <v>0</v>
      </c>
      <c r="AN180" s="50">
        <f ca="1">IF(B180=0,0,AT180*(_rpm1+(1+_emr1)*VLOOKUP(E180,Tab_Mort_Charge,IF(Input!$C$12="M",2,3),0))*(0.001*0.0833)*Flag_Mort_Rider_Charge*(AT180&gt;0))</f>
        <v>0</v>
      </c>
      <c r="AO180" s="50">
        <f t="shared" ca="1" si="136"/>
        <v>0</v>
      </c>
      <c r="AP180" s="50">
        <f t="shared" ca="1" si="143"/>
        <v>0</v>
      </c>
      <c r="AQ180" s="50">
        <f t="shared" ca="1" si="116"/>
        <v>0</v>
      </c>
      <c r="AR180" s="50">
        <f t="shared" ca="1" si="117"/>
        <v>0</v>
      </c>
      <c r="AS180" s="50">
        <f t="shared" si="118"/>
        <v>0</v>
      </c>
      <c r="AT180" s="50">
        <f ca="1">(MAX((MAX(AS180,105%*SUM($AJ$7:AJ180))-AM180*Flag_UL_Type),0)*B180)</f>
        <v>0</v>
      </c>
      <c r="AU180" s="50">
        <f ca="1">(MAX(AS180,AR180,105%*SUM($AJ$7:AJ180))*B180)</f>
        <v>0</v>
      </c>
      <c r="AV180" s="125"/>
      <c r="AW180" s="13"/>
      <c r="AX180" s="13"/>
      <c r="AY180" s="13"/>
      <c r="AZ180" s="13"/>
      <c r="BA180" s="13"/>
      <c r="BG180" s="51">
        <f t="shared" si="119"/>
        <v>0</v>
      </c>
      <c r="BH180" s="51">
        <f t="shared" ca="1" si="120"/>
        <v>0</v>
      </c>
      <c r="BI180" s="51">
        <f t="shared" ca="1" si="121"/>
        <v>0</v>
      </c>
      <c r="BJ180" s="51">
        <f t="shared" ca="1" si="122"/>
        <v>0</v>
      </c>
      <c r="BK180" s="51">
        <f t="shared" si="123"/>
        <v>0</v>
      </c>
      <c r="BL180" s="51">
        <f t="shared" ca="1" si="124"/>
        <v>0</v>
      </c>
      <c r="BM180" s="51">
        <f t="shared" si="125"/>
        <v>0</v>
      </c>
      <c r="BN180" s="51">
        <f t="shared" ca="1" si="126"/>
        <v>0</v>
      </c>
      <c r="BO180" s="51">
        <f t="shared" ca="1" si="127"/>
        <v>0</v>
      </c>
      <c r="BP180" s="51">
        <f t="shared" ca="1" si="128"/>
        <v>0</v>
      </c>
      <c r="BQ180" s="120"/>
      <c r="BR180" s="32"/>
      <c r="BS180" s="126"/>
      <c r="BT180" s="16"/>
      <c r="BU180" s="58"/>
      <c r="BW180" s="51">
        <f>VLOOKUP(H180,Charges!$AT$4:$AU$33,2,FALSE)*I180</f>
        <v>0</v>
      </c>
      <c r="BX180" s="51">
        <f t="shared" si="129"/>
        <v>0</v>
      </c>
      <c r="BY180" s="51">
        <f t="shared" si="137"/>
        <v>0</v>
      </c>
      <c r="BZ180" s="151"/>
      <c r="CA180" s="151"/>
      <c r="CB180" s="32"/>
      <c r="CC180" s="16">
        <f ca="1">SUM($N$7:$N180)</f>
        <v>0</v>
      </c>
      <c r="CD180" s="16">
        <f t="shared" ca="1" si="130"/>
        <v>0</v>
      </c>
      <c r="CE180" s="16">
        <f t="shared" ca="1" si="131"/>
        <v>0</v>
      </c>
      <c r="CF180" s="7">
        <f t="shared" ca="1" si="138"/>
        <v>0</v>
      </c>
    </row>
    <row r="181" spans="1:84" s="7" customFormat="1" x14ac:dyDescent="0.2">
      <c r="A181" s="149"/>
      <c r="B181" s="14">
        <f t="shared" si="100"/>
        <v>1</v>
      </c>
      <c r="C181" s="12">
        <f t="shared" si="101"/>
        <v>1</v>
      </c>
      <c r="D181" s="17">
        <f t="shared" si="139"/>
        <v>175</v>
      </c>
      <c r="E181" s="17">
        <f t="shared" ca="1" si="102"/>
        <v>74</v>
      </c>
      <c r="F181" s="12">
        <f t="shared" si="141"/>
        <v>6</v>
      </c>
      <c r="G181" s="12">
        <f t="shared" si="140"/>
        <v>30</v>
      </c>
      <c r="H181" s="17">
        <f t="shared" si="142"/>
        <v>15</v>
      </c>
      <c r="I181" s="29">
        <f t="shared" si="103"/>
        <v>0</v>
      </c>
      <c r="J181" s="211">
        <f>IFERROR(VLOOKUP(H181,Charges!$T$6:$U$35,2,0)*C181,0)</f>
        <v>1</v>
      </c>
      <c r="K181" s="29">
        <f t="shared" si="104"/>
        <v>0</v>
      </c>
      <c r="L181" s="29">
        <f t="shared" si="105"/>
        <v>0</v>
      </c>
      <c r="M181" s="147">
        <f t="shared" ca="1" si="106"/>
        <v>0</v>
      </c>
      <c r="N181" s="148">
        <f ca="1">IF(AND(Option_SPW="Y",Z180&gt;=SPW_Start_Min_FV,H181&gt;=Lock_In_Period,Z180&gt;SPW_Amount_pa+IF(option="Single",1/5*pr,2*pr),H181&gt;=SPW_Start_Year,H181&lt;=SPW_Start_Year+SPW_Duration-1,F181=0,age+H181&gt;=Legal_Age),SPW_Amount_pa,0)+IFERROR(VLOOKUP(H181,Input!$B$68:$C$74,2,0),0)*(F181=0)*(Option_PW="Y")*(Option_SPW="N")*(age+H181&gt;=Legal_Age)</f>
        <v>0</v>
      </c>
      <c r="O181" s="148">
        <f t="shared" ca="1" si="132"/>
        <v>0</v>
      </c>
      <c r="P181" s="14">
        <f ca="1">(MAX(MAX(sa-CF180*Flag_UL_Type,105%*SUM($I$7:I181))-(AD180+L181-N181)*Flag_UL_Type,0)*B181)</f>
        <v>0</v>
      </c>
      <c r="Q181" s="213">
        <f t="shared" ca="1" si="107"/>
        <v>0</v>
      </c>
      <c r="R181" s="14">
        <f t="shared" ca="1" si="108"/>
        <v>0</v>
      </c>
      <c r="S181" s="14">
        <f t="shared" ca="1" si="109"/>
        <v>0</v>
      </c>
      <c r="T181" s="14">
        <f>IFERROR(IF(WoP_Flag="Y",IF(fq=1,VLOOKUP(ppt*fq-H181,Charges!$AN$41:$AO$59,2,FALSE),IF(fq=2,VLOOKUP(ppt*fq-G181,Charges!$AP$41:$AQ$79,2,FALSE),VLOOKUP(ppt*fq-D181,Charges!$AR$41:$AS$279,2,FALSE)))*pr/fq,0),0)</f>
        <v>0</v>
      </c>
      <c r="U181" s="14">
        <f ca="1">IFERROR(((T181*(VLOOKUP(Input!$D$18+H181-1,Tab_Mort_Charge,IF(Gender_2="M",2,3),FALSE)*(1+_emr2)+_rpm2)/IF(Model_Type="LA_PQIS",1000/0.0833,(12*1000))))*Flag_Mort_Rider_Charge*(T181&gt;0),0)</f>
        <v>0</v>
      </c>
      <c r="V181" s="34">
        <f>ROUND(MIN(IF(H181&gt;=7,Charges!$C$12*(1+Charges!$C$14)^((H181-7+1)),VLOOKUP(H181,Charges!$B$7:$C$12,2,0))*pr,Charges!$C$13)*B181,Round)</f>
        <v>500</v>
      </c>
      <c r="W181" s="14">
        <f t="shared" ca="1" si="110"/>
        <v>7192498.2563605104</v>
      </c>
      <c r="X181" s="14">
        <f t="shared" ca="1" si="111"/>
        <v>7238775.0067080809</v>
      </c>
      <c r="Y181" s="213">
        <f t="shared" ca="1" si="133"/>
        <v>8148.0537243081335</v>
      </c>
      <c r="Z181" s="14">
        <f t="shared" ca="1" si="112"/>
        <v>7230626.9529837724</v>
      </c>
      <c r="AA181" s="14">
        <f>IF(AND($H181=pt,$F181=11),SUM($K$7:K181)*VLOOKUP(pt,ROC,2,FALSE),0)</f>
        <v>0</v>
      </c>
      <c r="AB181" s="14">
        <f>IF(AND($H181=pt,$F181=11),SUM($V$7:V181)*VLOOKUP(pt,ROC,2,FALSE),0)</f>
        <v>0</v>
      </c>
      <c r="AC181" s="14">
        <f>IF(AND($H181=pt,$F181=11),SUM($Q$7:Q181)*VLOOKUP(pt,ROC,2,FALSE),0)</f>
        <v>0</v>
      </c>
      <c r="AD181" s="14">
        <f t="shared" ca="1" si="134"/>
        <v>7230626.9529837724</v>
      </c>
      <c r="AE181" s="14">
        <f ca="1">(MAX(sa-CF180*Flag_UL_Type,105%*SUM($I$7:I181),Z181)+AU181)*B181</f>
        <v>7230626.9529837724</v>
      </c>
      <c r="AF181" s="136"/>
      <c r="AG181" s="18">
        <v>175</v>
      </c>
      <c r="AH181" s="30">
        <f t="shared" ca="1" si="113"/>
        <v>0</v>
      </c>
      <c r="AI181" s="58"/>
      <c r="AJ181" s="50">
        <f>IF(AND(Option_Sys_TopUp&gt;="Y",H181&gt;=sytp,H181&lt;=(dtp+sytp-1),F181=0,H181&lt;=ppt+1),atp,0)+IFERROR(VLOOKUP(H181,Input!$B$55:$C$61,2,0),0)*(F181=0)*(Option_TopUP="Y")*(Option_Sys_TopUp="N")*B181*(pt&gt;=H181+5)</f>
        <v>0</v>
      </c>
      <c r="AK181" s="50">
        <f t="shared" si="114"/>
        <v>0</v>
      </c>
      <c r="AL181" s="50">
        <f t="shared" si="135"/>
        <v>0</v>
      </c>
      <c r="AM181" s="50">
        <f t="shared" ca="1" si="115"/>
        <v>0</v>
      </c>
      <c r="AN181" s="50">
        <f ca="1">IF(B181=0,0,AT181*(_rpm1+(1+_emr1)*VLOOKUP(E181,Tab_Mort_Charge,IF(Input!$C$12="M",2,3),0))*(0.001*0.0833)*Flag_Mort_Rider_Charge*(AT181&gt;0))</f>
        <v>0</v>
      </c>
      <c r="AO181" s="50">
        <f t="shared" ca="1" si="136"/>
        <v>0</v>
      </c>
      <c r="AP181" s="50">
        <f t="shared" ca="1" si="143"/>
        <v>0</v>
      </c>
      <c r="AQ181" s="50">
        <f t="shared" ca="1" si="116"/>
        <v>0</v>
      </c>
      <c r="AR181" s="50">
        <f t="shared" ca="1" si="117"/>
        <v>0</v>
      </c>
      <c r="AS181" s="50">
        <f t="shared" si="118"/>
        <v>0</v>
      </c>
      <c r="AT181" s="50">
        <f ca="1">(MAX((MAX(AS181,105%*SUM($AJ$7:AJ181))-AM181*Flag_UL_Type),0)*B181)</f>
        <v>0</v>
      </c>
      <c r="AU181" s="50">
        <f ca="1">(MAX(AS181,AR181,105%*SUM($AJ$7:AJ181))*B181)</f>
        <v>0</v>
      </c>
      <c r="AV181" s="125"/>
      <c r="AW181" s="13"/>
      <c r="AX181" s="13"/>
      <c r="AY181" s="13"/>
      <c r="AZ181" s="13"/>
      <c r="BA181" s="13"/>
      <c r="BG181" s="51">
        <f t="shared" si="119"/>
        <v>0</v>
      </c>
      <c r="BH181" s="51">
        <f t="shared" ca="1" si="120"/>
        <v>0</v>
      </c>
      <c r="BI181" s="51">
        <f t="shared" ca="1" si="121"/>
        <v>0</v>
      </c>
      <c r="BJ181" s="51">
        <f t="shared" ca="1" si="122"/>
        <v>0</v>
      </c>
      <c r="BK181" s="51">
        <f t="shared" si="123"/>
        <v>0</v>
      </c>
      <c r="BL181" s="51">
        <f t="shared" ca="1" si="124"/>
        <v>0</v>
      </c>
      <c r="BM181" s="51">
        <f t="shared" si="125"/>
        <v>0</v>
      </c>
      <c r="BN181" s="51">
        <f t="shared" ca="1" si="126"/>
        <v>0</v>
      </c>
      <c r="BO181" s="51">
        <f t="shared" ca="1" si="127"/>
        <v>0</v>
      </c>
      <c r="BP181" s="51">
        <f t="shared" ca="1" si="128"/>
        <v>0</v>
      </c>
      <c r="BQ181" s="120"/>
      <c r="BR181" s="32"/>
      <c r="BS181" s="126"/>
      <c r="BT181" s="16"/>
      <c r="BU181" s="58"/>
      <c r="BW181" s="51">
        <f>VLOOKUP(H181,Charges!$AT$4:$AU$33,2,FALSE)*I181</f>
        <v>0</v>
      </c>
      <c r="BX181" s="51">
        <f t="shared" si="129"/>
        <v>0</v>
      </c>
      <c r="BY181" s="51">
        <f t="shared" si="137"/>
        <v>0</v>
      </c>
      <c r="BZ181" s="151"/>
      <c r="CA181" s="151"/>
      <c r="CB181" s="32"/>
      <c r="CC181" s="16">
        <f ca="1">SUM($N$7:$N181)</f>
        <v>0</v>
      </c>
      <c r="CD181" s="16">
        <f t="shared" ca="1" si="130"/>
        <v>0</v>
      </c>
      <c r="CE181" s="16">
        <f t="shared" ca="1" si="131"/>
        <v>0</v>
      </c>
      <c r="CF181" s="7">
        <f t="shared" ca="1" si="138"/>
        <v>0</v>
      </c>
    </row>
    <row r="182" spans="1:84" s="7" customFormat="1" x14ac:dyDescent="0.2">
      <c r="A182" s="149"/>
      <c r="B182" s="14">
        <f t="shared" si="100"/>
        <v>1</v>
      </c>
      <c r="C182" s="12">
        <f t="shared" si="101"/>
        <v>1</v>
      </c>
      <c r="D182" s="17">
        <f t="shared" si="139"/>
        <v>176</v>
      </c>
      <c r="E182" s="17">
        <f t="shared" ca="1" si="102"/>
        <v>74</v>
      </c>
      <c r="F182" s="12">
        <f t="shared" si="141"/>
        <v>7</v>
      </c>
      <c r="G182" s="12">
        <f t="shared" si="140"/>
        <v>30</v>
      </c>
      <c r="H182" s="17">
        <f t="shared" si="142"/>
        <v>15</v>
      </c>
      <c r="I182" s="29">
        <f t="shared" si="103"/>
        <v>0</v>
      </c>
      <c r="J182" s="211">
        <f>IFERROR(VLOOKUP(H182,Charges!$T$6:$U$35,2,0)*C182,0)</f>
        <v>1</v>
      </c>
      <c r="K182" s="29">
        <f t="shared" si="104"/>
        <v>0</v>
      </c>
      <c r="L182" s="29">
        <f t="shared" si="105"/>
        <v>0</v>
      </c>
      <c r="M182" s="147">
        <f t="shared" ca="1" si="106"/>
        <v>0</v>
      </c>
      <c r="N182" s="148">
        <f ca="1">IF(AND(Option_SPW="Y",Z181&gt;=SPW_Start_Min_FV,H182&gt;=Lock_In_Period,Z181&gt;SPW_Amount_pa+IF(option="Single",1/5*pr,2*pr),H182&gt;=SPW_Start_Year,H182&lt;=SPW_Start_Year+SPW_Duration-1,F182=0,age+H182&gt;=Legal_Age),SPW_Amount_pa,0)+IFERROR(VLOOKUP(H182,Input!$B$68:$C$74,2,0),0)*(F182=0)*(Option_PW="Y")*(Option_SPW="N")*(age+H182&gt;=Legal_Age)</f>
        <v>0</v>
      </c>
      <c r="O182" s="148">
        <f t="shared" ca="1" si="132"/>
        <v>0</v>
      </c>
      <c r="P182" s="14">
        <f ca="1">(MAX(MAX(sa-CF181*Flag_UL_Type,105%*SUM($I$7:I182))-(AD181+L182-N182)*Flag_UL_Type,0)*B182)</f>
        <v>0</v>
      </c>
      <c r="Q182" s="213">
        <f t="shared" ca="1" si="107"/>
        <v>0</v>
      </c>
      <c r="R182" s="14">
        <f t="shared" ca="1" si="108"/>
        <v>0</v>
      </c>
      <c r="S182" s="14">
        <f t="shared" ca="1" si="109"/>
        <v>0</v>
      </c>
      <c r="T182" s="14">
        <f>IFERROR(IF(WoP_Flag="Y",IF(fq=1,VLOOKUP(ppt*fq-H182,Charges!$AN$41:$AO$59,2,FALSE),IF(fq=2,VLOOKUP(ppt*fq-G182,Charges!$AP$41:$AQ$79,2,FALSE),VLOOKUP(ppt*fq-D182,Charges!$AR$41:$AS$279,2,FALSE)))*pr/fq,0),0)</f>
        <v>0</v>
      </c>
      <c r="U182" s="14">
        <f ca="1">IFERROR(((T182*(VLOOKUP(Input!$D$18+H182-1,Tab_Mort_Charge,IF(Gender_2="M",2,3),FALSE)*(1+_emr2)+_rpm2)/IF(Model_Type="LA_PQIS",1000/0.0833,(12*1000))))*Flag_Mort_Rider_Charge*(T182&gt;0),0)</f>
        <v>0</v>
      </c>
      <c r="V182" s="34">
        <f>ROUND(MIN(IF(H182&gt;=7,Charges!$C$12*(1+Charges!$C$14)^((H182-7+1)),VLOOKUP(H182,Charges!$B$7:$C$12,2,0))*pr,Charges!$C$13)*B182,Round)</f>
        <v>500</v>
      </c>
      <c r="W182" s="14">
        <f t="shared" ca="1" si="110"/>
        <v>7230126.9529837724</v>
      </c>
      <c r="X182" s="14">
        <f t="shared" ca="1" si="111"/>
        <v>7276645.8074984178</v>
      </c>
      <c r="Y182" s="213">
        <f t="shared" ca="1" si="133"/>
        <v>8190.6815610811072</v>
      </c>
      <c r="Z182" s="14">
        <f t="shared" ca="1" si="112"/>
        <v>7268455.1259373371</v>
      </c>
      <c r="AA182" s="14">
        <f>IF(AND($H182=pt,$F182=11),SUM($K$7:K182)*VLOOKUP(pt,ROC,2,FALSE),0)</f>
        <v>0</v>
      </c>
      <c r="AB182" s="14">
        <f>IF(AND($H182=pt,$F182=11),SUM($V$7:V182)*VLOOKUP(pt,ROC,2,FALSE),0)</f>
        <v>0</v>
      </c>
      <c r="AC182" s="14">
        <f>IF(AND($H182=pt,$F182=11),SUM($Q$7:Q182)*VLOOKUP(pt,ROC,2,FALSE),0)</f>
        <v>0</v>
      </c>
      <c r="AD182" s="14">
        <f t="shared" ca="1" si="134"/>
        <v>7268455.1259373371</v>
      </c>
      <c r="AE182" s="14">
        <f ca="1">(MAX(sa-CF181*Flag_UL_Type,105%*SUM($I$7:I182),Z182)+AU182)*B182</f>
        <v>7268455.1259373371</v>
      </c>
      <c r="AF182" s="136"/>
      <c r="AG182" s="18">
        <v>176</v>
      </c>
      <c r="AH182" s="30">
        <f t="shared" ca="1" si="113"/>
        <v>0</v>
      </c>
      <c r="AI182" s="58"/>
      <c r="AJ182" s="50">
        <f>IF(AND(Option_Sys_TopUp&gt;="Y",H182&gt;=sytp,H182&lt;=(dtp+sytp-1),F182=0,H182&lt;=ppt+1),atp,0)+IFERROR(VLOOKUP(H182,Input!$B$55:$C$61,2,0),0)*(F182=0)*(Option_TopUP="Y")*(Option_Sys_TopUp="N")*B182*(pt&gt;=H182+5)</f>
        <v>0</v>
      </c>
      <c r="AK182" s="50">
        <f t="shared" si="114"/>
        <v>0</v>
      </c>
      <c r="AL182" s="50">
        <f t="shared" si="135"/>
        <v>0</v>
      </c>
      <c r="AM182" s="50">
        <f t="shared" ca="1" si="115"/>
        <v>0</v>
      </c>
      <c r="AN182" s="50">
        <f ca="1">IF(B182=0,0,AT182*(_rpm1+(1+_emr1)*VLOOKUP(E182,Tab_Mort_Charge,IF(Input!$C$12="M",2,3),0))*(0.001*0.0833)*Flag_Mort_Rider_Charge*(AT182&gt;0))</f>
        <v>0</v>
      </c>
      <c r="AO182" s="50">
        <f t="shared" ca="1" si="136"/>
        <v>0</v>
      </c>
      <c r="AP182" s="50">
        <f t="shared" ca="1" si="143"/>
        <v>0</v>
      </c>
      <c r="AQ182" s="50">
        <f t="shared" ca="1" si="116"/>
        <v>0</v>
      </c>
      <c r="AR182" s="50">
        <f t="shared" ca="1" si="117"/>
        <v>0</v>
      </c>
      <c r="AS182" s="50">
        <f t="shared" si="118"/>
        <v>0</v>
      </c>
      <c r="AT182" s="50">
        <f ca="1">(MAX((MAX(AS182,105%*SUM($AJ$7:AJ182))-AM182*Flag_UL_Type),0)*B182)</f>
        <v>0</v>
      </c>
      <c r="AU182" s="50">
        <f ca="1">(MAX(AS182,AR182,105%*SUM($AJ$7:AJ182))*B182)</f>
        <v>0</v>
      </c>
      <c r="AV182" s="125"/>
      <c r="AW182" s="13"/>
      <c r="AX182" s="13"/>
      <c r="AY182" s="13"/>
      <c r="AZ182" s="13"/>
      <c r="BA182" s="13"/>
      <c r="BG182" s="51">
        <f t="shared" si="119"/>
        <v>0</v>
      </c>
      <c r="BH182" s="51">
        <f t="shared" ca="1" si="120"/>
        <v>0</v>
      </c>
      <c r="BI182" s="51">
        <f t="shared" ca="1" si="121"/>
        <v>0</v>
      </c>
      <c r="BJ182" s="51">
        <f t="shared" ca="1" si="122"/>
        <v>0</v>
      </c>
      <c r="BK182" s="51">
        <f t="shared" si="123"/>
        <v>0</v>
      </c>
      <c r="BL182" s="51">
        <f t="shared" ca="1" si="124"/>
        <v>0</v>
      </c>
      <c r="BM182" s="51">
        <f t="shared" si="125"/>
        <v>0</v>
      </c>
      <c r="BN182" s="51">
        <f t="shared" ca="1" si="126"/>
        <v>0</v>
      </c>
      <c r="BO182" s="51">
        <f t="shared" ca="1" si="127"/>
        <v>0</v>
      </c>
      <c r="BP182" s="51">
        <f t="shared" ca="1" si="128"/>
        <v>0</v>
      </c>
      <c r="BQ182" s="120"/>
      <c r="BR182" s="32"/>
      <c r="BS182" s="126"/>
      <c r="BT182" s="16"/>
      <c r="BU182" s="58"/>
      <c r="BW182" s="51">
        <f>VLOOKUP(H182,Charges!$AT$4:$AU$33,2,FALSE)*I182</f>
        <v>0</v>
      </c>
      <c r="BX182" s="51">
        <f t="shared" si="129"/>
        <v>0</v>
      </c>
      <c r="BY182" s="51">
        <f t="shared" si="137"/>
        <v>0</v>
      </c>
      <c r="BZ182" s="151"/>
      <c r="CA182" s="151"/>
      <c r="CB182" s="32"/>
      <c r="CC182" s="16">
        <f ca="1">SUM($N$7:$N182)</f>
        <v>0</v>
      </c>
      <c r="CD182" s="16">
        <f t="shared" ca="1" si="130"/>
        <v>0</v>
      </c>
      <c r="CE182" s="16">
        <f t="shared" ca="1" si="131"/>
        <v>0</v>
      </c>
      <c r="CF182" s="7">
        <f t="shared" ca="1" si="138"/>
        <v>0</v>
      </c>
    </row>
    <row r="183" spans="1:84" s="7" customFormat="1" x14ac:dyDescent="0.2">
      <c r="A183" s="149"/>
      <c r="B183" s="14">
        <f t="shared" si="100"/>
        <v>1</v>
      </c>
      <c r="C183" s="12">
        <f t="shared" si="101"/>
        <v>1</v>
      </c>
      <c r="D183" s="17">
        <f t="shared" si="139"/>
        <v>177</v>
      </c>
      <c r="E183" s="17">
        <f t="shared" ca="1" si="102"/>
        <v>74</v>
      </c>
      <c r="F183" s="12">
        <f t="shared" si="141"/>
        <v>8</v>
      </c>
      <c r="G183" s="12">
        <f t="shared" si="140"/>
        <v>30</v>
      </c>
      <c r="H183" s="17">
        <f t="shared" si="142"/>
        <v>15</v>
      </c>
      <c r="I183" s="29">
        <f t="shared" si="103"/>
        <v>0</v>
      </c>
      <c r="J183" s="211">
        <f>IFERROR(VLOOKUP(H183,Charges!$T$6:$U$35,2,0)*C183,0)</f>
        <v>1</v>
      </c>
      <c r="K183" s="29">
        <f t="shared" si="104"/>
        <v>0</v>
      </c>
      <c r="L183" s="29">
        <f t="shared" si="105"/>
        <v>0</v>
      </c>
      <c r="M183" s="147">
        <f t="shared" ca="1" si="106"/>
        <v>0</v>
      </c>
      <c r="N183" s="148">
        <f ca="1">IF(AND(Option_SPW="Y",Z182&gt;=SPW_Start_Min_FV,H183&gt;=Lock_In_Period,Z182&gt;SPW_Amount_pa+IF(option="Single",1/5*pr,2*pr),H183&gt;=SPW_Start_Year,H183&lt;=SPW_Start_Year+SPW_Duration-1,F183=0,age+H183&gt;=Legal_Age),SPW_Amount_pa,0)+IFERROR(VLOOKUP(H183,Input!$B$68:$C$74,2,0),0)*(F183=0)*(Option_PW="Y")*(Option_SPW="N")*(age+H183&gt;=Legal_Age)</f>
        <v>0</v>
      </c>
      <c r="O183" s="148">
        <f t="shared" ca="1" si="132"/>
        <v>0</v>
      </c>
      <c r="P183" s="14">
        <f ca="1">(MAX(MAX(sa-CF182*Flag_UL_Type,105%*SUM($I$7:I183))-(AD182+L183-N183)*Flag_UL_Type,0)*B183)</f>
        <v>0</v>
      </c>
      <c r="Q183" s="213">
        <f t="shared" ca="1" si="107"/>
        <v>0</v>
      </c>
      <c r="R183" s="14">
        <f t="shared" ca="1" si="108"/>
        <v>0</v>
      </c>
      <c r="S183" s="14">
        <f t="shared" ca="1" si="109"/>
        <v>0</v>
      </c>
      <c r="T183" s="14">
        <f>IFERROR(IF(WoP_Flag="Y",IF(fq=1,VLOOKUP(ppt*fq-H183,Charges!$AN$41:$AO$59,2,FALSE),IF(fq=2,VLOOKUP(ppt*fq-G183,Charges!$AP$41:$AQ$79,2,FALSE),VLOOKUP(ppt*fq-D183,Charges!$AR$41:$AS$279,2,FALSE)))*pr/fq,0),0)</f>
        <v>0</v>
      </c>
      <c r="U183" s="14">
        <f ca="1">IFERROR(((T183*(VLOOKUP(Input!$D$18+H183-1,Tab_Mort_Charge,IF(Gender_2="M",2,3),FALSE)*(1+_emr2)+_rpm2)/IF(Model_Type="LA_PQIS",1000/0.0833,(12*1000))))*Flag_Mort_Rider_Charge*(T183&gt;0),0)</f>
        <v>0</v>
      </c>
      <c r="V183" s="34">
        <f>ROUND(MIN(IF(H183&gt;=7,Charges!$C$12*(1+Charges!$C$14)^((H183-7+1)),VLOOKUP(H183,Charges!$B$7:$C$12,2,0))*pr,Charges!$C$13)*B183,Round)</f>
        <v>500</v>
      </c>
      <c r="W183" s="14">
        <f t="shared" ca="1" si="110"/>
        <v>7267955.1259373371</v>
      </c>
      <c r="X183" s="14">
        <f t="shared" ca="1" si="111"/>
        <v>7314717.368055772</v>
      </c>
      <c r="Y183" s="213">
        <f t="shared" ca="1" si="133"/>
        <v>8233.535375504418</v>
      </c>
      <c r="Z183" s="14">
        <f t="shared" ca="1" si="112"/>
        <v>7306483.8326802673</v>
      </c>
      <c r="AA183" s="14">
        <f>IF(AND($H183=pt,$F183=11),SUM($K$7:K183)*VLOOKUP(pt,ROC,2,FALSE),0)</f>
        <v>0</v>
      </c>
      <c r="AB183" s="14">
        <f>IF(AND($H183=pt,$F183=11),SUM($V$7:V183)*VLOOKUP(pt,ROC,2,FALSE),0)</f>
        <v>0</v>
      </c>
      <c r="AC183" s="14">
        <f>IF(AND($H183=pt,$F183=11),SUM($Q$7:Q183)*VLOOKUP(pt,ROC,2,FALSE),0)</f>
        <v>0</v>
      </c>
      <c r="AD183" s="14">
        <f t="shared" ca="1" si="134"/>
        <v>7306483.8326802673</v>
      </c>
      <c r="AE183" s="14">
        <f ca="1">(MAX(sa-CF182*Flag_UL_Type,105%*SUM($I$7:I183),Z183)+AU183)*B183</f>
        <v>7306483.8326802673</v>
      </c>
      <c r="AF183" s="136"/>
      <c r="AG183" s="18">
        <v>177</v>
      </c>
      <c r="AH183" s="30">
        <f t="shared" ca="1" si="113"/>
        <v>0</v>
      </c>
      <c r="AI183" s="58"/>
      <c r="AJ183" s="50">
        <f>IF(AND(Option_Sys_TopUp&gt;="Y",H183&gt;=sytp,H183&lt;=(dtp+sytp-1),F183=0,H183&lt;=ppt+1),atp,0)+IFERROR(VLOOKUP(H183,Input!$B$55:$C$61,2,0),0)*(F183=0)*(Option_TopUP="Y")*(Option_Sys_TopUp="N")*B183*(pt&gt;=H183+5)</f>
        <v>0</v>
      </c>
      <c r="AK183" s="50">
        <f t="shared" si="114"/>
        <v>0</v>
      </c>
      <c r="AL183" s="50">
        <f t="shared" si="135"/>
        <v>0</v>
      </c>
      <c r="AM183" s="50">
        <f t="shared" ca="1" si="115"/>
        <v>0</v>
      </c>
      <c r="AN183" s="50">
        <f ca="1">IF(B183=0,0,AT183*(_rpm1+(1+_emr1)*VLOOKUP(E183,Tab_Mort_Charge,IF(Input!$C$12="M",2,3),0))*(0.001*0.0833)*Flag_Mort_Rider_Charge*(AT183&gt;0))</f>
        <v>0</v>
      </c>
      <c r="AO183" s="50">
        <f t="shared" ca="1" si="136"/>
        <v>0</v>
      </c>
      <c r="AP183" s="50">
        <f t="shared" ca="1" si="143"/>
        <v>0</v>
      </c>
      <c r="AQ183" s="50">
        <f t="shared" ca="1" si="116"/>
        <v>0</v>
      </c>
      <c r="AR183" s="50">
        <f t="shared" ca="1" si="117"/>
        <v>0</v>
      </c>
      <c r="AS183" s="50">
        <f t="shared" si="118"/>
        <v>0</v>
      </c>
      <c r="AT183" s="50">
        <f ca="1">(MAX((MAX(AS183,105%*SUM($AJ$7:AJ183))-AM183*Flag_UL_Type),0)*B183)</f>
        <v>0</v>
      </c>
      <c r="AU183" s="50">
        <f ca="1">(MAX(AS183,AR183,105%*SUM($AJ$7:AJ183))*B183)</f>
        <v>0</v>
      </c>
      <c r="AV183" s="125"/>
      <c r="AW183" s="13"/>
      <c r="AX183" s="13"/>
      <c r="AY183" s="13"/>
      <c r="AZ183" s="13"/>
      <c r="BA183" s="13"/>
      <c r="BG183" s="51">
        <f t="shared" si="119"/>
        <v>0</v>
      </c>
      <c r="BH183" s="51">
        <f t="shared" ca="1" si="120"/>
        <v>0</v>
      </c>
      <c r="BI183" s="51">
        <f t="shared" ca="1" si="121"/>
        <v>0</v>
      </c>
      <c r="BJ183" s="51">
        <f t="shared" ca="1" si="122"/>
        <v>0</v>
      </c>
      <c r="BK183" s="51">
        <f t="shared" si="123"/>
        <v>0</v>
      </c>
      <c r="BL183" s="51">
        <f t="shared" ca="1" si="124"/>
        <v>0</v>
      </c>
      <c r="BM183" s="51">
        <f t="shared" si="125"/>
        <v>0</v>
      </c>
      <c r="BN183" s="51">
        <f t="shared" ca="1" si="126"/>
        <v>0</v>
      </c>
      <c r="BO183" s="51">
        <f t="shared" ca="1" si="127"/>
        <v>0</v>
      </c>
      <c r="BP183" s="51">
        <f t="shared" ca="1" si="128"/>
        <v>0</v>
      </c>
      <c r="BQ183" s="120"/>
      <c r="BR183" s="32"/>
      <c r="BS183" s="126"/>
      <c r="BT183" s="16"/>
      <c r="BU183" s="58"/>
      <c r="BW183" s="51">
        <f>VLOOKUP(H183,Charges!$AT$4:$AU$33,2,FALSE)*I183</f>
        <v>0</v>
      </c>
      <c r="BX183" s="51">
        <f t="shared" si="129"/>
        <v>0</v>
      </c>
      <c r="BY183" s="51">
        <f t="shared" si="137"/>
        <v>0</v>
      </c>
      <c r="BZ183" s="151"/>
      <c r="CA183" s="151"/>
      <c r="CB183" s="32"/>
      <c r="CC183" s="16">
        <f ca="1">SUM($N$7:$N183)</f>
        <v>0</v>
      </c>
      <c r="CD183" s="16">
        <f t="shared" ca="1" si="130"/>
        <v>0</v>
      </c>
      <c r="CE183" s="16">
        <f t="shared" ca="1" si="131"/>
        <v>0</v>
      </c>
      <c r="CF183" s="7">
        <f t="shared" ca="1" si="138"/>
        <v>0</v>
      </c>
    </row>
    <row r="184" spans="1:84" s="7" customFormat="1" x14ac:dyDescent="0.2">
      <c r="A184" s="149"/>
      <c r="B184" s="14">
        <f t="shared" si="100"/>
        <v>1</v>
      </c>
      <c r="C184" s="12">
        <f t="shared" si="101"/>
        <v>1</v>
      </c>
      <c r="D184" s="17">
        <f t="shared" si="139"/>
        <v>178</v>
      </c>
      <c r="E184" s="17">
        <f t="shared" ca="1" si="102"/>
        <v>74</v>
      </c>
      <c r="F184" s="12">
        <f t="shared" si="141"/>
        <v>9</v>
      </c>
      <c r="G184" s="12">
        <f t="shared" si="140"/>
        <v>30</v>
      </c>
      <c r="H184" s="17">
        <f t="shared" si="142"/>
        <v>15</v>
      </c>
      <c r="I184" s="29">
        <f t="shared" si="103"/>
        <v>0</v>
      </c>
      <c r="J184" s="211">
        <f>IFERROR(VLOOKUP(H184,Charges!$T$6:$U$35,2,0)*C184,0)</f>
        <v>1</v>
      </c>
      <c r="K184" s="29">
        <f t="shared" si="104"/>
        <v>0</v>
      </c>
      <c r="L184" s="29">
        <f t="shared" si="105"/>
        <v>0</v>
      </c>
      <c r="M184" s="147">
        <f t="shared" ca="1" si="106"/>
        <v>0</v>
      </c>
      <c r="N184" s="148">
        <f ca="1">IF(AND(Option_SPW="Y",Z183&gt;=SPW_Start_Min_FV,H184&gt;=Lock_In_Period,Z183&gt;SPW_Amount_pa+IF(option="Single",1/5*pr,2*pr),H184&gt;=SPW_Start_Year,H184&lt;=SPW_Start_Year+SPW_Duration-1,F184=0,age+H184&gt;=Legal_Age),SPW_Amount_pa,0)+IFERROR(VLOOKUP(H184,Input!$B$68:$C$74,2,0),0)*(F184=0)*(Option_PW="Y")*(Option_SPW="N")*(age+H184&gt;=Legal_Age)</f>
        <v>0</v>
      </c>
      <c r="O184" s="148">
        <f t="shared" ca="1" si="132"/>
        <v>0</v>
      </c>
      <c r="P184" s="14">
        <f ca="1">(MAX(MAX(sa-CF183*Flag_UL_Type,105%*SUM($I$7:I184))-(AD183+L184-N184)*Flag_UL_Type,0)*B184)</f>
        <v>0</v>
      </c>
      <c r="Q184" s="213">
        <f t="shared" ca="1" si="107"/>
        <v>0</v>
      </c>
      <c r="R184" s="14">
        <f t="shared" ca="1" si="108"/>
        <v>0</v>
      </c>
      <c r="S184" s="14">
        <f t="shared" ca="1" si="109"/>
        <v>0</v>
      </c>
      <c r="T184" s="14">
        <f>IFERROR(IF(WoP_Flag="Y",IF(fq=1,VLOOKUP(ppt*fq-H184,Charges!$AN$41:$AO$59,2,FALSE),IF(fq=2,VLOOKUP(ppt*fq-G184,Charges!$AP$41:$AQ$79,2,FALSE),VLOOKUP(ppt*fq-D184,Charges!$AR$41:$AS$279,2,FALSE)))*pr/fq,0),0)</f>
        <v>0</v>
      </c>
      <c r="U184" s="14">
        <f ca="1">IFERROR(((T184*(VLOOKUP(Input!$D$18+H184-1,Tab_Mort_Charge,IF(Gender_2="M",2,3),FALSE)*(1+_emr2)+_rpm2)/IF(Model_Type="LA_PQIS",1000/0.0833,(12*1000))))*Flag_Mort_Rider_Charge*(T184&gt;0),0)</f>
        <v>0</v>
      </c>
      <c r="V184" s="34">
        <f>ROUND(MIN(IF(H184&gt;=7,Charges!$C$12*(1+Charges!$C$14)^((H184-7+1)),VLOOKUP(H184,Charges!$B$7:$C$12,2,0))*pr,Charges!$C$13)*B184,Round)</f>
        <v>500</v>
      </c>
      <c r="W184" s="14">
        <f t="shared" ca="1" si="110"/>
        <v>7305983.8326802673</v>
      </c>
      <c r="X184" s="14">
        <f t="shared" ca="1" si="111"/>
        <v>7352990.7526429305</v>
      </c>
      <c r="Y184" s="213">
        <f t="shared" ca="1" si="133"/>
        <v>8276.616365525284</v>
      </c>
      <c r="Z184" s="14">
        <f t="shared" ca="1" si="112"/>
        <v>7344714.1362774055</v>
      </c>
      <c r="AA184" s="14">
        <f>IF(AND($H184=pt,$F184=11),SUM($K$7:K184)*VLOOKUP(pt,ROC,2,FALSE),0)</f>
        <v>0</v>
      </c>
      <c r="AB184" s="14">
        <f>IF(AND($H184=pt,$F184=11),SUM($V$7:V184)*VLOOKUP(pt,ROC,2,FALSE),0)</f>
        <v>0</v>
      </c>
      <c r="AC184" s="14">
        <f>IF(AND($H184=pt,$F184=11),SUM($Q$7:Q184)*VLOOKUP(pt,ROC,2,FALSE),0)</f>
        <v>0</v>
      </c>
      <c r="AD184" s="14">
        <f t="shared" ca="1" si="134"/>
        <v>7344714.1362774055</v>
      </c>
      <c r="AE184" s="14">
        <f ca="1">(MAX(sa-CF183*Flag_UL_Type,105%*SUM($I$7:I184),Z184)+AU184)*B184</f>
        <v>7344714.1362774055</v>
      </c>
      <c r="AF184" s="136"/>
      <c r="AG184" s="18">
        <v>178</v>
      </c>
      <c r="AH184" s="30">
        <f t="shared" ca="1" si="113"/>
        <v>0</v>
      </c>
      <c r="AI184" s="58"/>
      <c r="AJ184" s="50">
        <f>IF(AND(Option_Sys_TopUp&gt;="Y",H184&gt;=sytp,H184&lt;=(dtp+sytp-1),F184=0,H184&lt;=ppt+1),atp,0)+IFERROR(VLOOKUP(H184,Input!$B$55:$C$61,2,0),0)*(F184=0)*(Option_TopUP="Y")*(Option_Sys_TopUp="N")*B184*(pt&gt;=H184+5)</f>
        <v>0</v>
      </c>
      <c r="AK184" s="50">
        <f t="shared" si="114"/>
        <v>0</v>
      </c>
      <c r="AL184" s="50">
        <f t="shared" si="135"/>
        <v>0</v>
      </c>
      <c r="AM184" s="50">
        <f t="shared" ca="1" si="115"/>
        <v>0</v>
      </c>
      <c r="AN184" s="50">
        <f ca="1">IF(B184=0,0,AT184*(_rpm1+(1+_emr1)*VLOOKUP(E184,Tab_Mort_Charge,IF(Input!$C$12="M",2,3),0))*(0.001*0.0833)*Flag_Mort_Rider_Charge*(AT184&gt;0))</f>
        <v>0</v>
      </c>
      <c r="AO184" s="50">
        <f t="shared" ca="1" si="136"/>
        <v>0</v>
      </c>
      <c r="AP184" s="50">
        <f t="shared" ca="1" si="143"/>
        <v>0</v>
      </c>
      <c r="AQ184" s="50">
        <f t="shared" ca="1" si="116"/>
        <v>0</v>
      </c>
      <c r="AR184" s="50">
        <f t="shared" ca="1" si="117"/>
        <v>0</v>
      </c>
      <c r="AS184" s="50">
        <f t="shared" si="118"/>
        <v>0</v>
      </c>
      <c r="AT184" s="50">
        <f ca="1">(MAX((MAX(AS184,105%*SUM($AJ$7:AJ184))-AM184*Flag_UL_Type),0)*B184)</f>
        <v>0</v>
      </c>
      <c r="AU184" s="50">
        <f ca="1">(MAX(AS184,AR184,105%*SUM($AJ$7:AJ184))*B184)</f>
        <v>0</v>
      </c>
      <c r="AV184" s="125"/>
      <c r="AW184" s="13"/>
      <c r="AX184" s="13"/>
      <c r="AY184" s="13"/>
      <c r="AZ184" s="13"/>
      <c r="BA184" s="13"/>
      <c r="BG184" s="51">
        <f t="shared" si="119"/>
        <v>0</v>
      </c>
      <c r="BH184" s="51">
        <f t="shared" ca="1" si="120"/>
        <v>0</v>
      </c>
      <c r="BI184" s="51">
        <f t="shared" ca="1" si="121"/>
        <v>0</v>
      </c>
      <c r="BJ184" s="51">
        <f t="shared" ca="1" si="122"/>
        <v>0</v>
      </c>
      <c r="BK184" s="51">
        <f t="shared" si="123"/>
        <v>0</v>
      </c>
      <c r="BL184" s="51">
        <f t="shared" ca="1" si="124"/>
        <v>0</v>
      </c>
      <c r="BM184" s="51">
        <f t="shared" si="125"/>
        <v>0</v>
      </c>
      <c r="BN184" s="51">
        <f t="shared" ca="1" si="126"/>
        <v>0</v>
      </c>
      <c r="BO184" s="51">
        <f t="shared" ca="1" si="127"/>
        <v>0</v>
      </c>
      <c r="BP184" s="51">
        <f t="shared" ca="1" si="128"/>
        <v>0</v>
      </c>
      <c r="BQ184" s="120"/>
      <c r="BR184" s="32"/>
      <c r="BS184" s="126"/>
      <c r="BT184" s="16"/>
      <c r="BU184" s="58"/>
      <c r="BW184" s="51">
        <f>VLOOKUP(H184,Charges!$AT$4:$AU$33,2,FALSE)*I184</f>
        <v>0</v>
      </c>
      <c r="BX184" s="51">
        <f t="shared" si="129"/>
        <v>0</v>
      </c>
      <c r="BY184" s="51">
        <f t="shared" si="137"/>
        <v>0</v>
      </c>
      <c r="BZ184" s="151"/>
      <c r="CA184" s="151"/>
      <c r="CB184" s="32"/>
      <c r="CC184" s="16">
        <f ca="1">SUM($N$7:$N184)</f>
        <v>0</v>
      </c>
      <c r="CD184" s="16">
        <f t="shared" ca="1" si="130"/>
        <v>0</v>
      </c>
      <c r="CE184" s="16">
        <f t="shared" ca="1" si="131"/>
        <v>0</v>
      </c>
      <c r="CF184" s="7">
        <f t="shared" ca="1" si="138"/>
        <v>0</v>
      </c>
    </row>
    <row r="185" spans="1:84" s="7" customFormat="1" x14ac:dyDescent="0.2">
      <c r="A185" s="149"/>
      <c r="B185" s="14">
        <f t="shared" si="100"/>
        <v>1</v>
      </c>
      <c r="C185" s="12">
        <f t="shared" si="101"/>
        <v>1</v>
      </c>
      <c r="D185" s="17">
        <f t="shared" si="139"/>
        <v>179</v>
      </c>
      <c r="E185" s="17">
        <f t="shared" ca="1" si="102"/>
        <v>74</v>
      </c>
      <c r="F185" s="12">
        <f t="shared" si="141"/>
        <v>10</v>
      </c>
      <c r="G185" s="12">
        <f t="shared" si="140"/>
        <v>30</v>
      </c>
      <c r="H185" s="17">
        <f t="shared" si="142"/>
        <v>15</v>
      </c>
      <c r="I185" s="29">
        <f t="shared" si="103"/>
        <v>0</v>
      </c>
      <c r="J185" s="211">
        <f>IFERROR(VLOOKUP(H185,Charges!$T$6:$U$35,2,0)*C185,0)</f>
        <v>1</v>
      </c>
      <c r="K185" s="29">
        <f t="shared" si="104"/>
        <v>0</v>
      </c>
      <c r="L185" s="29">
        <f t="shared" si="105"/>
        <v>0</v>
      </c>
      <c r="M185" s="147">
        <f t="shared" ca="1" si="106"/>
        <v>0</v>
      </c>
      <c r="N185" s="148">
        <f ca="1">IF(AND(Option_SPW="Y",Z184&gt;=SPW_Start_Min_FV,H185&gt;=Lock_In_Period,Z184&gt;SPW_Amount_pa+IF(option="Single",1/5*pr,2*pr),H185&gt;=SPW_Start_Year,H185&lt;=SPW_Start_Year+SPW_Duration-1,F185=0,age+H185&gt;=Legal_Age),SPW_Amount_pa,0)+IFERROR(VLOOKUP(H185,Input!$B$68:$C$74,2,0),0)*(F185=0)*(Option_PW="Y")*(Option_SPW="N")*(age+H185&gt;=Legal_Age)</f>
        <v>0</v>
      </c>
      <c r="O185" s="148">
        <f t="shared" ca="1" si="132"/>
        <v>0</v>
      </c>
      <c r="P185" s="14">
        <f ca="1">(MAX(MAX(sa-CF184*Flag_UL_Type,105%*SUM($I$7:I185))-(AD184+L185-N185)*Flag_UL_Type,0)*B185)</f>
        <v>0</v>
      </c>
      <c r="Q185" s="213">
        <f t="shared" ca="1" si="107"/>
        <v>0</v>
      </c>
      <c r="R185" s="14">
        <f t="shared" ca="1" si="108"/>
        <v>0</v>
      </c>
      <c r="S185" s="14">
        <f t="shared" ca="1" si="109"/>
        <v>0</v>
      </c>
      <c r="T185" s="14">
        <f>IFERROR(IF(WoP_Flag="Y",IF(fq=1,VLOOKUP(ppt*fq-H185,Charges!$AN$41:$AO$59,2,FALSE),IF(fq=2,VLOOKUP(ppt*fq-G185,Charges!$AP$41:$AQ$79,2,FALSE),VLOOKUP(ppt*fq-D185,Charges!$AR$41:$AS$279,2,FALSE)))*pr/fq,0),0)</f>
        <v>0</v>
      </c>
      <c r="U185" s="14">
        <f ca="1">IFERROR(((T185*(VLOOKUP(Input!$D$18+H185-1,Tab_Mort_Charge,IF(Gender_2="M",2,3),FALSE)*(1+_emr2)+_rpm2)/IF(Model_Type="LA_PQIS",1000/0.0833,(12*1000))))*Flag_Mort_Rider_Charge*(T185&gt;0),0)</f>
        <v>0</v>
      </c>
      <c r="V185" s="34">
        <f>ROUND(MIN(IF(H185&gt;=7,Charges!$C$12*(1+Charges!$C$14)^((H185-7+1)),VLOOKUP(H185,Charges!$B$7:$C$12,2,0))*pr,Charges!$C$13)*B185,Round)</f>
        <v>500</v>
      </c>
      <c r="W185" s="14">
        <f t="shared" ca="1" si="110"/>
        <v>7344214.1362774055</v>
      </c>
      <c r="X185" s="14">
        <f t="shared" ca="1" si="111"/>
        <v>7391467.0311645269</v>
      </c>
      <c r="Y185" s="213">
        <f t="shared" ca="1" si="133"/>
        <v>8319.9257354414476</v>
      </c>
      <c r="Z185" s="14">
        <f t="shared" ca="1" si="112"/>
        <v>7383147.1054290859</v>
      </c>
      <c r="AA185" s="14">
        <f>IF(AND($H185=pt,$F185=11),SUM($K$7:K185)*VLOOKUP(pt,ROC,2,FALSE),0)</f>
        <v>0</v>
      </c>
      <c r="AB185" s="14">
        <f>IF(AND($H185=pt,$F185=11),SUM($V$7:V185)*VLOOKUP(pt,ROC,2,FALSE),0)</f>
        <v>0</v>
      </c>
      <c r="AC185" s="14">
        <f>IF(AND($H185=pt,$F185=11),SUM($Q$7:Q185)*VLOOKUP(pt,ROC,2,FALSE),0)</f>
        <v>0</v>
      </c>
      <c r="AD185" s="14">
        <f t="shared" ca="1" si="134"/>
        <v>7383147.1054290859</v>
      </c>
      <c r="AE185" s="14">
        <f ca="1">(MAX(sa-CF184*Flag_UL_Type,105%*SUM($I$7:I185),Z185)+AU185)*B185</f>
        <v>7383147.1054290859</v>
      </c>
      <c r="AF185" s="136"/>
      <c r="AG185" s="18">
        <v>179</v>
      </c>
      <c r="AH185" s="30">
        <f t="shared" ca="1" si="113"/>
        <v>0</v>
      </c>
      <c r="AI185" s="58"/>
      <c r="AJ185" s="50">
        <f>IF(AND(Option_Sys_TopUp&gt;="Y",H185&gt;=sytp,H185&lt;=(dtp+sytp-1),F185=0,H185&lt;=ppt+1),atp,0)+IFERROR(VLOOKUP(H185,Input!$B$55:$C$61,2,0),0)*(F185=0)*(Option_TopUP="Y")*(Option_Sys_TopUp="N")*B185*(pt&gt;=H185+5)</f>
        <v>0</v>
      </c>
      <c r="AK185" s="50">
        <f t="shared" si="114"/>
        <v>0</v>
      </c>
      <c r="AL185" s="50">
        <f t="shared" si="135"/>
        <v>0</v>
      </c>
      <c r="AM185" s="50">
        <f t="shared" ca="1" si="115"/>
        <v>0</v>
      </c>
      <c r="AN185" s="50">
        <f ca="1">IF(B185=0,0,AT185*(_rpm1+(1+_emr1)*VLOOKUP(E185,Tab_Mort_Charge,IF(Input!$C$12="M",2,3),0))*(0.001*0.0833)*Flag_Mort_Rider_Charge*(AT185&gt;0))</f>
        <v>0</v>
      </c>
      <c r="AO185" s="50">
        <f t="shared" ca="1" si="136"/>
        <v>0</v>
      </c>
      <c r="AP185" s="50">
        <f t="shared" ca="1" si="143"/>
        <v>0</v>
      </c>
      <c r="AQ185" s="50">
        <f t="shared" ca="1" si="116"/>
        <v>0</v>
      </c>
      <c r="AR185" s="50">
        <f t="shared" ca="1" si="117"/>
        <v>0</v>
      </c>
      <c r="AS185" s="50">
        <f t="shared" si="118"/>
        <v>0</v>
      </c>
      <c r="AT185" s="50">
        <f ca="1">(MAX((MAX(AS185,105%*SUM($AJ$7:AJ185))-AM185*Flag_UL_Type),0)*B185)</f>
        <v>0</v>
      </c>
      <c r="AU185" s="50">
        <f ca="1">(MAX(AS185,AR185,105%*SUM($AJ$7:AJ185))*B185)</f>
        <v>0</v>
      </c>
      <c r="AV185" s="125"/>
      <c r="AW185" s="13"/>
      <c r="AX185" s="13"/>
      <c r="AY185" s="13"/>
      <c r="AZ185" s="13"/>
      <c r="BA185" s="13"/>
      <c r="BG185" s="51">
        <f t="shared" si="119"/>
        <v>0</v>
      </c>
      <c r="BH185" s="51">
        <f t="shared" ca="1" si="120"/>
        <v>0</v>
      </c>
      <c r="BI185" s="51">
        <f t="shared" ca="1" si="121"/>
        <v>0</v>
      </c>
      <c r="BJ185" s="51">
        <f t="shared" ca="1" si="122"/>
        <v>0</v>
      </c>
      <c r="BK185" s="51">
        <f t="shared" si="123"/>
        <v>0</v>
      </c>
      <c r="BL185" s="51">
        <f t="shared" ca="1" si="124"/>
        <v>0</v>
      </c>
      <c r="BM185" s="51">
        <f t="shared" si="125"/>
        <v>0</v>
      </c>
      <c r="BN185" s="51">
        <f t="shared" ca="1" si="126"/>
        <v>0</v>
      </c>
      <c r="BO185" s="51">
        <f t="shared" ca="1" si="127"/>
        <v>0</v>
      </c>
      <c r="BP185" s="51">
        <f t="shared" ca="1" si="128"/>
        <v>0</v>
      </c>
      <c r="BQ185" s="120"/>
      <c r="BR185" s="32"/>
      <c r="BS185" s="126"/>
      <c r="BT185" s="16"/>
      <c r="BU185" s="58"/>
      <c r="BW185" s="51">
        <f>VLOOKUP(H185,Charges!$AT$4:$AU$33,2,FALSE)*I185</f>
        <v>0</v>
      </c>
      <c r="BX185" s="51">
        <f t="shared" si="129"/>
        <v>0</v>
      </c>
      <c r="BY185" s="51">
        <f t="shared" si="137"/>
        <v>0</v>
      </c>
      <c r="BZ185" s="151"/>
      <c r="CA185" s="151"/>
      <c r="CB185" s="32"/>
      <c r="CC185" s="16">
        <f ca="1">SUM($N$7:$N185)</f>
        <v>0</v>
      </c>
      <c r="CD185" s="16">
        <f t="shared" ca="1" si="130"/>
        <v>0</v>
      </c>
      <c r="CE185" s="16">
        <f t="shared" ca="1" si="131"/>
        <v>0</v>
      </c>
      <c r="CF185" s="7">
        <f t="shared" ca="1" si="138"/>
        <v>0</v>
      </c>
    </row>
    <row r="186" spans="1:84" s="7" customFormat="1" x14ac:dyDescent="0.2">
      <c r="A186" s="149"/>
      <c r="B186" s="14">
        <f t="shared" si="100"/>
        <v>1</v>
      </c>
      <c r="C186" s="12">
        <f t="shared" si="101"/>
        <v>1</v>
      </c>
      <c r="D186" s="17">
        <f t="shared" si="139"/>
        <v>180</v>
      </c>
      <c r="E186" s="17">
        <f t="shared" ca="1" si="102"/>
        <v>74</v>
      </c>
      <c r="F186" s="12">
        <f t="shared" si="141"/>
        <v>11</v>
      </c>
      <c r="G186" s="12">
        <f t="shared" si="140"/>
        <v>30</v>
      </c>
      <c r="H186" s="17">
        <f t="shared" si="142"/>
        <v>15</v>
      </c>
      <c r="I186" s="29">
        <f t="shared" si="103"/>
        <v>0</v>
      </c>
      <c r="J186" s="211">
        <f>IFERROR(VLOOKUP(H186,Charges!$T$6:$U$35,2,0)*C186,0)</f>
        <v>1</v>
      </c>
      <c r="K186" s="29">
        <f t="shared" si="104"/>
        <v>0</v>
      </c>
      <c r="L186" s="29">
        <f t="shared" si="105"/>
        <v>0</v>
      </c>
      <c r="M186" s="147">
        <f t="shared" ca="1" si="106"/>
        <v>0</v>
      </c>
      <c r="N186" s="148">
        <f ca="1">IF(AND(Option_SPW="Y",Z185&gt;=SPW_Start_Min_FV,H186&gt;=Lock_In_Period,Z185&gt;SPW_Amount_pa+IF(option="Single",1/5*pr,2*pr),H186&gt;=SPW_Start_Year,H186&lt;=SPW_Start_Year+SPW_Duration-1,F186=0,age+H186&gt;=Legal_Age),SPW_Amount_pa,0)+IFERROR(VLOOKUP(H186,Input!$B$68:$C$74,2,0),0)*(F186=0)*(Option_PW="Y")*(Option_SPW="N")*(age+H186&gt;=Legal_Age)</f>
        <v>0</v>
      </c>
      <c r="O186" s="148">
        <f t="shared" ca="1" si="132"/>
        <v>0</v>
      </c>
      <c r="P186" s="14">
        <f ca="1">(MAX(MAX(sa-CF185*Flag_UL_Type,105%*SUM($I$7:I186))-(AD185+L186-N186)*Flag_UL_Type,0)*B186)</f>
        <v>0</v>
      </c>
      <c r="Q186" s="213">
        <f t="shared" ca="1" si="107"/>
        <v>0</v>
      </c>
      <c r="R186" s="14">
        <f t="shared" ca="1" si="108"/>
        <v>0</v>
      </c>
      <c r="S186" s="14">
        <f t="shared" ca="1" si="109"/>
        <v>0</v>
      </c>
      <c r="T186" s="14">
        <f>IFERROR(IF(WoP_Flag="Y",IF(fq=1,VLOOKUP(ppt*fq-H186,Charges!$AN$41:$AO$59,2,FALSE),IF(fq=2,VLOOKUP(ppt*fq-G186,Charges!$AP$41:$AQ$79,2,FALSE),VLOOKUP(ppt*fq-D186,Charges!$AR$41:$AS$279,2,FALSE)))*pr/fq,0),0)</f>
        <v>0</v>
      </c>
      <c r="U186" s="14">
        <f ca="1">IFERROR(((T186*(VLOOKUP(Input!$D$18+H186-1,Tab_Mort_Charge,IF(Gender_2="M",2,3),FALSE)*(1+_emr2)+_rpm2)/IF(Model_Type="LA_PQIS",1000/0.0833,(12*1000))))*Flag_Mort_Rider_Charge*(T186&gt;0),0)</f>
        <v>0</v>
      </c>
      <c r="V186" s="34">
        <f>ROUND(MIN(IF(H186&gt;=7,Charges!$C$12*(1+Charges!$C$14)^((H186-7+1)),VLOOKUP(H186,Charges!$B$7:$C$12,2,0))*pr,Charges!$C$13)*B186,Round)</f>
        <v>500</v>
      </c>
      <c r="W186" s="14">
        <f t="shared" ca="1" si="110"/>
        <v>7382647.1054290859</v>
      </c>
      <c r="X186" s="14">
        <f t="shared" ca="1" si="111"/>
        <v>7430147.279196946</v>
      </c>
      <c r="Y186" s="213">
        <f t="shared" ca="1" si="133"/>
        <v>8363.4646959348538</v>
      </c>
      <c r="Z186" s="14">
        <f t="shared" ca="1" si="112"/>
        <v>7421783.8145010108</v>
      </c>
      <c r="AA186" s="14">
        <f>IF(AND($H186=pt,$F186=11),SUM($K$7:K186)*VLOOKUP(pt,ROC,2,FALSE),0)</f>
        <v>100650.00000000009</v>
      </c>
      <c r="AB186" s="14">
        <f>IF(AND($H186=pt,$F186=11),SUM($V$7:V186)*VLOOKUP(pt,ROC,2,FALSE),0)</f>
        <v>95700.000000000015</v>
      </c>
      <c r="AC186" s="14">
        <f ca="1">IF(AND($H186=pt,$F186=11),SUM($Q$7:Q186)*VLOOKUP(pt,ROC,2,FALSE),0)</f>
        <v>0</v>
      </c>
      <c r="AD186" s="14">
        <f t="shared" ca="1" si="134"/>
        <v>7618133.8145010108</v>
      </c>
      <c r="AE186" s="14">
        <f ca="1">(MAX(sa-CF185*Flag_UL_Type,105%*SUM($I$7:I186),Z186)+AU186)*B186</f>
        <v>7421783.8145010108</v>
      </c>
      <c r="AF186" s="136"/>
      <c r="AG186" s="18">
        <v>180</v>
      </c>
      <c r="AH186" s="30">
        <f t="shared" ca="1" si="113"/>
        <v>0</v>
      </c>
      <c r="AI186" s="58"/>
      <c r="AJ186" s="50">
        <f>IF(AND(Option_Sys_TopUp&gt;="Y",H186&gt;=sytp,H186&lt;=(dtp+sytp-1),F186=0,H186&lt;=ppt+1),atp,0)+IFERROR(VLOOKUP(H186,Input!$B$55:$C$61,2,0),0)*(F186=0)*(Option_TopUP="Y")*(Option_Sys_TopUp="N")*B186*(pt&gt;=H186+5)</f>
        <v>0</v>
      </c>
      <c r="AK186" s="50">
        <f t="shared" si="114"/>
        <v>0</v>
      </c>
      <c r="AL186" s="50">
        <f t="shared" si="135"/>
        <v>0</v>
      </c>
      <c r="AM186" s="50">
        <f t="shared" ca="1" si="115"/>
        <v>0</v>
      </c>
      <c r="AN186" s="50">
        <f ca="1">IF(B186=0,0,AT186*(_rpm1+(1+_emr1)*VLOOKUP(E186,Tab_Mort_Charge,IF(Input!$C$12="M",2,3),0))*(0.001*0.0833)*Flag_Mort_Rider_Charge*(AT186&gt;0))</f>
        <v>0</v>
      </c>
      <c r="AO186" s="50">
        <f t="shared" ca="1" si="136"/>
        <v>0</v>
      </c>
      <c r="AP186" s="50">
        <f t="shared" ca="1" si="143"/>
        <v>0</v>
      </c>
      <c r="AQ186" s="50">
        <f t="shared" ca="1" si="116"/>
        <v>0</v>
      </c>
      <c r="AR186" s="50">
        <f t="shared" ca="1" si="117"/>
        <v>0</v>
      </c>
      <c r="AS186" s="50">
        <f t="shared" si="118"/>
        <v>0</v>
      </c>
      <c r="AT186" s="50">
        <f ca="1">(MAX((MAX(AS186,105%*SUM($AJ$7:AJ186))-AM186*Flag_UL_Type),0)*B186)</f>
        <v>0</v>
      </c>
      <c r="AU186" s="50">
        <f ca="1">(MAX(AS186,AR186,105%*SUM($AJ$7:AJ186))*B186)</f>
        <v>0</v>
      </c>
      <c r="AV186" s="125"/>
      <c r="AW186" s="13"/>
      <c r="AX186" s="13"/>
      <c r="AY186" s="13"/>
      <c r="AZ186" s="13"/>
      <c r="BA186" s="13"/>
      <c r="BG186" s="51">
        <f t="shared" si="119"/>
        <v>0</v>
      </c>
      <c r="BH186" s="51">
        <f t="shared" ca="1" si="120"/>
        <v>0</v>
      </c>
      <c r="BI186" s="51">
        <f t="shared" ca="1" si="121"/>
        <v>0</v>
      </c>
      <c r="BJ186" s="51">
        <f t="shared" ca="1" si="122"/>
        <v>0</v>
      </c>
      <c r="BK186" s="51">
        <f t="shared" si="123"/>
        <v>0</v>
      </c>
      <c r="BL186" s="51">
        <f t="shared" ca="1" si="124"/>
        <v>0</v>
      </c>
      <c r="BM186" s="51">
        <f t="shared" si="125"/>
        <v>0</v>
      </c>
      <c r="BN186" s="51">
        <f t="shared" ca="1" si="126"/>
        <v>0</v>
      </c>
      <c r="BO186" s="51">
        <f t="shared" ca="1" si="127"/>
        <v>0</v>
      </c>
      <c r="BP186" s="51">
        <f t="shared" ca="1" si="128"/>
        <v>0</v>
      </c>
      <c r="BQ186" s="120"/>
      <c r="BR186" s="32"/>
      <c r="BS186" s="126"/>
      <c r="BT186" s="16"/>
      <c r="BU186" s="58"/>
      <c r="BW186" s="51">
        <f>VLOOKUP(H186,Charges!$AT$4:$AU$33,2,FALSE)*I186</f>
        <v>0</v>
      </c>
      <c r="BX186" s="51">
        <f t="shared" si="129"/>
        <v>0</v>
      </c>
      <c r="BY186" s="51">
        <f t="shared" si="137"/>
        <v>0</v>
      </c>
      <c r="BZ186" s="151"/>
      <c r="CA186" s="151"/>
      <c r="CB186" s="32"/>
      <c r="CC186" s="16">
        <f ca="1">SUM($N$7:$N186)</f>
        <v>0</v>
      </c>
      <c r="CD186" s="16">
        <f t="shared" ca="1" si="130"/>
        <v>0</v>
      </c>
      <c r="CE186" s="16">
        <f t="shared" ca="1" si="131"/>
        <v>0</v>
      </c>
      <c r="CF186" s="7">
        <f t="shared" ca="1" si="138"/>
        <v>0</v>
      </c>
    </row>
    <row r="187" spans="1:84" s="7" customFormat="1" x14ac:dyDescent="0.2">
      <c r="A187" s="149"/>
      <c r="B187" s="14">
        <f t="shared" si="100"/>
        <v>0</v>
      </c>
      <c r="C187" s="12">
        <f t="shared" si="101"/>
        <v>0</v>
      </c>
      <c r="D187" s="17">
        <f t="shared" si="139"/>
        <v>181</v>
      </c>
      <c r="E187" s="17">
        <f t="shared" ca="1" si="102"/>
        <v>75</v>
      </c>
      <c r="F187" s="12">
        <f t="shared" si="141"/>
        <v>0</v>
      </c>
      <c r="G187" s="12">
        <f t="shared" si="140"/>
        <v>31</v>
      </c>
      <c r="H187" s="17">
        <f t="shared" si="142"/>
        <v>16</v>
      </c>
      <c r="I187" s="29">
        <f t="shared" si="103"/>
        <v>0</v>
      </c>
      <c r="J187" s="211">
        <f>IFERROR(VLOOKUP(H187,Charges!$T$6:$U$35,2,0)*C187,0)</f>
        <v>0</v>
      </c>
      <c r="K187" s="29">
        <f t="shared" si="104"/>
        <v>0</v>
      </c>
      <c r="L187" s="29">
        <f t="shared" si="105"/>
        <v>0</v>
      </c>
      <c r="M187" s="147">
        <f t="shared" ca="1" si="106"/>
        <v>0</v>
      </c>
      <c r="N187" s="148">
        <f ca="1">IF(AND(Option_SPW="Y",Z186&gt;=SPW_Start_Min_FV,H187&gt;=Lock_In_Period,Z186&gt;SPW_Amount_pa+IF(option="Single",1/5*pr,2*pr),H187&gt;=SPW_Start_Year,H187&lt;=SPW_Start_Year+SPW_Duration-1,F187=0,age+H187&gt;=Legal_Age),SPW_Amount_pa,0)+IFERROR(VLOOKUP(H187,Input!$B$68:$C$74,2,0),0)*(F187=0)*(Option_PW="Y")*(Option_SPW="N")*(age+H187&gt;=Legal_Age)</f>
        <v>0</v>
      </c>
      <c r="O187" s="148">
        <f t="shared" ca="1" si="132"/>
        <v>0</v>
      </c>
      <c r="P187" s="14">
        <f ca="1">(MAX(MAX(sa-CF186*Flag_UL_Type,105%*SUM($I$7:I187))-(AD186+L187-N187)*Flag_UL_Type,0)*B187)</f>
        <v>0</v>
      </c>
      <c r="Q187" s="213">
        <f t="shared" si="107"/>
        <v>0</v>
      </c>
      <c r="R187" s="14">
        <f t="shared" ca="1" si="108"/>
        <v>0</v>
      </c>
      <c r="S187" s="14">
        <f t="shared" ca="1" si="109"/>
        <v>0</v>
      </c>
      <c r="T187" s="14">
        <f>IFERROR(IF(WoP_Flag="Y",IF(fq=1,VLOOKUP(ppt*fq-H187,Charges!$AN$41:$AO$59,2,FALSE),IF(fq=2,VLOOKUP(ppt*fq-G187,Charges!$AP$41:$AQ$79,2,FALSE),VLOOKUP(ppt*fq-D187,Charges!$AR$41:$AS$279,2,FALSE)))*pr/fq,0),0)</f>
        <v>0</v>
      </c>
      <c r="U187" s="14">
        <f ca="1">IFERROR(((T187*(VLOOKUP(Input!$D$18+H187-1,Tab_Mort_Charge,IF(Gender_2="M",2,3),FALSE)*(1+_emr2)+_rpm2)/IF(Model_Type="LA_PQIS",1000/0.0833,(12*1000))))*Flag_Mort_Rider_Charge*(T187&gt;0),0)</f>
        <v>0</v>
      </c>
      <c r="V187" s="34">
        <f>ROUND(MIN(IF(H187&gt;=7,Charges!$C$12*(1+Charges!$C$14)^((H187-7+1)),VLOOKUP(H187,Charges!$B$7:$C$12,2,0))*pr,Charges!$C$13)*B187,Round)</f>
        <v>0</v>
      </c>
      <c r="W187" s="14">
        <f t="shared" ca="1" si="110"/>
        <v>0</v>
      </c>
      <c r="X187" s="14">
        <f t="shared" ca="1" si="111"/>
        <v>0</v>
      </c>
      <c r="Y187" s="213">
        <f t="shared" ca="1" si="133"/>
        <v>0</v>
      </c>
      <c r="Z187" s="14">
        <f t="shared" ca="1" si="112"/>
        <v>0</v>
      </c>
      <c r="AA187" s="14">
        <f>IF(AND($H187=pt,$F187=11),SUM($K$7:K187)*VLOOKUP(pt,ROC,2,FALSE),0)</f>
        <v>0</v>
      </c>
      <c r="AB187" s="14">
        <f>IF(AND($H187=pt,$F187=11),SUM($V$7:V187)*VLOOKUP(pt,ROC,2,FALSE),0)</f>
        <v>0</v>
      </c>
      <c r="AC187" s="14">
        <f>IF(AND($H187=pt,$F187=11),SUM($Q$7:Q187)*VLOOKUP(pt,ROC,2,FALSE),0)</f>
        <v>0</v>
      </c>
      <c r="AD187" s="14">
        <f t="shared" ca="1" si="134"/>
        <v>0</v>
      </c>
      <c r="AE187" s="14">
        <f ca="1">(MAX(sa-CF186*Flag_UL_Type,105%*SUM($I$7:I187),Z187)+AU187)*B187</f>
        <v>0</v>
      </c>
      <c r="AF187" s="136"/>
      <c r="AG187" s="18">
        <v>181</v>
      </c>
      <c r="AH187" s="30">
        <f t="shared" ca="1" si="113"/>
        <v>-7618133.8145010108</v>
      </c>
      <c r="AI187" s="58"/>
      <c r="AJ187" s="50">
        <f>IF(AND(Option_Sys_TopUp&gt;="Y",H187&gt;=sytp,H187&lt;=(dtp+sytp-1),F187=0,H187&lt;=ppt+1),atp,0)+IFERROR(VLOOKUP(H187,Input!$B$55:$C$61,2,0),0)*(F187=0)*(Option_TopUP="Y")*(Option_Sys_TopUp="N")*B187*(pt&gt;=H187+5)</f>
        <v>0</v>
      </c>
      <c r="AK187" s="50">
        <f t="shared" si="114"/>
        <v>0</v>
      </c>
      <c r="AL187" s="50">
        <f t="shared" si="135"/>
        <v>0</v>
      </c>
      <c r="AM187" s="50">
        <f t="shared" ca="1" si="115"/>
        <v>0</v>
      </c>
      <c r="AN187" s="50">
        <f>IF(B187=0,0,AT187*(_rpm1+(1+_emr1)*VLOOKUP(E187,Tab_Mort_Charge,IF(Input!$C$12="M",2,3),0))*(0.001*0.0833)*Flag_Mort_Rider_Charge*(AT187&gt;0))</f>
        <v>0</v>
      </c>
      <c r="AO187" s="50">
        <f t="shared" ca="1" si="136"/>
        <v>0</v>
      </c>
      <c r="AP187" s="50">
        <f t="shared" ca="1" si="143"/>
        <v>0</v>
      </c>
      <c r="AQ187" s="50">
        <f t="shared" ca="1" si="116"/>
        <v>0</v>
      </c>
      <c r="AR187" s="50">
        <f t="shared" ca="1" si="117"/>
        <v>0</v>
      </c>
      <c r="AS187" s="50">
        <f t="shared" si="118"/>
        <v>0</v>
      </c>
      <c r="AT187" s="50">
        <f ca="1">(MAX((MAX(AS187,105%*SUM($AJ$7:AJ187))-AM187*Flag_UL_Type),0)*B187)</f>
        <v>0</v>
      </c>
      <c r="AU187" s="50">
        <f ca="1">(MAX(AS187,AR187,105%*SUM($AJ$7:AJ187))*B187)</f>
        <v>0</v>
      </c>
      <c r="AV187" s="125"/>
      <c r="AW187" s="13"/>
      <c r="AX187" s="13"/>
      <c r="AY187" s="13"/>
      <c r="AZ187" s="13"/>
      <c r="BA187" s="13"/>
      <c r="BG187" s="51">
        <f t="shared" si="119"/>
        <v>0</v>
      </c>
      <c r="BH187" s="51">
        <f t="shared" si="120"/>
        <v>0</v>
      </c>
      <c r="BI187" s="51">
        <f t="shared" ca="1" si="121"/>
        <v>0</v>
      </c>
      <c r="BJ187" s="51">
        <f t="shared" ca="1" si="122"/>
        <v>0</v>
      </c>
      <c r="BK187" s="51">
        <f t="shared" si="123"/>
        <v>0</v>
      </c>
      <c r="BL187" s="51">
        <f t="shared" ca="1" si="124"/>
        <v>0</v>
      </c>
      <c r="BM187" s="51">
        <f t="shared" si="125"/>
        <v>0</v>
      </c>
      <c r="BN187" s="51">
        <f t="shared" si="126"/>
        <v>0</v>
      </c>
      <c r="BO187" s="51">
        <f t="shared" ca="1" si="127"/>
        <v>0</v>
      </c>
      <c r="BP187" s="51">
        <f t="shared" ca="1" si="128"/>
        <v>0</v>
      </c>
      <c r="BQ187" s="120"/>
      <c r="BR187" s="32"/>
      <c r="BS187" s="126"/>
      <c r="BT187" s="16"/>
      <c r="BU187" s="58"/>
      <c r="BW187" s="51">
        <f>VLOOKUP(H187,Charges!$AT$4:$AU$33,2,FALSE)*I187</f>
        <v>0</v>
      </c>
      <c r="BX187" s="51">
        <f t="shared" si="129"/>
        <v>0</v>
      </c>
      <c r="BY187" s="51">
        <f t="shared" si="137"/>
        <v>0</v>
      </c>
      <c r="BZ187" s="151"/>
      <c r="CA187" s="151"/>
      <c r="CB187" s="32"/>
      <c r="CC187" s="16">
        <f ca="1">SUM($N$7:$N187)</f>
        <v>0</v>
      </c>
      <c r="CD187" s="16">
        <f t="shared" ca="1" si="130"/>
        <v>0</v>
      </c>
      <c r="CE187" s="16">
        <f t="shared" ca="1" si="131"/>
        <v>0</v>
      </c>
      <c r="CF187" s="7">
        <f t="shared" ca="1" si="138"/>
        <v>0</v>
      </c>
    </row>
    <row r="188" spans="1:84" s="7" customFormat="1" x14ac:dyDescent="0.2">
      <c r="A188" s="149"/>
      <c r="B188" s="14">
        <f t="shared" si="100"/>
        <v>0</v>
      </c>
      <c r="C188" s="12">
        <f t="shared" si="101"/>
        <v>0</v>
      </c>
      <c r="D188" s="17">
        <f t="shared" si="139"/>
        <v>182</v>
      </c>
      <c r="E188" s="17">
        <f t="shared" ca="1" si="102"/>
        <v>75</v>
      </c>
      <c r="F188" s="12">
        <f t="shared" si="141"/>
        <v>1</v>
      </c>
      <c r="G188" s="12">
        <f t="shared" si="140"/>
        <v>31</v>
      </c>
      <c r="H188" s="17">
        <f t="shared" si="142"/>
        <v>16</v>
      </c>
      <c r="I188" s="29">
        <f t="shared" si="103"/>
        <v>0</v>
      </c>
      <c r="J188" s="211">
        <f>IFERROR(VLOOKUP(H188,Charges!$T$6:$U$35,2,0)*C188,0)</f>
        <v>0</v>
      </c>
      <c r="K188" s="29">
        <f t="shared" si="104"/>
        <v>0</v>
      </c>
      <c r="L188" s="29">
        <f t="shared" si="105"/>
        <v>0</v>
      </c>
      <c r="M188" s="147">
        <f t="shared" ca="1" si="106"/>
        <v>0</v>
      </c>
      <c r="N188" s="148">
        <f ca="1">IF(AND(Option_SPW="Y",Z187&gt;=SPW_Start_Min_FV,H188&gt;=Lock_In_Period,Z187&gt;SPW_Amount_pa+IF(option="Single",1/5*pr,2*pr),H188&gt;=SPW_Start_Year,H188&lt;=SPW_Start_Year+SPW_Duration-1,F188=0,age+H188&gt;=Legal_Age),SPW_Amount_pa,0)+IFERROR(VLOOKUP(H188,Input!$B$68:$C$74,2,0),0)*(F188=0)*(Option_PW="Y")*(Option_SPW="N")*(age+H188&gt;=Legal_Age)</f>
        <v>0</v>
      </c>
      <c r="O188" s="148">
        <f t="shared" ca="1" si="132"/>
        <v>0</v>
      </c>
      <c r="P188" s="14">
        <f ca="1">(MAX(MAX(sa-CF187*Flag_UL_Type,105%*SUM($I$7:I188))-(AD187+L188-N188)*Flag_UL_Type,0)*B188)</f>
        <v>0</v>
      </c>
      <c r="Q188" s="213">
        <f t="shared" si="107"/>
        <v>0</v>
      </c>
      <c r="R188" s="14">
        <f t="shared" ca="1" si="108"/>
        <v>0</v>
      </c>
      <c r="S188" s="14">
        <f t="shared" ca="1" si="109"/>
        <v>0</v>
      </c>
      <c r="T188" s="14">
        <f>IFERROR(IF(WoP_Flag="Y",IF(fq=1,VLOOKUP(ppt*fq-H188,Charges!$AN$41:$AO$59,2,FALSE),IF(fq=2,VLOOKUP(ppt*fq-G188,Charges!$AP$41:$AQ$79,2,FALSE),VLOOKUP(ppt*fq-D188,Charges!$AR$41:$AS$279,2,FALSE)))*pr/fq,0),0)</f>
        <v>0</v>
      </c>
      <c r="U188" s="14">
        <f ca="1">IFERROR(((T188*(VLOOKUP(Input!$D$18+H188-1,Tab_Mort_Charge,IF(Gender_2="M",2,3),FALSE)*(1+_emr2)+_rpm2)/IF(Model_Type="LA_PQIS",1000/0.0833,(12*1000))))*Flag_Mort_Rider_Charge*(T188&gt;0),0)</f>
        <v>0</v>
      </c>
      <c r="V188" s="34">
        <f>ROUND(MIN(IF(H188&gt;=7,Charges!$C$12*(1+Charges!$C$14)^((H188-7+1)),VLOOKUP(H188,Charges!$B$7:$C$12,2,0))*pr,Charges!$C$13)*B188,Round)</f>
        <v>0</v>
      </c>
      <c r="W188" s="14">
        <f t="shared" ca="1" si="110"/>
        <v>0</v>
      </c>
      <c r="X188" s="14">
        <f t="shared" ca="1" si="111"/>
        <v>0</v>
      </c>
      <c r="Y188" s="213">
        <f t="shared" ca="1" si="133"/>
        <v>0</v>
      </c>
      <c r="Z188" s="14">
        <f t="shared" ca="1" si="112"/>
        <v>0</v>
      </c>
      <c r="AA188" s="14">
        <f>IF(AND($H188=pt,$F188=11),SUM($K$7:K188)*VLOOKUP(pt,ROC,2,FALSE),0)</f>
        <v>0</v>
      </c>
      <c r="AB188" s="14">
        <f>IF(AND($H188=pt,$F188=11),SUM($V$7:V188)*VLOOKUP(pt,ROC,2,FALSE),0)</f>
        <v>0</v>
      </c>
      <c r="AC188" s="14">
        <f>IF(AND($H188=pt,$F188=11),SUM($Q$7:Q188)*VLOOKUP(pt,ROC,2,FALSE),0)</f>
        <v>0</v>
      </c>
      <c r="AD188" s="14">
        <f t="shared" ca="1" si="134"/>
        <v>0</v>
      </c>
      <c r="AE188" s="14">
        <f ca="1">(MAX(sa-CF187*Flag_UL_Type,105%*SUM($I$7:I188),Z188)+AU188)*B188</f>
        <v>0</v>
      </c>
      <c r="AF188" s="136"/>
      <c r="AG188" s="18">
        <v>182</v>
      </c>
      <c r="AH188" s="30">
        <f t="shared" ca="1" si="113"/>
        <v>0</v>
      </c>
      <c r="AI188" s="58"/>
      <c r="AJ188" s="50">
        <f>IF(AND(Option_Sys_TopUp&gt;="Y",H188&gt;=sytp,H188&lt;=(dtp+sytp-1),F188=0,H188&lt;=ppt+1),atp,0)+IFERROR(VLOOKUP(H188,Input!$B$55:$C$61,2,0),0)*(F188=0)*(Option_TopUP="Y")*(Option_Sys_TopUp="N")*B188*(pt&gt;=H188+5)</f>
        <v>0</v>
      </c>
      <c r="AK188" s="50">
        <f t="shared" si="114"/>
        <v>0</v>
      </c>
      <c r="AL188" s="50">
        <f t="shared" si="135"/>
        <v>0</v>
      </c>
      <c r="AM188" s="50">
        <f t="shared" ca="1" si="115"/>
        <v>0</v>
      </c>
      <c r="AN188" s="50">
        <f>IF(B188=0,0,AT188*(_rpm1+(1+_emr1)*VLOOKUP(E188,Tab_Mort_Charge,IF(Input!$C$12="M",2,3),0))*(0.001*0.0833)*Flag_Mort_Rider_Charge*(AT188&gt;0))</f>
        <v>0</v>
      </c>
      <c r="AO188" s="50">
        <f t="shared" ca="1" si="136"/>
        <v>0</v>
      </c>
      <c r="AP188" s="50">
        <f t="shared" ca="1" si="143"/>
        <v>0</v>
      </c>
      <c r="AQ188" s="50">
        <f t="shared" ca="1" si="116"/>
        <v>0</v>
      </c>
      <c r="AR188" s="50">
        <f t="shared" ca="1" si="117"/>
        <v>0</v>
      </c>
      <c r="AS188" s="50">
        <f t="shared" si="118"/>
        <v>0</v>
      </c>
      <c r="AT188" s="50">
        <f ca="1">(MAX((MAX(AS188,105%*SUM($AJ$7:AJ188))-AM188*Flag_UL_Type),0)*B188)</f>
        <v>0</v>
      </c>
      <c r="AU188" s="50">
        <f ca="1">(MAX(AS188,AR188,105%*SUM($AJ$7:AJ188))*B188)</f>
        <v>0</v>
      </c>
      <c r="AV188" s="125"/>
      <c r="AW188" s="13"/>
      <c r="AX188" s="13"/>
      <c r="AY188" s="13"/>
      <c r="AZ188" s="13"/>
      <c r="BA188" s="13"/>
      <c r="BG188" s="51">
        <f t="shared" si="119"/>
        <v>0</v>
      </c>
      <c r="BH188" s="51">
        <f t="shared" si="120"/>
        <v>0</v>
      </c>
      <c r="BI188" s="51">
        <f t="shared" ca="1" si="121"/>
        <v>0</v>
      </c>
      <c r="BJ188" s="51">
        <f t="shared" ca="1" si="122"/>
        <v>0</v>
      </c>
      <c r="BK188" s="51">
        <f t="shared" si="123"/>
        <v>0</v>
      </c>
      <c r="BL188" s="51">
        <f t="shared" ca="1" si="124"/>
        <v>0</v>
      </c>
      <c r="BM188" s="51">
        <f t="shared" si="125"/>
        <v>0</v>
      </c>
      <c r="BN188" s="51">
        <f t="shared" si="126"/>
        <v>0</v>
      </c>
      <c r="BO188" s="51">
        <f t="shared" ca="1" si="127"/>
        <v>0</v>
      </c>
      <c r="BP188" s="51">
        <f t="shared" ca="1" si="128"/>
        <v>0</v>
      </c>
      <c r="BQ188" s="120"/>
      <c r="BR188" s="32"/>
      <c r="BS188" s="126"/>
      <c r="BT188" s="16"/>
      <c r="BU188" s="58"/>
      <c r="BW188" s="51">
        <f>VLOOKUP(H188,Charges!$AT$4:$AU$33,2,FALSE)*I188</f>
        <v>0</v>
      </c>
      <c r="BX188" s="51">
        <f t="shared" si="129"/>
        <v>0</v>
      </c>
      <c r="BY188" s="51">
        <f t="shared" si="137"/>
        <v>0</v>
      </c>
      <c r="BZ188" s="151"/>
      <c r="CA188" s="151"/>
      <c r="CB188" s="32"/>
      <c r="CC188" s="16">
        <f ca="1">SUM($N$7:$N188)</f>
        <v>0</v>
      </c>
      <c r="CD188" s="16">
        <f t="shared" ca="1" si="130"/>
        <v>0</v>
      </c>
      <c r="CE188" s="16">
        <f t="shared" ca="1" si="131"/>
        <v>0</v>
      </c>
      <c r="CF188" s="7">
        <f t="shared" ca="1" si="138"/>
        <v>0</v>
      </c>
    </row>
    <row r="189" spans="1:84" s="7" customFormat="1" x14ac:dyDescent="0.2">
      <c r="A189" s="149"/>
      <c r="B189" s="14">
        <f t="shared" si="100"/>
        <v>0</v>
      </c>
      <c r="C189" s="12">
        <f t="shared" si="101"/>
        <v>0</v>
      </c>
      <c r="D189" s="17">
        <f t="shared" si="139"/>
        <v>183</v>
      </c>
      <c r="E189" s="17">
        <f t="shared" ca="1" si="102"/>
        <v>75</v>
      </c>
      <c r="F189" s="12">
        <f t="shared" si="141"/>
        <v>2</v>
      </c>
      <c r="G189" s="12">
        <f t="shared" si="140"/>
        <v>31</v>
      </c>
      <c r="H189" s="17">
        <f t="shared" si="142"/>
        <v>16</v>
      </c>
      <c r="I189" s="29">
        <f t="shared" si="103"/>
        <v>0</v>
      </c>
      <c r="J189" s="211">
        <f>IFERROR(VLOOKUP(H189,Charges!$T$6:$U$35,2,0)*C189,0)</f>
        <v>0</v>
      </c>
      <c r="K189" s="29">
        <f t="shared" si="104"/>
        <v>0</v>
      </c>
      <c r="L189" s="29">
        <f t="shared" si="105"/>
        <v>0</v>
      </c>
      <c r="M189" s="147">
        <f t="shared" ca="1" si="106"/>
        <v>0</v>
      </c>
      <c r="N189" s="148">
        <f ca="1">IF(AND(Option_SPW="Y",Z188&gt;=SPW_Start_Min_FV,H189&gt;=Lock_In_Period,Z188&gt;SPW_Amount_pa+IF(option="Single",1/5*pr,2*pr),H189&gt;=SPW_Start_Year,H189&lt;=SPW_Start_Year+SPW_Duration-1,F189=0,age+H189&gt;=Legal_Age),SPW_Amount_pa,0)+IFERROR(VLOOKUP(H189,Input!$B$68:$C$74,2,0),0)*(F189=0)*(Option_PW="Y")*(Option_SPW="N")*(age+H189&gt;=Legal_Age)</f>
        <v>0</v>
      </c>
      <c r="O189" s="148">
        <f t="shared" ca="1" si="132"/>
        <v>0</v>
      </c>
      <c r="P189" s="14">
        <f ca="1">(MAX(MAX(sa-CF188*Flag_UL_Type,105%*SUM($I$7:I189))-(AD188+L189-N189)*Flag_UL_Type,0)*B189)</f>
        <v>0</v>
      </c>
      <c r="Q189" s="213">
        <f t="shared" si="107"/>
        <v>0</v>
      </c>
      <c r="R189" s="14">
        <f t="shared" ca="1" si="108"/>
        <v>0</v>
      </c>
      <c r="S189" s="14">
        <f t="shared" ca="1" si="109"/>
        <v>0</v>
      </c>
      <c r="T189" s="14">
        <f>IFERROR(IF(WoP_Flag="Y",IF(fq=1,VLOOKUP(ppt*fq-H189,Charges!$AN$41:$AO$59,2,FALSE),IF(fq=2,VLOOKUP(ppt*fq-G189,Charges!$AP$41:$AQ$79,2,FALSE),VLOOKUP(ppt*fq-D189,Charges!$AR$41:$AS$279,2,FALSE)))*pr/fq,0),0)</f>
        <v>0</v>
      </c>
      <c r="U189" s="14">
        <f ca="1">IFERROR(((T189*(VLOOKUP(Input!$D$18+H189-1,Tab_Mort_Charge,IF(Gender_2="M",2,3),FALSE)*(1+_emr2)+_rpm2)/IF(Model_Type="LA_PQIS",1000/0.0833,(12*1000))))*Flag_Mort_Rider_Charge*(T189&gt;0),0)</f>
        <v>0</v>
      </c>
      <c r="V189" s="34">
        <f>ROUND(MIN(IF(H189&gt;=7,Charges!$C$12*(1+Charges!$C$14)^((H189-7+1)),VLOOKUP(H189,Charges!$B$7:$C$12,2,0))*pr,Charges!$C$13)*B189,Round)</f>
        <v>0</v>
      </c>
      <c r="W189" s="14">
        <f t="shared" ca="1" si="110"/>
        <v>0</v>
      </c>
      <c r="X189" s="14">
        <f t="shared" ca="1" si="111"/>
        <v>0</v>
      </c>
      <c r="Y189" s="213">
        <f t="shared" ca="1" si="133"/>
        <v>0</v>
      </c>
      <c r="Z189" s="14">
        <f t="shared" ca="1" si="112"/>
        <v>0</v>
      </c>
      <c r="AA189" s="14">
        <f>IF(AND($H189=pt,$F189=11),SUM($K$7:K189)*VLOOKUP(pt,ROC,2,FALSE),0)</f>
        <v>0</v>
      </c>
      <c r="AB189" s="14">
        <f>IF(AND($H189=pt,$F189=11),SUM($V$7:V189)*VLOOKUP(pt,ROC,2,FALSE),0)</f>
        <v>0</v>
      </c>
      <c r="AC189" s="14">
        <f>IF(AND($H189=pt,$F189=11),SUM($Q$7:Q189)*VLOOKUP(pt,ROC,2,FALSE),0)</f>
        <v>0</v>
      </c>
      <c r="AD189" s="14">
        <f t="shared" ca="1" si="134"/>
        <v>0</v>
      </c>
      <c r="AE189" s="14">
        <f ca="1">(MAX(sa-CF188*Flag_UL_Type,105%*SUM($I$7:I189),Z189)+AU189)*B189</f>
        <v>0</v>
      </c>
      <c r="AF189" s="136"/>
      <c r="AG189" s="18">
        <v>183</v>
      </c>
      <c r="AH189" s="30">
        <f t="shared" ca="1" si="113"/>
        <v>0</v>
      </c>
      <c r="AI189" s="58"/>
      <c r="AJ189" s="50">
        <f>IF(AND(Option_Sys_TopUp&gt;="Y",H189&gt;=sytp,H189&lt;=(dtp+sytp-1),F189=0,H189&lt;=ppt+1),atp,0)+IFERROR(VLOOKUP(H189,Input!$B$55:$C$61,2,0),0)*(F189=0)*(Option_TopUP="Y")*(Option_Sys_TopUp="N")*B189*(pt&gt;=H189+5)</f>
        <v>0</v>
      </c>
      <c r="AK189" s="50">
        <f t="shared" si="114"/>
        <v>0</v>
      </c>
      <c r="AL189" s="50">
        <f t="shared" si="135"/>
        <v>0</v>
      </c>
      <c r="AM189" s="50">
        <f t="shared" ca="1" si="115"/>
        <v>0</v>
      </c>
      <c r="AN189" s="50">
        <f>IF(B189=0,0,AT189*(_rpm1+(1+_emr1)*VLOOKUP(E189,Tab_Mort_Charge,IF(Input!$C$12="M",2,3),0))*(0.001*0.0833)*Flag_Mort_Rider_Charge*(AT189&gt;0))</f>
        <v>0</v>
      </c>
      <c r="AO189" s="50">
        <f t="shared" ca="1" si="136"/>
        <v>0</v>
      </c>
      <c r="AP189" s="50">
        <f t="shared" ca="1" si="143"/>
        <v>0</v>
      </c>
      <c r="AQ189" s="50">
        <f t="shared" ca="1" si="116"/>
        <v>0</v>
      </c>
      <c r="AR189" s="50">
        <f t="shared" ca="1" si="117"/>
        <v>0</v>
      </c>
      <c r="AS189" s="50">
        <f t="shared" si="118"/>
        <v>0</v>
      </c>
      <c r="AT189" s="50">
        <f ca="1">(MAX((MAX(AS189,105%*SUM($AJ$7:AJ189))-AM189*Flag_UL_Type),0)*B189)</f>
        <v>0</v>
      </c>
      <c r="AU189" s="50">
        <f ca="1">(MAX(AS189,AR189,105%*SUM($AJ$7:AJ189))*B189)</f>
        <v>0</v>
      </c>
      <c r="AV189" s="125"/>
      <c r="AW189" s="13"/>
      <c r="AX189" s="13"/>
      <c r="AY189" s="13"/>
      <c r="AZ189" s="13"/>
      <c r="BA189" s="13"/>
      <c r="BG189" s="51">
        <f t="shared" si="119"/>
        <v>0</v>
      </c>
      <c r="BH189" s="51">
        <f t="shared" si="120"/>
        <v>0</v>
      </c>
      <c r="BI189" s="51">
        <f t="shared" ca="1" si="121"/>
        <v>0</v>
      </c>
      <c r="BJ189" s="51">
        <f t="shared" ca="1" si="122"/>
        <v>0</v>
      </c>
      <c r="BK189" s="51">
        <f t="shared" si="123"/>
        <v>0</v>
      </c>
      <c r="BL189" s="51">
        <f t="shared" ca="1" si="124"/>
        <v>0</v>
      </c>
      <c r="BM189" s="51">
        <f t="shared" si="125"/>
        <v>0</v>
      </c>
      <c r="BN189" s="51">
        <f t="shared" si="126"/>
        <v>0</v>
      </c>
      <c r="BO189" s="51">
        <f t="shared" ca="1" si="127"/>
        <v>0</v>
      </c>
      <c r="BP189" s="51">
        <f t="shared" ca="1" si="128"/>
        <v>0</v>
      </c>
      <c r="BQ189" s="120"/>
      <c r="BR189" s="32"/>
      <c r="BS189" s="126"/>
      <c r="BT189" s="16"/>
      <c r="BU189" s="58"/>
      <c r="BW189" s="51">
        <f>VLOOKUP(H189,Charges!$AT$4:$AU$33,2,FALSE)*I189</f>
        <v>0</v>
      </c>
      <c r="BX189" s="51">
        <f t="shared" si="129"/>
        <v>0</v>
      </c>
      <c r="BY189" s="51">
        <f t="shared" si="137"/>
        <v>0</v>
      </c>
      <c r="BZ189" s="151"/>
      <c r="CA189" s="151"/>
      <c r="CB189" s="32"/>
      <c r="CC189" s="16">
        <f ca="1">SUM($N$7:$N189)</f>
        <v>0</v>
      </c>
      <c r="CD189" s="16">
        <f t="shared" ca="1" si="130"/>
        <v>0</v>
      </c>
      <c r="CE189" s="16">
        <f t="shared" ca="1" si="131"/>
        <v>0</v>
      </c>
      <c r="CF189" s="7">
        <f t="shared" ca="1" si="138"/>
        <v>0</v>
      </c>
    </row>
    <row r="190" spans="1:84" s="7" customFormat="1" x14ac:dyDescent="0.2">
      <c r="A190" s="149"/>
      <c r="B190" s="14">
        <f t="shared" si="100"/>
        <v>0</v>
      </c>
      <c r="C190" s="12">
        <f t="shared" si="101"/>
        <v>0</v>
      </c>
      <c r="D190" s="17">
        <f t="shared" si="139"/>
        <v>184</v>
      </c>
      <c r="E190" s="17">
        <f t="shared" ca="1" si="102"/>
        <v>75</v>
      </c>
      <c r="F190" s="12">
        <f t="shared" si="141"/>
        <v>3</v>
      </c>
      <c r="G190" s="12">
        <f t="shared" si="140"/>
        <v>31</v>
      </c>
      <c r="H190" s="17">
        <f t="shared" si="142"/>
        <v>16</v>
      </c>
      <c r="I190" s="29">
        <f t="shared" si="103"/>
        <v>0</v>
      </c>
      <c r="J190" s="211">
        <f>IFERROR(VLOOKUP(H190,Charges!$T$6:$U$35,2,0)*C190,0)</f>
        <v>0</v>
      </c>
      <c r="K190" s="29">
        <f t="shared" si="104"/>
        <v>0</v>
      </c>
      <c r="L190" s="29">
        <f t="shared" si="105"/>
        <v>0</v>
      </c>
      <c r="M190" s="147">
        <f t="shared" ca="1" si="106"/>
        <v>0</v>
      </c>
      <c r="N190" s="148">
        <f ca="1">IF(AND(Option_SPW="Y",Z189&gt;=SPW_Start_Min_FV,H190&gt;=Lock_In_Period,Z189&gt;SPW_Amount_pa+IF(option="Single",1/5*pr,2*pr),H190&gt;=SPW_Start_Year,H190&lt;=SPW_Start_Year+SPW_Duration-1,F190=0,age+H190&gt;=Legal_Age),SPW_Amount_pa,0)+IFERROR(VLOOKUP(H190,Input!$B$68:$C$74,2,0),0)*(F190=0)*(Option_PW="Y")*(Option_SPW="N")*(age+H190&gt;=Legal_Age)</f>
        <v>0</v>
      </c>
      <c r="O190" s="148">
        <f t="shared" ca="1" si="132"/>
        <v>0</v>
      </c>
      <c r="P190" s="14">
        <f ca="1">(MAX(MAX(sa-CF189*Flag_UL_Type,105%*SUM($I$7:I190))-(AD189+L190-N190)*Flag_UL_Type,0)*B190)</f>
        <v>0</v>
      </c>
      <c r="Q190" s="213">
        <f t="shared" si="107"/>
        <v>0</v>
      </c>
      <c r="R190" s="14">
        <f t="shared" ca="1" si="108"/>
        <v>0</v>
      </c>
      <c r="S190" s="14">
        <f t="shared" ca="1" si="109"/>
        <v>0</v>
      </c>
      <c r="T190" s="14">
        <f>IFERROR(IF(WoP_Flag="Y",IF(fq=1,VLOOKUP(ppt*fq-H190,Charges!$AN$41:$AO$59,2,FALSE),IF(fq=2,VLOOKUP(ppt*fq-G190,Charges!$AP$41:$AQ$79,2,FALSE),VLOOKUP(ppt*fq-D190,Charges!$AR$41:$AS$279,2,FALSE)))*pr/fq,0),0)</f>
        <v>0</v>
      </c>
      <c r="U190" s="14">
        <f ca="1">IFERROR(((T190*(VLOOKUP(Input!$D$18+H190-1,Tab_Mort_Charge,IF(Gender_2="M",2,3),FALSE)*(1+_emr2)+_rpm2)/IF(Model_Type="LA_PQIS",1000/0.0833,(12*1000))))*Flag_Mort_Rider_Charge*(T190&gt;0),0)</f>
        <v>0</v>
      </c>
      <c r="V190" s="34">
        <f>ROUND(MIN(IF(H190&gt;=7,Charges!$C$12*(1+Charges!$C$14)^((H190-7+1)),VLOOKUP(H190,Charges!$B$7:$C$12,2,0))*pr,Charges!$C$13)*B190,Round)</f>
        <v>0</v>
      </c>
      <c r="W190" s="14">
        <f t="shared" ca="1" si="110"/>
        <v>0</v>
      </c>
      <c r="X190" s="14">
        <f t="shared" ca="1" si="111"/>
        <v>0</v>
      </c>
      <c r="Y190" s="213">
        <f t="shared" ca="1" si="133"/>
        <v>0</v>
      </c>
      <c r="Z190" s="14">
        <f t="shared" ca="1" si="112"/>
        <v>0</v>
      </c>
      <c r="AA190" s="14">
        <f>IF(AND($H190=pt,$F190=11),SUM($K$7:K190)*VLOOKUP(pt,ROC,2,FALSE),0)</f>
        <v>0</v>
      </c>
      <c r="AB190" s="14">
        <f>IF(AND($H190=pt,$F190=11),SUM($V$7:V190)*VLOOKUP(pt,ROC,2,FALSE),0)</f>
        <v>0</v>
      </c>
      <c r="AC190" s="14">
        <f>IF(AND($H190=pt,$F190=11),SUM($Q$7:Q190)*VLOOKUP(pt,ROC,2,FALSE),0)</f>
        <v>0</v>
      </c>
      <c r="AD190" s="14">
        <f t="shared" ca="1" si="134"/>
        <v>0</v>
      </c>
      <c r="AE190" s="14">
        <f ca="1">(MAX(sa-CF189*Flag_UL_Type,105%*SUM($I$7:I190),Z190)+AU190)*B190</f>
        <v>0</v>
      </c>
      <c r="AF190" s="136"/>
      <c r="AG190" s="18">
        <v>184</v>
      </c>
      <c r="AH190" s="30">
        <f t="shared" ca="1" si="113"/>
        <v>0</v>
      </c>
      <c r="AI190" s="58"/>
      <c r="AJ190" s="50">
        <f>IF(AND(Option_Sys_TopUp&gt;="Y",H190&gt;=sytp,H190&lt;=(dtp+sytp-1),F190=0,H190&lt;=ppt+1),atp,0)+IFERROR(VLOOKUP(H190,Input!$B$55:$C$61,2,0),0)*(F190=0)*(Option_TopUP="Y")*(Option_Sys_TopUp="N")*B190*(pt&gt;=H190+5)</f>
        <v>0</v>
      </c>
      <c r="AK190" s="50">
        <f t="shared" si="114"/>
        <v>0</v>
      </c>
      <c r="AL190" s="50">
        <f t="shared" si="135"/>
        <v>0</v>
      </c>
      <c r="AM190" s="50">
        <f t="shared" ca="1" si="115"/>
        <v>0</v>
      </c>
      <c r="AN190" s="50">
        <f>IF(B190=0,0,AT190*(_rpm1+(1+_emr1)*VLOOKUP(E190,Tab_Mort_Charge,IF(Input!$C$12="M",2,3),0))*(0.001*0.0833)*Flag_Mort_Rider_Charge*(AT190&gt;0))</f>
        <v>0</v>
      </c>
      <c r="AO190" s="50">
        <f t="shared" ca="1" si="136"/>
        <v>0</v>
      </c>
      <c r="AP190" s="50">
        <f t="shared" ca="1" si="143"/>
        <v>0</v>
      </c>
      <c r="AQ190" s="50">
        <f t="shared" ca="1" si="116"/>
        <v>0</v>
      </c>
      <c r="AR190" s="50">
        <f t="shared" ca="1" si="117"/>
        <v>0</v>
      </c>
      <c r="AS190" s="50">
        <f t="shared" si="118"/>
        <v>0</v>
      </c>
      <c r="AT190" s="50">
        <f ca="1">(MAX((MAX(AS190,105%*SUM($AJ$7:AJ190))-AM190*Flag_UL_Type),0)*B190)</f>
        <v>0</v>
      </c>
      <c r="AU190" s="50">
        <f ca="1">(MAX(AS190,AR190,105%*SUM($AJ$7:AJ190))*B190)</f>
        <v>0</v>
      </c>
      <c r="AV190" s="125"/>
      <c r="AW190" s="13"/>
      <c r="AX190" s="13"/>
      <c r="AY190" s="13"/>
      <c r="AZ190" s="13"/>
      <c r="BA190" s="13"/>
      <c r="BG190" s="51">
        <f t="shared" si="119"/>
        <v>0</v>
      </c>
      <c r="BH190" s="51">
        <f t="shared" si="120"/>
        <v>0</v>
      </c>
      <c r="BI190" s="51">
        <f t="shared" ca="1" si="121"/>
        <v>0</v>
      </c>
      <c r="BJ190" s="51">
        <f t="shared" ca="1" si="122"/>
        <v>0</v>
      </c>
      <c r="BK190" s="51">
        <f t="shared" si="123"/>
        <v>0</v>
      </c>
      <c r="BL190" s="51">
        <f t="shared" ca="1" si="124"/>
        <v>0</v>
      </c>
      <c r="BM190" s="51">
        <f t="shared" si="125"/>
        <v>0</v>
      </c>
      <c r="BN190" s="51">
        <f t="shared" si="126"/>
        <v>0</v>
      </c>
      <c r="BO190" s="51">
        <f t="shared" ca="1" si="127"/>
        <v>0</v>
      </c>
      <c r="BP190" s="51">
        <f t="shared" ca="1" si="128"/>
        <v>0</v>
      </c>
      <c r="BQ190" s="120"/>
      <c r="BR190" s="32"/>
      <c r="BS190" s="126"/>
      <c r="BT190" s="16"/>
      <c r="BU190" s="58"/>
      <c r="BW190" s="51">
        <f>VLOOKUP(H190,Charges!$AT$4:$AU$33,2,FALSE)*I190</f>
        <v>0</v>
      </c>
      <c r="BX190" s="51">
        <f t="shared" si="129"/>
        <v>0</v>
      </c>
      <c r="BY190" s="51">
        <f t="shared" si="137"/>
        <v>0</v>
      </c>
      <c r="BZ190" s="151"/>
      <c r="CA190" s="151"/>
      <c r="CB190" s="32"/>
      <c r="CC190" s="16">
        <f ca="1">SUM($N$7:$N190)</f>
        <v>0</v>
      </c>
      <c r="CD190" s="16">
        <f t="shared" ca="1" si="130"/>
        <v>0</v>
      </c>
      <c r="CE190" s="16">
        <f t="shared" ca="1" si="131"/>
        <v>0</v>
      </c>
      <c r="CF190" s="7">
        <f t="shared" ca="1" si="138"/>
        <v>0</v>
      </c>
    </row>
    <row r="191" spans="1:84" s="7" customFormat="1" x14ac:dyDescent="0.2">
      <c r="A191" s="149"/>
      <c r="B191" s="14">
        <f t="shared" si="100"/>
        <v>0</v>
      </c>
      <c r="C191" s="12">
        <f t="shared" si="101"/>
        <v>0</v>
      </c>
      <c r="D191" s="17">
        <f t="shared" si="139"/>
        <v>185</v>
      </c>
      <c r="E191" s="17">
        <f t="shared" ca="1" si="102"/>
        <v>75</v>
      </c>
      <c r="F191" s="12">
        <f t="shared" si="141"/>
        <v>4</v>
      </c>
      <c r="G191" s="12">
        <f t="shared" si="140"/>
        <v>31</v>
      </c>
      <c r="H191" s="17">
        <f t="shared" si="142"/>
        <v>16</v>
      </c>
      <c r="I191" s="29">
        <f t="shared" si="103"/>
        <v>0</v>
      </c>
      <c r="J191" s="211">
        <f>IFERROR(VLOOKUP(H191,Charges!$T$6:$U$35,2,0)*C191,0)</f>
        <v>0</v>
      </c>
      <c r="K191" s="29">
        <f t="shared" si="104"/>
        <v>0</v>
      </c>
      <c r="L191" s="29">
        <f t="shared" si="105"/>
        <v>0</v>
      </c>
      <c r="M191" s="147">
        <f t="shared" ca="1" si="106"/>
        <v>0</v>
      </c>
      <c r="N191" s="148">
        <f ca="1">IF(AND(Option_SPW="Y",Z190&gt;=SPW_Start_Min_FV,H191&gt;=Lock_In_Period,Z190&gt;SPW_Amount_pa+IF(option="Single",1/5*pr,2*pr),H191&gt;=SPW_Start_Year,H191&lt;=SPW_Start_Year+SPW_Duration-1,F191=0,age+H191&gt;=Legal_Age),SPW_Amount_pa,0)+IFERROR(VLOOKUP(H191,Input!$B$68:$C$74,2,0),0)*(F191=0)*(Option_PW="Y")*(Option_SPW="N")*(age+H191&gt;=Legal_Age)</f>
        <v>0</v>
      </c>
      <c r="O191" s="148">
        <f t="shared" ca="1" si="132"/>
        <v>0</v>
      </c>
      <c r="P191" s="14">
        <f ca="1">(MAX(MAX(sa-CF190*Flag_UL_Type,105%*SUM($I$7:I191))-(AD190+L191-N191)*Flag_UL_Type,0)*B191)</f>
        <v>0</v>
      </c>
      <c r="Q191" s="213">
        <f t="shared" si="107"/>
        <v>0</v>
      </c>
      <c r="R191" s="14">
        <f t="shared" ca="1" si="108"/>
        <v>0</v>
      </c>
      <c r="S191" s="14">
        <f t="shared" ca="1" si="109"/>
        <v>0</v>
      </c>
      <c r="T191" s="14">
        <f>IFERROR(IF(WoP_Flag="Y",IF(fq=1,VLOOKUP(ppt*fq-H191,Charges!$AN$41:$AO$59,2,FALSE),IF(fq=2,VLOOKUP(ppt*fq-G191,Charges!$AP$41:$AQ$79,2,FALSE),VLOOKUP(ppt*fq-D191,Charges!$AR$41:$AS$279,2,FALSE)))*pr/fq,0),0)</f>
        <v>0</v>
      </c>
      <c r="U191" s="14">
        <f ca="1">IFERROR(((T191*(VLOOKUP(Input!$D$18+H191-1,Tab_Mort_Charge,IF(Gender_2="M",2,3),FALSE)*(1+_emr2)+_rpm2)/IF(Model_Type="LA_PQIS",1000/0.0833,(12*1000))))*Flag_Mort_Rider_Charge*(T191&gt;0),0)</f>
        <v>0</v>
      </c>
      <c r="V191" s="34">
        <f>ROUND(MIN(IF(H191&gt;=7,Charges!$C$12*(1+Charges!$C$14)^((H191-7+1)),VLOOKUP(H191,Charges!$B$7:$C$12,2,0))*pr,Charges!$C$13)*B191,Round)</f>
        <v>0</v>
      </c>
      <c r="W191" s="14">
        <f t="shared" ca="1" si="110"/>
        <v>0</v>
      </c>
      <c r="X191" s="14">
        <f t="shared" ca="1" si="111"/>
        <v>0</v>
      </c>
      <c r="Y191" s="213">
        <f t="shared" ca="1" si="133"/>
        <v>0</v>
      </c>
      <c r="Z191" s="14">
        <f t="shared" ca="1" si="112"/>
        <v>0</v>
      </c>
      <c r="AA191" s="14">
        <f>IF(AND($H191=pt,$F191=11),SUM($K$7:K191)*VLOOKUP(pt,ROC,2,FALSE),0)</f>
        <v>0</v>
      </c>
      <c r="AB191" s="14">
        <f>IF(AND($H191=pt,$F191=11),SUM($V$7:V191)*VLOOKUP(pt,ROC,2,FALSE),0)</f>
        <v>0</v>
      </c>
      <c r="AC191" s="14">
        <f>IF(AND($H191=pt,$F191=11),SUM($Q$7:Q191)*VLOOKUP(pt,ROC,2,FALSE),0)</f>
        <v>0</v>
      </c>
      <c r="AD191" s="14">
        <f t="shared" ca="1" si="134"/>
        <v>0</v>
      </c>
      <c r="AE191" s="14">
        <f ca="1">(MAX(sa-CF190*Flag_UL_Type,105%*SUM($I$7:I191),Z191)+AU191)*B191</f>
        <v>0</v>
      </c>
      <c r="AF191" s="136"/>
      <c r="AG191" s="18">
        <v>185</v>
      </c>
      <c r="AH191" s="30">
        <f t="shared" ca="1" si="113"/>
        <v>0</v>
      </c>
      <c r="AI191" s="58"/>
      <c r="AJ191" s="50">
        <f>IF(AND(Option_Sys_TopUp&gt;="Y",H191&gt;=sytp,H191&lt;=(dtp+sytp-1),F191=0,H191&lt;=ppt+1),atp,0)+IFERROR(VLOOKUP(H191,Input!$B$55:$C$61,2,0),0)*(F191=0)*(Option_TopUP="Y")*(Option_Sys_TopUp="N")*B191*(pt&gt;=H191+5)</f>
        <v>0</v>
      </c>
      <c r="AK191" s="50">
        <f t="shared" si="114"/>
        <v>0</v>
      </c>
      <c r="AL191" s="50">
        <f t="shared" si="135"/>
        <v>0</v>
      </c>
      <c r="AM191" s="50">
        <f t="shared" ca="1" si="115"/>
        <v>0</v>
      </c>
      <c r="AN191" s="50">
        <f>IF(B191=0,0,AT191*(_rpm1+(1+_emr1)*VLOOKUP(E191,Tab_Mort_Charge,IF(Input!$C$12="M",2,3),0))*(0.001*0.0833)*Flag_Mort_Rider_Charge*(AT191&gt;0))</f>
        <v>0</v>
      </c>
      <c r="AO191" s="50">
        <f t="shared" ca="1" si="136"/>
        <v>0</v>
      </c>
      <c r="AP191" s="50">
        <f t="shared" ca="1" si="143"/>
        <v>0</v>
      </c>
      <c r="AQ191" s="50">
        <f t="shared" ca="1" si="116"/>
        <v>0</v>
      </c>
      <c r="AR191" s="50">
        <f t="shared" ca="1" si="117"/>
        <v>0</v>
      </c>
      <c r="AS191" s="50">
        <f t="shared" si="118"/>
        <v>0</v>
      </c>
      <c r="AT191" s="50">
        <f ca="1">(MAX((MAX(AS191,105%*SUM($AJ$7:AJ191))-AM191*Flag_UL_Type),0)*B191)</f>
        <v>0</v>
      </c>
      <c r="AU191" s="50">
        <f ca="1">(MAX(AS191,AR191,105%*SUM($AJ$7:AJ191))*B191)</f>
        <v>0</v>
      </c>
      <c r="AV191" s="125"/>
      <c r="AW191" s="13"/>
      <c r="AX191" s="13"/>
      <c r="AY191" s="13"/>
      <c r="AZ191" s="13"/>
      <c r="BA191" s="13"/>
      <c r="BG191" s="51">
        <f t="shared" si="119"/>
        <v>0</v>
      </c>
      <c r="BH191" s="51">
        <f t="shared" si="120"/>
        <v>0</v>
      </c>
      <c r="BI191" s="51">
        <f t="shared" ca="1" si="121"/>
        <v>0</v>
      </c>
      <c r="BJ191" s="51">
        <f t="shared" ca="1" si="122"/>
        <v>0</v>
      </c>
      <c r="BK191" s="51">
        <f t="shared" si="123"/>
        <v>0</v>
      </c>
      <c r="BL191" s="51">
        <f t="shared" ca="1" si="124"/>
        <v>0</v>
      </c>
      <c r="BM191" s="51">
        <f t="shared" si="125"/>
        <v>0</v>
      </c>
      <c r="BN191" s="51">
        <f t="shared" si="126"/>
        <v>0</v>
      </c>
      <c r="BO191" s="51">
        <f t="shared" ca="1" si="127"/>
        <v>0</v>
      </c>
      <c r="BP191" s="51">
        <f t="shared" ca="1" si="128"/>
        <v>0</v>
      </c>
      <c r="BQ191" s="120"/>
      <c r="BR191" s="32"/>
      <c r="BS191" s="126"/>
      <c r="BT191" s="16"/>
      <c r="BU191" s="58"/>
      <c r="BW191" s="51">
        <f>VLOOKUP(H191,Charges!$AT$4:$AU$33,2,FALSE)*I191</f>
        <v>0</v>
      </c>
      <c r="BX191" s="51">
        <f t="shared" si="129"/>
        <v>0</v>
      </c>
      <c r="BY191" s="51">
        <f t="shared" si="137"/>
        <v>0</v>
      </c>
      <c r="BZ191" s="151"/>
      <c r="CA191" s="151"/>
      <c r="CB191" s="32"/>
      <c r="CC191" s="16">
        <f ca="1">SUM($N$7:$N191)</f>
        <v>0</v>
      </c>
      <c r="CD191" s="16">
        <f t="shared" ca="1" si="130"/>
        <v>0</v>
      </c>
      <c r="CE191" s="16">
        <f t="shared" ca="1" si="131"/>
        <v>0</v>
      </c>
      <c r="CF191" s="7">
        <f t="shared" ca="1" si="138"/>
        <v>0</v>
      </c>
    </row>
    <row r="192" spans="1:84" s="7" customFormat="1" x14ac:dyDescent="0.2">
      <c r="A192" s="149"/>
      <c r="B192" s="14">
        <f t="shared" si="100"/>
        <v>0</v>
      </c>
      <c r="C192" s="12">
        <f t="shared" si="101"/>
        <v>0</v>
      </c>
      <c r="D192" s="17">
        <f t="shared" si="139"/>
        <v>186</v>
      </c>
      <c r="E192" s="17">
        <f t="shared" ca="1" si="102"/>
        <v>75</v>
      </c>
      <c r="F192" s="12">
        <f t="shared" si="141"/>
        <v>5</v>
      </c>
      <c r="G192" s="12">
        <f t="shared" si="140"/>
        <v>31</v>
      </c>
      <c r="H192" s="17">
        <f t="shared" si="142"/>
        <v>16</v>
      </c>
      <c r="I192" s="29">
        <f t="shared" si="103"/>
        <v>0</v>
      </c>
      <c r="J192" s="211">
        <f>IFERROR(VLOOKUP(H192,Charges!$T$6:$U$35,2,0)*C192,0)</f>
        <v>0</v>
      </c>
      <c r="K192" s="29">
        <f t="shared" si="104"/>
        <v>0</v>
      </c>
      <c r="L192" s="29">
        <f t="shared" si="105"/>
        <v>0</v>
      </c>
      <c r="M192" s="147">
        <f t="shared" ca="1" si="106"/>
        <v>0</v>
      </c>
      <c r="N192" s="148">
        <f ca="1">IF(AND(Option_SPW="Y",Z191&gt;=SPW_Start_Min_FV,H192&gt;=Lock_In_Period,Z191&gt;SPW_Amount_pa+IF(option="Single",1/5*pr,2*pr),H192&gt;=SPW_Start_Year,H192&lt;=SPW_Start_Year+SPW_Duration-1,F192=0,age+H192&gt;=Legal_Age),SPW_Amount_pa,0)+IFERROR(VLOOKUP(H192,Input!$B$68:$C$74,2,0),0)*(F192=0)*(Option_PW="Y")*(Option_SPW="N")*(age+H192&gt;=Legal_Age)</f>
        <v>0</v>
      </c>
      <c r="O192" s="148">
        <f t="shared" ca="1" si="132"/>
        <v>0</v>
      </c>
      <c r="P192" s="14">
        <f ca="1">(MAX(MAX(sa-CF191*Flag_UL_Type,105%*SUM($I$7:I192))-(AD191+L192-N192)*Flag_UL_Type,0)*B192)</f>
        <v>0</v>
      </c>
      <c r="Q192" s="213">
        <f t="shared" si="107"/>
        <v>0</v>
      </c>
      <c r="R192" s="14">
        <f t="shared" ca="1" si="108"/>
        <v>0</v>
      </c>
      <c r="S192" s="14">
        <f t="shared" ca="1" si="109"/>
        <v>0</v>
      </c>
      <c r="T192" s="14">
        <f>IFERROR(IF(WoP_Flag="Y",IF(fq=1,VLOOKUP(ppt*fq-H192,Charges!$AN$41:$AO$59,2,FALSE),IF(fq=2,VLOOKUP(ppt*fq-G192,Charges!$AP$41:$AQ$79,2,FALSE),VLOOKUP(ppt*fq-D192,Charges!$AR$41:$AS$279,2,FALSE)))*pr/fq,0),0)</f>
        <v>0</v>
      </c>
      <c r="U192" s="14">
        <f ca="1">IFERROR(((T192*(VLOOKUP(Input!$D$18+H192-1,Tab_Mort_Charge,IF(Gender_2="M",2,3),FALSE)*(1+_emr2)+_rpm2)/IF(Model_Type="LA_PQIS",1000/0.0833,(12*1000))))*Flag_Mort_Rider_Charge*(T192&gt;0),0)</f>
        <v>0</v>
      </c>
      <c r="V192" s="34">
        <f>ROUND(MIN(IF(H192&gt;=7,Charges!$C$12*(1+Charges!$C$14)^((H192-7+1)),VLOOKUP(H192,Charges!$B$7:$C$12,2,0))*pr,Charges!$C$13)*B192,Round)</f>
        <v>0</v>
      </c>
      <c r="W192" s="14">
        <f t="shared" ca="1" si="110"/>
        <v>0</v>
      </c>
      <c r="X192" s="14">
        <f t="shared" ca="1" si="111"/>
        <v>0</v>
      </c>
      <c r="Y192" s="213">
        <f t="shared" ca="1" si="133"/>
        <v>0</v>
      </c>
      <c r="Z192" s="14">
        <f t="shared" ca="1" si="112"/>
        <v>0</v>
      </c>
      <c r="AA192" s="14">
        <f>IF(AND($H192=pt,$F192=11),SUM($K$7:K192)*VLOOKUP(pt,ROC,2,FALSE),0)</f>
        <v>0</v>
      </c>
      <c r="AB192" s="14">
        <f>IF(AND($H192=pt,$F192=11),SUM($V$7:V192)*VLOOKUP(pt,ROC,2,FALSE),0)</f>
        <v>0</v>
      </c>
      <c r="AC192" s="14">
        <f>IF(AND($H192=pt,$F192=11),SUM($Q$7:Q192)*VLOOKUP(pt,ROC,2,FALSE),0)</f>
        <v>0</v>
      </c>
      <c r="AD192" s="14">
        <f t="shared" ca="1" si="134"/>
        <v>0</v>
      </c>
      <c r="AE192" s="14">
        <f ca="1">(MAX(sa-CF191*Flag_UL_Type,105%*SUM($I$7:I192),Z192)+AU192)*B192</f>
        <v>0</v>
      </c>
      <c r="AF192" s="136"/>
      <c r="AG192" s="18">
        <v>186</v>
      </c>
      <c r="AH192" s="30">
        <f t="shared" ca="1" si="113"/>
        <v>0</v>
      </c>
      <c r="AI192" s="58"/>
      <c r="AJ192" s="50">
        <f>IF(AND(Option_Sys_TopUp&gt;="Y",H192&gt;=sytp,H192&lt;=(dtp+sytp-1),F192=0,H192&lt;=ppt+1),atp,0)+IFERROR(VLOOKUP(H192,Input!$B$55:$C$61,2,0),0)*(F192=0)*(Option_TopUP="Y")*(Option_Sys_TopUp="N")*B192*(pt&gt;=H192+5)</f>
        <v>0</v>
      </c>
      <c r="AK192" s="50">
        <f t="shared" si="114"/>
        <v>0</v>
      </c>
      <c r="AL192" s="50">
        <f t="shared" si="135"/>
        <v>0</v>
      </c>
      <c r="AM192" s="50">
        <f t="shared" ca="1" si="115"/>
        <v>0</v>
      </c>
      <c r="AN192" s="50">
        <f>IF(B192=0,0,AT192*(_rpm1+(1+_emr1)*VLOOKUP(E192,Tab_Mort_Charge,IF(Input!$C$12="M",2,3),0))*(0.001*0.0833)*Flag_Mort_Rider_Charge*(AT192&gt;0))</f>
        <v>0</v>
      </c>
      <c r="AO192" s="50">
        <f t="shared" ca="1" si="136"/>
        <v>0</v>
      </c>
      <c r="AP192" s="50">
        <f t="shared" ca="1" si="143"/>
        <v>0</v>
      </c>
      <c r="AQ192" s="50">
        <f t="shared" ca="1" si="116"/>
        <v>0</v>
      </c>
      <c r="AR192" s="50">
        <f t="shared" ca="1" si="117"/>
        <v>0</v>
      </c>
      <c r="AS192" s="50">
        <f t="shared" si="118"/>
        <v>0</v>
      </c>
      <c r="AT192" s="50">
        <f ca="1">(MAX((MAX(AS192,105%*SUM($AJ$7:AJ192))-AM192*Flag_UL_Type),0)*B192)</f>
        <v>0</v>
      </c>
      <c r="AU192" s="50">
        <f ca="1">(MAX(AS192,AR192,105%*SUM($AJ$7:AJ192))*B192)</f>
        <v>0</v>
      </c>
      <c r="AV192" s="125"/>
      <c r="AW192" s="13"/>
      <c r="AX192" s="13"/>
      <c r="AY192" s="13"/>
      <c r="AZ192" s="13"/>
      <c r="BA192" s="13"/>
      <c r="BG192" s="51">
        <f t="shared" si="119"/>
        <v>0</v>
      </c>
      <c r="BH192" s="51">
        <f t="shared" si="120"/>
        <v>0</v>
      </c>
      <c r="BI192" s="51">
        <f t="shared" ca="1" si="121"/>
        <v>0</v>
      </c>
      <c r="BJ192" s="51">
        <f t="shared" ca="1" si="122"/>
        <v>0</v>
      </c>
      <c r="BK192" s="51">
        <f t="shared" si="123"/>
        <v>0</v>
      </c>
      <c r="BL192" s="51">
        <f t="shared" ca="1" si="124"/>
        <v>0</v>
      </c>
      <c r="BM192" s="51">
        <f t="shared" si="125"/>
        <v>0</v>
      </c>
      <c r="BN192" s="51">
        <f t="shared" si="126"/>
        <v>0</v>
      </c>
      <c r="BO192" s="51">
        <f t="shared" ca="1" si="127"/>
        <v>0</v>
      </c>
      <c r="BP192" s="51">
        <f t="shared" ca="1" si="128"/>
        <v>0</v>
      </c>
      <c r="BQ192" s="120"/>
      <c r="BR192" s="32"/>
      <c r="BS192" s="126"/>
      <c r="BT192" s="16"/>
      <c r="BU192" s="58"/>
      <c r="BW192" s="51">
        <f>VLOOKUP(H192,Charges!$AT$4:$AU$33,2,FALSE)*I192</f>
        <v>0</v>
      </c>
      <c r="BX192" s="51">
        <f t="shared" si="129"/>
        <v>0</v>
      </c>
      <c r="BY192" s="51">
        <f t="shared" si="137"/>
        <v>0</v>
      </c>
      <c r="BZ192" s="151"/>
      <c r="CA192" s="151"/>
      <c r="CB192" s="32"/>
      <c r="CC192" s="16">
        <f ca="1">SUM($N$7:$N192)</f>
        <v>0</v>
      </c>
      <c r="CD192" s="16">
        <f t="shared" ca="1" si="130"/>
        <v>0</v>
      </c>
      <c r="CE192" s="16">
        <f t="shared" ca="1" si="131"/>
        <v>0</v>
      </c>
      <c r="CF192" s="7">
        <f t="shared" ca="1" si="138"/>
        <v>0</v>
      </c>
    </row>
    <row r="193" spans="1:84" s="7" customFormat="1" x14ac:dyDescent="0.2">
      <c r="A193" s="149"/>
      <c r="B193" s="14">
        <f t="shared" si="100"/>
        <v>0</v>
      </c>
      <c r="C193" s="12">
        <f t="shared" si="101"/>
        <v>0</v>
      </c>
      <c r="D193" s="17">
        <f t="shared" si="139"/>
        <v>187</v>
      </c>
      <c r="E193" s="17">
        <f t="shared" ca="1" si="102"/>
        <v>75</v>
      </c>
      <c r="F193" s="12">
        <f t="shared" si="141"/>
        <v>6</v>
      </c>
      <c r="G193" s="12">
        <f t="shared" si="140"/>
        <v>32</v>
      </c>
      <c r="H193" s="17">
        <f t="shared" si="142"/>
        <v>16</v>
      </c>
      <c r="I193" s="29">
        <f t="shared" si="103"/>
        <v>0</v>
      </c>
      <c r="J193" s="211">
        <f>IFERROR(VLOOKUP(H193,Charges!$T$6:$U$35,2,0)*C193,0)</f>
        <v>0</v>
      </c>
      <c r="K193" s="29">
        <f t="shared" si="104"/>
        <v>0</v>
      </c>
      <c r="L193" s="29">
        <f t="shared" si="105"/>
        <v>0</v>
      </c>
      <c r="M193" s="147">
        <f t="shared" ca="1" si="106"/>
        <v>0</v>
      </c>
      <c r="N193" s="148">
        <f ca="1">IF(AND(Option_SPW="Y",Z192&gt;=SPW_Start_Min_FV,H193&gt;=Lock_In_Period,Z192&gt;SPW_Amount_pa+IF(option="Single",1/5*pr,2*pr),H193&gt;=SPW_Start_Year,H193&lt;=SPW_Start_Year+SPW_Duration-1,F193=0,age+H193&gt;=Legal_Age),SPW_Amount_pa,0)+IFERROR(VLOOKUP(H193,Input!$B$68:$C$74,2,0),0)*(F193=0)*(Option_PW="Y")*(Option_SPW="N")*(age+H193&gt;=Legal_Age)</f>
        <v>0</v>
      </c>
      <c r="O193" s="148">
        <f t="shared" ca="1" si="132"/>
        <v>0</v>
      </c>
      <c r="P193" s="14">
        <f ca="1">(MAX(MAX(sa-CF192*Flag_UL_Type,105%*SUM($I$7:I193))-(AD192+L193-N193)*Flag_UL_Type,0)*B193)</f>
        <v>0</v>
      </c>
      <c r="Q193" s="213">
        <f t="shared" si="107"/>
        <v>0</v>
      </c>
      <c r="R193" s="14">
        <f t="shared" ca="1" si="108"/>
        <v>0</v>
      </c>
      <c r="S193" s="14">
        <f t="shared" ca="1" si="109"/>
        <v>0</v>
      </c>
      <c r="T193" s="14">
        <f>IFERROR(IF(WoP_Flag="Y",IF(fq=1,VLOOKUP(ppt*fq-H193,Charges!$AN$41:$AO$59,2,FALSE),IF(fq=2,VLOOKUP(ppt*fq-G193,Charges!$AP$41:$AQ$79,2,FALSE),VLOOKUP(ppt*fq-D193,Charges!$AR$41:$AS$279,2,FALSE)))*pr/fq,0),0)</f>
        <v>0</v>
      </c>
      <c r="U193" s="14">
        <f ca="1">IFERROR(((T193*(VLOOKUP(Input!$D$18+H193-1,Tab_Mort_Charge,IF(Gender_2="M",2,3),FALSE)*(1+_emr2)+_rpm2)/IF(Model_Type="LA_PQIS",1000/0.0833,(12*1000))))*Flag_Mort_Rider_Charge*(T193&gt;0),0)</f>
        <v>0</v>
      </c>
      <c r="V193" s="34">
        <f>ROUND(MIN(IF(H193&gt;=7,Charges!$C$12*(1+Charges!$C$14)^((H193-7+1)),VLOOKUP(H193,Charges!$B$7:$C$12,2,0))*pr,Charges!$C$13)*B193,Round)</f>
        <v>0</v>
      </c>
      <c r="W193" s="14">
        <f t="shared" ca="1" si="110"/>
        <v>0</v>
      </c>
      <c r="X193" s="14">
        <f t="shared" ca="1" si="111"/>
        <v>0</v>
      </c>
      <c r="Y193" s="213">
        <f t="shared" ca="1" si="133"/>
        <v>0</v>
      </c>
      <c r="Z193" s="14">
        <f t="shared" ca="1" si="112"/>
        <v>0</v>
      </c>
      <c r="AA193" s="14">
        <f>IF(AND($H193=pt,$F193=11),SUM($K$7:K193)*VLOOKUP(pt,ROC,2,FALSE),0)</f>
        <v>0</v>
      </c>
      <c r="AB193" s="14">
        <f>IF(AND($H193=pt,$F193=11),SUM($V$7:V193)*VLOOKUP(pt,ROC,2,FALSE),0)</f>
        <v>0</v>
      </c>
      <c r="AC193" s="14">
        <f>IF(AND($H193=pt,$F193=11),SUM($Q$7:Q193)*VLOOKUP(pt,ROC,2,FALSE),0)</f>
        <v>0</v>
      </c>
      <c r="AD193" s="14">
        <f t="shared" ca="1" si="134"/>
        <v>0</v>
      </c>
      <c r="AE193" s="14">
        <f ca="1">(MAX(sa-CF192*Flag_UL_Type,105%*SUM($I$7:I193),Z193)+AU193)*B193</f>
        <v>0</v>
      </c>
      <c r="AF193" s="136"/>
      <c r="AG193" s="18">
        <v>187</v>
      </c>
      <c r="AH193" s="30">
        <f t="shared" ca="1" si="113"/>
        <v>0</v>
      </c>
      <c r="AI193" s="58"/>
      <c r="AJ193" s="50">
        <f>IF(AND(Option_Sys_TopUp&gt;="Y",H193&gt;=sytp,H193&lt;=(dtp+sytp-1),F193=0,H193&lt;=ppt+1),atp,0)+IFERROR(VLOOKUP(H193,Input!$B$55:$C$61,2,0),0)*(F193=0)*(Option_TopUP="Y")*(Option_Sys_TopUp="N")*B193*(pt&gt;=H193+5)</f>
        <v>0</v>
      </c>
      <c r="AK193" s="50">
        <f t="shared" si="114"/>
        <v>0</v>
      </c>
      <c r="AL193" s="50">
        <f t="shared" si="135"/>
        <v>0</v>
      </c>
      <c r="AM193" s="50">
        <f t="shared" ca="1" si="115"/>
        <v>0</v>
      </c>
      <c r="AN193" s="50">
        <f>IF(B193=0,0,AT193*(_rpm1+(1+_emr1)*VLOOKUP(E193,Tab_Mort_Charge,IF(Input!$C$12="M",2,3),0))*(0.001*0.0833)*Flag_Mort_Rider_Charge*(AT193&gt;0))</f>
        <v>0</v>
      </c>
      <c r="AO193" s="50">
        <f t="shared" ca="1" si="136"/>
        <v>0</v>
      </c>
      <c r="AP193" s="50">
        <f t="shared" ca="1" si="143"/>
        <v>0</v>
      </c>
      <c r="AQ193" s="50">
        <f t="shared" ca="1" si="116"/>
        <v>0</v>
      </c>
      <c r="AR193" s="50">
        <f t="shared" ca="1" si="117"/>
        <v>0</v>
      </c>
      <c r="AS193" s="50">
        <f t="shared" si="118"/>
        <v>0</v>
      </c>
      <c r="AT193" s="50">
        <f ca="1">(MAX((MAX(AS193,105%*SUM($AJ$7:AJ193))-AM193*Flag_UL_Type),0)*B193)</f>
        <v>0</v>
      </c>
      <c r="AU193" s="50">
        <f ca="1">(MAX(AS193,AR193,105%*SUM($AJ$7:AJ193))*B193)</f>
        <v>0</v>
      </c>
      <c r="AV193" s="125"/>
      <c r="AW193" s="13"/>
      <c r="AX193" s="13"/>
      <c r="AY193" s="13"/>
      <c r="AZ193" s="13"/>
      <c r="BA193" s="13"/>
      <c r="BG193" s="51">
        <f t="shared" si="119"/>
        <v>0</v>
      </c>
      <c r="BH193" s="51">
        <f t="shared" si="120"/>
        <v>0</v>
      </c>
      <c r="BI193" s="51">
        <f t="shared" ca="1" si="121"/>
        <v>0</v>
      </c>
      <c r="BJ193" s="51">
        <f t="shared" ca="1" si="122"/>
        <v>0</v>
      </c>
      <c r="BK193" s="51">
        <f t="shared" si="123"/>
        <v>0</v>
      </c>
      <c r="BL193" s="51">
        <f t="shared" ca="1" si="124"/>
        <v>0</v>
      </c>
      <c r="BM193" s="51">
        <f t="shared" si="125"/>
        <v>0</v>
      </c>
      <c r="BN193" s="51">
        <f t="shared" si="126"/>
        <v>0</v>
      </c>
      <c r="BO193" s="51">
        <f t="shared" ca="1" si="127"/>
        <v>0</v>
      </c>
      <c r="BP193" s="51">
        <f t="shared" ca="1" si="128"/>
        <v>0</v>
      </c>
      <c r="BQ193" s="120"/>
      <c r="BR193" s="32"/>
      <c r="BS193" s="126"/>
      <c r="BT193" s="16"/>
      <c r="BU193" s="58"/>
      <c r="BW193" s="51">
        <f>VLOOKUP(H193,Charges!$AT$4:$AU$33,2,FALSE)*I193</f>
        <v>0</v>
      </c>
      <c r="BX193" s="51">
        <f t="shared" si="129"/>
        <v>0</v>
      </c>
      <c r="BY193" s="51">
        <f t="shared" si="137"/>
        <v>0</v>
      </c>
      <c r="BZ193" s="151"/>
      <c r="CA193" s="151"/>
      <c r="CB193" s="32"/>
      <c r="CC193" s="16">
        <f ca="1">SUM($N$7:$N193)</f>
        <v>0</v>
      </c>
      <c r="CD193" s="16">
        <f t="shared" ca="1" si="130"/>
        <v>0</v>
      </c>
      <c r="CE193" s="16">
        <f t="shared" ca="1" si="131"/>
        <v>0</v>
      </c>
      <c r="CF193" s="7">
        <f t="shared" ca="1" si="138"/>
        <v>0</v>
      </c>
    </row>
    <row r="194" spans="1:84" s="7" customFormat="1" x14ac:dyDescent="0.2">
      <c r="A194" s="149"/>
      <c r="B194" s="14">
        <f t="shared" si="100"/>
        <v>0</v>
      </c>
      <c r="C194" s="12">
        <f t="shared" si="101"/>
        <v>0</v>
      </c>
      <c r="D194" s="17">
        <f t="shared" si="139"/>
        <v>188</v>
      </c>
      <c r="E194" s="17">
        <f t="shared" ca="1" si="102"/>
        <v>75</v>
      </c>
      <c r="F194" s="12">
        <f t="shared" si="141"/>
        <v>7</v>
      </c>
      <c r="G194" s="12">
        <f t="shared" si="140"/>
        <v>32</v>
      </c>
      <c r="H194" s="17">
        <f t="shared" si="142"/>
        <v>16</v>
      </c>
      <c r="I194" s="29">
        <f t="shared" si="103"/>
        <v>0</v>
      </c>
      <c r="J194" s="211">
        <f>IFERROR(VLOOKUP(H194,Charges!$T$6:$U$35,2,0)*C194,0)</f>
        <v>0</v>
      </c>
      <c r="K194" s="29">
        <f t="shared" si="104"/>
        <v>0</v>
      </c>
      <c r="L194" s="29">
        <f t="shared" si="105"/>
        <v>0</v>
      </c>
      <c r="M194" s="147">
        <f t="shared" ca="1" si="106"/>
        <v>0</v>
      </c>
      <c r="N194" s="148">
        <f ca="1">IF(AND(Option_SPW="Y",Z193&gt;=SPW_Start_Min_FV,H194&gt;=Lock_In_Period,Z193&gt;SPW_Amount_pa+IF(option="Single",1/5*pr,2*pr),H194&gt;=SPW_Start_Year,H194&lt;=SPW_Start_Year+SPW_Duration-1,F194=0,age+H194&gt;=Legal_Age),SPW_Amount_pa,0)+IFERROR(VLOOKUP(H194,Input!$B$68:$C$74,2,0),0)*(F194=0)*(Option_PW="Y")*(Option_SPW="N")*(age+H194&gt;=Legal_Age)</f>
        <v>0</v>
      </c>
      <c r="O194" s="148">
        <f t="shared" ca="1" si="132"/>
        <v>0</v>
      </c>
      <c r="P194" s="14">
        <f ca="1">(MAX(MAX(sa-CF193*Flag_UL_Type,105%*SUM($I$7:I194))-(AD193+L194-N194)*Flag_UL_Type,0)*B194)</f>
        <v>0</v>
      </c>
      <c r="Q194" s="213">
        <f t="shared" si="107"/>
        <v>0</v>
      </c>
      <c r="R194" s="14">
        <f t="shared" ca="1" si="108"/>
        <v>0</v>
      </c>
      <c r="S194" s="14">
        <f t="shared" ca="1" si="109"/>
        <v>0</v>
      </c>
      <c r="T194" s="14">
        <f>IFERROR(IF(WoP_Flag="Y",IF(fq=1,VLOOKUP(ppt*fq-H194,Charges!$AN$41:$AO$59,2,FALSE),IF(fq=2,VLOOKUP(ppt*fq-G194,Charges!$AP$41:$AQ$79,2,FALSE),VLOOKUP(ppt*fq-D194,Charges!$AR$41:$AS$279,2,FALSE)))*pr/fq,0),0)</f>
        <v>0</v>
      </c>
      <c r="U194" s="14">
        <f ca="1">IFERROR(((T194*(VLOOKUP(Input!$D$18+H194-1,Tab_Mort_Charge,IF(Gender_2="M",2,3),FALSE)*(1+_emr2)+_rpm2)/IF(Model_Type="LA_PQIS",1000/0.0833,(12*1000))))*Flag_Mort_Rider_Charge*(T194&gt;0),0)</f>
        <v>0</v>
      </c>
      <c r="V194" s="34">
        <f>ROUND(MIN(IF(H194&gt;=7,Charges!$C$12*(1+Charges!$C$14)^((H194-7+1)),VLOOKUP(H194,Charges!$B$7:$C$12,2,0))*pr,Charges!$C$13)*B194,Round)</f>
        <v>0</v>
      </c>
      <c r="W194" s="14">
        <f t="shared" ca="1" si="110"/>
        <v>0</v>
      </c>
      <c r="X194" s="14">
        <f t="shared" ca="1" si="111"/>
        <v>0</v>
      </c>
      <c r="Y194" s="213">
        <f t="shared" ca="1" si="133"/>
        <v>0</v>
      </c>
      <c r="Z194" s="14">
        <f t="shared" ca="1" si="112"/>
        <v>0</v>
      </c>
      <c r="AA194" s="14">
        <f>IF(AND($H194=pt,$F194=11),SUM($K$7:K194)*VLOOKUP(pt,ROC,2,FALSE),0)</f>
        <v>0</v>
      </c>
      <c r="AB194" s="14">
        <f>IF(AND($H194=pt,$F194=11),SUM($V$7:V194)*VLOOKUP(pt,ROC,2,FALSE),0)</f>
        <v>0</v>
      </c>
      <c r="AC194" s="14">
        <f>IF(AND($H194=pt,$F194=11),SUM($Q$7:Q194)*VLOOKUP(pt,ROC,2,FALSE),0)</f>
        <v>0</v>
      </c>
      <c r="AD194" s="14">
        <f t="shared" ca="1" si="134"/>
        <v>0</v>
      </c>
      <c r="AE194" s="14">
        <f ca="1">(MAX(sa-CF193*Flag_UL_Type,105%*SUM($I$7:I194),Z194)+AU194)*B194</f>
        <v>0</v>
      </c>
      <c r="AF194" s="136"/>
      <c r="AG194" s="18">
        <v>188</v>
      </c>
      <c r="AH194" s="30">
        <f t="shared" ca="1" si="113"/>
        <v>0</v>
      </c>
      <c r="AI194" s="58"/>
      <c r="AJ194" s="50">
        <f>IF(AND(Option_Sys_TopUp&gt;="Y",H194&gt;=sytp,H194&lt;=(dtp+sytp-1),F194=0,H194&lt;=ppt+1),atp,0)+IFERROR(VLOOKUP(H194,Input!$B$55:$C$61,2,0),0)*(F194=0)*(Option_TopUP="Y")*(Option_Sys_TopUp="N")*B194*(pt&gt;=H194+5)</f>
        <v>0</v>
      </c>
      <c r="AK194" s="50">
        <f t="shared" si="114"/>
        <v>0</v>
      </c>
      <c r="AL194" s="50">
        <f t="shared" si="135"/>
        <v>0</v>
      </c>
      <c r="AM194" s="50">
        <f t="shared" ca="1" si="115"/>
        <v>0</v>
      </c>
      <c r="AN194" s="50">
        <f>IF(B194=0,0,AT194*(_rpm1+(1+_emr1)*VLOOKUP(E194,Tab_Mort_Charge,IF(Input!$C$12="M",2,3),0))*(0.001*0.0833)*Flag_Mort_Rider_Charge*(AT194&gt;0))</f>
        <v>0</v>
      </c>
      <c r="AO194" s="50">
        <f t="shared" ca="1" si="136"/>
        <v>0</v>
      </c>
      <c r="AP194" s="50">
        <f t="shared" ca="1" si="143"/>
        <v>0</v>
      </c>
      <c r="AQ194" s="50">
        <f t="shared" ca="1" si="116"/>
        <v>0</v>
      </c>
      <c r="AR194" s="50">
        <f t="shared" ca="1" si="117"/>
        <v>0</v>
      </c>
      <c r="AS194" s="50">
        <f t="shared" si="118"/>
        <v>0</v>
      </c>
      <c r="AT194" s="50">
        <f ca="1">(MAX((MAX(AS194,105%*SUM($AJ$7:AJ194))-AM194*Flag_UL_Type),0)*B194)</f>
        <v>0</v>
      </c>
      <c r="AU194" s="50">
        <f ca="1">(MAX(AS194,AR194,105%*SUM($AJ$7:AJ194))*B194)</f>
        <v>0</v>
      </c>
      <c r="AV194" s="125"/>
      <c r="AW194" s="13"/>
      <c r="AX194" s="13"/>
      <c r="AY194" s="13"/>
      <c r="AZ194" s="13"/>
      <c r="BA194" s="13"/>
      <c r="BG194" s="51">
        <f t="shared" si="119"/>
        <v>0</v>
      </c>
      <c r="BH194" s="51">
        <f t="shared" si="120"/>
        <v>0</v>
      </c>
      <c r="BI194" s="51">
        <f t="shared" ca="1" si="121"/>
        <v>0</v>
      </c>
      <c r="BJ194" s="51">
        <f t="shared" ca="1" si="122"/>
        <v>0</v>
      </c>
      <c r="BK194" s="51">
        <f t="shared" si="123"/>
        <v>0</v>
      </c>
      <c r="BL194" s="51">
        <f t="shared" ca="1" si="124"/>
        <v>0</v>
      </c>
      <c r="BM194" s="51">
        <f t="shared" si="125"/>
        <v>0</v>
      </c>
      <c r="BN194" s="51">
        <f t="shared" si="126"/>
        <v>0</v>
      </c>
      <c r="BO194" s="51">
        <f t="shared" ca="1" si="127"/>
        <v>0</v>
      </c>
      <c r="BP194" s="51">
        <f t="shared" ca="1" si="128"/>
        <v>0</v>
      </c>
      <c r="BQ194" s="120"/>
      <c r="BR194" s="32"/>
      <c r="BS194" s="126"/>
      <c r="BT194" s="16"/>
      <c r="BU194" s="58"/>
      <c r="BW194" s="51">
        <f>VLOOKUP(H194,Charges!$AT$4:$AU$33,2,FALSE)*I194</f>
        <v>0</v>
      </c>
      <c r="BX194" s="51">
        <f t="shared" si="129"/>
        <v>0</v>
      </c>
      <c r="BY194" s="51">
        <f t="shared" si="137"/>
        <v>0</v>
      </c>
      <c r="BZ194" s="151"/>
      <c r="CA194" s="151"/>
      <c r="CB194" s="32"/>
      <c r="CC194" s="16">
        <f ca="1">SUM($N$7:$N194)</f>
        <v>0</v>
      </c>
      <c r="CD194" s="16">
        <f t="shared" ca="1" si="130"/>
        <v>0</v>
      </c>
      <c r="CE194" s="16">
        <f t="shared" ca="1" si="131"/>
        <v>0</v>
      </c>
      <c r="CF194" s="7">
        <f t="shared" ca="1" si="138"/>
        <v>0</v>
      </c>
    </row>
    <row r="195" spans="1:84" s="7" customFormat="1" x14ac:dyDescent="0.2">
      <c r="A195" s="149"/>
      <c r="B195" s="14">
        <f t="shared" si="100"/>
        <v>0</v>
      </c>
      <c r="C195" s="12">
        <f t="shared" si="101"/>
        <v>0</v>
      </c>
      <c r="D195" s="17">
        <f t="shared" si="139"/>
        <v>189</v>
      </c>
      <c r="E195" s="17">
        <f t="shared" ca="1" si="102"/>
        <v>75</v>
      </c>
      <c r="F195" s="12">
        <f t="shared" si="141"/>
        <v>8</v>
      </c>
      <c r="G195" s="12">
        <f t="shared" si="140"/>
        <v>32</v>
      </c>
      <c r="H195" s="17">
        <f t="shared" si="142"/>
        <v>16</v>
      </c>
      <c r="I195" s="29">
        <f t="shared" si="103"/>
        <v>0</v>
      </c>
      <c r="J195" s="211">
        <f>IFERROR(VLOOKUP(H195,Charges!$T$6:$U$35,2,0)*C195,0)</f>
        <v>0</v>
      </c>
      <c r="K195" s="29">
        <f t="shared" si="104"/>
        <v>0</v>
      </c>
      <c r="L195" s="29">
        <f t="shared" si="105"/>
        <v>0</v>
      </c>
      <c r="M195" s="147">
        <f t="shared" ca="1" si="106"/>
        <v>0</v>
      </c>
      <c r="N195" s="148">
        <f ca="1">IF(AND(Option_SPW="Y",Z194&gt;=SPW_Start_Min_FV,H195&gt;=Lock_In_Period,Z194&gt;SPW_Amount_pa+IF(option="Single",1/5*pr,2*pr),H195&gt;=SPW_Start_Year,H195&lt;=SPW_Start_Year+SPW_Duration-1,F195=0,age+H195&gt;=Legal_Age),SPW_Amount_pa,0)+IFERROR(VLOOKUP(H195,Input!$B$68:$C$74,2,0),0)*(F195=0)*(Option_PW="Y")*(Option_SPW="N")*(age+H195&gt;=Legal_Age)</f>
        <v>0</v>
      </c>
      <c r="O195" s="148">
        <f t="shared" ca="1" si="132"/>
        <v>0</v>
      </c>
      <c r="P195" s="14">
        <f ca="1">(MAX(MAX(sa-CF194*Flag_UL_Type,105%*SUM($I$7:I195))-(AD194+L195-N195)*Flag_UL_Type,0)*B195)</f>
        <v>0</v>
      </c>
      <c r="Q195" s="213">
        <f t="shared" si="107"/>
        <v>0</v>
      </c>
      <c r="R195" s="14">
        <f t="shared" ca="1" si="108"/>
        <v>0</v>
      </c>
      <c r="S195" s="14">
        <f t="shared" ca="1" si="109"/>
        <v>0</v>
      </c>
      <c r="T195" s="14">
        <f>IFERROR(IF(WoP_Flag="Y",IF(fq=1,VLOOKUP(ppt*fq-H195,Charges!$AN$41:$AO$59,2,FALSE),IF(fq=2,VLOOKUP(ppt*fq-G195,Charges!$AP$41:$AQ$79,2,FALSE),VLOOKUP(ppt*fq-D195,Charges!$AR$41:$AS$279,2,FALSE)))*pr/fq,0),0)</f>
        <v>0</v>
      </c>
      <c r="U195" s="14">
        <f ca="1">IFERROR(((T195*(VLOOKUP(Input!$D$18+H195-1,Tab_Mort_Charge,IF(Gender_2="M",2,3),FALSE)*(1+_emr2)+_rpm2)/IF(Model_Type="LA_PQIS",1000/0.0833,(12*1000))))*Flag_Mort_Rider_Charge*(T195&gt;0),0)</f>
        <v>0</v>
      </c>
      <c r="V195" s="34">
        <f>ROUND(MIN(IF(H195&gt;=7,Charges!$C$12*(1+Charges!$C$14)^((H195-7+1)),VLOOKUP(H195,Charges!$B$7:$C$12,2,0))*pr,Charges!$C$13)*B195,Round)</f>
        <v>0</v>
      </c>
      <c r="W195" s="14">
        <f t="shared" ca="1" si="110"/>
        <v>0</v>
      </c>
      <c r="X195" s="14">
        <f t="shared" ca="1" si="111"/>
        <v>0</v>
      </c>
      <c r="Y195" s="213">
        <f t="shared" ca="1" si="133"/>
        <v>0</v>
      </c>
      <c r="Z195" s="14">
        <f t="shared" ca="1" si="112"/>
        <v>0</v>
      </c>
      <c r="AA195" s="14">
        <f>IF(AND($H195=pt,$F195=11),SUM($K$7:K195)*VLOOKUP(pt,ROC,2,FALSE),0)</f>
        <v>0</v>
      </c>
      <c r="AB195" s="14">
        <f>IF(AND($H195=pt,$F195=11),SUM($V$7:V195)*VLOOKUP(pt,ROC,2,FALSE),0)</f>
        <v>0</v>
      </c>
      <c r="AC195" s="14">
        <f>IF(AND($H195=pt,$F195=11),SUM($Q$7:Q195)*VLOOKUP(pt,ROC,2,FALSE),0)</f>
        <v>0</v>
      </c>
      <c r="AD195" s="14">
        <f t="shared" ca="1" si="134"/>
        <v>0</v>
      </c>
      <c r="AE195" s="14">
        <f ca="1">(MAX(sa-CF194*Flag_UL_Type,105%*SUM($I$7:I195),Z195)+AU195)*B195</f>
        <v>0</v>
      </c>
      <c r="AF195" s="136"/>
      <c r="AG195" s="18">
        <v>189</v>
      </c>
      <c r="AH195" s="30">
        <f t="shared" ca="1" si="113"/>
        <v>0</v>
      </c>
      <c r="AI195" s="58"/>
      <c r="AJ195" s="50">
        <f>IF(AND(Option_Sys_TopUp&gt;="Y",H195&gt;=sytp,H195&lt;=(dtp+sytp-1),F195=0,H195&lt;=ppt+1),atp,0)+IFERROR(VLOOKUP(H195,Input!$B$55:$C$61,2,0),0)*(F195=0)*(Option_TopUP="Y")*(Option_Sys_TopUp="N")*B195*(pt&gt;=H195+5)</f>
        <v>0</v>
      </c>
      <c r="AK195" s="50">
        <f t="shared" si="114"/>
        <v>0</v>
      </c>
      <c r="AL195" s="50">
        <f t="shared" si="135"/>
        <v>0</v>
      </c>
      <c r="AM195" s="50">
        <f t="shared" ca="1" si="115"/>
        <v>0</v>
      </c>
      <c r="AN195" s="50">
        <f>IF(B195=0,0,AT195*(_rpm1+(1+_emr1)*VLOOKUP(E195,Tab_Mort_Charge,IF(Input!$C$12="M",2,3),0))*(0.001*0.0833)*Flag_Mort_Rider_Charge*(AT195&gt;0))</f>
        <v>0</v>
      </c>
      <c r="AO195" s="50">
        <f t="shared" ca="1" si="136"/>
        <v>0</v>
      </c>
      <c r="AP195" s="50">
        <f t="shared" ca="1" si="143"/>
        <v>0</v>
      </c>
      <c r="AQ195" s="50">
        <f t="shared" ca="1" si="116"/>
        <v>0</v>
      </c>
      <c r="AR195" s="50">
        <f t="shared" ca="1" si="117"/>
        <v>0</v>
      </c>
      <c r="AS195" s="50">
        <f t="shared" si="118"/>
        <v>0</v>
      </c>
      <c r="AT195" s="50">
        <f ca="1">(MAX((MAX(AS195,105%*SUM($AJ$7:AJ195))-AM195*Flag_UL_Type),0)*B195)</f>
        <v>0</v>
      </c>
      <c r="AU195" s="50">
        <f ca="1">(MAX(AS195,AR195,105%*SUM($AJ$7:AJ195))*B195)</f>
        <v>0</v>
      </c>
      <c r="AV195" s="125"/>
      <c r="AW195" s="13"/>
      <c r="AX195" s="13"/>
      <c r="AY195" s="13"/>
      <c r="AZ195" s="13"/>
      <c r="BA195" s="13"/>
      <c r="BG195" s="51">
        <f t="shared" si="119"/>
        <v>0</v>
      </c>
      <c r="BH195" s="51">
        <f t="shared" si="120"/>
        <v>0</v>
      </c>
      <c r="BI195" s="51">
        <f t="shared" ca="1" si="121"/>
        <v>0</v>
      </c>
      <c r="BJ195" s="51">
        <f t="shared" ca="1" si="122"/>
        <v>0</v>
      </c>
      <c r="BK195" s="51">
        <f t="shared" si="123"/>
        <v>0</v>
      </c>
      <c r="BL195" s="51">
        <f t="shared" ca="1" si="124"/>
        <v>0</v>
      </c>
      <c r="BM195" s="51">
        <f t="shared" si="125"/>
        <v>0</v>
      </c>
      <c r="BN195" s="51">
        <f t="shared" si="126"/>
        <v>0</v>
      </c>
      <c r="BO195" s="51">
        <f t="shared" ca="1" si="127"/>
        <v>0</v>
      </c>
      <c r="BP195" s="51">
        <f t="shared" ca="1" si="128"/>
        <v>0</v>
      </c>
      <c r="BQ195" s="120"/>
      <c r="BR195" s="32"/>
      <c r="BS195" s="126"/>
      <c r="BT195" s="16"/>
      <c r="BU195" s="58"/>
      <c r="BW195" s="51">
        <f>VLOOKUP(H195,Charges!$AT$4:$AU$33,2,FALSE)*I195</f>
        <v>0</v>
      </c>
      <c r="BX195" s="51">
        <f t="shared" si="129"/>
        <v>0</v>
      </c>
      <c r="BY195" s="51">
        <f t="shared" si="137"/>
        <v>0</v>
      </c>
      <c r="BZ195" s="151"/>
      <c r="CA195" s="151"/>
      <c r="CB195" s="32"/>
      <c r="CC195" s="16">
        <f ca="1">SUM($N$7:$N195)</f>
        <v>0</v>
      </c>
      <c r="CD195" s="16">
        <f t="shared" ca="1" si="130"/>
        <v>0</v>
      </c>
      <c r="CE195" s="16">
        <f t="shared" ca="1" si="131"/>
        <v>0</v>
      </c>
      <c r="CF195" s="7">
        <f t="shared" ca="1" si="138"/>
        <v>0</v>
      </c>
    </row>
    <row r="196" spans="1:84" s="7" customFormat="1" x14ac:dyDescent="0.2">
      <c r="A196" s="149"/>
      <c r="B196" s="14">
        <f t="shared" si="100"/>
        <v>0</v>
      </c>
      <c r="C196" s="12">
        <f t="shared" si="101"/>
        <v>0</v>
      </c>
      <c r="D196" s="17">
        <f t="shared" si="139"/>
        <v>190</v>
      </c>
      <c r="E196" s="17">
        <f t="shared" ca="1" si="102"/>
        <v>75</v>
      </c>
      <c r="F196" s="12">
        <f t="shared" si="141"/>
        <v>9</v>
      </c>
      <c r="G196" s="12">
        <f t="shared" si="140"/>
        <v>32</v>
      </c>
      <c r="H196" s="17">
        <f t="shared" si="142"/>
        <v>16</v>
      </c>
      <c r="I196" s="29">
        <f t="shared" si="103"/>
        <v>0</v>
      </c>
      <c r="J196" s="211">
        <f>IFERROR(VLOOKUP(H196,Charges!$T$6:$U$35,2,0)*C196,0)</f>
        <v>0</v>
      </c>
      <c r="K196" s="29">
        <f t="shared" si="104"/>
        <v>0</v>
      </c>
      <c r="L196" s="29">
        <f t="shared" si="105"/>
        <v>0</v>
      </c>
      <c r="M196" s="147">
        <f t="shared" ca="1" si="106"/>
        <v>0</v>
      </c>
      <c r="N196" s="148">
        <f ca="1">IF(AND(Option_SPW="Y",Z195&gt;=SPW_Start_Min_FV,H196&gt;=Lock_In_Period,Z195&gt;SPW_Amount_pa+IF(option="Single",1/5*pr,2*pr),H196&gt;=SPW_Start_Year,H196&lt;=SPW_Start_Year+SPW_Duration-1,F196=0,age+H196&gt;=Legal_Age),SPW_Amount_pa,0)+IFERROR(VLOOKUP(H196,Input!$B$68:$C$74,2,0),0)*(F196=0)*(Option_PW="Y")*(Option_SPW="N")*(age+H196&gt;=Legal_Age)</f>
        <v>0</v>
      </c>
      <c r="O196" s="148">
        <f t="shared" ca="1" si="132"/>
        <v>0</v>
      </c>
      <c r="P196" s="14">
        <f ca="1">(MAX(MAX(sa-CF195*Flag_UL_Type,105%*SUM($I$7:I196))-(AD195+L196-N196)*Flag_UL_Type,0)*B196)</f>
        <v>0</v>
      </c>
      <c r="Q196" s="213">
        <f t="shared" si="107"/>
        <v>0</v>
      </c>
      <c r="R196" s="14">
        <f t="shared" ca="1" si="108"/>
        <v>0</v>
      </c>
      <c r="S196" s="14">
        <f t="shared" ca="1" si="109"/>
        <v>0</v>
      </c>
      <c r="T196" s="14">
        <f>IFERROR(IF(WoP_Flag="Y",IF(fq=1,VLOOKUP(ppt*fq-H196,Charges!$AN$41:$AO$59,2,FALSE),IF(fq=2,VLOOKUP(ppt*fq-G196,Charges!$AP$41:$AQ$79,2,FALSE),VLOOKUP(ppt*fq-D196,Charges!$AR$41:$AS$279,2,FALSE)))*pr/fq,0),0)</f>
        <v>0</v>
      </c>
      <c r="U196" s="14">
        <f ca="1">IFERROR(((T196*(VLOOKUP(Input!$D$18+H196-1,Tab_Mort_Charge,IF(Gender_2="M",2,3),FALSE)*(1+_emr2)+_rpm2)/IF(Model_Type="LA_PQIS",1000/0.0833,(12*1000))))*Flag_Mort_Rider_Charge*(T196&gt;0),0)</f>
        <v>0</v>
      </c>
      <c r="V196" s="34">
        <f>ROUND(MIN(IF(H196&gt;=7,Charges!$C$12*(1+Charges!$C$14)^((H196-7+1)),VLOOKUP(H196,Charges!$B$7:$C$12,2,0))*pr,Charges!$C$13)*B196,Round)</f>
        <v>0</v>
      </c>
      <c r="W196" s="14">
        <f t="shared" ca="1" si="110"/>
        <v>0</v>
      </c>
      <c r="X196" s="14">
        <f t="shared" ca="1" si="111"/>
        <v>0</v>
      </c>
      <c r="Y196" s="213">
        <f t="shared" ca="1" si="133"/>
        <v>0</v>
      </c>
      <c r="Z196" s="14">
        <f t="shared" ca="1" si="112"/>
        <v>0</v>
      </c>
      <c r="AA196" s="14">
        <f>IF(AND($H196=pt,$F196=11),SUM($K$7:K196)*VLOOKUP(pt,ROC,2,FALSE),0)</f>
        <v>0</v>
      </c>
      <c r="AB196" s="14">
        <f>IF(AND($H196=pt,$F196=11),SUM($V$7:V196)*VLOOKUP(pt,ROC,2,FALSE),0)</f>
        <v>0</v>
      </c>
      <c r="AC196" s="14">
        <f>IF(AND($H196=pt,$F196=11),SUM($Q$7:Q196)*VLOOKUP(pt,ROC,2,FALSE),0)</f>
        <v>0</v>
      </c>
      <c r="AD196" s="14">
        <f t="shared" ca="1" si="134"/>
        <v>0</v>
      </c>
      <c r="AE196" s="14">
        <f ca="1">(MAX(sa-CF195*Flag_UL_Type,105%*SUM($I$7:I196),Z196)+AU196)*B196</f>
        <v>0</v>
      </c>
      <c r="AF196" s="136"/>
      <c r="AG196" s="18">
        <v>190</v>
      </c>
      <c r="AH196" s="30">
        <f t="shared" ca="1" si="113"/>
        <v>0</v>
      </c>
      <c r="AI196" s="58"/>
      <c r="AJ196" s="50">
        <f>IF(AND(Option_Sys_TopUp&gt;="Y",H196&gt;=sytp,H196&lt;=(dtp+sytp-1),F196=0,H196&lt;=ppt+1),atp,0)+IFERROR(VLOOKUP(H196,Input!$B$55:$C$61,2,0),0)*(F196=0)*(Option_TopUP="Y")*(Option_Sys_TopUp="N")*B196*(pt&gt;=H196+5)</f>
        <v>0</v>
      </c>
      <c r="AK196" s="50">
        <f t="shared" si="114"/>
        <v>0</v>
      </c>
      <c r="AL196" s="50">
        <f t="shared" si="135"/>
        <v>0</v>
      </c>
      <c r="AM196" s="50">
        <f t="shared" ca="1" si="115"/>
        <v>0</v>
      </c>
      <c r="AN196" s="50">
        <f>IF(B196=0,0,AT196*(_rpm1+(1+_emr1)*VLOOKUP(E196,Tab_Mort_Charge,IF(Input!$C$12="M",2,3),0))*(0.001*0.0833)*Flag_Mort_Rider_Charge*(AT196&gt;0))</f>
        <v>0</v>
      </c>
      <c r="AO196" s="50">
        <f t="shared" ca="1" si="136"/>
        <v>0</v>
      </c>
      <c r="AP196" s="50">
        <f t="shared" ca="1" si="143"/>
        <v>0</v>
      </c>
      <c r="AQ196" s="50">
        <f t="shared" ca="1" si="116"/>
        <v>0</v>
      </c>
      <c r="AR196" s="50">
        <f t="shared" ca="1" si="117"/>
        <v>0</v>
      </c>
      <c r="AS196" s="50">
        <f t="shared" si="118"/>
        <v>0</v>
      </c>
      <c r="AT196" s="50">
        <f ca="1">(MAX((MAX(AS196,105%*SUM($AJ$7:AJ196))-AM196*Flag_UL_Type),0)*B196)</f>
        <v>0</v>
      </c>
      <c r="AU196" s="50">
        <f ca="1">(MAX(AS196,AR196,105%*SUM($AJ$7:AJ196))*B196)</f>
        <v>0</v>
      </c>
      <c r="AV196" s="125"/>
      <c r="AW196" s="13"/>
      <c r="AX196" s="13"/>
      <c r="AY196" s="13"/>
      <c r="AZ196" s="13"/>
      <c r="BA196" s="13"/>
      <c r="BG196" s="51">
        <f t="shared" si="119"/>
        <v>0</v>
      </c>
      <c r="BH196" s="51">
        <f t="shared" si="120"/>
        <v>0</v>
      </c>
      <c r="BI196" s="51">
        <f t="shared" ca="1" si="121"/>
        <v>0</v>
      </c>
      <c r="BJ196" s="51">
        <f t="shared" ca="1" si="122"/>
        <v>0</v>
      </c>
      <c r="BK196" s="51">
        <f t="shared" si="123"/>
        <v>0</v>
      </c>
      <c r="BL196" s="51">
        <f t="shared" ca="1" si="124"/>
        <v>0</v>
      </c>
      <c r="BM196" s="51">
        <f t="shared" si="125"/>
        <v>0</v>
      </c>
      <c r="BN196" s="51">
        <f t="shared" si="126"/>
        <v>0</v>
      </c>
      <c r="BO196" s="51">
        <f t="shared" ca="1" si="127"/>
        <v>0</v>
      </c>
      <c r="BP196" s="51">
        <f t="shared" ca="1" si="128"/>
        <v>0</v>
      </c>
      <c r="BQ196" s="120"/>
      <c r="BR196" s="32"/>
      <c r="BS196" s="126"/>
      <c r="BT196" s="16"/>
      <c r="BU196" s="58"/>
      <c r="BW196" s="51">
        <f>VLOOKUP(H196,Charges!$AT$4:$AU$33,2,FALSE)*I196</f>
        <v>0</v>
      </c>
      <c r="BX196" s="51">
        <f t="shared" si="129"/>
        <v>0</v>
      </c>
      <c r="BY196" s="51">
        <f t="shared" si="137"/>
        <v>0</v>
      </c>
      <c r="BZ196" s="151"/>
      <c r="CA196" s="151"/>
      <c r="CB196" s="32"/>
      <c r="CC196" s="16">
        <f ca="1">SUM($N$7:$N196)</f>
        <v>0</v>
      </c>
      <c r="CD196" s="16">
        <f t="shared" ca="1" si="130"/>
        <v>0</v>
      </c>
      <c r="CE196" s="16">
        <f t="shared" ca="1" si="131"/>
        <v>0</v>
      </c>
      <c r="CF196" s="7">
        <f t="shared" ca="1" si="138"/>
        <v>0</v>
      </c>
    </row>
    <row r="197" spans="1:84" s="7" customFormat="1" x14ac:dyDescent="0.2">
      <c r="A197" s="149"/>
      <c r="B197" s="14">
        <f t="shared" si="100"/>
        <v>0</v>
      </c>
      <c r="C197" s="12">
        <f t="shared" si="101"/>
        <v>0</v>
      </c>
      <c r="D197" s="17">
        <f t="shared" si="139"/>
        <v>191</v>
      </c>
      <c r="E197" s="17">
        <f t="shared" ca="1" si="102"/>
        <v>75</v>
      </c>
      <c r="F197" s="12">
        <f t="shared" si="141"/>
        <v>10</v>
      </c>
      <c r="G197" s="12">
        <f t="shared" si="140"/>
        <v>32</v>
      </c>
      <c r="H197" s="17">
        <f t="shared" si="142"/>
        <v>16</v>
      </c>
      <c r="I197" s="29">
        <f t="shared" si="103"/>
        <v>0</v>
      </c>
      <c r="J197" s="211">
        <f>IFERROR(VLOOKUP(H197,Charges!$T$6:$U$35,2,0)*C197,0)</f>
        <v>0</v>
      </c>
      <c r="K197" s="29">
        <f t="shared" si="104"/>
        <v>0</v>
      </c>
      <c r="L197" s="29">
        <f t="shared" si="105"/>
        <v>0</v>
      </c>
      <c r="M197" s="147">
        <f t="shared" ca="1" si="106"/>
        <v>0</v>
      </c>
      <c r="N197" s="148">
        <f ca="1">IF(AND(Option_SPW="Y",Z196&gt;=SPW_Start_Min_FV,H197&gt;=Lock_In_Period,Z196&gt;SPW_Amount_pa+IF(option="Single",1/5*pr,2*pr),H197&gt;=SPW_Start_Year,H197&lt;=SPW_Start_Year+SPW_Duration-1,F197=0,age+H197&gt;=Legal_Age),SPW_Amount_pa,0)+IFERROR(VLOOKUP(H197,Input!$B$68:$C$74,2,0),0)*(F197=0)*(Option_PW="Y")*(Option_SPW="N")*(age+H197&gt;=Legal_Age)</f>
        <v>0</v>
      </c>
      <c r="O197" s="148">
        <f t="shared" ca="1" si="132"/>
        <v>0</v>
      </c>
      <c r="P197" s="14">
        <f ca="1">(MAX(MAX(sa-CF196*Flag_UL_Type,105%*SUM($I$7:I197))-(AD196+L197-N197)*Flag_UL_Type,0)*B197)</f>
        <v>0</v>
      </c>
      <c r="Q197" s="213">
        <f t="shared" si="107"/>
        <v>0</v>
      </c>
      <c r="R197" s="14">
        <f t="shared" ca="1" si="108"/>
        <v>0</v>
      </c>
      <c r="S197" s="14">
        <f t="shared" ca="1" si="109"/>
        <v>0</v>
      </c>
      <c r="T197" s="14">
        <f>IFERROR(IF(WoP_Flag="Y",IF(fq=1,VLOOKUP(ppt*fq-H197,Charges!$AN$41:$AO$59,2,FALSE),IF(fq=2,VLOOKUP(ppt*fq-G197,Charges!$AP$41:$AQ$79,2,FALSE),VLOOKUP(ppt*fq-D197,Charges!$AR$41:$AS$279,2,FALSE)))*pr/fq,0),0)</f>
        <v>0</v>
      </c>
      <c r="U197" s="14">
        <f ca="1">IFERROR(((T197*(VLOOKUP(Input!$D$18+H197-1,Tab_Mort_Charge,IF(Gender_2="M",2,3),FALSE)*(1+_emr2)+_rpm2)/IF(Model_Type="LA_PQIS",1000/0.0833,(12*1000))))*Flag_Mort_Rider_Charge*(T197&gt;0),0)</f>
        <v>0</v>
      </c>
      <c r="V197" s="34">
        <f>ROUND(MIN(IF(H197&gt;=7,Charges!$C$12*(1+Charges!$C$14)^((H197-7+1)),VLOOKUP(H197,Charges!$B$7:$C$12,2,0))*pr,Charges!$C$13)*B197,Round)</f>
        <v>0</v>
      </c>
      <c r="W197" s="14">
        <f t="shared" ca="1" si="110"/>
        <v>0</v>
      </c>
      <c r="X197" s="14">
        <f t="shared" ca="1" si="111"/>
        <v>0</v>
      </c>
      <c r="Y197" s="213">
        <f t="shared" ca="1" si="133"/>
        <v>0</v>
      </c>
      <c r="Z197" s="14">
        <f t="shared" ca="1" si="112"/>
        <v>0</v>
      </c>
      <c r="AA197" s="14">
        <f>IF(AND($H197=pt,$F197=11),SUM($K$7:K197)*VLOOKUP(pt,ROC,2,FALSE),0)</f>
        <v>0</v>
      </c>
      <c r="AB197" s="14">
        <f>IF(AND($H197=pt,$F197=11),SUM($V$7:V197)*VLOOKUP(pt,ROC,2,FALSE),0)</f>
        <v>0</v>
      </c>
      <c r="AC197" s="14">
        <f>IF(AND($H197=pt,$F197=11),SUM($Q$7:Q197)*VLOOKUP(pt,ROC,2,FALSE),0)</f>
        <v>0</v>
      </c>
      <c r="AD197" s="14">
        <f t="shared" ca="1" si="134"/>
        <v>0</v>
      </c>
      <c r="AE197" s="14">
        <f ca="1">(MAX(sa-CF196*Flag_UL_Type,105%*SUM($I$7:I197),Z197)+AU197)*B197</f>
        <v>0</v>
      </c>
      <c r="AF197" s="136"/>
      <c r="AG197" s="18">
        <v>191</v>
      </c>
      <c r="AH197" s="30">
        <f t="shared" ca="1" si="113"/>
        <v>0</v>
      </c>
      <c r="AI197" s="58"/>
      <c r="AJ197" s="50">
        <f>IF(AND(Option_Sys_TopUp&gt;="Y",H197&gt;=sytp,H197&lt;=(dtp+sytp-1),F197=0,H197&lt;=ppt+1),atp,0)+IFERROR(VLOOKUP(H197,Input!$B$55:$C$61,2,0),0)*(F197=0)*(Option_TopUP="Y")*(Option_Sys_TopUp="N")*B197*(pt&gt;=H197+5)</f>
        <v>0</v>
      </c>
      <c r="AK197" s="50">
        <f t="shared" si="114"/>
        <v>0</v>
      </c>
      <c r="AL197" s="50">
        <f t="shared" si="135"/>
        <v>0</v>
      </c>
      <c r="AM197" s="50">
        <f t="shared" ca="1" si="115"/>
        <v>0</v>
      </c>
      <c r="AN197" s="50">
        <f>IF(B197=0,0,AT197*(_rpm1+(1+_emr1)*VLOOKUP(E197,Tab_Mort_Charge,IF(Input!$C$12="M",2,3),0))*(0.001*0.0833)*Flag_Mort_Rider_Charge*(AT197&gt;0))</f>
        <v>0</v>
      </c>
      <c r="AO197" s="50">
        <f t="shared" ca="1" si="136"/>
        <v>0</v>
      </c>
      <c r="AP197" s="50">
        <f t="shared" ca="1" si="143"/>
        <v>0</v>
      </c>
      <c r="AQ197" s="50">
        <f t="shared" ca="1" si="116"/>
        <v>0</v>
      </c>
      <c r="AR197" s="50">
        <f t="shared" ca="1" si="117"/>
        <v>0</v>
      </c>
      <c r="AS197" s="50">
        <f t="shared" si="118"/>
        <v>0</v>
      </c>
      <c r="AT197" s="50">
        <f ca="1">(MAX((MAX(AS197,105%*SUM($AJ$7:AJ197))-AM197*Flag_UL_Type),0)*B197)</f>
        <v>0</v>
      </c>
      <c r="AU197" s="50">
        <f ca="1">(MAX(AS197,AR197,105%*SUM($AJ$7:AJ197))*B197)</f>
        <v>0</v>
      </c>
      <c r="AV197" s="125"/>
      <c r="AW197" s="13"/>
      <c r="AX197" s="13"/>
      <c r="AY197" s="13"/>
      <c r="AZ197" s="13"/>
      <c r="BA197" s="13"/>
      <c r="BG197" s="51">
        <f t="shared" si="119"/>
        <v>0</v>
      </c>
      <c r="BH197" s="51">
        <f t="shared" si="120"/>
        <v>0</v>
      </c>
      <c r="BI197" s="51">
        <f t="shared" ca="1" si="121"/>
        <v>0</v>
      </c>
      <c r="BJ197" s="51">
        <f t="shared" ca="1" si="122"/>
        <v>0</v>
      </c>
      <c r="BK197" s="51">
        <f t="shared" si="123"/>
        <v>0</v>
      </c>
      <c r="BL197" s="51">
        <f t="shared" ca="1" si="124"/>
        <v>0</v>
      </c>
      <c r="BM197" s="51">
        <f t="shared" si="125"/>
        <v>0</v>
      </c>
      <c r="BN197" s="51">
        <f t="shared" si="126"/>
        <v>0</v>
      </c>
      <c r="BO197" s="51">
        <f t="shared" ca="1" si="127"/>
        <v>0</v>
      </c>
      <c r="BP197" s="51">
        <f t="shared" ca="1" si="128"/>
        <v>0</v>
      </c>
      <c r="BQ197" s="120"/>
      <c r="BR197" s="32"/>
      <c r="BS197" s="126"/>
      <c r="BT197" s="16"/>
      <c r="BU197" s="58"/>
      <c r="BW197" s="51">
        <f>VLOOKUP(H197,Charges!$AT$4:$AU$33,2,FALSE)*I197</f>
        <v>0</v>
      </c>
      <c r="BX197" s="51">
        <f t="shared" si="129"/>
        <v>0</v>
      </c>
      <c r="BY197" s="51">
        <f t="shared" si="137"/>
        <v>0</v>
      </c>
      <c r="BZ197" s="151"/>
      <c r="CA197" s="151"/>
      <c r="CB197" s="32"/>
      <c r="CC197" s="16">
        <f ca="1">SUM($N$7:$N197)</f>
        <v>0</v>
      </c>
      <c r="CD197" s="16">
        <f t="shared" ca="1" si="130"/>
        <v>0</v>
      </c>
      <c r="CE197" s="16">
        <f t="shared" ca="1" si="131"/>
        <v>0</v>
      </c>
      <c r="CF197" s="7">
        <f t="shared" ca="1" si="138"/>
        <v>0</v>
      </c>
    </row>
    <row r="198" spans="1:84" s="7" customFormat="1" x14ac:dyDescent="0.2">
      <c r="A198" s="149"/>
      <c r="B198" s="14">
        <f t="shared" si="100"/>
        <v>0</v>
      </c>
      <c r="C198" s="12">
        <f t="shared" si="101"/>
        <v>0</v>
      </c>
      <c r="D198" s="17">
        <f t="shared" si="139"/>
        <v>192</v>
      </c>
      <c r="E198" s="17">
        <f t="shared" ca="1" si="102"/>
        <v>75</v>
      </c>
      <c r="F198" s="12">
        <f t="shared" si="141"/>
        <v>11</v>
      </c>
      <c r="G198" s="12">
        <f t="shared" si="140"/>
        <v>32</v>
      </c>
      <c r="H198" s="17">
        <f t="shared" si="142"/>
        <v>16</v>
      </c>
      <c r="I198" s="29">
        <f t="shared" si="103"/>
        <v>0</v>
      </c>
      <c r="J198" s="211">
        <f>IFERROR(VLOOKUP(H198,Charges!$T$6:$U$35,2,0)*C198,0)</f>
        <v>0</v>
      </c>
      <c r="K198" s="29">
        <f t="shared" si="104"/>
        <v>0</v>
      </c>
      <c r="L198" s="29">
        <f t="shared" si="105"/>
        <v>0</v>
      </c>
      <c r="M198" s="147">
        <f t="shared" ca="1" si="106"/>
        <v>0</v>
      </c>
      <c r="N198" s="148">
        <f ca="1">IF(AND(Option_SPW="Y",Z197&gt;=SPW_Start_Min_FV,H198&gt;=Lock_In_Period,Z197&gt;SPW_Amount_pa+IF(option="Single",1/5*pr,2*pr),H198&gt;=SPW_Start_Year,H198&lt;=SPW_Start_Year+SPW_Duration-1,F198=0,age+H198&gt;=Legal_Age),SPW_Amount_pa,0)+IFERROR(VLOOKUP(H198,Input!$B$68:$C$74,2,0),0)*(F198=0)*(Option_PW="Y")*(Option_SPW="N")*(age+H198&gt;=Legal_Age)</f>
        <v>0</v>
      </c>
      <c r="O198" s="148">
        <f t="shared" ca="1" si="132"/>
        <v>0</v>
      </c>
      <c r="P198" s="14">
        <f ca="1">(MAX(MAX(sa-CF197*Flag_UL_Type,105%*SUM($I$7:I198))-(AD197+L198-N198)*Flag_UL_Type,0)*B198)</f>
        <v>0</v>
      </c>
      <c r="Q198" s="213">
        <f t="shared" si="107"/>
        <v>0</v>
      </c>
      <c r="R198" s="14">
        <f t="shared" ca="1" si="108"/>
        <v>0</v>
      </c>
      <c r="S198" s="14">
        <f t="shared" ca="1" si="109"/>
        <v>0</v>
      </c>
      <c r="T198" s="14">
        <f>IFERROR(IF(WoP_Flag="Y",IF(fq=1,VLOOKUP(ppt*fq-H198,Charges!$AN$41:$AO$59,2,FALSE),IF(fq=2,VLOOKUP(ppt*fq-G198,Charges!$AP$41:$AQ$79,2,FALSE),VLOOKUP(ppt*fq-D198,Charges!$AR$41:$AS$279,2,FALSE)))*pr/fq,0),0)</f>
        <v>0</v>
      </c>
      <c r="U198" s="14">
        <f ca="1">IFERROR(((T198*(VLOOKUP(Input!$D$18+H198-1,Tab_Mort_Charge,IF(Gender_2="M",2,3),FALSE)*(1+_emr2)+_rpm2)/IF(Model_Type="LA_PQIS",1000/0.0833,(12*1000))))*Flag_Mort_Rider_Charge*(T198&gt;0),0)</f>
        <v>0</v>
      </c>
      <c r="V198" s="34">
        <f>ROUND(MIN(IF(H198&gt;=7,Charges!$C$12*(1+Charges!$C$14)^((H198-7+1)),VLOOKUP(H198,Charges!$B$7:$C$12,2,0))*pr,Charges!$C$13)*B198,Round)</f>
        <v>0</v>
      </c>
      <c r="W198" s="14">
        <f t="shared" ca="1" si="110"/>
        <v>0</v>
      </c>
      <c r="X198" s="14">
        <f t="shared" ca="1" si="111"/>
        <v>0</v>
      </c>
      <c r="Y198" s="213">
        <f t="shared" ca="1" si="133"/>
        <v>0</v>
      </c>
      <c r="Z198" s="14">
        <f t="shared" ca="1" si="112"/>
        <v>0</v>
      </c>
      <c r="AA198" s="14">
        <f>IF(AND($H198=pt,$F198=11),SUM($K$7:K198)*VLOOKUP(pt,ROC,2,FALSE),0)</f>
        <v>0</v>
      </c>
      <c r="AB198" s="14">
        <f>IF(AND($H198=pt,$F198=11),SUM($V$7:V198)*VLOOKUP(pt,ROC,2,FALSE),0)</f>
        <v>0</v>
      </c>
      <c r="AC198" s="14">
        <f>IF(AND($H198=pt,$F198=11),SUM($Q$7:Q198)*VLOOKUP(pt,ROC,2,FALSE),0)</f>
        <v>0</v>
      </c>
      <c r="AD198" s="14">
        <f t="shared" ca="1" si="134"/>
        <v>0</v>
      </c>
      <c r="AE198" s="14">
        <f ca="1">(MAX(sa-CF197*Flag_UL_Type,105%*SUM($I$7:I198),Z198)+AU198)*B198</f>
        <v>0</v>
      </c>
      <c r="AF198" s="136"/>
      <c r="AG198" s="18">
        <v>192</v>
      </c>
      <c r="AH198" s="30">
        <f t="shared" ca="1" si="113"/>
        <v>0</v>
      </c>
      <c r="AI198" s="58"/>
      <c r="AJ198" s="50">
        <f>IF(AND(Option_Sys_TopUp&gt;="Y",H198&gt;=sytp,H198&lt;=(dtp+sytp-1),F198=0,H198&lt;=ppt+1),atp,0)+IFERROR(VLOOKUP(H198,Input!$B$55:$C$61,2,0),0)*(F198=0)*(Option_TopUP="Y")*(Option_Sys_TopUp="N")*B198*(pt&gt;=H198+5)</f>
        <v>0</v>
      </c>
      <c r="AK198" s="50">
        <f t="shared" si="114"/>
        <v>0</v>
      </c>
      <c r="AL198" s="50">
        <f t="shared" si="135"/>
        <v>0</v>
      </c>
      <c r="AM198" s="50">
        <f t="shared" ca="1" si="115"/>
        <v>0</v>
      </c>
      <c r="AN198" s="50">
        <f>IF(B198=0,0,AT198*(_rpm1+(1+_emr1)*VLOOKUP(E198,Tab_Mort_Charge,IF(Input!$C$12="M",2,3),0))*(0.001*0.0833)*Flag_Mort_Rider_Charge*(AT198&gt;0))</f>
        <v>0</v>
      </c>
      <c r="AO198" s="50">
        <f t="shared" ca="1" si="136"/>
        <v>0</v>
      </c>
      <c r="AP198" s="50">
        <f t="shared" ca="1" si="143"/>
        <v>0</v>
      </c>
      <c r="AQ198" s="50">
        <f t="shared" ca="1" si="116"/>
        <v>0</v>
      </c>
      <c r="AR198" s="50">
        <f t="shared" ca="1" si="117"/>
        <v>0</v>
      </c>
      <c r="AS198" s="50">
        <f t="shared" si="118"/>
        <v>0</v>
      </c>
      <c r="AT198" s="50">
        <f ca="1">(MAX((MAX(AS198,105%*SUM($AJ$7:AJ198))-AM198*Flag_UL_Type),0)*B198)</f>
        <v>0</v>
      </c>
      <c r="AU198" s="50">
        <f ca="1">(MAX(AS198,AR198,105%*SUM($AJ$7:AJ198))*B198)</f>
        <v>0</v>
      </c>
      <c r="AV198" s="125"/>
      <c r="AW198" s="13"/>
      <c r="AX198" s="13"/>
      <c r="AY198" s="13"/>
      <c r="AZ198" s="13"/>
      <c r="BA198" s="13"/>
      <c r="BG198" s="51">
        <f t="shared" si="119"/>
        <v>0</v>
      </c>
      <c r="BH198" s="51">
        <f t="shared" si="120"/>
        <v>0</v>
      </c>
      <c r="BI198" s="51">
        <f t="shared" ca="1" si="121"/>
        <v>0</v>
      </c>
      <c r="BJ198" s="51">
        <f t="shared" ca="1" si="122"/>
        <v>0</v>
      </c>
      <c r="BK198" s="51">
        <f t="shared" si="123"/>
        <v>0</v>
      </c>
      <c r="BL198" s="51">
        <f t="shared" ca="1" si="124"/>
        <v>0</v>
      </c>
      <c r="BM198" s="51">
        <f t="shared" si="125"/>
        <v>0</v>
      </c>
      <c r="BN198" s="51">
        <f t="shared" si="126"/>
        <v>0</v>
      </c>
      <c r="BO198" s="51">
        <f t="shared" ca="1" si="127"/>
        <v>0</v>
      </c>
      <c r="BP198" s="51">
        <f t="shared" ca="1" si="128"/>
        <v>0</v>
      </c>
      <c r="BQ198" s="120"/>
      <c r="BR198" s="32"/>
      <c r="BS198" s="126"/>
      <c r="BT198" s="16"/>
      <c r="BU198" s="58"/>
      <c r="BW198" s="51">
        <f>VLOOKUP(H198,Charges!$AT$4:$AU$33,2,FALSE)*I198</f>
        <v>0</v>
      </c>
      <c r="BX198" s="51">
        <f t="shared" si="129"/>
        <v>0</v>
      </c>
      <c r="BY198" s="51">
        <f t="shared" si="137"/>
        <v>0</v>
      </c>
      <c r="BZ198" s="151"/>
      <c r="CA198" s="151"/>
      <c r="CB198" s="32"/>
      <c r="CC198" s="16">
        <f ca="1">SUM($N$7:$N198)</f>
        <v>0</v>
      </c>
      <c r="CD198" s="16">
        <f t="shared" ca="1" si="130"/>
        <v>0</v>
      </c>
      <c r="CE198" s="16">
        <f t="shared" ca="1" si="131"/>
        <v>0</v>
      </c>
      <c r="CF198" s="7">
        <f t="shared" ca="1" si="138"/>
        <v>0</v>
      </c>
    </row>
    <row r="199" spans="1:84" s="7" customFormat="1" x14ac:dyDescent="0.2">
      <c r="A199" s="149"/>
      <c r="B199" s="14">
        <f t="shared" ref="B199:B262" si="144">IF(H199&lt;=pt,1,0)</f>
        <v>0</v>
      </c>
      <c r="C199" s="12">
        <f t="shared" ref="C199:C262" si="145">IF(H199&lt;=ppt,1,0)</f>
        <v>0</v>
      </c>
      <c r="D199" s="17">
        <f t="shared" si="139"/>
        <v>193</v>
      </c>
      <c r="E199" s="17">
        <f t="shared" ref="E199:E262" ca="1" si="146">(age+(H199-1))</f>
        <v>76</v>
      </c>
      <c r="F199" s="12">
        <f t="shared" si="141"/>
        <v>0</v>
      </c>
      <c r="G199" s="12">
        <f t="shared" si="140"/>
        <v>33</v>
      </c>
      <c r="H199" s="17">
        <f t="shared" si="142"/>
        <v>17</v>
      </c>
      <c r="I199" s="29">
        <f t="shared" ref="I199:I262" si="147">IF(AND(H199&lt;=pt,H199&lt;=ppt,F199=0,fq=1),pr,IF(AND(H199&lt;=pt,H199&lt;=ppt,fq=2,MOD(F199,6)=0),pr/fq,IF(AND(H199&lt;=pt,H199&lt;=ppt,fq=12),pr/fq,0)))</f>
        <v>0</v>
      </c>
      <c r="J199" s="211">
        <f>IFERROR(VLOOKUP(H199,Charges!$T$6:$U$35,2,0)*C199,0)</f>
        <v>0</v>
      </c>
      <c r="K199" s="29">
        <f t="shared" ref="K199:K262" si="148">ROUND((100%-J199)*I199,Round)</f>
        <v>0</v>
      </c>
      <c r="L199" s="29">
        <f t="shared" ref="L199:L262" si="149">(I199-(K199+BG199*IF(Model_Type="Pricing_Unit",1,0)))*C199</f>
        <v>0</v>
      </c>
      <c r="M199" s="147">
        <f t="shared" ref="M199:M262" ca="1" si="150">IF(AND(OR(Option_PW="Y",Option_SPW="Y"),H199&gt;Lock_In_Period,H199&lt;=pt,(W199-IF(option="Single",1/5*pr,2*pr))&gt;0,(age+H199)&gt;=Legal_Age),(W198+L199-IF(option="Single",1/5*pr,2*pr)),0)</f>
        <v>0</v>
      </c>
      <c r="N199" s="148">
        <f ca="1">IF(AND(Option_SPW="Y",Z198&gt;=SPW_Start_Min_FV,H199&gt;=Lock_In_Period,Z198&gt;SPW_Amount_pa+IF(option="Single",1/5*pr,2*pr),H199&gt;=SPW_Start_Year,H199&lt;=SPW_Start_Year+SPW_Duration-1,F199=0,age+H199&gt;=Legal_Age),SPW_Amount_pa,0)+IFERROR(VLOOKUP(H199,Input!$B$68:$C$74,2,0),0)*(F199=0)*(Option_PW="Y")*(Option_SPW="N")*(age+H199&gt;=Legal_Age)</f>
        <v>0</v>
      </c>
      <c r="O199" s="148">
        <f t="shared" ca="1" si="132"/>
        <v>0</v>
      </c>
      <c r="P199" s="14">
        <f ca="1">(MAX(MAX(sa-CF198*Flag_UL_Type,105%*SUM($I$7:I199))-(AD198+L199-N199)*Flag_UL_Type,0)*B199)</f>
        <v>0</v>
      </c>
      <c r="Q199" s="213">
        <f t="shared" ref="Q199:Q262" si="151">IF(B199=0,0,ROUND(P199*(_rpm1+(1+_emr1)*VLOOKUP(E199,Tab_Mort_Charge,IF(Gender="M",2,3),0))*Flag_Mort_Rider_Charge*(P199&gt;0),Round))*(0.001*IF(Model_Type="LA_PQIS",0.0833,(1/12)))</f>
        <v>0</v>
      </c>
      <c r="R199" s="14">
        <f t="shared" ref="R199:R262" ca="1" si="152">IF(AND(B199,ADB_Flag="Y",age&lt;=ADB_MAX_AGE,age&gt;=ADB_MIN_AGE,E199&lt;=age+pt),sa_adb,0)</f>
        <v>0</v>
      </c>
      <c r="S199" s="14">
        <f t="shared" ref="S199:S262" ca="1" si="153">ROUND((adb_rate*(1+adb_emr)+adb_rpm)*R199*(0.001*IF(Model_Type="LA_PQIS",0.0833,(1/12)))*Flag_Mort_Rider_Charge*IF(age+H199-1&lt;Max_Maturity_Age,1,0),Round)</f>
        <v>0</v>
      </c>
      <c r="T199" s="14">
        <f>IFERROR(IF(WoP_Flag="Y",IF(fq=1,VLOOKUP(ppt*fq-H199,Charges!$AN$41:$AO$59,2,FALSE),IF(fq=2,VLOOKUP(ppt*fq-G199,Charges!$AP$41:$AQ$79,2,FALSE),VLOOKUP(ppt*fq-D199,Charges!$AR$41:$AS$279,2,FALSE)))*pr/fq,0),0)</f>
        <v>0</v>
      </c>
      <c r="U199" s="14">
        <f ca="1">IFERROR(((T199*(VLOOKUP(Input!$D$18+H199-1,Tab_Mort_Charge,IF(Gender_2="M",2,3),FALSE)*(1+_emr2)+_rpm2)/IF(Model_Type="LA_PQIS",1000/0.0833,(12*1000))))*Flag_Mort_Rider_Charge*(T199&gt;0),0)</f>
        <v>0</v>
      </c>
      <c r="V199" s="34">
        <f>ROUND(MIN(IF(H199&gt;=7,Charges!$C$12*(1+Charges!$C$14)^((H199-7+1)),VLOOKUP(H199,Charges!$B$7:$C$12,2,0))*pr,Charges!$C$13)*B199,Round)</f>
        <v>0</v>
      </c>
      <c r="W199" s="14">
        <f t="shared" ref="W199:W262" ca="1" si="154">+(AD198+L199-(N199+Q199+S199+U199+V199+BG199*IF(Model_Type="La_PQIS",1,0)+BH199+BK199+BI199+BJ199+BM199*IF(Model_Type="La_PQIS",1,0)))*B199</f>
        <v>0</v>
      </c>
      <c r="X199" s="14">
        <f t="shared" ref="X199:X262" ca="1" si="155">W199*(1+$F$3)</f>
        <v>0</v>
      </c>
      <c r="Y199" s="213">
        <f t="shared" ca="1" si="133"/>
        <v>0</v>
      </c>
      <c r="Z199" s="14">
        <f t="shared" ref="Z199:Z262" ca="1" si="156">X199-(Y199+BL199)</f>
        <v>0</v>
      </c>
      <c r="AA199" s="14">
        <f>IF(AND($H199=pt,$F199=11),SUM($K$7:K199)*VLOOKUP(pt,ROC,2,FALSE),0)</f>
        <v>0</v>
      </c>
      <c r="AB199" s="14">
        <f>IF(AND($H199=pt,$F199=11),SUM($V$7:V199)*VLOOKUP(pt,ROC,2,FALSE),0)</f>
        <v>0</v>
      </c>
      <c r="AC199" s="14">
        <f>IF(AND($H199=pt,$F199=11),SUM($Q$7:Q199)*VLOOKUP(pt,ROC,2,FALSE),0)</f>
        <v>0</v>
      </c>
      <c r="AD199" s="14">
        <f t="shared" ca="1" si="134"/>
        <v>0</v>
      </c>
      <c r="AE199" s="14">
        <f ca="1">(MAX(sa-CF198*Flag_UL_Type,105%*SUM($I$7:I199),Z199)+AU199)*B199</f>
        <v>0</v>
      </c>
      <c r="AF199" s="136"/>
      <c r="AG199" s="18">
        <v>193</v>
      </c>
      <c r="AH199" s="30">
        <f t="shared" ref="AH199:AH262" ca="1" si="157">(I199+AJ199)-IF(AG199=pt*12+1,AD198,0)-IF(AG199=pt*12+1,AR198,0)-N199</f>
        <v>0</v>
      </c>
      <c r="AI199" s="58"/>
      <c r="AJ199" s="50">
        <f>IF(AND(Option_Sys_TopUp&gt;="Y",H199&gt;=sytp,H199&lt;=(dtp+sytp-1),F199=0,H199&lt;=ppt+1),atp,0)+IFERROR(VLOOKUP(H199,Input!$B$55:$C$61,2,0),0)*(F199=0)*(Option_TopUP="Y")*(Option_Sys_TopUp="N")*B199*(pt&gt;=H199+5)</f>
        <v>0</v>
      </c>
      <c r="AK199" s="50">
        <f t="shared" ref="AK199:AK262" si="158">ROUND(allctp*AJ199,0)</f>
        <v>0</v>
      </c>
      <c r="AL199" s="50">
        <f t="shared" si="135"/>
        <v>0</v>
      </c>
      <c r="AM199" s="50">
        <f t="shared" ref="AM199:AM262" ca="1" si="159">AR198+AL199</f>
        <v>0</v>
      </c>
      <c r="AN199" s="50">
        <f>IF(B199=0,0,AT199*(_rpm1+(1+_emr1)*VLOOKUP(E199,Tab_Mort_Charge,IF(Input!$C$12="M",2,3),0))*(0.001*0.0833)*Flag_Mort_Rider_Charge*(AT199&gt;0))</f>
        <v>0</v>
      </c>
      <c r="AO199" s="50">
        <f t="shared" ca="1" si="136"/>
        <v>0</v>
      </c>
      <c r="AP199" s="50">
        <f t="shared" ca="1" si="143"/>
        <v>0</v>
      </c>
      <c r="AQ199" s="50">
        <f t="shared" ref="AQ199:AQ262" ca="1" si="160">AP199*$Y$2</f>
        <v>0</v>
      </c>
      <c r="AR199" s="50">
        <f t="shared" ref="AR199:AR262" ca="1" si="161">AP199-(AQ199+BO199)</f>
        <v>0</v>
      </c>
      <c r="AS199" s="50">
        <f t="shared" ref="AS199:AS262" si="162">(AJ199*TOPUP_Cover_Level+AS198)*B199</f>
        <v>0</v>
      </c>
      <c r="AT199" s="50">
        <f ca="1">(MAX((MAX(AS199,105%*SUM($AJ$7:AJ199))-AM199*Flag_UL_Type),0)*B199)</f>
        <v>0</v>
      </c>
      <c r="AU199" s="50">
        <f ca="1">(MAX(AS199,AR199,105%*SUM($AJ$7:AJ199))*B199)</f>
        <v>0</v>
      </c>
      <c r="AV199" s="125"/>
      <c r="AW199" s="13"/>
      <c r="AX199" s="13"/>
      <c r="AY199" s="13"/>
      <c r="AZ199" s="13"/>
      <c r="BA199" s="13"/>
      <c r="BG199" s="51">
        <f t="shared" ref="BG199:BG262" si="163">ROUND(K199*Service_Tax_Rate*Flag_Service_Tax,Round)+ROUND(K199*Cess1_Rate*Flag_Service_Tax,Round)+ROUND(K199*Cess2_Rate*Flag_Service_Tax,Round)</f>
        <v>0</v>
      </c>
      <c r="BH199" s="51">
        <f t="shared" ref="BH199:BH262" si="164">ROUND(Q199*Service_Tax_Rate*Flag_Service_Tax,Round)+ROUND(Q199*Cess1_Rate*Flag_Service_Tax,Round)+ROUND(Q199*Cess2_Rate*Flag_Service_Tax,Round)</f>
        <v>0</v>
      </c>
      <c r="BI199" s="51">
        <f t="shared" ref="BI199:BI262" ca="1" si="165">ROUND(S199*Service_Tax_Rate*Flag_Service_Tax,Round)+ROUND(S199*Cess1_Rate*Flag_Service_Tax,Round)+ROUND(S199*Cess2_Rate*Flag_Service_Tax,Round)</f>
        <v>0</v>
      </c>
      <c r="BJ199" s="51">
        <f t="shared" ref="BJ199:BJ262" ca="1" si="166">ROUND(U199*Service_Tax_Rate*Flag_Service_Tax,Round)+ROUND(U199*Cess1_Rate*Flag_Service_Tax,Round)+ROUND(U199*Cess2_Rate*Flag_Service_Tax,Round)</f>
        <v>0</v>
      </c>
      <c r="BK199" s="51">
        <f t="shared" ref="BK199:BK262" si="167">ROUND(V199*Service_Tax_Rate*Flag_Service_Tax,Round)+ROUND(V199*Cess1_Rate*Flag_Service_Tax,Round)+ROUND(V199*Cess2_Rate*Flag_Service_Tax,Round)</f>
        <v>0</v>
      </c>
      <c r="BL199" s="51">
        <f t="shared" ref="BL199:BL262" ca="1" si="168">Y199*Service_Tax_Rate*Flag_Service_Tax+Y199*Cess1_Rate*Flag_Service_Tax+Y199*Cess2_Rate*Flag_Service_Tax</f>
        <v>0</v>
      </c>
      <c r="BM199" s="51">
        <f t="shared" ref="BM199:BM262" si="169">ROUND(AK199*Service_Tax_Rate*Flag_Service_Tax,Round)+ROUND(AK199*Cess1_Rate*Flag_Service_Tax,Round)+ROUND(AK199*Cess2_Rate*Flag_Service_Tax,Round)</f>
        <v>0</v>
      </c>
      <c r="BN199" s="51">
        <f t="shared" ref="BN199:BN262" si="170">ROUND(AN199*Service_Tax_Rate*Flag_Service_Tax,Round)+ROUND(AN199*Cess1_Rate*Flag_Service_Tax,Round)+ROUND(AN199*Cess2_Rate*Flag_Service_Tax,Round)</f>
        <v>0</v>
      </c>
      <c r="BO199" s="51">
        <f t="shared" ref="BO199:BO262" ca="1" si="171">AQ199*Service_Tax_Rate*Flag_Service_Tax+AQ199*Cess1_Rate*Flag_Service_Tax+AQ199*Cess2_Rate*Flag_Service_Tax</f>
        <v>0</v>
      </c>
      <c r="BP199" s="51">
        <f t="shared" ref="BP199:BP262" ca="1" si="172">SUM(BG199:BO199)</f>
        <v>0</v>
      </c>
      <c r="BQ199" s="120"/>
      <c r="BR199" s="32"/>
      <c r="BS199" s="126"/>
      <c r="BT199" s="16"/>
      <c r="BU199" s="58"/>
      <c r="BW199" s="51">
        <f>VLOOKUP(H199,Charges!$AT$4:$AU$33,2,FALSE)*I199</f>
        <v>0</v>
      </c>
      <c r="BX199" s="51">
        <f t="shared" ref="BX199:BX262" si="173">AJ199*Commission_TOPUP</f>
        <v>0</v>
      </c>
      <c r="BY199" s="51">
        <f t="shared" si="137"/>
        <v>0</v>
      </c>
      <c r="BZ199" s="151"/>
      <c r="CA199" s="151"/>
      <c r="CB199" s="32"/>
      <c r="CC199" s="16">
        <f ca="1">SUM($N$7:$N199)</f>
        <v>0</v>
      </c>
      <c r="CD199" s="16">
        <f t="shared" ref="CD199:CD262" ca="1" si="174">IF(AND((B199=1)*(H199&gt;Lock_In_Period)),CC199-INDEX($CC$7:$CC$367,D199-24,1),0)*(E199&lt;60)</f>
        <v>0</v>
      </c>
      <c r="CE199" s="16">
        <f t="shared" ref="CE199:CE262" ca="1" si="175">(B199=1)*(H199&gt;Lock_In_Period)*(E199&gt;=60)*IFERROR((CC199-INDEX($CC$7:$CC$367,D199-24,1)),0)</f>
        <v>0</v>
      </c>
      <c r="CF199" s="7">
        <f t="shared" ca="1" si="138"/>
        <v>0</v>
      </c>
    </row>
    <row r="200" spans="1:84" s="7" customFormat="1" x14ac:dyDescent="0.2">
      <c r="A200" s="149"/>
      <c r="B200" s="14">
        <f t="shared" si="144"/>
        <v>0</v>
      </c>
      <c r="C200" s="12">
        <f t="shared" si="145"/>
        <v>0</v>
      </c>
      <c r="D200" s="17">
        <f t="shared" si="139"/>
        <v>194</v>
      </c>
      <c r="E200" s="17">
        <f t="shared" ca="1" si="146"/>
        <v>76</v>
      </c>
      <c r="F200" s="12">
        <f t="shared" si="141"/>
        <v>1</v>
      </c>
      <c r="G200" s="12">
        <f t="shared" si="140"/>
        <v>33</v>
      </c>
      <c r="H200" s="17">
        <f t="shared" si="142"/>
        <v>17</v>
      </c>
      <c r="I200" s="29">
        <f t="shared" si="147"/>
        <v>0</v>
      </c>
      <c r="J200" s="211">
        <f>IFERROR(VLOOKUP(H200,Charges!$T$6:$U$35,2,0)*C200,0)</f>
        <v>0</v>
      </c>
      <c r="K200" s="29">
        <f t="shared" si="148"/>
        <v>0</v>
      </c>
      <c r="L200" s="29">
        <f t="shared" si="149"/>
        <v>0</v>
      </c>
      <c r="M200" s="147">
        <f t="shared" ca="1" si="150"/>
        <v>0</v>
      </c>
      <c r="N200" s="148">
        <f ca="1">IF(AND(Option_SPW="Y",Z199&gt;=SPW_Start_Min_FV,H200&gt;=Lock_In_Period,Z199&gt;SPW_Amount_pa+IF(option="Single",1/5*pr,2*pr),H200&gt;=SPW_Start_Year,H200&lt;=SPW_Start_Year+SPW_Duration-1,F200=0,age+H200&gt;=Legal_Age),SPW_Amount_pa,0)+IFERROR(VLOOKUP(H200,Input!$B$68:$C$74,2,0),0)*(F200=0)*(Option_PW="Y")*(Option_SPW="N")*(age+H200&gt;=Legal_Age)</f>
        <v>0</v>
      </c>
      <c r="O200" s="148">
        <f t="shared" ref="O200:O263" ca="1" si="176">IF(N200&lt;=M200,0,1)</f>
        <v>0</v>
      </c>
      <c r="P200" s="14">
        <f ca="1">(MAX(MAX(sa-CF199*Flag_UL_Type,105%*SUM($I$7:I200))-(AD199+L200-N200)*Flag_UL_Type,0)*B200)</f>
        <v>0</v>
      </c>
      <c r="Q200" s="213">
        <f t="shared" si="151"/>
        <v>0</v>
      </c>
      <c r="R200" s="14">
        <f t="shared" ca="1" si="152"/>
        <v>0</v>
      </c>
      <c r="S200" s="14">
        <f t="shared" ca="1" si="153"/>
        <v>0</v>
      </c>
      <c r="T200" s="14">
        <f>IFERROR(IF(WoP_Flag="Y",IF(fq=1,VLOOKUP(ppt*fq-H200,Charges!$AN$41:$AO$59,2,FALSE),IF(fq=2,VLOOKUP(ppt*fq-G200,Charges!$AP$41:$AQ$79,2,FALSE),VLOOKUP(ppt*fq-D200,Charges!$AR$41:$AS$279,2,FALSE)))*pr/fq,0),0)</f>
        <v>0</v>
      </c>
      <c r="U200" s="14">
        <f ca="1">IFERROR(((T200*(VLOOKUP(Input!$D$18+H200-1,Tab_Mort_Charge,IF(Gender_2="M",2,3),FALSE)*(1+_emr2)+_rpm2)/IF(Model_Type="LA_PQIS",1000/0.0833,(12*1000))))*Flag_Mort_Rider_Charge*(T200&gt;0),0)</f>
        <v>0</v>
      </c>
      <c r="V200" s="34">
        <f>ROUND(MIN(IF(H200&gt;=7,Charges!$C$12*(1+Charges!$C$14)^((H200-7+1)),VLOOKUP(H200,Charges!$B$7:$C$12,2,0))*pr,Charges!$C$13)*B200,Round)</f>
        <v>0</v>
      </c>
      <c r="W200" s="14">
        <f t="shared" ca="1" si="154"/>
        <v>0</v>
      </c>
      <c r="X200" s="14">
        <f t="shared" ca="1" si="155"/>
        <v>0</v>
      </c>
      <c r="Y200" s="213">
        <f t="shared" ref="Y200:Y263" ca="1" si="177">X200*$Y$2</f>
        <v>0</v>
      </c>
      <c r="Z200" s="14">
        <f t="shared" ca="1" si="156"/>
        <v>0</v>
      </c>
      <c r="AA200" s="14">
        <f>IF(AND($H200=pt,$F200=11),SUM($K$7:K200)*VLOOKUP(pt,ROC,2,FALSE),0)</f>
        <v>0</v>
      </c>
      <c r="AB200" s="14">
        <f>IF(AND($H200=pt,$F200=11),SUM($V$7:V200)*VLOOKUP(pt,ROC,2,FALSE),0)</f>
        <v>0</v>
      </c>
      <c r="AC200" s="14">
        <f>IF(AND($H200=pt,$F200=11),SUM($Q$7:Q200)*VLOOKUP(pt,ROC,2,FALSE),0)</f>
        <v>0</v>
      </c>
      <c r="AD200" s="14">
        <f t="shared" ref="AD200:AD263" ca="1" si="178">Z200+AA200+AB200+AC200</f>
        <v>0</v>
      </c>
      <c r="AE200" s="14">
        <f ca="1">(MAX(sa-CF199*Flag_UL_Type,105%*SUM($I$7:I200),Z200)+AU200)*B200</f>
        <v>0</v>
      </c>
      <c r="AF200" s="136"/>
      <c r="AG200" s="18">
        <v>194</v>
      </c>
      <c r="AH200" s="30">
        <f t="shared" ca="1" si="157"/>
        <v>0</v>
      </c>
      <c r="AI200" s="58"/>
      <c r="AJ200" s="50">
        <f>IF(AND(Option_Sys_TopUp&gt;="Y",H200&gt;=sytp,H200&lt;=(dtp+sytp-1),F200=0,H200&lt;=ppt+1),atp,0)+IFERROR(VLOOKUP(H200,Input!$B$55:$C$61,2,0),0)*(F200=0)*(Option_TopUP="Y")*(Option_Sys_TopUp="N")*B200*(pt&gt;=H200+5)</f>
        <v>0</v>
      </c>
      <c r="AK200" s="50">
        <f t="shared" si="158"/>
        <v>0</v>
      </c>
      <c r="AL200" s="50">
        <f t="shared" ref="AL200:AL263" si="179">AJ200-(AK200+BM200*0)</f>
        <v>0</v>
      </c>
      <c r="AM200" s="50">
        <f t="shared" ca="1" si="159"/>
        <v>0</v>
      </c>
      <c r="AN200" s="50">
        <f>IF(B200=0,0,AT200*(_rpm1+(1+_emr1)*VLOOKUP(E200,Tab_Mort_Charge,IF(Input!$C$12="M",2,3),0))*(0.001*0.0833)*Flag_Mort_Rider_Charge*(AT200&gt;0))</f>
        <v>0</v>
      </c>
      <c r="AO200" s="50">
        <f t="shared" ref="AO200:AO263" ca="1" si="180">AM200-AN200-BM200*1-BN200*1</f>
        <v>0</v>
      </c>
      <c r="AP200" s="50">
        <f t="shared" ca="1" si="143"/>
        <v>0</v>
      </c>
      <c r="AQ200" s="50">
        <f t="shared" ca="1" si="160"/>
        <v>0</v>
      </c>
      <c r="AR200" s="50">
        <f t="shared" ca="1" si="161"/>
        <v>0</v>
      </c>
      <c r="AS200" s="50">
        <f t="shared" si="162"/>
        <v>0</v>
      </c>
      <c r="AT200" s="50">
        <f ca="1">(MAX((MAX(AS200,105%*SUM($AJ$7:AJ200))-AM200*Flag_UL_Type),0)*B200)</f>
        <v>0</v>
      </c>
      <c r="AU200" s="50">
        <f ca="1">(MAX(AS200,AR200,105%*SUM($AJ$7:AJ200))*B200)</f>
        <v>0</v>
      </c>
      <c r="AV200" s="125"/>
      <c r="AW200" s="13"/>
      <c r="AX200" s="13"/>
      <c r="AY200" s="13"/>
      <c r="AZ200" s="13"/>
      <c r="BA200" s="13"/>
      <c r="BG200" s="51">
        <f t="shared" si="163"/>
        <v>0</v>
      </c>
      <c r="BH200" s="51">
        <f t="shared" si="164"/>
        <v>0</v>
      </c>
      <c r="BI200" s="51">
        <f t="shared" ca="1" si="165"/>
        <v>0</v>
      </c>
      <c r="BJ200" s="51">
        <f t="shared" ca="1" si="166"/>
        <v>0</v>
      </c>
      <c r="BK200" s="51">
        <f t="shared" si="167"/>
        <v>0</v>
      </c>
      <c r="BL200" s="51">
        <f t="shared" ca="1" si="168"/>
        <v>0</v>
      </c>
      <c r="BM200" s="51">
        <f t="shared" si="169"/>
        <v>0</v>
      </c>
      <c r="BN200" s="51">
        <f t="shared" si="170"/>
        <v>0</v>
      </c>
      <c r="BO200" s="51">
        <f t="shared" ca="1" si="171"/>
        <v>0</v>
      </c>
      <c r="BP200" s="51">
        <f t="shared" ca="1" si="172"/>
        <v>0</v>
      </c>
      <c r="BQ200" s="120"/>
      <c r="BR200" s="32"/>
      <c r="BS200" s="126"/>
      <c r="BT200" s="16"/>
      <c r="BU200" s="58"/>
      <c r="BW200" s="51">
        <f>VLOOKUP(H200,Charges!$AT$4:$AU$33,2,FALSE)*I200</f>
        <v>0</v>
      </c>
      <c r="BX200" s="51">
        <f t="shared" si="173"/>
        <v>0</v>
      </c>
      <c r="BY200" s="51">
        <f t="shared" ref="BY200:BY263" si="181">SUM(BW200:BX200)</f>
        <v>0</v>
      </c>
      <c r="BZ200" s="151"/>
      <c r="CA200" s="151"/>
      <c r="CB200" s="32"/>
      <c r="CC200" s="16">
        <f ca="1">SUM($N$7:$N200)</f>
        <v>0</v>
      </c>
      <c r="CD200" s="16">
        <f t="shared" ca="1" si="174"/>
        <v>0</v>
      </c>
      <c r="CE200" s="16">
        <f t="shared" ca="1" si="175"/>
        <v>0</v>
      </c>
      <c r="CF200" s="7">
        <f t="shared" ref="CF200:CF263" ca="1" si="182">IF(E200&lt;60,CD200,CE200)</f>
        <v>0</v>
      </c>
    </row>
    <row r="201" spans="1:84" s="7" customFormat="1" x14ac:dyDescent="0.2">
      <c r="A201" s="149"/>
      <c r="B201" s="14">
        <f t="shared" si="144"/>
        <v>0</v>
      </c>
      <c r="C201" s="12">
        <f t="shared" si="145"/>
        <v>0</v>
      </c>
      <c r="D201" s="17">
        <f t="shared" ref="D201:D264" si="183">D200+1</f>
        <v>195</v>
      </c>
      <c r="E201" s="17">
        <f t="shared" ca="1" si="146"/>
        <v>76</v>
      </c>
      <c r="F201" s="12">
        <f t="shared" si="141"/>
        <v>2</v>
      </c>
      <c r="G201" s="12">
        <f t="shared" si="140"/>
        <v>33</v>
      </c>
      <c r="H201" s="17">
        <f t="shared" si="142"/>
        <v>17</v>
      </c>
      <c r="I201" s="29">
        <f t="shared" si="147"/>
        <v>0</v>
      </c>
      <c r="J201" s="211">
        <f>IFERROR(VLOOKUP(H201,Charges!$T$6:$U$35,2,0)*C201,0)</f>
        <v>0</v>
      </c>
      <c r="K201" s="29">
        <f t="shared" si="148"/>
        <v>0</v>
      </c>
      <c r="L201" s="29">
        <f t="shared" si="149"/>
        <v>0</v>
      </c>
      <c r="M201" s="147">
        <f t="shared" ca="1" si="150"/>
        <v>0</v>
      </c>
      <c r="N201" s="148">
        <f ca="1">IF(AND(Option_SPW="Y",Z200&gt;=SPW_Start_Min_FV,H201&gt;=Lock_In_Period,Z200&gt;SPW_Amount_pa+IF(option="Single",1/5*pr,2*pr),H201&gt;=SPW_Start_Year,H201&lt;=SPW_Start_Year+SPW_Duration-1,F201=0,age+H201&gt;=Legal_Age),SPW_Amount_pa,0)+IFERROR(VLOOKUP(H201,Input!$B$68:$C$74,2,0),0)*(F201=0)*(Option_PW="Y")*(Option_SPW="N")*(age+H201&gt;=Legal_Age)</f>
        <v>0</v>
      </c>
      <c r="O201" s="148">
        <f t="shared" ca="1" si="176"/>
        <v>0</v>
      </c>
      <c r="P201" s="14">
        <f ca="1">(MAX(MAX(sa-CF200*Flag_UL_Type,105%*SUM($I$7:I201))-(AD200+L201-N201)*Flag_UL_Type,0)*B201)</f>
        <v>0</v>
      </c>
      <c r="Q201" s="213">
        <f t="shared" si="151"/>
        <v>0</v>
      </c>
      <c r="R201" s="14">
        <f t="shared" ca="1" si="152"/>
        <v>0</v>
      </c>
      <c r="S201" s="14">
        <f t="shared" ca="1" si="153"/>
        <v>0</v>
      </c>
      <c r="T201" s="14">
        <f>IFERROR(IF(WoP_Flag="Y",IF(fq=1,VLOOKUP(ppt*fq-H201,Charges!$AN$41:$AO$59,2,FALSE),IF(fq=2,VLOOKUP(ppt*fq-G201,Charges!$AP$41:$AQ$79,2,FALSE),VLOOKUP(ppt*fq-D201,Charges!$AR$41:$AS$279,2,FALSE)))*pr/fq,0),0)</f>
        <v>0</v>
      </c>
      <c r="U201" s="14">
        <f ca="1">IFERROR(((T201*(VLOOKUP(Input!$D$18+H201-1,Tab_Mort_Charge,IF(Gender_2="M",2,3),FALSE)*(1+_emr2)+_rpm2)/IF(Model_Type="LA_PQIS",1000/0.0833,(12*1000))))*Flag_Mort_Rider_Charge*(T201&gt;0),0)</f>
        <v>0</v>
      </c>
      <c r="V201" s="34">
        <f>ROUND(MIN(IF(H201&gt;=7,Charges!$C$12*(1+Charges!$C$14)^((H201-7+1)),VLOOKUP(H201,Charges!$B$7:$C$12,2,0))*pr,Charges!$C$13)*B201,Round)</f>
        <v>0</v>
      </c>
      <c r="W201" s="14">
        <f t="shared" ca="1" si="154"/>
        <v>0</v>
      </c>
      <c r="X201" s="14">
        <f t="shared" ca="1" si="155"/>
        <v>0</v>
      </c>
      <c r="Y201" s="213">
        <f t="shared" ca="1" si="177"/>
        <v>0</v>
      </c>
      <c r="Z201" s="14">
        <f t="shared" ca="1" si="156"/>
        <v>0</v>
      </c>
      <c r="AA201" s="14">
        <f>IF(AND($H201=pt,$F201=11),SUM($K$7:K201)*VLOOKUP(pt,ROC,2,FALSE),0)</f>
        <v>0</v>
      </c>
      <c r="AB201" s="14">
        <f>IF(AND($H201=pt,$F201=11),SUM($V$7:V201)*VLOOKUP(pt,ROC,2,FALSE),0)</f>
        <v>0</v>
      </c>
      <c r="AC201" s="14">
        <f>IF(AND($H201=pt,$F201=11),SUM($Q$7:Q201)*VLOOKUP(pt,ROC,2,FALSE),0)</f>
        <v>0</v>
      </c>
      <c r="AD201" s="14">
        <f t="shared" ca="1" si="178"/>
        <v>0</v>
      </c>
      <c r="AE201" s="14">
        <f ca="1">(MAX(sa-CF200*Flag_UL_Type,105%*SUM($I$7:I201),Z201)+AU201)*B201</f>
        <v>0</v>
      </c>
      <c r="AF201" s="136"/>
      <c r="AG201" s="18">
        <v>195</v>
      </c>
      <c r="AH201" s="30">
        <f t="shared" ca="1" si="157"/>
        <v>0</v>
      </c>
      <c r="AI201" s="58"/>
      <c r="AJ201" s="50">
        <f>IF(AND(Option_Sys_TopUp&gt;="Y",H201&gt;=sytp,H201&lt;=(dtp+sytp-1),F201=0,H201&lt;=ppt+1),atp,0)+IFERROR(VLOOKUP(H201,Input!$B$55:$C$61,2,0),0)*(F201=0)*(Option_TopUP="Y")*(Option_Sys_TopUp="N")*B201*(pt&gt;=H201+5)</f>
        <v>0</v>
      </c>
      <c r="AK201" s="50">
        <f t="shared" si="158"/>
        <v>0</v>
      </c>
      <c r="AL201" s="50">
        <f t="shared" si="179"/>
        <v>0</v>
      </c>
      <c r="AM201" s="50">
        <f t="shared" ca="1" si="159"/>
        <v>0</v>
      </c>
      <c r="AN201" s="50">
        <f>IF(B201=0,0,AT201*(_rpm1+(1+_emr1)*VLOOKUP(E201,Tab_Mort_Charge,IF(Input!$C$12="M",2,3),0))*(0.001*0.0833)*Flag_Mort_Rider_Charge*(AT201&gt;0))</f>
        <v>0</v>
      </c>
      <c r="AO201" s="50">
        <f t="shared" ca="1" si="180"/>
        <v>0</v>
      </c>
      <c r="AP201" s="50">
        <f t="shared" ca="1" si="143"/>
        <v>0</v>
      </c>
      <c r="AQ201" s="50">
        <f t="shared" ca="1" si="160"/>
        <v>0</v>
      </c>
      <c r="AR201" s="50">
        <f t="shared" ca="1" si="161"/>
        <v>0</v>
      </c>
      <c r="AS201" s="50">
        <f t="shared" si="162"/>
        <v>0</v>
      </c>
      <c r="AT201" s="50">
        <f ca="1">(MAX((MAX(AS201,105%*SUM($AJ$7:AJ201))-AM201*Flag_UL_Type),0)*B201)</f>
        <v>0</v>
      </c>
      <c r="AU201" s="50">
        <f ca="1">(MAX(AS201,AR201,105%*SUM($AJ$7:AJ201))*B201)</f>
        <v>0</v>
      </c>
      <c r="AV201" s="125"/>
      <c r="AW201" s="13"/>
      <c r="AX201" s="13"/>
      <c r="AY201" s="13"/>
      <c r="AZ201" s="13"/>
      <c r="BA201" s="13"/>
      <c r="BG201" s="51">
        <f t="shared" si="163"/>
        <v>0</v>
      </c>
      <c r="BH201" s="51">
        <f t="shared" si="164"/>
        <v>0</v>
      </c>
      <c r="BI201" s="51">
        <f t="shared" ca="1" si="165"/>
        <v>0</v>
      </c>
      <c r="BJ201" s="51">
        <f t="shared" ca="1" si="166"/>
        <v>0</v>
      </c>
      <c r="BK201" s="51">
        <f t="shared" si="167"/>
        <v>0</v>
      </c>
      <c r="BL201" s="51">
        <f t="shared" ca="1" si="168"/>
        <v>0</v>
      </c>
      <c r="BM201" s="51">
        <f t="shared" si="169"/>
        <v>0</v>
      </c>
      <c r="BN201" s="51">
        <f t="shared" si="170"/>
        <v>0</v>
      </c>
      <c r="BO201" s="51">
        <f t="shared" ca="1" si="171"/>
        <v>0</v>
      </c>
      <c r="BP201" s="51">
        <f t="shared" ca="1" si="172"/>
        <v>0</v>
      </c>
      <c r="BQ201" s="120"/>
      <c r="BR201" s="32"/>
      <c r="BS201" s="126"/>
      <c r="BT201" s="16"/>
      <c r="BU201" s="58"/>
      <c r="BW201" s="51">
        <f>VLOOKUP(H201,Charges!$AT$4:$AU$33,2,FALSE)*I201</f>
        <v>0</v>
      </c>
      <c r="BX201" s="51">
        <f t="shared" si="173"/>
        <v>0</v>
      </c>
      <c r="BY201" s="51">
        <f t="shared" si="181"/>
        <v>0</v>
      </c>
      <c r="BZ201" s="151"/>
      <c r="CA201" s="151"/>
      <c r="CB201" s="32"/>
      <c r="CC201" s="16">
        <f ca="1">SUM($N$7:$N201)</f>
        <v>0</v>
      </c>
      <c r="CD201" s="16">
        <f t="shared" ca="1" si="174"/>
        <v>0</v>
      </c>
      <c r="CE201" s="16">
        <f t="shared" ca="1" si="175"/>
        <v>0</v>
      </c>
      <c r="CF201" s="7">
        <f t="shared" ca="1" si="182"/>
        <v>0</v>
      </c>
    </row>
    <row r="202" spans="1:84" s="7" customFormat="1" x14ac:dyDescent="0.2">
      <c r="A202" s="149"/>
      <c r="B202" s="14">
        <f t="shared" si="144"/>
        <v>0</v>
      </c>
      <c r="C202" s="12">
        <f t="shared" si="145"/>
        <v>0</v>
      </c>
      <c r="D202" s="17">
        <f t="shared" si="183"/>
        <v>196</v>
      </c>
      <c r="E202" s="17">
        <f t="shared" ca="1" si="146"/>
        <v>76</v>
      </c>
      <c r="F202" s="12">
        <f t="shared" si="141"/>
        <v>3</v>
      </c>
      <c r="G202" s="12">
        <f t="shared" si="140"/>
        <v>33</v>
      </c>
      <c r="H202" s="17">
        <f t="shared" si="142"/>
        <v>17</v>
      </c>
      <c r="I202" s="29">
        <f t="shared" si="147"/>
        <v>0</v>
      </c>
      <c r="J202" s="211">
        <f>IFERROR(VLOOKUP(H202,Charges!$T$6:$U$35,2,0)*C202,0)</f>
        <v>0</v>
      </c>
      <c r="K202" s="29">
        <f t="shared" si="148"/>
        <v>0</v>
      </c>
      <c r="L202" s="29">
        <f t="shared" si="149"/>
        <v>0</v>
      </c>
      <c r="M202" s="147">
        <f t="shared" ca="1" si="150"/>
        <v>0</v>
      </c>
      <c r="N202" s="148">
        <f ca="1">IF(AND(Option_SPW="Y",Z201&gt;=SPW_Start_Min_FV,H202&gt;=Lock_In_Period,Z201&gt;SPW_Amount_pa+IF(option="Single",1/5*pr,2*pr),H202&gt;=SPW_Start_Year,H202&lt;=SPW_Start_Year+SPW_Duration-1,F202=0,age+H202&gt;=Legal_Age),SPW_Amount_pa,0)+IFERROR(VLOOKUP(H202,Input!$B$68:$C$74,2,0),0)*(F202=0)*(Option_PW="Y")*(Option_SPW="N")*(age+H202&gt;=Legal_Age)</f>
        <v>0</v>
      </c>
      <c r="O202" s="148">
        <f t="shared" ca="1" si="176"/>
        <v>0</v>
      </c>
      <c r="P202" s="14">
        <f ca="1">(MAX(MAX(sa-CF201*Flag_UL_Type,105%*SUM($I$7:I202))-(AD201+L202-N202)*Flag_UL_Type,0)*B202)</f>
        <v>0</v>
      </c>
      <c r="Q202" s="213">
        <f t="shared" si="151"/>
        <v>0</v>
      </c>
      <c r="R202" s="14">
        <f t="shared" ca="1" si="152"/>
        <v>0</v>
      </c>
      <c r="S202" s="14">
        <f t="shared" ca="1" si="153"/>
        <v>0</v>
      </c>
      <c r="T202" s="14">
        <f>IFERROR(IF(WoP_Flag="Y",IF(fq=1,VLOOKUP(ppt*fq-H202,Charges!$AN$41:$AO$59,2,FALSE),IF(fq=2,VLOOKUP(ppt*fq-G202,Charges!$AP$41:$AQ$79,2,FALSE),VLOOKUP(ppt*fq-D202,Charges!$AR$41:$AS$279,2,FALSE)))*pr/fq,0),0)</f>
        <v>0</v>
      </c>
      <c r="U202" s="14">
        <f ca="1">IFERROR(((T202*(VLOOKUP(Input!$D$18+H202-1,Tab_Mort_Charge,IF(Gender_2="M",2,3),FALSE)*(1+_emr2)+_rpm2)/IF(Model_Type="LA_PQIS",1000/0.0833,(12*1000))))*Flag_Mort_Rider_Charge*(T202&gt;0),0)</f>
        <v>0</v>
      </c>
      <c r="V202" s="34">
        <f>ROUND(MIN(IF(H202&gt;=7,Charges!$C$12*(1+Charges!$C$14)^((H202-7+1)),VLOOKUP(H202,Charges!$B$7:$C$12,2,0))*pr,Charges!$C$13)*B202,Round)</f>
        <v>0</v>
      </c>
      <c r="W202" s="14">
        <f t="shared" ca="1" si="154"/>
        <v>0</v>
      </c>
      <c r="X202" s="14">
        <f t="shared" ca="1" si="155"/>
        <v>0</v>
      </c>
      <c r="Y202" s="213">
        <f t="shared" ca="1" si="177"/>
        <v>0</v>
      </c>
      <c r="Z202" s="14">
        <f t="shared" ca="1" si="156"/>
        <v>0</v>
      </c>
      <c r="AA202" s="14">
        <f>IF(AND($H202=pt,$F202=11),SUM($K$7:K202)*VLOOKUP(pt,ROC,2,FALSE),0)</f>
        <v>0</v>
      </c>
      <c r="AB202" s="14">
        <f>IF(AND($H202=pt,$F202=11),SUM($V$7:V202)*VLOOKUP(pt,ROC,2,FALSE),0)</f>
        <v>0</v>
      </c>
      <c r="AC202" s="14">
        <f>IF(AND($H202=pt,$F202=11),SUM($Q$7:Q202)*VLOOKUP(pt,ROC,2,FALSE),0)</f>
        <v>0</v>
      </c>
      <c r="AD202" s="14">
        <f t="shared" ca="1" si="178"/>
        <v>0</v>
      </c>
      <c r="AE202" s="14">
        <f ca="1">(MAX(sa-CF201*Flag_UL_Type,105%*SUM($I$7:I202),Z202)+AU202)*B202</f>
        <v>0</v>
      </c>
      <c r="AF202" s="136"/>
      <c r="AG202" s="18">
        <v>196</v>
      </c>
      <c r="AH202" s="30">
        <f t="shared" ca="1" si="157"/>
        <v>0</v>
      </c>
      <c r="AI202" s="58"/>
      <c r="AJ202" s="50">
        <f>IF(AND(Option_Sys_TopUp&gt;="Y",H202&gt;=sytp,H202&lt;=(dtp+sytp-1),F202=0,H202&lt;=ppt+1),atp,0)+IFERROR(VLOOKUP(H202,Input!$B$55:$C$61,2,0),0)*(F202=0)*(Option_TopUP="Y")*(Option_Sys_TopUp="N")*B202*(pt&gt;=H202+5)</f>
        <v>0</v>
      </c>
      <c r="AK202" s="50">
        <f t="shared" si="158"/>
        <v>0</v>
      </c>
      <c r="AL202" s="50">
        <f t="shared" si="179"/>
        <v>0</v>
      </c>
      <c r="AM202" s="50">
        <f t="shared" ca="1" si="159"/>
        <v>0</v>
      </c>
      <c r="AN202" s="50">
        <f>IF(B202=0,0,AT202*(_rpm1+(1+_emr1)*VLOOKUP(E202,Tab_Mort_Charge,IF(Input!$C$12="M",2,3),0))*(0.001*0.0833)*Flag_Mort_Rider_Charge*(AT202&gt;0))</f>
        <v>0</v>
      </c>
      <c r="AO202" s="50">
        <f t="shared" ca="1" si="180"/>
        <v>0</v>
      </c>
      <c r="AP202" s="50">
        <f t="shared" ca="1" si="143"/>
        <v>0</v>
      </c>
      <c r="AQ202" s="50">
        <f t="shared" ca="1" si="160"/>
        <v>0</v>
      </c>
      <c r="AR202" s="50">
        <f t="shared" ca="1" si="161"/>
        <v>0</v>
      </c>
      <c r="AS202" s="50">
        <f t="shared" si="162"/>
        <v>0</v>
      </c>
      <c r="AT202" s="50">
        <f ca="1">(MAX((MAX(AS202,105%*SUM($AJ$7:AJ202))-AM202*Flag_UL_Type),0)*B202)</f>
        <v>0</v>
      </c>
      <c r="AU202" s="50">
        <f ca="1">(MAX(AS202,AR202,105%*SUM($AJ$7:AJ202))*B202)</f>
        <v>0</v>
      </c>
      <c r="AV202" s="125"/>
      <c r="AW202" s="13"/>
      <c r="AX202" s="13"/>
      <c r="AY202" s="13"/>
      <c r="AZ202" s="13"/>
      <c r="BA202" s="13"/>
      <c r="BG202" s="51">
        <f t="shared" si="163"/>
        <v>0</v>
      </c>
      <c r="BH202" s="51">
        <f t="shared" si="164"/>
        <v>0</v>
      </c>
      <c r="BI202" s="51">
        <f t="shared" ca="1" si="165"/>
        <v>0</v>
      </c>
      <c r="BJ202" s="51">
        <f t="shared" ca="1" si="166"/>
        <v>0</v>
      </c>
      <c r="BK202" s="51">
        <f t="shared" si="167"/>
        <v>0</v>
      </c>
      <c r="BL202" s="51">
        <f t="shared" ca="1" si="168"/>
        <v>0</v>
      </c>
      <c r="BM202" s="51">
        <f t="shared" si="169"/>
        <v>0</v>
      </c>
      <c r="BN202" s="51">
        <f t="shared" si="170"/>
        <v>0</v>
      </c>
      <c r="BO202" s="51">
        <f t="shared" ca="1" si="171"/>
        <v>0</v>
      </c>
      <c r="BP202" s="51">
        <f t="shared" ca="1" si="172"/>
        <v>0</v>
      </c>
      <c r="BQ202" s="120"/>
      <c r="BR202" s="32"/>
      <c r="BS202" s="126"/>
      <c r="BT202" s="16"/>
      <c r="BU202" s="58"/>
      <c r="BW202" s="51">
        <f>VLOOKUP(H202,Charges!$AT$4:$AU$33,2,FALSE)*I202</f>
        <v>0</v>
      </c>
      <c r="BX202" s="51">
        <f t="shared" si="173"/>
        <v>0</v>
      </c>
      <c r="BY202" s="51">
        <f t="shared" si="181"/>
        <v>0</v>
      </c>
      <c r="BZ202" s="151"/>
      <c r="CA202" s="151"/>
      <c r="CB202" s="32"/>
      <c r="CC202" s="16">
        <f ca="1">SUM($N$7:$N202)</f>
        <v>0</v>
      </c>
      <c r="CD202" s="16">
        <f t="shared" ca="1" si="174"/>
        <v>0</v>
      </c>
      <c r="CE202" s="16">
        <f t="shared" ca="1" si="175"/>
        <v>0</v>
      </c>
      <c r="CF202" s="7">
        <f t="shared" ca="1" si="182"/>
        <v>0</v>
      </c>
    </row>
    <row r="203" spans="1:84" s="7" customFormat="1" x14ac:dyDescent="0.2">
      <c r="A203" s="149"/>
      <c r="B203" s="14">
        <f t="shared" si="144"/>
        <v>0</v>
      </c>
      <c r="C203" s="12">
        <f t="shared" si="145"/>
        <v>0</v>
      </c>
      <c r="D203" s="17">
        <f t="shared" si="183"/>
        <v>197</v>
      </c>
      <c r="E203" s="17">
        <f t="shared" ca="1" si="146"/>
        <v>76</v>
      </c>
      <c r="F203" s="12">
        <f t="shared" si="141"/>
        <v>4</v>
      </c>
      <c r="G203" s="12">
        <f t="shared" si="140"/>
        <v>33</v>
      </c>
      <c r="H203" s="17">
        <f t="shared" si="142"/>
        <v>17</v>
      </c>
      <c r="I203" s="29">
        <f t="shared" si="147"/>
        <v>0</v>
      </c>
      <c r="J203" s="211">
        <f>IFERROR(VLOOKUP(H203,Charges!$T$6:$U$35,2,0)*C203,0)</f>
        <v>0</v>
      </c>
      <c r="K203" s="29">
        <f t="shared" si="148"/>
        <v>0</v>
      </c>
      <c r="L203" s="29">
        <f t="shared" si="149"/>
        <v>0</v>
      </c>
      <c r="M203" s="147">
        <f t="shared" ca="1" si="150"/>
        <v>0</v>
      </c>
      <c r="N203" s="148">
        <f ca="1">IF(AND(Option_SPW="Y",Z202&gt;=SPW_Start_Min_FV,H203&gt;=Lock_In_Period,Z202&gt;SPW_Amount_pa+IF(option="Single",1/5*pr,2*pr),H203&gt;=SPW_Start_Year,H203&lt;=SPW_Start_Year+SPW_Duration-1,F203=0,age+H203&gt;=Legal_Age),SPW_Amount_pa,0)+IFERROR(VLOOKUP(H203,Input!$B$68:$C$74,2,0),0)*(F203=0)*(Option_PW="Y")*(Option_SPW="N")*(age+H203&gt;=Legal_Age)</f>
        <v>0</v>
      </c>
      <c r="O203" s="148">
        <f t="shared" ca="1" si="176"/>
        <v>0</v>
      </c>
      <c r="P203" s="14">
        <f ca="1">(MAX(MAX(sa-CF202*Flag_UL_Type,105%*SUM($I$7:I203))-(AD202+L203-N203)*Flag_UL_Type,0)*B203)</f>
        <v>0</v>
      </c>
      <c r="Q203" s="213">
        <f t="shared" si="151"/>
        <v>0</v>
      </c>
      <c r="R203" s="14">
        <f t="shared" ca="1" si="152"/>
        <v>0</v>
      </c>
      <c r="S203" s="14">
        <f t="shared" ca="1" si="153"/>
        <v>0</v>
      </c>
      <c r="T203" s="14">
        <f>IFERROR(IF(WoP_Flag="Y",IF(fq=1,VLOOKUP(ppt*fq-H203,Charges!$AN$41:$AO$59,2,FALSE),IF(fq=2,VLOOKUP(ppt*fq-G203,Charges!$AP$41:$AQ$79,2,FALSE),VLOOKUP(ppt*fq-D203,Charges!$AR$41:$AS$279,2,FALSE)))*pr/fq,0),0)</f>
        <v>0</v>
      </c>
      <c r="U203" s="14">
        <f ca="1">IFERROR(((T203*(VLOOKUP(Input!$D$18+H203-1,Tab_Mort_Charge,IF(Gender_2="M",2,3),FALSE)*(1+_emr2)+_rpm2)/IF(Model_Type="LA_PQIS",1000/0.0833,(12*1000))))*Flag_Mort_Rider_Charge*(T203&gt;0),0)</f>
        <v>0</v>
      </c>
      <c r="V203" s="34">
        <f>ROUND(MIN(IF(H203&gt;=7,Charges!$C$12*(1+Charges!$C$14)^((H203-7+1)),VLOOKUP(H203,Charges!$B$7:$C$12,2,0))*pr,Charges!$C$13)*B203,Round)</f>
        <v>0</v>
      </c>
      <c r="W203" s="14">
        <f t="shared" ca="1" si="154"/>
        <v>0</v>
      </c>
      <c r="X203" s="14">
        <f t="shared" ca="1" si="155"/>
        <v>0</v>
      </c>
      <c r="Y203" s="213">
        <f t="shared" ca="1" si="177"/>
        <v>0</v>
      </c>
      <c r="Z203" s="14">
        <f t="shared" ca="1" si="156"/>
        <v>0</v>
      </c>
      <c r="AA203" s="14">
        <f>IF(AND($H203=pt,$F203=11),SUM($K$7:K203)*VLOOKUP(pt,ROC,2,FALSE),0)</f>
        <v>0</v>
      </c>
      <c r="AB203" s="14">
        <f>IF(AND($H203=pt,$F203=11),SUM($V$7:V203)*VLOOKUP(pt,ROC,2,FALSE),0)</f>
        <v>0</v>
      </c>
      <c r="AC203" s="14">
        <f>IF(AND($H203=pt,$F203=11),SUM($Q$7:Q203)*VLOOKUP(pt,ROC,2,FALSE),0)</f>
        <v>0</v>
      </c>
      <c r="AD203" s="14">
        <f t="shared" ca="1" si="178"/>
        <v>0</v>
      </c>
      <c r="AE203" s="14">
        <f ca="1">(MAX(sa-CF202*Flag_UL_Type,105%*SUM($I$7:I203),Z203)+AU203)*B203</f>
        <v>0</v>
      </c>
      <c r="AF203" s="136"/>
      <c r="AG203" s="18">
        <v>197</v>
      </c>
      <c r="AH203" s="30">
        <f t="shared" ca="1" si="157"/>
        <v>0</v>
      </c>
      <c r="AI203" s="58"/>
      <c r="AJ203" s="50">
        <f>IF(AND(Option_Sys_TopUp&gt;="Y",H203&gt;=sytp,H203&lt;=(dtp+sytp-1),F203=0,H203&lt;=ppt+1),atp,0)+IFERROR(VLOOKUP(H203,Input!$B$55:$C$61,2,0),0)*(F203=0)*(Option_TopUP="Y")*(Option_Sys_TopUp="N")*B203*(pt&gt;=H203+5)</f>
        <v>0</v>
      </c>
      <c r="AK203" s="50">
        <f t="shared" si="158"/>
        <v>0</v>
      </c>
      <c r="AL203" s="50">
        <f t="shared" si="179"/>
        <v>0</v>
      </c>
      <c r="AM203" s="50">
        <f t="shared" ca="1" si="159"/>
        <v>0</v>
      </c>
      <c r="AN203" s="50">
        <f>IF(B203=0,0,AT203*(_rpm1+(1+_emr1)*VLOOKUP(E203,Tab_Mort_Charge,IF(Input!$C$12="M",2,3),0))*(0.001*0.0833)*Flag_Mort_Rider_Charge*(AT203&gt;0))</f>
        <v>0</v>
      </c>
      <c r="AO203" s="50">
        <f t="shared" ca="1" si="180"/>
        <v>0</v>
      </c>
      <c r="AP203" s="50">
        <f t="shared" ca="1" si="143"/>
        <v>0</v>
      </c>
      <c r="AQ203" s="50">
        <f t="shared" ca="1" si="160"/>
        <v>0</v>
      </c>
      <c r="AR203" s="50">
        <f t="shared" ca="1" si="161"/>
        <v>0</v>
      </c>
      <c r="AS203" s="50">
        <f t="shared" si="162"/>
        <v>0</v>
      </c>
      <c r="AT203" s="50">
        <f ca="1">(MAX((MAX(AS203,105%*SUM($AJ$7:AJ203))-AM203*Flag_UL_Type),0)*B203)</f>
        <v>0</v>
      </c>
      <c r="AU203" s="50">
        <f ca="1">(MAX(AS203,AR203,105%*SUM($AJ$7:AJ203))*B203)</f>
        <v>0</v>
      </c>
      <c r="AV203" s="125"/>
      <c r="AW203" s="13"/>
      <c r="AX203" s="13"/>
      <c r="AY203" s="13"/>
      <c r="AZ203" s="13"/>
      <c r="BA203" s="13"/>
      <c r="BG203" s="51">
        <f t="shared" si="163"/>
        <v>0</v>
      </c>
      <c r="BH203" s="51">
        <f t="shared" si="164"/>
        <v>0</v>
      </c>
      <c r="BI203" s="51">
        <f t="shared" ca="1" si="165"/>
        <v>0</v>
      </c>
      <c r="BJ203" s="51">
        <f t="shared" ca="1" si="166"/>
        <v>0</v>
      </c>
      <c r="BK203" s="51">
        <f t="shared" si="167"/>
        <v>0</v>
      </c>
      <c r="BL203" s="51">
        <f t="shared" ca="1" si="168"/>
        <v>0</v>
      </c>
      <c r="BM203" s="51">
        <f t="shared" si="169"/>
        <v>0</v>
      </c>
      <c r="BN203" s="51">
        <f t="shared" si="170"/>
        <v>0</v>
      </c>
      <c r="BO203" s="51">
        <f t="shared" ca="1" si="171"/>
        <v>0</v>
      </c>
      <c r="BP203" s="51">
        <f t="shared" ca="1" si="172"/>
        <v>0</v>
      </c>
      <c r="BQ203" s="120"/>
      <c r="BR203" s="32"/>
      <c r="BS203" s="126"/>
      <c r="BT203" s="16"/>
      <c r="BU203" s="58"/>
      <c r="BW203" s="51">
        <f>VLOOKUP(H203,Charges!$AT$4:$AU$33,2,FALSE)*I203</f>
        <v>0</v>
      </c>
      <c r="BX203" s="51">
        <f t="shared" si="173"/>
        <v>0</v>
      </c>
      <c r="BY203" s="51">
        <f t="shared" si="181"/>
        <v>0</v>
      </c>
      <c r="BZ203" s="151"/>
      <c r="CA203" s="151"/>
      <c r="CB203" s="32"/>
      <c r="CC203" s="16">
        <f ca="1">SUM($N$7:$N203)</f>
        <v>0</v>
      </c>
      <c r="CD203" s="16">
        <f t="shared" ca="1" si="174"/>
        <v>0</v>
      </c>
      <c r="CE203" s="16">
        <f t="shared" ca="1" si="175"/>
        <v>0</v>
      </c>
      <c r="CF203" s="7">
        <f t="shared" ca="1" si="182"/>
        <v>0</v>
      </c>
    </row>
    <row r="204" spans="1:84" s="7" customFormat="1" x14ac:dyDescent="0.2">
      <c r="A204" s="149"/>
      <c r="B204" s="14">
        <f t="shared" si="144"/>
        <v>0</v>
      </c>
      <c r="C204" s="12">
        <f t="shared" si="145"/>
        <v>0</v>
      </c>
      <c r="D204" s="17">
        <f t="shared" si="183"/>
        <v>198</v>
      </c>
      <c r="E204" s="17">
        <f t="shared" ca="1" si="146"/>
        <v>76</v>
      </c>
      <c r="F204" s="12">
        <f t="shared" si="141"/>
        <v>5</v>
      </c>
      <c r="G204" s="12">
        <f t="shared" si="140"/>
        <v>33</v>
      </c>
      <c r="H204" s="17">
        <f t="shared" si="142"/>
        <v>17</v>
      </c>
      <c r="I204" s="29">
        <f t="shared" si="147"/>
        <v>0</v>
      </c>
      <c r="J204" s="211">
        <f>IFERROR(VLOOKUP(H204,Charges!$T$6:$U$35,2,0)*C204,0)</f>
        <v>0</v>
      </c>
      <c r="K204" s="29">
        <f t="shared" si="148"/>
        <v>0</v>
      </c>
      <c r="L204" s="29">
        <f t="shared" si="149"/>
        <v>0</v>
      </c>
      <c r="M204" s="147">
        <f t="shared" ca="1" si="150"/>
        <v>0</v>
      </c>
      <c r="N204" s="148">
        <f ca="1">IF(AND(Option_SPW="Y",Z203&gt;=SPW_Start_Min_FV,H204&gt;=Lock_In_Period,Z203&gt;SPW_Amount_pa+IF(option="Single",1/5*pr,2*pr),H204&gt;=SPW_Start_Year,H204&lt;=SPW_Start_Year+SPW_Duration-1,F204=0,age+H204&gt;=Legal_Age),SPW_Amount_pa,0)+IFERROR(VLOOKUP(H204,Input!$B$68:$C$74,2,0),0)*(F204=0)*(Option_PW="Y")*(Option_SPW="N")*(age+H204&gt;=Legal_Age)</f>
        <v>0</v>
      </c>
      <c r="O204" s="148">
        <f t="shared" ca="1" si="176"/>
        <v>0</v>
      </c>
      <c r="P204" s="14">
        <f ca="1">(MAX(MAX(sa-CF203*Flag_UL_Type,105%*SUM($I$7:I204))-(AD203+L204-N204)*Flag_UL_Type,0)*B204)</f>
        <v>0</v>
      </c>
      <c r="Q204" s="213">
        <f t="shared" si="151"/>
        <v>0</v>
      </c>
      <c r="R204" s="14">
        <f t="shared" ca="1" si="152"/>
        <v>0</v>
      </c>
      <c r="S204" s="14">
        <f t="shared" ca="1" si="153"/>
        <v>0</v>
      </c>
      <c r="T204" s="14">
        <f>IFERROR(IF(WoP_Flag="Y",IF(fq=1,VLOOKUP(ppt*fq-H204,Charges!$AN$41:$AO$59,2,FALSE),IF(fq=2,VLOOKUP(ppt*fq-G204,Charges!$AP$41:$AQ$79,2,FALSE),VLOOKUP(ppt*fq-D204,Charges!$AR$41:$AS$279,2,FALSE)))*pr/fq,0),0)</f>
        <v>0</v>
      </c>
      <c r="U204" s="14">
        <f ca="1">IFERROR(((T204*(VLOOKUP(Input!$D$18+H204-1,Tab_Mort_Charge,IF(Gender_2="M",2,3),FALSE)*(1+_emr2)+_rpm2)/IF(Model_Type="LA_PQIS",1000/0.0833,(12*1000))))*Flag_Mort_Rider_Charge*(T204&gt;0),0)</f>
        <v>0</v>
      </c>
      <c r="V204" s="34">
        <f>ROUND(MIN(IF(H204&gt;=7,Charges!$C$12*(1+Charges!$C$14)^((H204-7+1)),VLOOKUP(H204,Charges!$B$7:$C$12,2,0))*pr,Charges!$C$13)*B204,Round)</f>
        <v>0</v>
      </c>
      <c r="W204" s="14">
        <f t="shared" ca="1" si="154"/>
        <v>0</v>
      </c>
      <c r="X204" s="14">
        <f t="shared" ca="1" si="155"/>
        <v>0</v>
      </c>
      <c r="Y204" s="213">
        <f t="shared" ca="1" si="177"/>
        <v>0</v>
      </c>
      <c r="Z204" s="14">
        <f t="shared" ca="1" si="156"/>
        <v>0</v>
      </c>
      <c r="AA204" s="14">
        <f>IF(AND($H204=pt,$F204=11),SUM($K$7:K204)*VLOOKUP(pt,ROC,2,FALSE),0)</f>
        <v>0</v>
      </c>
      <c r="AB204" s="14">
        <f>IF(AND($H204=pt,$F204=11),SUM($V$7:V204)*VLOOKUP(pt,ROC,2,FALSE),0)</f>
        <v>0</v>
      </c>
      <c r="AC204" s="14">
        <f>IF(AND($H204=pt,$F204=11),SUM($Q$7:Q204)*VLOOKUP(pt,ROC,2,FALSE),0)</f>
        <v>0</v>
      </c>
      <c r="AD204" s="14">
        <f t="shared" ca="1" si="178"/>
        <v>0</v>
      </c>
      <c r="AE204" s="14">
        <f ca="1">(MAX(sa-CF203*Flag_UL_Type,105%*SUM($I$7:I204),Z204)+AU204)*B204</f>
        <v>0</v>
      </c>
      <c r="AF204" s="136"/>
      <c r="AG204" s="18">
        <v>198</v>
      </c>
      <c r="AH204" s="30">
        <f t="shared" ca="1" si="157"/>
        <v>0</v>
      </c>
      <c r="AI204" s="58"/>
      <c r="AJ204" s="50">
        <f>IF(AND(Option_Sys_TopUp&gt;="Y",H204&gt;=sytp,H204&lt;=(dtp+sytp-1),F204=0,H204&lt;=ppt+1),atp,0)+IFERROR(VLOOKUP(H204,Input!$B$55:$C$61,2,0),0)*(F204=0)*(Option_TopUP="Y")*(Option_Sys_TopUp="N")*B204*(pt&gt;=H204+5)</f>
        <v>0</v>
      </c>
      <c r="AK204" s="50">
        <f t="shared" si="158"/>
        <v>0</v>
      </c>
      <c r="AL204" s="50">
        <f t="shared" si="179"/>
        <v>0</v>
      </c>
      <c r="AM204" s="50">
        <f t="shared" ca="1" si="159"/>
        <v>0</v>
      </c>
      <c r="AN204" s="50">
        <f>IF(B204=0,0,AT204*(_rpm1+(1+_emr1)*VLOOKUP(E204,Tab_Mort_Charge,IF(Input!$C$12="M",2,3),0))*(0.001*0.0833)*Flag_Mort_Rider_Charge*(AT204&gt;0))</f>
        <v>0</v>
      </c>
      <c r="AO204" s="50">
        <f t="shared" ca="1" si="180"/>
        <v>0</v>
      </c>
      <c r="AP204" s="50">
        <f t="shared" ca="1" si="143"/>
        <v>0</v>
      </c>
      <c r="AQ204" s="50">
        <f t="shared" ca="1" si="160"/>
        <v>0</v>
      </c>
      <c r="AR204" s="50">
        <f t="shared" ca="1" si="161"/>
        <v>0</v>
      </c>
      <c r="AS204" s="50">
        <f t="shared" si="162"/>
        <v>0</v>
      </c>
      <c r="AT204" s="50">
        <f ca="1">(MAX((MAX(AS204,105%*SUM($AJ$7:AJ204))-AM204*Flag_UL_Type),0)*B204)</f>
        <v>0</v>
      </c>
      <c r="AU204" s="50">
        <f ca="1">(MAX(AS204,AR204,105%*SUM($AJ$7:AJ204))*B204)</f>
        <v>0</v>
      </c>
      <c r="AV204" s="125"/>
      <c r="AW204" s="13"/>
      <c r="AX204" s="13"/>
      <c r="AY204" s="13"/>
      <c r="AZ204" s="13"/>
      <c r="BA204" s="13"/>
      <c r="BG204" s="51">
        <f t="shared" si="163"/>
        <v>0</v>
      </c>
      <c r="BH204" s="51">
        <f t="shared" si="164"/>
        <v>0</v>
      </c>
      <c r="BI204" s="51">
        <f t="shared" ca="1" si="165"/>
        <v>0</v>
      </c>
      <c r="BJ204" s="51">
        <f t="shared" ca="1" si="166"/>
        <v>0</v>
      </c>
      <c r="BK204" s="51">
        <f t="shared" si="167"/>
        <v>0</v>
      </c>
      <c r="BL204" s="51">
        <f t="shared" ca="1" si="168"/>
        <v>0</v>
      </c>
      <c r="BM204" s="51">
        <f t="shared" si="169"/>
        <v>0</v>
      </c>
      <c r="BN204" s="51">
        <f t="shared" si="170"/>
        <v>0</v>
      </c>
      <c r="BO204" s="51">
        <f t="shared" ca="1" si="171"/>
        <v>0</v>
      </c>
      <c r="BP204" s="51">
        <f t="shared" ca="1" si="172"/>
        <v>0</v>
      </c>
      <c r="BQ204" s="120"/>
      <c r="BR204" s="32"/>
      <c r="BS204" s="126"/>
      <c r="BT204" s="16"/>
      <c r="BU204" s="58"/>
      <c r="BW204" s="51">
        <f>VLOOKUP(H204,Charges!$AT$4:$AU$33,2,FALSE)*I204</f>
        <v>0</v>
      </c>
      <c r="BX204" s="51">
        <f t="shared" si="173"/>
        <v>0</v>
      </c>
      <c r="BY204" s="51">
        <f t="shared" si="181"/>
        <v>0</v>
      </c>
      <c r="BZ204" s="151"/>
      <c r="CA204" s="151"/>
      <c r="CB204" s="32"/>
      <c r="CC204" s="16">
        <f ca="1">SUM($N$7:$N204)</f>
        <v>0</v>
      </c>
      <c r="CD204" s="16">
        <f t="shared" ca="1" si="174"/>
        <v>0</v>
      </c>
      <c r="CE204" s="16">
        <f t="shared" ca="1" si="175"/>
        <v>0</v>
      </c>
      <c r="CF204" s="7">
        <f t="shared" ca="1" si="182"/>
        <v>0</v>
      </c>
    </row>
    <row r="205" spans="1:84" s="7" customFormat="1" x14ac:dyDescent="0.2">
      <c r="A205" s="149"/>
      <c r="B205" s="14">
        <f t="shared" si="144"/>
        <v>0</v>
      </c>
      <c r="C205" s="12">
        <f t="shared" si="145"/>
        <v>0</v>
      </c>
      <c r="D205" s="17">
        <f t="shared" si="183"/>
        <v>199</v>
      </c>
      <c r="E205" s="17">
        <f t="shared" ca="1" si="146"/>
        <v>76</v>
      </c>
      <c r="F205" s="12">
        <f t="shared" si="141"/>
        <v>6</v>
      </c>
      <c r="G205" s="12">
        <f t="shared" si="140"/>
        <v>34</v>
      </c>
      <c r="H205" s="17">
        <f t="shared" si="142"/>
        <v>17</v>
      </c>
      <c r="I205" s="29">
        <f t="shared" si="147"/>
        <v>0</v>
      </c>
      <c r="J205" s="211">
        <f>IFERROR(VLOOKUP(H205,Charges!$T$6:$U$35,2,0)*C205,0)</f>
        <v>0</v>
      </c>
      <c r="K205" s="29">
        <f t="shared" si="148"/>
        <v>0</v>
      </c>
      <c r="L205" s="29">
        <f t="shared" si="149"/>
        <v>0</v>
      </c>
      <c r="M205" s="147">
        <f t="shared" ca="1" si="150"/>
        <v>0</v>
      </c>
      <c r="N205" s="148">
        <f ca="1">IF(AND(Option_SPW="Y",Z204&gt;=SPW_Start_Min_FV,H205&gt;=Lock_In_Period,Z204&gt;SPW_Amount_pa+IF(option="Single",1/5*pr,2*pr),H205&gt;=SPW_Start_Year,H205&lt;=SPW_Start_Year+SPW_Duration-1,F205=0,age+H205&gt;=Legal_Age),SPW_Amount_pa,0)+IFERROR(VLOOKUP(H205,Input!$B$68:$C$74,2,0),0)*(F205=0)*(Option_PW="Y")*(Option_SPW="N")*(age+H205&gt;=Legal_Age)</f>
        <v>0</v>
      </c>
      <c r="O205" s="148">
        <f t="shared" ca="1" si="176"/>
        <v>0</v>
      </c>
      <c r="P205" s="14">
        <f ca="1">(MAX(MAX(sa-CF204*Flag_UL_Type,105%*SUM($I$7:I205))-(AD204+L205-N205)*Flag_UL_Type,0)*B205)</f>
        <v>0</v>
      </c>
      <c r="Q205" s="213">
        <f t="shared" si="151"/>
        <v>0</v>
      </c>
      <c r="R205" s="14">
        <f t="shared" ca="1" si="152"/>
        <v>0</v>
      </c>
      <c r="S205" s="14">
        <f t="shared" ca="1" si="153"/>
        <v>0</v>
      </c>
      <c r="T205" s="14">
        <f>IFERROR(IF(WoP_Flag="Y",IF(fq=1,VLOOKUP(ppt*fq-H205,Charges!$AN$41:$AO$59,2,FALSE),IF(fq=2,VLOOKUP(ppt*fq-G205,Charges!$AP$41:$AQ$79,2,FALSE),VLOOKUP(ppt*fq-D205,Charges!$AR$41:$AS$279,2,FALSE)))*pr/fq,0),0)</f>
        <v>0</v>
      </c>
      <c r="U205" s="14">
        <f ca="1">IFERROR(((T205*(VLOOKUP(Input!$D$18+H205-1,Tab_Mort_Charge,IF(Gender_2="M",2,3),FALSE)*(1+_emr2)+_rpm2)/IF(Model_Type="LA_PQIS",1000/0.0833,(12*1000))))*Flag_Mort_Rider_Charge*(T205&gt;0),0)</f>
        <v>0</v>
      </c>
      <c r="V205" s="34">
        <f>ROUND(MIN(IF(H205&gt;=7,Charges!$C$12*(1+Charges!$C$14)^((H205-7+1)),VLOOKUP(H205,Charges!$B$7:$C$12,2,0))*pr,Charges!$C$13)*B205,Round)</f>
        <v>0</v>
      </c>
      <c r="W205" s="14">
        <f t="shared" ca="1" si="154"/>
        <v>0</v>
      </c>
      <c r="X205" s="14">
        <f t="shared" ca="1" si="155"/>
        <v>0</v>
      </c>
      <c r="Y205" s="213">
        <f t="shared" ca="1" si="177"/>
        <v>0</v>
      </c>
      <c r="Z205" s="14">
        <f t="shared" ca="1" si="156"/>
        <v>0</v>
      </c>
      <c r="AA205" s="14">
        <f>IF(AND($H205=pt,$F205=11),SUM($K$7:K205)*VLOOKUP(pt,ROC,2,FALSE),0)</f>
        <v>0</v>
      </c>
      <c r="AB205" s="14">
        <f>IF(AND($H205=pt,$F205=11),SUM($V$7:V205)*VLOOKUP(pt,ROC,2,FALSE),0)</f>
        <v>0</v>
      </c>
      <c r="AC205" s="14">
        <f>IF(AND($H205=pt,$F205=11),SUM($Q$7:Q205)*VLOOKUP(pt,ROC,2,FALSE),0)</f>
        <v>0</v>
      </c>
      <c r="AD205" s="14">
        <f t="shared" ca="1" si="178"/>
        <v>0</v>
      </c>
      <c r="AE205" s="14">
        <f ca="1">(MAX(sa-CF204*Flag_UL_Type,105%*SUM($I$7:I205),Z205)+AU205)*B205</f>
        <v>0</v>
      </c>
      <c r="AF205" s="136"/>
      <c r="AG205" s="18">
        <v>199</v>
      </c>
      <c r="AH205" s="30">
        <f t="shared" ca="1" si="157"/>
        <v>0</v>
      </c>
      <c r="AI205" s="58"/>
      <c r="AJ205" s="50">
        <f>IF(AND(Option_Sys_TopUp&gt;="Y",H205&gt;=sytp,H205&lt;=(dtp+sytp-1),F205=0,H205&lt;=ppt+1),atp,0)+IFERROR(VLOOKUP(H205,Input!$B$55:$C$61,2,0),0)*(F205=0)*(Option_TopUP="Y")*(Option_Sys_TopUp="N")*B205*(pt&gt;=H205+5)</f>
        <v>0</v>
      </c>
      <c r="AK205" s="50">
        <f t="shared" si="158"/>
        <v>0</v>
      </c>
      <c r="AL205" s="50">
        <f t="shared" si="179"/>
        <v>0</v>
      </c>
      <c r="AM205" s="50">
        <f t="shared" ca="1" si="159"/>
        <v>0</v>
      </c>
      <c r="AN205" s="50">
        <f>IF(B205=0,0,AT205*(_rpm1+(1+_emr1)*VLOOKUP(E205,Tab_Mort_Charge,IF(Input!$C$12="M",2,3),0))*(0.001*0.0833)*Flag_Mort_Rider_Charge*(AT205&gt;0))</f>
        <v>0</v>
      </c>
      <c r="AO205" s="50">
        <f t="shared" ca="1" si="180"/>
        <v>0</v>
      </c>
      <c r="AP205" s="50">
        <f t="shared" ca="1" si="143"/>
        <v>0</v>
      </c>
      <c r="AQ205" s="50">
        <f t="shared" ca="1" si="160"/>
        <v>0</v>
      </c>
      <c r="AR205" s="50">
        <f t="shared" ca="1" si="161"/>
        <v>0</v>
      </c>
      <c r="AS205" s="50">
        <f t="shared" si="162"/>
        <v>0</v>
      </c>
      <c r="AT205" s="50">
        <f ca="1">(MAX((MAX(AS205,105%*SUM($AJ$7:AJ205))-AM205*Flag_UL_Type),0)*B205)</f>
        <v>0</v>
      </c>
      <c r="AU205" s="50">
        <f ca="1">(MAX(AS205,AR205,105%*SUM($AJ$7:AJ205))*B205)</f>
        <v>0</v>
      </c>
      <c r="AV205" s="125"/>
      <c r="AW205" s="13"/>
      <c r="AX205" s="13"/>
      <c r="AY205" s="13"/>
      <c r="AZ205" s="13"/>
      <c r="BA205" s="13"/>
      <c r="BG205" s="51">
        <f t="shared" si="163"/>
        <v>0</v>
      </c>
      <c r="BH205" s="51">
        <f t="shared" si="164"/>
        <v>0</v>
      </c>
      <c r="BI205" s="51">
        <f t="shared" ca="1" si="165"/>
        <v>0</v>
      </c>
      <c r="BJ205" s="51">
        <f t="shared" ca="1" si="166"/>
        <v>0</v>
      </c>
      <c r="BK205" s="51">
        <f t="shared" si="167"/>
        <v>0</v>
      </c>
      <c r="BL205" s="51">
        <f t="shared" ca="1" si="168"/>
        <v>0</v>
      </c>
      <c r="BM205" s="51">
        <f t="shared" si="169"/>
        <v>0</v>
      </c>
      <c r="BN205" s="51">
        <f t="shared" si="170"/>
        <v>0</v>
      </c>
      <c r="BO205" s="51">
        <f t="shared" ca="1" si="171"/>
        <v>0</v>
      </c>
      <c r="BP205" s="51">
        <f t="shared" ca="1" si="172"/>
        <v>0</v>
      </c>
      <c r="BQ205" s="120"/>
      <c r="BR205" s="32"/>
      <c r="BS205" s="126"/>
      <c r="BT205" s="16"/>
      <c r="BU205" s="58"/>
      <c r="BW205" s="51">
        <f>VLOOKUP(H205,Charges!$AT$4:$AU$33,2,FALSE)*I205</f>
        <v>0</v>
      </c>
      <c r="BX205" s="51">
        <f t="shared" si="173"/>
        <v>0</v>
      </c>
      <c r="BY205" s="51">
        <f t="shared" si="181"/>
        <v>0</v>
      </c>
      <c r="BZ205" s="151"/>
      <c r="CA205" s="151"/>
      <c r="CB205" s="32"/>
      <c r="CC205" s="16">
        <f ca="1">SUM($N$7:$N205)</f>
        <v>0</v>
      </c>
      <c r="CD205" s="16">
        <f t="shared" ca="1" si="174"/>
        <v>0</v>
      </c>
      <c r="CE205" s="16">
        <f t="shared" ca="1" si="175"/>
        <v>0</v>
      </c>
      <c r="CF205" s="7">
        <f t="shared" ca="1" si="182"/>
        <v>0</v>
      </c>
    </row>
    <row r="206" spans="1:84" s="7" customFormat="1" x14ac:dyDescent="0.2">
      <c r="A206" s="149"/>
      <c r="B206" s="14">
        <f t="shared" si="144"/>
        <v>0</v>
      </c>
      <c r="C206" s="12">
        <f t="shared" si="145"/>
        <v>0</v>
      </c>
      <c r="D206" s="17">
        <f t="shared" si="183"/>
        <v>200</v>
      </c>
      <c r="E206" s="17">
        <f t="shared" ca="1" si="146"/>
        <v>76</v>
      </c>
      <c r="F206" s="12">
        <f t="shared" si="141"/>
        <v>7</v>
      </c>
      <c r="G206" s="12">
        <f t="shared" ref="G206:G269" si="184">G200+1</f>
        <v>34</v>
      </c>
      <c r="H206" s="17">
        <f t="shared" si="142"/>
        <v>17</v>
      </c>
      <c r="I206" s="29">
        <f t="shared" si="147"/>
        <v>0</v>
      </c>
      <c r="J206" s="211">
        <f>IFERROR(VLOOKUP(H206,Charges!$T$6:$U$35,2,0)*C206,0)</f>
        <v>0</v>
      </c>
      <c r="K206" s="29">
        <f t="shared" si="148"/>
        <v>0</v>
      </c>
      <c r="L206" s="29">
        <f t="shared" si="149"/>
        <v>0</v>
      </c>
      <c r="M206" s="147">
        <f t="shared" ca="1" si="150"/>
        <v>0</v>
      </c>
      <c r="N206" s="148">
        <f ca="1">IF(AND(Option_SPW="Y",Z205&gt;=SPW_Start_Min_FV,H206&gt;=Lock_In_Period,Z205&gt;SPW_Amount_pa+IF(option="Single",1/5*pr,2*pr),H206&gt;=SPW_Start_Year,H206&lt;=SPW_Start_Year+SPW_Duration-1,F206=0,age+H206&gt;=Legal_Age),SPW_Amount_pa,0)+IFERROR(VLOOKUP(H206,Input!$B$68:$C$74,2,0),0)*(F206=0)*(Option_PW="Y")*(Option_SPW="N")*(age+H206&gt;=Legal_Age)</f>
        <v>0</v>
      </c>
      <c r="O206" s="148">
        <f t="shared" ca="1" si="176"/>
        <v>0</v>
      </c>
      <c r="P206" s="14">
        <f ca="1">(MAX(MAX(sa-CF205*Flag_UL_Type,105%*SUM($I$7:I206))-(AD205+L206-N206)*Flag_UL_Type,0)*B206)</f>
        <v>0</v>
      </c>
      <c r="Q206" s="213">
        <f t="shared" si="151"/>
        <v>0</v>
      </c>
      <c r="R206" s="14">
        <f t="shared" ca="1" si="152"/>
        <v>0</v>
      </c>
      <c r="S206" s="14">
        <f t="shared" ca="1" si="153"/>
        <v>0</v>
      </c>
      <c r="T206" s="14">
        <f>IFERROR(IF(WoP_Flag="Y",IF(fq=1,VLOOKUP(ppt*fq-H206,Charges!$AN$41:$AO$59,2,FALSE),IF(fq=2,VLOOKUP(ppt*fq-G206,Charges!$AP$41:$AQ$79,2,FALSE),VLOOKUP(ppt*fq-D206,Charges!$AR$41:$AS$279,2,FALSE)))*pr/fq,0),0)</f>
        <v>0</v>
      </c>
      <c r="U206" s="14">
        <f ca="1">IFERROR(((T206*(VLOOKUP(Input!$D$18+H206-1,Tab_Mort_Charge,IF(Gender_2="M",2,3),FALSE)*(1+_emr2)+_rpm2)/IF(Model_Type="LA_PQIS",1000/0.0833,(12*1000))))*Flag_Mort_Rider_Charge*(T206&gt;0),0)</f>
        <v>0</v>
      </c>
      <c r="V206" s="34">
        <f>ROUND(MIN(IF(H206&gt;=7,Charges!$C$12*(1+Charges!$C$14)^((H206-7+1)),VLOOKUP(H206,Charges!$B$7:$C$12,2,0))*pr,Charges!$C$13)*B206,Round)</f>
        <v>0</v>
      </c>
      <c r="W206" s="14">
        <f t="shared" ca="1" si="154"/>
        <v>0</v>
      </c>
      <c r="X206" s="14">
        <f t="shared" ca="1" si="155"/>
        <v>0</v>
      </c>
      <c r="Y206" s="213">
        <f t="shared" ca="1" si="177"/>
        <v>0</v>
      </c>
      <c r="Z206" s="14">
        <f t="shared" ca="1" si="156"/>
        <v>0</v>
      </c>
      <c r="AA206" s="14">
        <f>IF(AND($H206=pt,$F206=11),SUM($K$7:K206)*VLOOKUP(pt,ROC,2,FALSE),0)</f>
        <v>0</v>
      </c>
      <c r="AB206" s="14">
        <f>IF(AND($H206=pt,$F206=11),SUM($V$7:V206)*VLOOKUP(pt,ROC,2,FALSE),0)</f>
        <v>0</v>
      </c>
      <c r="AC206" s="14">
        <f>IF(AND($H206=pt,$F206=11),SUM($Q$7:Q206)*VLOOKUP(pt,ROC,2,FALSE),0)</f>
        <v>0</v>
      </c>
      <c r="AD206" s="14">
        <f t="shared" ca="1" si="178"/>
        <v>0</v>
      </c>
      <c r="AE206" s="14">
        <f ca="1">(MAX(sa-CF205*Flag_UL_Type,105%*SUM($I$7:I206),Z206)+AU206)*B206</f>
        <v>0</v>
      </c>
      <c r="AF206" s="136"/>
      <c r="AG206" s="18">
        <v>200</v>
      </c>
      <c r="AH206" s="30">
        <f t="shared" ca="1" si="157"/>
        <v>0</v>
      </c>
      <c r="AI206" s="58"/>
      <c r="AJ206" s="50">
        <f>IF(AND(Option_Sys_TopUp&gt;="Y",H206&gt;=sytp,H206&lt;=(dtp+sytp-1),F206=0,H206&lt;=ppt+1),atp,0)+IFERROR(VLOOKUP(H206,Input!$B$55:$C$61,2,0),0)*(F206=0)*(Option_TopUP="Y")*(Option_Sys_TopUp="N")*B206*(pt&gt;=H206+5)</f>
        <v>0</v>
      </c>
      <c r="AK206" s="50">
        <f t="shared" si="158"/>
        <v>0</v>
      </c>
      <c r="AL206" s="50">
        <f t="shared" si="179"/>
        <v>0</v>
      </c>
      <c r="AM206" s="50">
        <f t="shared" ca="1" si="159"/>
        <v>0</v>
      </c>
      <c r="AN206" s="50">
        <f>IF(B206=0,0,AT206*(_rpm1+(1+_emr1)*VLOOKUP(E206,Tab_Mort_Charge,IF(Input!$C$12="M",2,3),0))*(0.001*0.0833)*Flag_Mort_Rider_Charge*(AT206&gt;0))</f>
        <v>0</v>
      </c>
      <c r="AO206" s="50">
        <f t="shared" ca="1" si="180"/>
        <v>0</v>
      </c>
      <c r="AP206" s="50">
        <f t="shared" ca="1" si="143"/>
        <v>0</v>
      </c>
      <c r="AQ206" s="50">
        <f t="shared" ca="1" si="160"/>
        <v>0</v>
      </c>
      <c r="AR206" s="50">
        <f t="shared" ca="1" si="161"/>
        <v>0</v>
      </c>
      <c r="AS206" s="50">
        <f t="shared" si="162"/>
        <v>0</v>
      </c>
      <c r="AT206" s="50">
        <f ca="1">(MAX((MAX(AS206,105%*SUM($AJ$7:AJ206))-AM206*Flag_UL_Type),0)*B206)</f>
        <v>0</v>
      </c>
      <c r="AU206" s="50">
        <f ca="1">(MAX(AS206,AR206,105%*SUM($AJ$7:AJ206))*B206)</f>
        <v>0</v>
      </c>
      <c r="AV206" s="125"/>
      <c r="AW206" s="13"/>
      <c r="AX206" s="13"/>
      <c r="AY206" s="13"/>
      <c r="AZ206" s="13"/>
      <c r="BA206" s="13"/>
      <c r="BG206" s="51">
        <f t="shared" si="163"/>
        <v>0</v>
      </c>
      <c r="BH206" s="51">
        <f t="shared" si="164"/>
        <v>0</v>
      </c>
      <c r="BI206" s="51">
        <f t="shared" ca="1" si="165"/>
        <v>0</v>
      </c>
      <c r="BJ206" s="51">
        <f t="shared" ca="1" si="166"/>
        <v>0</v>
      </c>
      <c r="BK206" s="51">
        <f t="shared" si="167"/>
        <v>0</v>
      </c>
      <c r="BL206" s="51">
        <f t="shared" ca="1" si="168"/>
        <v>0</v>
      </c>
      <c r="BM206" s="51">
        <f t="shared" si="169"/>
        <v>0</v>
      </c>
      <c r="BN206" s="51">
        <f t="shared" si="170"/>
        <v>0</v>
      </c>
      <c r="BO206" s="51">
        <f t="shared" ca="1" si="171"/>
        <v>0</v>
      </c>
      <c r="BP206" s="51">
        <f t="shared" ca="1" si="172"/>
        <v>0</v>
      </c>
      <c r="BQ206" s="120"/>
      <c r="BR206" s="32"/>
      <c r="BS206" s="126"/>
      <c r="BT206" s="16"/>
      <c r="BU206" s="58"/>
      <c r="BW206" s="51">
        <f>VLOOKUP(H206,Charges!$AT$4:$AU$33,2,FALSE)*I206</f>
        <v>0</v>
      </c>
      <c r="BX206" s="51">
        <f t="shared" si="173"/>
        <v>0</v>
      </c>
      <c r="BY206" s="51">
        <f t="shared" si="181"/>
        <v>0</v>
      </c>
      <c r="BZ206" s="151"/>
      <c r="CA206" s="151"/>
      <c r="CB206" s="32"/>
      <c r="CC206" s="16">
        <f ca="1">SUM($N$7:$N206)</f>
        <v>0</v>
      </c>
      <c r="CD206" s="16">
        <f t="shared" ca="1" si="174"/>
        <v>0</v>
      </c>
      <c r="CE206" s="16">
        <f t="shared" ca="1" si="175"/>
        <v>0</v>
      </c>
      <c r="CF206" s="7">
        <f t="shared" ca="1" si="182"/>
        <v>0</v>
      </c>
    </row>
    <row r="207" spans="1:84" s="7" customFormat="1" x14ac:dyDescent="0.2">
      <c r="A207" s="149"/>
      <c r="B207" s="14">
        <f t="shared" si="144"/>
        <v>0</v>
      </c>
      <c r="C207" s="12">
        <f t="shared" si="145"/>
        <v>0</v>
      </c>
      <c r="D207" s="17">
        <f t="shared" si="183"/>
        <v>201</v>
      </c>
      <c r="E207" s="17">
        <f t="shared" ca="1" si="146"/>
        <v>76</v>
      </c>
      <c r="F207" s="12">
        <f t="shared" si="141"/>
        <v>8</v>
      </c>
      <c r="G207" s="12">
        <f t="shared" si="184"/>
        <v>34</v>
      </c>
      <c r="H207" s="17">
        <f t="shared" si="142"/>
        <v>17</v>
      </c>
      <c r="I207" s="29">
        <f t="shared" si="147"/>
        <v>0</v>
      </c>
      <c r="J207" s="211">
        <f>IFERROR(VLOOKUP(H207,Charges!$T$6:$U$35,2,0)*C207,0)</f>
        <v>0</v>
      </c>
      <c r="K207" s="29">
        <f t="shared" si="148"/>
        <v>0</v>
      </c>
      <c r="L207" s="29">
        <f t="shared" si="149"/>
        <v>0</v>
      </c>
      <c r="M207" s="147">
        <f t="shared" ca="1" si="150"/>
        <v>0</v>
      </c>
      <c r="N207" s="148">
        <f ca="1">IF(AND(Option_SPW="Y",Z206&gt;=SPW_Start_Min_FV,H207&gt;=Lock_In_Period,Z206&gt;SPW_Amount_pa+IF(option="Single",1/5*pr,2*pr),H207&gt;=SPW_Start_Year,H207&lt;=SPW_Start_Year+SPW_Duration-1,F207=0,age+H207&gt;=Legal_Age),SPW_Amount_pa,0)+IFERROR(VLOOKUP(H207,Input!$B$68:$C$74,2,0),0)*(F207=0)*(Option_PW="Y")*(Option_SPW="N")*(age+H207&gt;=Legal_Age)</f>
        <v>0</v>
      </c>
      <c r="O207" s="148">
        <f t="shared" ca="1" si="176"/>
        <v>0</v>
      </c>
      <c r="P207" s="14">
        <f ca="1">(MAX(MAX(sa-CF206*Flag_UL_Type,105%*SUM($I$7:I207))-(AD206+L207-N207)*Flag_UL_Type,0)*B207)</f>
        <v>0</v>
      </c>
      <c r="Q207" s="213">
        <f t="shared" si="151"/>
        <v>0</v>
      </c>
      <c r="R207" s="14">
        <f t="shared" ca="1" si="152"/>
        <v>0</v>
      </c>
      <c r="S207" s="14">
        <f t="shared" ca="1" si="153"/>
        <v>0</v>
      </c>
      <c r="T207" s="14">
        <f>IFERROR(IF(WoP_Flag="Y",IF(fq=1,VLOOKUP(ppt*fq-H207,Charges!$AN$41:$AO$59,2,FALSE),IF(fq=2,VLOOKUP(ppt*fq-G207,Charges!$AP$41:$AQ$79,2,FALSE),VLOOKUP(ppt*fq-D207,Charges!$AR$41:$AS$279,2,FALSE)))*pr/fq,0),0)</f>
        <v>0</v>
      </c>
      <c r="U207" s="14">
        <f ca="1">IFERROR(((T207*(VLOOKUP(Input!$D$18+H207-1,Tab_Mort_Charge,IF(Gender_2="M",2,3),FALSE)*(1+_emr2)+_rpm2)/IF(Model_Type="LA_PQIS",1000/0.0833,(12*1000))))*Flag_Mort_Rider_Charge*(T207&gt;0),0)</f>
        <v>0</v>
      </c>
      <c r="V207" s="34">
        <f>ROUND(MIN(IF(H207&gt;=7,Charges!$C$12*(1+Charges!$C$14)^((H207-7+1)),VLOOKUP(H207,Charges!$B$7:$C$12,2,0))*pr,Charges!$C$13)*B207,Round)</f>
        <v>0</v>
      </c>
      <c r="W207" s="14">
        <f t="shared" ca="1" si="154"/>
        <v>0</v>
      </c>
      <c r="X207" s="14">
        <f t="shared" ca="1" si="155"/>
        <v>0</v>
      </c>
      <c r="Y207" s="213">
        <f t="shared" ca="1" si="177"/>
        <v>0</v>
      </c>
      <c r="Z207" s="14">
        <f t="shared" ca="1" si="156"/>
        <v>0</v>
      </c>
      <c r="AA207" s="14">
        <f>IF(AND($H207=pt,$F207=11),SUM($K$7:K207)*VLOOKUP(pt,ROC,2,FALSE),0)</f>
        <v>0</v>
      </c>
      <c r="AB207" s="14">
        <f>IF(AND($H207=pt,$F207=11),SUM($V$7:V207)*VLOOKUP(pt,ROC,2,FALSE),0)</f>
        <v>0</v>
      </c>
      <c r="AC207" s="14">
        <f>IF(AND($H207=pt,$F207=11),SUM($Q$7:Q207)*VLOOKUP(pt,ROC,2,FALSE),0)</f>
        <v>0</v>
      </c>
      <c r="AD207" s="14">
        <f t="shared" ca="1" si="178"/>
        <v>0</v>
      </c>
      <c r="AE207" s="14">
        <f ca="1">(MAX(sa-CF206*Flag_UL_Type,105%*SUM($I$7:I207),Z207)+AU207)*B207</f>
        <v>0</v>
      </c>
      <c r="AF207" s="136"/>
      <c r="AG207" s="18">
        <v>201</v>
      </c>
      <c r="AH207" s="30">
        <f t="shared" ca="1" si="157"/>
        <v>0</v>
      </c>
      <c r="AI207" s="58"/>
      <c r="AJ207" s="50">
        <f>IF(AND(Option_Sys_TopUp&gt;="Y",H207&gt;=sytp,H207&lt;=(dtp+sytp-1),F207=0,H207&lt;=ppt+1),atp,0)+IFERROR(VLOOKUP(H207,Input!$B$55:$C$61,2,0),0)*(F207=0)*(Option_TopUP="Y")*(Option_Sys_TopUp="N")*B207*(pt&gt;=H207+5)</f>
        <v>0</v>
      </c>
      <c r="AK207" s="50">
        <f t="shared" si="158"/>
        <v>0</v>
      </c>
      <c r="AL207" s="50">
        <f t="shared" si="179"/>
        <v>0</v>
      </c>
      <c r="AM207" s="50">
        <f t="shared" ca="1" si="159"/>
        <v>0</v>
      </c>
      <c r="AN207" s="50">
        <f>IF(B207=0,0,AT207*(_rpm1+(1+_emr1)*VLOOKUP(E207,Tab_Mort_Charge,IF(Input!$C$12="M",2,3),0))*(0.001*0.0833)*Flag_Mort_Rider_Charge*(AT207&gt;0))</f>
        <v>0</v>
      </c>
      <c r="AO207" s="50">
        <f t="shared" ca="1" si="180"/>
        <v>0</v>
      </c>
      <c r="AP207" s="50">
        <f t="shared" ca="1" si="143"/>
        <v>0</v>
      </c>
      <c r="AQ207" s="50">
        <f t="shared" ca="1" si="160"/>
        <v>0</v>
      </c>
      <c r="AR207" s="50">
        <f t="shared" ca="1" si="161"/>
        <v>0</v>
      </c>
      <c r="AS207" s="50">
        <f t="shared" si="162"/>
        <v>0</v>
      </c>
      <c r="AT207" s="50">
        <f ca="1">(MAX((MAX(AS207,105%*SUM($AJ$7:AJ207))-AM207*Flag_UL_Type),0)*B207)</f>
        <v>0</v>
      </c>
      <c r="AU207" s="50">
        <f ca="1">(MAX(AS207,AR207,105%*SUM($AJ$7:AJ207))*B207)</f>
        <v>0</v>
      </c>
      <c r="AV207" s="125"/>
      <c r="AW207" s="13"/>
      <c r="AX207" s="13"/>
      <c r="AY207" s="13"/>
      <c r="AZ207" s="13"/>
      <c r="BA207" s="13"/>
      <c r="BG207" s="51">
        <f t="shared" si="163"/>
        <v>0</v>
      </c>
      <c r="BH207" s="51">
        <f t="shared" si="164"/>
        <v>0</v>
      </c>
      <c r="BI207" s="51">
        <f t="shared" ca="1" si="165"/>
        <v>0</v>
      </c>
      <c r="BJ207" s="51">
        <f t="shared" ca="1" si="166"/>
        <v>0</v>
      </c>
      <c r="BK207" s="51">
        <f t="shared" si="167"/>
        <v>0</v>
      </c>
      <c r="BL207" s="51">
        <f t="shared" ca="1" si="168"/>
        <v>0</v>
      </c>
      <c r="BM207" s="51">
        <f t="shared" si="169"/>
        <v>0</v>
      </c>
      <c r="BN207" s="51">
        <f t="shared" si="170"/>
        <v>0</v>
      </c>
      <c r="BO207" s="51">
        <f t="shared" ca="1" si="171"/>
        <v>0</v>
      </c>
      <c r="BP207" s="51">
        <f t="shared" ca="1" si="172"/>
        <v>0</v>
      </c>
      <c r="BQ207" s="120"/>
      <c r="BR207" s="32"/>
      <c r="BS207" s="126"/>
      <c r="BT207" s="16"/>
      <c r="BU207" s="58"/>
      <c r="BW207" s="51">
        <f>VLOOKUP(H207,Charges!$AT$4:$AU$33,2,FALSE)*I207</f>
        <v>0</v>
      </c>
      <c r="BX207" s="51">
        <f t="shared" si="173"/>
        <v>0</v>
      </c>
      <c r="BY207" s="51">
        <f t="shared" si="181"/>
        <v>0</v>
      </c>
      <c r="BZ207" s="151"/>
      <c r="CA207" s="151"/>
      <c r="CB207" s="32"/>
      <c r="CC207" s="16">
        <f ca="1">SUM($N$7:$N207)</f>
        <v>0</v>
      </c>
      <c r="CD207" s="16">
        <f t="shared" ca="1" si="174"/>
        <v>0</v>
      </c>
      <c r="CE207" s="16">
        <f t="shared" ca="1" si="175"/>
        <v>0</v>
      </c>
      <c r="CF207" s="7">
        <f t="shared" ca="1" si="182"/>
        <v>0</v>
      </c>
    </row>
    <row r="208" spans="1:84" s="7" customFormat="1" x14ac:dyDescent="0.2">
      <c r="A208" s="149"/>
      <c r="B208" s="14">
        <f t="shared" si="144"/>
        <v>0</v>
      </c>
      <c r="C208" s="12">
        <f t="shared" si="145"/>
        <v>0</v>
      </c>
      <c r="D208" s="17">
        <f t="shared" si="183"/>
        <v>202</v>
      </c>
      <c r="E208" s="17">
        <f t="shared" ca="1" si="146"/>
        <v>76</v>
      </c>
      <c r="F208" s="12">
        <f t="shared" si="141"/>
        <v>9</v>
      </c>
      <c r="G208" s="12">
        <f t="shared" si="184"/>
        <v>34</v>
      </c>
      <c r="H208" s="17">
        <f t="shared" si="142"/>
        <v>17</v>
      </c>
      <c r="I208" s="29">
        <f t="shared" si="147"/>
        <v>0</v>
      </c>
      <c r="J208" s="211">
        <f>IFERROR(VLOOKUP(H208,Charges!$T$6:$U$35,2,0)*C208,0)</f>
        <v>0</v>
      </c>
      <c r="K208" s="29">
        <f t="shared" si="148"/>
        <v>0</v>
      </c>
      <c r="L208" s="29">
        <f t="shared" si="149"/>
        <v>0</v>
      </c>
      <c r="M208" s="147">
        <f t="shared" ca="1" si="150"/>
        <v>0</v>
      </c>
      <c r="N208" s="148">
        <f ca="1">IF(AND(Option_SPW="Y",Z207&gt;=SPW_Start_Min_FV,H208&gt;=Lock_In_Period,Z207&gt;SPW_Amount_pa+IF(option="Single",1/5*pr,2*pr),H208&gt;=SPW_Start_Year,H208&lt;=SPW_Start_Year+SPW_Duration-1,F208=0,age+H208&gt;=Legal_Age),SPW_Amount_pa,0)+IFERROR(VLOOKUP(H208,Input!$B$68:$C$74,2,0),0)*(F208=0)*(Option_PW="Y")*(Option_SPW="N")*(age+H208&gt;=Legal_Age)</f>
        <v>0</v>
      </c>
      <c r="O208" s="148">
        <f t="shared" ca="1" si="176"/>
        <v>0</v>
      </c>
      <c r="P208" s="14">
        <f ca="1">(MAX(MAX(sa-CF207*Flag_UL_Type,105%*SUM($I$7:I208))-(AD207+L208-N208)*Flag_UL_Type,0)*B208)</f>
        <v>0</v>
      </c>
      <c r="Q208" s="213">
        <f t="shared" si="151"/>
        <v>0</v>
      </c>
      <c r="R208" s="14">
        <f t="shared" ca="1" si="152"/>
        <v>0</v>
      </c>
      <c r="S208" s="14">
        <f t="shared" ca="1" si="153"/>
        <v>0</v>
      </c>
      <c r="T208" s="14">
        <f>IFERROR(IF(WoP_Flag="Y",IF(fq=1,VLOOKUP(ppt*fq-H208,Charges!$AN$41:$AO$59,2,FALSE),IF(fq=2,VLOOKUP(ppt*fq-G208,Charges!$AP$41:$AQ$79,2,FALSE),VLOOKUP(ppt*fq-D208,Charges!$AR$41:$AS$279,2,FALSE)))*pr/fq,0),0)</f>
        <v>0</v>
      </c>
      <c r="U208" s="14">
        <f ca="1">IFERROR(((T208*(VLOOKUP(Input!$D$18+H208-1,Tab_Mort_Charge,IF(Gender_2="M",2,3),FALSE)*(1+_emr2)+_rpm2)/IF(Model_Type="LA_PQIS",1000/0.0833,(12*1000))))*Flag_Mort_Rider_Charge*(T208&gt;0),0)</f>
        <v>0</v>
      </c>
      <c r="V208" s="34">
        <f>ROUND(MIN(IF(H208&gt;=7,Charges!$C$12*(1+Charges!$C$14)^((H208-7+1)),VLOOKUP(H208,Charges!$B$7:$C$12,2,0))*pr,Charges!$C$13)*B208,Round)</f>
        <v>0</v>
      </c>
      <c r="W208" s="14">
        <f t="shared" ca="1" si="154"/>
        <v>0</v>
      </c>
      <c r="X208" s="14">
        <f t="shared" ca="1" si="155"/>
        <v>0</v>
      </c>
      <c r="Y208" s="213">
        <f t="shared" ca="1" si="177"/>
        <v>0</v>
      </c>
      <c r="Z208" s="14">
        <f t="shared" ca="1" si="156"/>
        <v>0</v>
      </c>
      <c r="AA208" s="14">
        <f>IF(AND($H208=pt,$F208=11),SUM($K$7:K208)*VLOOKUP(pt,ROC,2,FALSE),0)</f>
        <v>0</v>
      </c>
      <c r="AB208" s="14">
        <f>IF(AND($H208=pt,$F208=11),SUM($V$7:V208)*VLOOKUP(pt,ROC,2,FALSE),0)</f>
        <v>0</v>
      </c>
      <c r="AC208" s="14">
        <f>IF(AND($H208=pt,$F208=11),SUM($Q$7:Q208)*VLOOKUP(pt,ROC,2,FALSE),0)</f>
        <v>0</v>
      </c>
      <c r="AD208" s="14">
        <f t="shared" ca="1" si="178"/>
        <v>0</v>
      </c>
      <c r="AE208" s="14">
        <f ca="1">(MAX(sa-CF207*Flag_UL_Type,105%*SUM($I$7:I208),Z208)+AU208)*B208</f>
        <v>0</v>
      </c>
      <c r="AF208" s="136"/>
      <c r="AG208" s="18">
        <v>202</v>
      </c>
      <c r="AH208" s="30">
        <f t="shared" ca="1" si="157"/>
        <v>0</v>
      </c>
      <c r="AI208" s="58"/>
      <c r="AJ208" s="50">
        <f>IF(AND(Option_Sys_TopUp&gt;="Y",H208&gt;=sytp,H208&lt;=(dtp+sytp-1),F208=0,H208&lt;=ppt+1),atp,0)+IFERROR(VLOOKUP(H208,Input!$B$55:$C$61,2,0),0)*(F208=0)*(Option_TopUP="Y")*(Option_Sys_TopUp="N")*B208*(pt&gt;=H208+5)</f>
        <v>0</v>
      </c>
      <c r="AK208" s="50">
        <f t="shared" si="158"/>
        <v>0</v>
      </c>
      <c r="AL208" s="50">
        <f t="shared" si="179"/>
        <v>0</v>
      </c>
      <c r="AM208" s="50">
        <f t="shared" ca="1" si="159"/>
        <v>0</v>
      </c>
      <c r="AN208" s="50">
        <f>IF(B208=0,0,AT208*(_rpm1+(1+_emr1)*VLOOKUP(E208,Tab_Mort_Charge,IF(Input!$C$12="M",2,3),0))*(0.001*0.0833)*Flag_Mort_Rider_Charge*(AT208&gt;0))</f>
        <v>0</v>
      </c>
      <c r="AO208" s="50">
        <f t="shared" ca="1" si="180"/>
        <v>0</v>
      </c>
      <c r="AP208" s="50">
        <f t="shared" ca="1" si="143"/>
        <v>0</v>
      </c>
      <c r="AQ208" s="50">
        <f t="shared" ca="1" si="160"/>
        <v>0</v>
      </c>
      <c r="AR208" s="50">
        <f t="shared" ca="1" si="161"/>
        <v>0</v>
      </c>
      <c r="AS208" s="50">
        <f t="shared" si="162"/>
        <v>0</v>
      </c>
      <c r="AT208" s="50">
        <f ca="1">(MAX((MAX(AS208,105%*SUM($AJ$7:AJ208))-AM208*Flag_UL_Type),0)*B208)</f>
        <v>0</v>
      </c>
      <c r="AU208" s="50">
        <f ca="1">(MAX(AS208,AR208,105%*SUM($AJ$7:AJ208))*B208)</f>
        <v>0</v>
      </c>
      <c r="AV208" s="125"/>
      <c r="AW208" s="13"/>
      <c r="AX208" s="13"/>
      <c r="AY208" s="13"/>
      <c r="AZ208" s="13"/>
      <c r="BA208" s="13"/>
      <c r="BG208" s="51">
        <f t="shared" si="163"/>
        <v>0</v>
      </c>
      <c r="BH208" s="51">
        <f t="shared" si="164"/>
        <v>0</v>
      </c>
      <c r="BI208" s="51">
        <f t="shared" ca="1" si="165"/>
        <v>0</v>
      </c>
      <c r="BJ208" s="51">
        <f t="shared" ca="1" si="166"/>
        <v>0</v>
      </c>
      <c r="BK208" s="51">
        <f t="shared" si="167"/>
        <v>0</v>
      </c>
      <c r="BL208" s="51">
        <f t="shared" ca="1" si="168"/>
        <v>0</v>
      </c>
      <c r="BM208" s="51">
        <f t="shared" si="169"/>
        <v>0</v>
      </c>
      <c r="BN208" s="51">
        <f t="shared" si="170"/>
        <v>0</v>
      </c>
      <c r="BO208" s="51">
        <f t="shared" ca="1" si="171"/>
        <v>0</v>
      </c>
      <c r="BP208" s="51">
        <f t="shared" ca="1" si="172"/>
        <v>0</v>
      </c>
      <c r="BQ208" s="120"/>
      <c r="BR208" s="32"/>
      <c r="BS208" s="126"/>
      <c r="BT208" s="16"/>
      <c r="BU208" s="58"/>
      <c r="BW208" s="51">
        <f>VLOOKUP(H208,Charges!$AT$4:$AU$33,2,FALSE)*I208</f>
        <v>0</v>
      </c>
      <c r="BX208" s="51">
        <f t="shared" si="173"/>
        <v>0</v>
      </c>
      <c r="BY208" s="51">
        <f t="shared" si="181"/>
        <v>0</v>
      </c>
      <c r="BZ208" s="151"/>
      <c r="CA208" s="151"/>
      <c r="CB208" s="32"/>
      <c r="CC208" s="16">
        <f ca="1">SUM($N$7:$N208)</f>
        <v>0</v>
      </c>
      <c r="CD208" s="16">
        <f t="shared" ca="1" si="174"/>
        <v>0</v>
      </c>
      <c r="CE208" s="16">
        <f t="shared" ca="1" si="175"/>
        <v>0</v>
      </c>
      <c r="CF208" s="7">
        <f t="shared" ca="1" si="182"/>
        <v>0</v>
      </c>
    </row>
    <row r="209" spans="1:84" s="7" customFormat="1" x14ac:dyDescent="0.2">
      <c r="A209" s="149"/>
      <c r="B209" s="14">
        <f t="shared" si="144"/>
        <v>0</v>
      </c>
      <c r="C209" s="12">
        <f t="shared" si="145"/>
        <v>0</v>
      </c>
      <c r="D209" s="17">
        <f t="shared" si="183"/>
        <v>203</v>
      </c>
      <c r="E209" s="17">
        <f t="shared" ca="1" si="146"/>
        <v>76</v>
      </c>
      <c r="F209" s="12">
        <f t="shared" si="141"/>
        <v>10</v>
      </c>
      <c r="G209" s="12">
        <f t="shared" si="184"/>
        <v>34</v>
      </c>
      <c r="H209" s="17">
        <f t="shared" si="142"/>
        <v>17</v>
      </c>
      <c r="I209" s="29">
        <f t="shared" si="147"/>
        <v>0</v>
      </c>
      <c r="J209" s="211">
        <f>IFERROR(VLOOKUP(H209,Charges!$T$6:$U$35,2,0)*C209,0)</f>
        <v>0</v>
      </c>
      <c r="K209" s="29">
        <f t="shared" si="148"/>
        <v>0</v>
      </c>
      <c r="L209" s="29">
        <f t="shared" si="149"/>
        <v>0</v>
      </c>
      <c r="M209" s="147">
        <f t="shared" ca="1" si="150"/>
        <v>0</v>
      </c>
      <c r="N209" s="148">
        <f ca="1">IF(AND(Option_SPW="Y",Z208&gt;=SPW_Start_Min_FV,H209&gt;=Lock_In_Period,Z208&gt;SPW_Amount_pa+IF(option="Single",1/5*pr,2*pr),H209&gt;=SPW_Start_Year,H209&lt;=SPW_Start_Year+SPW_Duration-1,F209=0,age+H209&gt;=Legal_Age),SPW_Amount_pa,0)+IFERROR(VLOOKUP(H209,Input!$B$68:$C$74,2,0),0)*(F209=0)*(Option_PW="Y")*(Option_SPW="N")*(age+H209&gt;=Legal_Age)</f>
        <v>0</v>
      </c>
      <c r="O209" s="148">
        <f t="shared" ca="1" si="176"/>
        <v>0</v>
      </c>
      <c r="P209" s="14">
        <f ca="1">(MAX(MAX(sa-CF208*Flag_UL_Type,105%*SUM($I$7:I209))-(AD208+L209-N209)*Flag_UL_Type,0)*B209)</f>
        <v>0</v>
      </c>
      <c r="Q209" s="213">
        <f t="shared" si="151"/>
        <v>0</v>
      </c>
      <c r="R209" s="14">
        <f t="shared" ca="1" si="152"/>
        <v>0</v>
      </c>
      <c r="S209" s="14">
        <f t="shared" ca="1" si="153"/>
        <v>0</v>
      </c>
      <c r="T209" s="14">
        <f>IFERROR(IF(WoP_Flag="Y",IF(fq=1,VLOOKUP(ppt*fq-H209,Charges!$AN$41:$AO$59,2,FALSE),IF(fq=2,VLOOKUP(ppt*fq-G209,Charges!$AP$41:$AQ$79,2,FALSE),VLOOKUP(ppt*fq-D209,Charges!$AR$41:$AS$279,2,FALSE)))*pr/fq,0),0)</f>
        <v>0</v>
      </c>
      <c r="U209" s="14">
        <f ca="1">IFERROR(((T209*(VLOOKUP(Input!$D$18+H209-1,Tab_Mort_Charge,IF(Gender_2="M",2,3),FALSE)*(1+_emr2)+_rpm2)/IF(Model_Type="LA_PQIS",1000/0.0833,(12*1000))))*Flag_Mort_Rider_Charge*(T209&gt;0),0)</f>
        <v>0</v>
      </c>
      <c r="V209" s="34">
        <f>ROUND(MIN(IF(H209&gt;=7,Charges!$C$12*(1+Charges!$C$14)^((H209-7+1)),VLOOKUP(H209,Charges!$B$7:$C$12,2,0))*pr,Charges!$C$13)*B209,Round)</f>
        <v>0</v>
      </c>
      <c r="W209" s="14">
        <f t="shared" ca="1" si="154"/>
        <v>0</v>
      </c>
      <c r="X209" s="14">
        <f t="shared" ca="1" si="155"/>
        <v>0</v>
      </c>
      <c r="Y209" s="213">
        <f t="shared" ca="1" si="177"/>
        <v>0</v>
      </c>
      <c r="Z209" s="14">
        <f t="shared" ca="1" si="156"/>
        <v>0</v>
      </c>
      <c r="AA209" s="14">
        <f>IF(AND($H209=pt,$F209=11),SUM($K$7:K209)*VLOOKUP(pt,ROC,2,FALSE),0)</f>
        <v>0</v>
      </c>
      <c r="AB209" s="14">
        <f>IF(AND($H209=pt,$F209=11),SUM($V$7:V209)*VLOOKUP(pt,ROC,2,FALSE),0)</f>
        <v>0</v>
      </c>
      <c r="AC209" s="14">
        <f>IF(AND($H209=pt,$F209=11),SUM($Q$7:Q209)*VLOOKUP(pt,ROC,2,FALSE),0)</f>
        <v>0</v>
      </c>
      <c r="AD209" s="14">
        <f t="shared" ca="1" si="178"/>
        <v>0</v>
      </c>
      <c r="AE209" s="14">
        <f ca="1">(MAX(sa-CF208*Flag_UL_Type,105%*SUM($I$7:I209),Z209)+AU209)*B209</f>
        <v>0</v>
      </c>
      <c r="AF209" s="136"/>
      <c r="AG209" s="18">
        <v>203</v>
      </c>
      <c r="AH209" s="30">
        <f t="shared" ca="1" si="157"/>
        <v>0</v>
      </c>
      <c r="AI209" s="58"/>
      <c r="AJ209" s="50">
        <f>IF(AND(Option_Sys_TopUp&gt;="Y",H209&gt;=sytp,H209&lt;=(dtp+sytp-1),F209=0,H209&lt;=ppt+1),atp,0)+IFERROR(VLOOKUP(H209,Input!$B$55:$C$61,2,0),0)*(F209=0)*(Option_TopUP="Y")*(Option_Sys_TopUp="N")*B209*(pt&gt;=H209+5)</f>
        <v>0</v>
      </c>
      <c r="AK209" s="50">
        <f t="shared" si="158"/>
        <v>0</v>
      </c>
      <c r="AL209" s="50">
        <f t="shared" si="179"/>
        <v>0</v>
      </c>
      <c r="AM209" s="50">
        <f t="shared" ca="1" si="159"/>
        <v>0</v>
      </c>
      <c r="AN209" s="50">
        <f>IF(B209=0,0,AT209*(_rpm1+(1+_emr1)*VLOOKUP(E209,Tab_Mort_Charge,IF(Input!$C$12="M",2,3),0))*(0.001*0.0833)*Flag_Mort_Rider_Charge*(AT209&gt;0))</f>
        <v>0</v>
      </c>
      <c r="AO209" s="50">
        <f t="shared" ca="1" si="180"/>
        <v>0</v>
      </c>
      <c r="AP209" s="50">
        <f t="shared" ca="1" si="143"/>
        <v>0</v>
      </c>
      <c r="AQ209" s="50">
        <f t="shared" ca="1" si="160"/>
        <v>0</v>
      </c>
      <c r="AR209" s="50">
        <f t="shared" ca="1" si="161"/>
        <v>0</v>
      </c>
      <c r="AS209" s="50">
        <f t="shared" si="162"/>
        <v>0</v>
      </c>
      <c r="AT209" s="50">
        <f ca="1">(MAX((MAX(AS209,105%*SUM($AJ$7:AJ209))-AM209*Flag_UL_Type),0)*B209)</f>
        <v>0</v>
      </c>
      <c r="AU209" s="50">
        <f ca="1">(MAX(AS209,AR209,105%*SUM($AJ$7:AJ209))*B209)</f>
        <v>0</v>
      </c>
      <c r="AV209" s="125"/>
      <c r="AW209" s="13"/>
      <c r="AX209" s="13"/>
      <c r="AY209" s="13"/>
      <c r="AZ209" s="13"/>
      <c r="BA209" s="13"/>
      <c r="BG209" s="51">
        <f t="shared" si="163"/>
        <v>0</v>
      </c>
      <c r="BH209" s="51">
        <f t="shared" si="164"/>
        <v>0</v>
      </c>
      <c r="BI209" s="51">
        <f t="shared" ca="1" si="165"/>
        <v>0</v>
      </c>
      <c r="BJ209" s="51">
        <f t="shared" ca="1" si="166"/>
        <v>0</v>
      </c>
      <c r="BK209" s="51">
        <f t="shared" si="167"/>
        <v>0</v>
      </c>
      <c r="BL209" s="51">
        <f t="shared" ca="1" si="168"/>
        <v>0</v>
      </c>
      <c r="BM209" s="51">
        <f t="shared" si="169"/>
        <v>0</v>
      </c>
      <c r="BN209" s="51">
        <f t="shared" si="170"/>
        <v>0</v>
      </c>
      <c r="BO209" s="51">
        <f t="shared" ca="1" si="171"/>
        <v>0</v>
      </c>
      <c r="BP209" s="51">
        <f t="shared" ca="1" si="172"/>
        <v>0</v>
      </c>
      <c r="BQ209" s="120"/>
      <c r="BR209" s="32"/>
      <c r="BS209" s="126"/>
      <c r="BT209" s="16"/>
      <c r="BU209" s="58"/>
      <c r="BW209" s="51">
        <f>VLOOKUP(H209,Charges!$AT$4:$AU$33,2,FALSE)*I209</f>
        <v>0</v>
      </c>
      <c r="BX209" s="51">
        <f t="shared" si="173"/>
        <v>0</v>
      </c>
      <c r="BY209" s="51">
        <f t="shared" si="181"/>
        <v>0</v>
      </c>
      <c r="BZ209" s="151"/>
      <c r="CA209" s="151"/>
      <c r="CB209" s="32"/>
      <c r="CC209" s="16">
        <f ca="1">SUM($N$7:$N209)</f>
        <v>0</v>
      </c>
      <c r="CD209" s="16">
        <f t="shared" ca="1" si="174"/>
        <v>0</v>
      </c>
      <c r="CE209" s="16">
        <f t="shared" ca="1" si="175"/>
        <v>0</v>
      </c>
      <c r="CF209" s="7">
        <f t="shared" ca="1" si="182"/>
        <v>0</v>
      </c>
    </row>
    <row r="210" spans="1:84" s="7" customFormat="1" x14ac:dyDescent="0.2">
      <c r="A210" s="149"/>
      <c r="B210" s="14">
        <f t="shared" si="144"/>
        <v>0</v>
      </c>
      <c r="C210" s="12">
        <f t="shared" si="145"/>
        <v>0</v>
      </c>
      <c r="D210" s="17">
        <f t="shared" si="183"/>
        <v>204</v>
      </c>
      <c r="E210" s="17">
        <f t="shared" ca="1" si="146"/>
        <v>76</v>
      </c>
      <c r="F210" s="12">
        <f t="shared" si="141"/>
        <v>11</v>
      </c>
      <c r="G210" s="12">
        <f t="shared" si="184"/>
        <v>34</v>
      </c>
      <c r="H210" s="17">
        <f t="shared" si="142"/>
        <v>17</v>
      </c>
      <c r="I210" s="29">
        <f t="shared" si="147"/>
        <v>0</v>
      </c>
      <c r="J210" s="211">
        <f>IFERROR(VLOOKUP(H210,Charges!$T$6:$U$35,2,0)*C210,0)</f>
        <v>0</v>
      </c>
      <c r="K210" s="29">
        <f t="shared" si="148"/>
        <v>0</v>
      </c>
      <c r="L210" s="29">
        <f t="shared" si="149"/>
        <v>0</v>
      </c>
      <c r="M210" s="147">
        <f t="shared" ca="1" si="150"/>
        <v>0</v>
      </c>
      <c r="N210" s="148">
        <f ca="1">IF(AND(Option_SPW="Y",Z209&gt;=SPW_Start_Min_FV,H210&gt;=Lock_In_Period,Z209&gt;SPW_Amount_pa+IF(option="Single",1/5*pr,2*pr),H210&gt;=SPW_Start_Year,H210&lt;=SPW_Start_Year+SPW_Duration-1,F210=0,age+H210&gt;=Legal_Age),SPW_Amount_pa,0)+IFERROR(VLOOKUP(H210,Input!$B$68:$C$74,2,0),0)*(F210=0)*(Option_PW="Y")*(Option_SPW="N")*(age+H210&gt;=Legal_Age)</f>
        <v>0</v>
      </c>
      <c r="O210" s="148">
        <f t="shared" ca="1" si="176"/>
        <v>0</v>
      </c>
      <c r="P210" s="14">
        <f ca="1">(MAX(MAX(sa-CF209*Flag_UL_Type,105%*SUM($I$7:I210))-(AD209+L210-N210)*Flag_UL_Type,0)*B210)</f>
        <v>0</v>
      </c>
      <c r="Q210" s="213">
        <f t="shared" si="151"/>
        <v>0</v>
      </c>
      <c r="R210" s="14">
        <f t="shared" ca="1" si="152"/>
        <v>0</v>
      </c>
      <c r="S210" s="14">
        <f t="shared" ca="1" si="153"/>
        <v>0</v>
      </c>
      <c r="T210" s="14">
        <f>IFERROR(IF(WoP_Flag="Y",IF(fq=1,VLOOKUP(ppt*fq-H210,Charges!$AN$41:$AO$59,2,FALSE),IF(fq=2,VLOOKUP(ppt*fq-G210,Charges!$AP$41:$AQ$79,2,FALSE),VLOOKUP(ppt*fq-D210,Charges!$AR$41:$AS$279,2,FALSE)))*pr/fq,0),0)</f>
        <v>0</v>
      </c>
      <c r="U210" s="14">
        <f ca="1">IFERROR(((T210*(VLOOKUP(Input!$D$18+H210-1,Tab_Mort_Charge,IF(Gender_2="M",2,3),FALSE)*(1+_emr2)+_rpm2)/IF(Model_Type="LA_PQIS",1000/0.0833,(12*1000))))*Flag_Mort_Rider_Charge*(T210&gt;0),0)</f>
        <v>0</v>
      </c>
      <c r="V210" s="34">
        <f>ROUND(MIN(IF(H210&gt;=7,Charges!$C$12*(1+Charges!$C$14)^((H210-7+1)),VLOOKUP(H210,Charges!$B$7:$C$12,2,0))*pr,Charges!$C$13)*B210,Round)</f>
        <v>0</v>
      </c>
      <c r="W210" s="14">
        <f t="shared" ca="1" si="154"/>
        <v>0</v>
      </c>
      <c r="X210" s="14">
        <f t="shared" ca="1" si="155"/>
        <v>0</v>
      </c>
      <c r="Y210" s="213">
        <f t="shared" ca="1" si="177"/>
        <v>0</v>
      </c>
      <c r="Z210" s="14">
        <f t="shared" ca="1" si="156"/>
        <v>0</v>
      </c>
      <c r="AA210" s="14">
        <f>IF(AND($H210=pt,$F210=11),SUM($K$7:K210)*VLOOKUP(pt,ROC,2,FALSE),0)</f>
        <v>0</v>
      </c>
      <c r="AB210" s="14">
        <f>IF(AND($H210=pt,$F210=11),SUM($V$7:V210)*VLOOKUP(pt,ROC,2,FALSE),0)</f>
        <v>0</v>
      </c>
      <c r="AC210" s="14">
        <f>IF(AND($H210=pt,$F210=11),SUM($Q$7:Q210)*VLOOKUP(pt,ROC,2,FALSE),0)</f>
        <v>0</v>
      </c>
      <c r="AD210" s="14">
        <f t="shared" ca="1" si="178"/>
        <v>0</v>
      </c>
      <c r="AE210" s="14">
        <f ca="1">(MAX(sa-CF209*Flag_UL_Type,105%*SUM($I$7:I210),Z210)+AU210)*B210</f>
        <v>0</v>
      </c>
      <c r="AF210" s="136"/>
      <c r="AG210" s="18">
        <v>204</v>
      </c>
      <c r="AH210" s="30">
        <f t="shared" ca="1" si="157"/>
        <v>0</v>
      </c>
      <c r="AI210" s="58"/>
      <c r="AJ210" s="50">
        <f>IF(AND(Option_Sys_TopUp&gt;="Y",H210&gt;=sytp,H210&lt;=(dtp+sytp-1),F210=0,H210&lt;=ppt+1),atp,0)+IFERROR(VLOOKUP(H210,Input!$B$55:$C$61,2,0),0)*(F210=0)*(Option_TopUP="Y")*(Option_Sys_TopUp="N")*B210*(pt&gt;=H210+5)</f>
        <v>0</v>
      </c>
      <c r="AK210" s="50">
        <f t="shared" si="158"/>
        <v>0</v>
      </c>
      <c r="AL210" s="50">
        <f t="shared" si="179"/>
        <v>0</v>
      </c>
      <c r="AM210" s="50">
        <f t="shared" ca="1" si="159"/>
        <v>0</v>
      </c>
      <c r="AN210" s="50">
        <f>IF(B210=0,0,AT210*(_rpm1+(1+_emr1)*VLOOKUP(E210,Tab_Mort_Charge,IF(Input!$C$12="M",2,3),0))*(0.001*0.0833)*Flag_Mort_Rider_Charge*(AT210&gt;0))</f>
        <v>0</v>
      </c>
      <c r="AO210" s="50">
        <f t="shared" ca="1" si="180"/>
        <v>0</v>
      </c>
      <c r="AP210" s="50">
        <f t="shared" ca="1" si="143"/>
        <v>0</v>
      </c>
      <c r="AQ210" s="50">
        <f t="shared" ca="1" si="160"/>
        <v>0</v>
      </c>
      <c r="AR210" s="50">
        <f t="shared" ca="1" si="161"/>
        <v>0</v>
      </c>
      <c r="AS210" s="50">
        <f t="shared" si="162"/>
        <v>0</v>
      </c>
      <c r="AT210" s="50">
        <f ca="1">(MAX((MAX(AS210,105%*SUM($AJ$7:AJ210))-AM210*Flag_UL_Type),0)*B210)</f>
        <v>0</v>
      </c>
      <c r="AU210" s="50">
        <f ca="1">(MAX(AS210,AR210,105%*SUM($AJ$7:AJ210))*B210)</f>
        <v>0</v>
      </c>
      <c r="AV210" s="125"/>
      <c r="AW210" s="13"/>
      <c r="AX210" s="13"/>
      <c r="AY210" s="13"/>
      <c r="AZ210" s="13"/>
      <c r="BA210" s="13"/>
      <c r="BG210" s="51">
        <f t="shared" si="163"/>
        <v>0</v>
      </c>
      <c r="BH210" s="51">
        <f t="shared" si="164"/>
        <v>0</v>
      </c>
      <c r="BI210" s="51">
        <f t="shared" ca="1" si="165"/>
        <v>0</v>
      </c>
      <c r="BJ210" s="51">
        <f t="shared" ca="1" si="166"/>
        <v>0</v>
      </c>
      <c r="BK210" s="51">
        <f t="shared" si="167"/>
        <v>0</v>
      </c>
      <c r="BL210" s="51">
        <f t="shared" ca="1" si="168"/>
        <v>0</v>
      </c>
      <c r="BM210" s="51">
        <f t="shared" si="169"/>
        <v>0</v>
      </c>
      <c r="BN210" s="51">
        <f t="shared" si="170"/>
        <v>0</v>
      </c>
      <c r="BO210" s="51">
        <f t="shared" ca="1" si="171"/>
        <v>0</v>
      </c>
      <c r="BP210" s="51">
        <f t="shared" ca="1" si="172"/>
        <v>0</v>
      </c>
      <c r="BQ210" s="120"/>
      <c r="BR210" s="32"/>
      <c r="BS210" s="126"/>
      <c r="BT210" s="16"/>
      <c r="BU210" s="58"/>
      <c r="BW210" s="51">
        <f>VLOOKUP(H210,Charges!$AT$4:$AU$33,2,FALSE)*I210</f>
        <v>0</v>
      </c>
      <c r="BX210" s="51">
        <f t="shared" si="173"/>
        <v>0</v>
      </c>
      <c r="BY210" s="51">
        <f t="shared" si="181"/>
        <v>0</v>
      </c>
      <c r="BZ210" s="151"/>
      <c r="CA210" s="151"/>
      <c r="CB210" s="32"/>
      <c r="CC210" s="16">
        <f ca="1">SUM($N$7:$N210)</f>
        <v>0</v>
      </c>
      <c r="CD210" s="16">
        <f t="shared" ca="1" si="174"/>
        <v>0</v>
      </c>
      <c r="CE210" s="16">
        <f t="shared" ca="1" si="175"/>
        <v>0</v>
      </c>
      <c r="CF210" s="7">
        <f t="shared" ca="1" si="182"/>
        <v>0</v>
      </c>
    </row>
    <row r="211" spans="1:84" s="7" customFormat="1" x14ac:dyDescent="0.2">
      <c r="A211" s="149"/>
      <c r="B211" s="14">
        <f t="shared" si="144"/>
        <v>0</v>
      </c>
      <c r="C211" s="12">
        <f t="shared" si="145"/>
        <v>0</v>
      </c>
      <c r="D211" s="17">
        <f t="shared" si="183"/>
        <v>205</v>
      </c>
      <c r="E211" s="17">
        <f t="shared" ca="1" si="146"/>
        <v>77</v>
      </c>
      <c r="F211" s="12">
        <f t="shared" si="141"/>
        <v>0</v>
      </c>
      <c r="G211" s="12">
        <f t="shared" si="184"/>
        <v>35</v>
      </c>
      <c r="H211" s="17">
        <f t="shared" si="142"/>
        <v>18</v>
      </c>
      <c r="I211" s="29">
        <f t="shared" si="147"/>
        <v>0</v>
      </c>
      <c r="J211" s="211">
        <f>IFERROR(VLOOKUP(H211,Charges!$T$6:$U$35,2,0)*C211,0)</f>
        <v>0</v>
      </c>
      <c r="K211" s="29">
        <f t="shared" si="148"/>
        <v>0</v>
      </c>
      <c r="L211" s="29">
        <f t="shared" si="149"/>
        <v>0</v>
      </c>
      <c r="M211" s="147">
        <f t="shared" ca="1" si="150"/>
        <v>0</v>
      </c>
      <c r="N211" s="148">
        <f ca="1">IF(AND(Option_SPW="Y",Z210&gt;=SPW_Start_Min_FV,H211&gt;=Lock_In_Period,Z210&gt;SPW_Amount_pa+IF(option="Single",1/5*pr,2*pr),H211&gt;=SPW_Start_Year,H211&lt;=SPW_Start_Year+SPW_Duration-1,F211=0,age+H211&gt;=Legal_Age),SPW_Amount_pa,0)+IFERROR(VLOOKUP(H211,Input!$B$68:$C$74,2,0),0)*(F211=0)*(Option_PW="Y")*(Option_SPW="N")*(age+H211&gt;=Legal_Age)</f>
        <v>0</v>
      </c>
      <c r="O211" s="148">
        <f t="shared" ca="1" si="176"/>
        <v>0</v>
      </c>
      <c r="P211" s="14">
        <f ca="1">(MAX(MAX(sa-CF210*Flag_UL_Type,105%*SUM($I$7:I211))-(AD210+L211-N211)*Flag_UL_Type,0)*B211)</f>
        <v>0</v>
      </c>
      <c r="Q211" s="213">
        <f t="shared" si="151"/>
        <v>0</v>
      </c>
      <c r="R211" s="14">
        <f t="shared" ca="1" si="152"/>
        <v>0</v>
      </c>
      <c r="S211" s="14">
        <f t="shared" ca="1" si="153"/>
        <v>0</v>
      </c>
      <c r="T211" s="14">
        <f>IFERROR(IF(WoP_Flag="Y",IF(fq=1,VLOOKUP(ppt*fq-H211,Charges!$AN$41:$AO$59,2,FALSE),IF(fq=2,VLOOKUP(ppt*fq-G211,Charges!$AP$41:$AQ$79,2,FALSE),VLOOKUP(ppt*fq-D211,Charges!$AR$41:$AS$279,2,FALSE)))*pr/fq,0),0)</f>
        <v>0</v>
      </c>
      <c r="U211" s="14">
        <f ca="1">IFERROR(((T211*(VLOOKUP(Input!$D$18+H211-1,Tab_Mort_Charge,IF(Gender_2="M",2,3),FALSE)*(1+_emr2)+_rpm2)/IF(Model_Type="LA_PQIS",1000/0.0833,(12*1000))))*Flag_Mort_Rider_Charge*(T211&gt;0),0)</f>
        <v>0</v>
      </c>
      <c r="V211" s="34">
        <f>ROUND(MIN(IF(H211&gt;=7,Charges!$C$12*(1+Charges!$C$14)^((H211-7+1)),VLOOKUP(H211,Charges!$B$7:$C$12,2,0))*pr,Charges!$C$13)*B211,Round)</f>
        <v>0</v>
      </c>
      <c r="W211" s="14">
        <f t="shared" ca="1" si="154"/>
        <v>0</v>
      </c>
      <c r="X211" s="14">
        <f t="shared" ca="1" si="155"/>
        <v>0</v>
      </c>
      <c r="Y211" s="213">
        <f t="shared" ca="1" si="177"/>
        <v>0</v>
      </c>
      <c r="Z211" s="14">
        <f t="shared" ca="1" si="156"/>
        <v>0</v>
      </c>
      <c r="AA211" s="14">
        <f>IF(AND($H211=pt,$F211=11),SUM($K$7:K211)*VLOOKUP(pt,ROC,2,FALSE),0)</f>
        <v>0</v>
      </c>
      <c r="AB211" s="14">
        <f>IF(AND($H211=pt,$F211=11),SUM($V$7:V211)*VLOOKUP(pt,ROC,2,FALSE),0)</f>
        <v>0</v>
      </c>
      <c r="AC211" s="14">
        <f>IF(AND($H211=pt,$F211=11),SUM($Q$7:Q211)*VLOOKUP(pt,ROC,2,FALSE),0)</f>
        <v>0</v>
      </c>
      <c r="AD211" s="14">
        <f t="shared" ca="1" si="178"/>
        <v>0</v>
      </c>
      <c r="AE211" s="14">
        <f ca="1">(MAX(sa-CF210*Flag_UL_Type,105%*SUM($I$7:I211),Z211)+AU211)*B211</f>
        <v>0</v>
      </c>
      <c r="AF211" s="136"/>
      <c r="AG211" s="18">
        <v>205</v>
      </c>
      <c r="AH211" s="30">
        <f t="shared" ca="1" si="157"/>
        <v>0</v>
      </c>
      <c r="AI211" s="58"/>
      <c r="AJ211" s="50">
        <f>IF(AND(Option_Sys_TopUp&gt;="Y",H211&gt;=sytp,H211&lt;=(dtp+sytp-1),F211=0,H211&lt;=ppt+1),atp,0)+IFERROR(VLOOKUP(H211,Input!$B$55:$C$61,2,0),0)*(F211=0)*(Option_TopUP="Y")*(Option_Sys_TopUp="N")*B211*(pt&gt;=H211+5)</f>
        <v>0</v>
      </c>
      <c r="AK211" s="50">
        <f t="shared" si="158"/>
        <v>0</v>
      </c>
      <c r="AL211" s="50">
        <f t="shared" si="179"/>
        <v>0</v>
      </c>
      <c r="AM211" s="50">
        <f t="shared" ca="1" si="159"/>
        <v>0</v>
      </c>
      <c r="AN211" s="50">
        <f>IF(B211=0,0,AT211*(_rpm1+(1+_emr1)*VLOOKUP(E211,Tab_Mort_Charge,IF(Input!$C$12="M",2,3),0))*(0.001*0.0833)*Flag_Mort_Rider_Charge*(AT211&gt;0))</f>
        <v>0</v>
      </c>
      <c r="AO211" s="50">
        <f t="shared" ca="1" si="180"/>
        <v>0</v>
      </c>
      <c r="AP211" s="50">
        <f t="shared" ca="1" si="143"/>
        <v>0</v>
      </c>
      <c r="AQ211" s="50">
        <f t="shared" ca="1" si="160"/>
        <v>0</v>
      </c>
      <c r="AR211" s="50">
        <f t="shared" ca="1" si="161"/>
        <v>0</v>
      </c>
      <c r="AS211" s="50">
        <f t="shared" si="162"/>
        <v>0</v>
      </c>
      <c r="AT211" s="50">
        <f ca="1">(MAX((MAX(AS211,105%*SUM($AJ$7:AJ211))-AM211*Flag_UL_Type),0)*B211)</f>
        <v>0</v>
      </c>
      <c r="AU211" s="50">
        <f ca="1">(MAX(AS211,AR211,105%*SUM($AJ$7:AJ211))*B211)</f>
        <v>0</v>
      </c>
      <c r="AV211" s="125"/>
      <c r="AW211" s="13"/>
      <c r="AX211" s="13"/>
      <c r="AY211" s="13"/>
      <c r="AZ211" s="13"/>
      <c r="BA211" s="13"/>
      <c r="BG211" s="51">
        <f t="shared" si="163"/>
        <v>0</v>
      </c>
      <c r="BH211" s="51">
        <f t="shared" si="164"/>
        <v>0</v>
      </c>
      <c r="BI211" s="51">
        <f t="shared" ca="1" si="165"/>
        <v>0</v>
      </c>
      <c r="BJ211" s="51">
        <f t="shared" ca="1" si="166"/>
        <v>0</v>
      </c>
      <c r="BK211" s="51">
        <f t="shared" si="167"/>
        <v>0</v>
      </c>
      <c r="BL211" s="51">
        <f t="shared" ca="1" si="168"/>
        <v>0</v>
      </c>
      <c r="BM211" s="51">
        <f t="shared" si="169"/>
        <v>0</v>
      </c>
      <c r="BN211" s="51">
        <f t="shared" si="170"/>
        <v>0</v>
      </c>
      <c r="BO211" s="51">
        <f t="shared" ca="1" si="171"/>
        <v>0</v>
      </c>
      <c r="BP211" s="51">
        <f t="shared" ca="1" si="172"/>
        <v>0</v>
      </c>
      <c r="BQ211" s="120"/>
      <c r="BR211" s="32"/>
      <c r="BS211" s="126"/>
      <c r="BT211" s="16"/>
      <c r="BU211" s="58"/>
      <c r="BW211" s="51">
        <f>VLOOKUP(H211,Charges!$AT$4:$AU$33,2,FALSE)*I211</f>
        <v>0</v>
      </c>
      <c r="BX211" s="51">
        <f t="shared" si="173"/>
        <v>0</v>
      </c>
      <c r="BY211" s="51">
        <f t="shared" si="181"/>
        <v>0</v>
      </c>
      <c r="BZ211" s="151"/>
      <c r="CA211" s="151"/>
      <c r="CB211" s="32"/>
      <c r="CC211" s="16">
        <f ca="1">SUM($N$7:$N211)</f>
        <v>0</v>
      </c>
      <c r="CD211" s="16">
        <f t="shared" ca="1" si="174"/>
        <v>0</v>
      </c>
      <c r="CE211" s="16">
        <f t="shared" ca="1" si="175"/>
        <v>0</v>
      </c>
      <c r="CF211" s="7">
        <f t="shared" ca="1" si="182"/>
        <v>0</v>
      </c>
    </row>
    <row r="212" spans="1:84" s="7" customFormat="1" x14ac:dyDescent="0.2">
      <c r="A212" s="149"/>
      <c r="B212" s="14">
        <f t="shared" si="144"/>
        <v>0</v>
      </c>
      <c r="C212" s="12">
        <f t="shared" si="145"/>
        <v>0</v>
      </c>
      <c r="D212" s="17">
        <f t="shared" si="183"/>
        <v>206</v>
      </c>
      <c r="E212" s="17">
        <f t="shared" ca="1" si="146"/>
        <v>77</v>
      </c>
      <c r="F212" s="12">
        <f t="shared" ref="F212:F275" si="185">F200</f>
        <v>1</v>
      </c>
      <c r="G212" s="12">
        <f t="shared" si="184"/>
        <v>35</v>
      </c>
      <c r="H212" s="17">
        <f t="shared" ref="H212:H275" si="186">+H200+1</f>
        <v>18</v>
      </c>
      <c r="I212" s="29">
        <f t="shared" si="147"/>
        <v>0</v>
      </c>
      <c r="J212" s="211">
        <f>IFERROR(VLOOKUP(H212,Charges!$T$6:$U$35,2,0)*C212,0)</f>
        <v>0</v>
      </c>
      <c r="K212" s="29">
        <f t="shared" si="148"/>
        <v>0</v>
      </c>
      <c r="L212" s="29">
        <f t="shared" si="149"/>
        <v>0</v>
      </c>
      <c r="M212" s="147">
        <f t="shared" ca="1" si="150"/>
        <v>0</v>
      </c>
      <c r="N212" s="148">
        <f ca="1">IF(AND(Option_SPW="Y",Z211&gt;=SPW_Start_Min_FV,H212&gt;=Lock_In_Period,Z211&gt;SPW_Amount_pa+IF(option="Single",1/5*pr,2*pr),H212&gt;=SPW_Start_Year,H212&lt;=SPW_Start_Year+SPW_Duration-1,F212=0,age+H212&gt;=Legal_Age),SPW_Amount_pa,0)+IFERROR(VLOOKUP(H212,Input!$B$68:$C$74,2,0),0)*(F212=0)*(Option_PW="Y")*(Option_SPW="N")*(age+H212&gt;=Legal_Age)</f>
        <v>0</v>
      </c>
      <c r="O212" s="148">
        <f t="shared" ca="1" si="176"/>
        <v>0</v>
      </c>
      <c r="P212" s="14">
        <f ca="1">(MAX(MAX(sa-CF211*Flag_UL_Type,105%*SUM($I$7:I212))-(AD211+L212-N212)*Flag_UL_Type,0)*B212)</f>
        <v>0</v>
      </c>
      <c r="Q212" s="213">
        <f t="shared" si="151"/>
        <v>0</v>
      </c>
      <c r="R212" s="14">
        <f t="shared" ca="1" si="152"/>
        <v>0</v>
      </c>
      <c r="S212" s="14">
        <f t="shared" ca="1" si="153"/>
        <v>0</v>
      </c>
      <c r="T212" s="14">
        <f>IFERROR(IF(WoP_Flag="Y",IF(fq=1,VLOOKUP(ppt*fq-H212,Charges!$AN$41:$AO$59,2,FALSE),IF(fq=2,VLOOKUP(ppt*fq-G212,Charges!$AP$41:$AQ$79,2,FALSE),VLOOKUP(ppt*fq-D212,Charges!$AR$41:$AS$279,2,FALSE)))*pr/fq,0),0)</f>
        <v>0</v>
      </c>
      <c r="U212" s="14">
        <f ca="1">IFERROR(((T212*(VLOOKUP(Input!$D$18+H212-1,Tab_Mort_Charge,IF(Gender_2="M",2,3),FALSE)*(1+_emr2)+_rpm2)/IF(Model_Type="LA_PQIS",1000/0.0833,(12*1000))))*Flag_Mort_Rider_Charge*(T212&gt;0),0)</f>
        <v>0</v>
      </c>
      <c r="V212" s="34">
        <f>ROUND(MIN(IF(H212&gt;=7,Charges!$C$12*(1+Charges!$C$14)^((H212-7+1)),VLOOKUP(H212,Charges!$B$7:$C$12,2,0))*pr,Charges!$C$13)*B212,Round)</f>
        <v>0</v>
      </c>
      <c r="W212" s="14">
        <f t="shared" ca="1" si="154"/>
        <v>0</v>
      </c>
      <c r="X212" s="14">
        <f t="shared" ca="1" si="155"/>
        <v>0</v>
      </c>
      <c r="Y212" s="213">
        <f t="shared" ca="1" si="177"/>
        <v>0</v>
      </c>
      <c r="Z212" s="14">
        <f t="shared" ca="1" si="156"/>
        <v>0</v>
      </c>
      <c r="AA212" s="14">
        <f>IF(AND($H212=pt,$F212=11),SUM($K$7:K212)*VLOOKUP(pt,ROC,2,FALSE),0)</f>
        <v>0</v>
      </c>
      <c r="AB212" s="14">
        <f>IF(AND($H212=pt,$F212=11),SUM($V$7:V212)*VLOOKUP(pt,ROC,2,FALSE),0)</f>
        <v>0</v>
      </c>
      <c r="AC212" s="14">
        <f>IF(AND($H212=pt,$F212=11),SUM($Q$7:Q212)*VLOOKUP(pt,ROC,2,FALSE),0)</f>
        <v>0</v>
      </c>
      <c r="AD212" s="14">
        <f t="shared" ca="1" si="178"/>
        <v>0</v>
      </c>
      <c r="AE212" s="14">
        <f ca="1">(MAX(sa-CF211*Flag_UL_Type,105%*SUM($I$7:I212),Z212)+AU212)*B212</f>
        <v>0</v>
      </c>
      <c r="AF212" s="136"/>
      <c r="AG212" s="18">
        <v>206</v>
      </c>
      <c r="AH212" s="30">
        <f t="shared" ca="1" si="157"/>
        <v>0</v>
      </c>
      <c r="AI212" s="58"/>
      <c r="AJ212" s="50">
        <f>IF(AND(Option_Sys_TopUp&gt;="Y",H212&gt;=sytp,H212&lt;=(dtp+sytp-1),F212=0,H212&lt;=ppt+1),atp,0)+IFERROR(VLOOKUP(H212,Input!$B$55:$C$61,2,0),0)*(F212=0)*(Option_TopUP="Y")*(Option_Sys_TopUp="N")*B212*(pt&gt;=H212+5)</f>
        <v>0</v>
      </c>
      <c r="AK212" s="50">
        <f t="shared" si="158"/>
        <v>0</v>
      </c>
      <c r="AL212" s="50">
        <f t="shared" si="179"/>
        <v>0</v>
      </c>
      <c r="AM212" s="50">
        <f t="shared" ca="1" si="159"/>
        <v>0</v>
      </c>
      <c r="AN212" s="50">
        <f>IF(B212=0,0,AT212*(_rpm1+(1+_emr1)*VLOOKUP(E212,Tab_Mort_Charge,IF(Input!$C$12="M",2,3),0))*(0.001*0.0833)*Flag_Mort_Rider_Charge*(AT212&gt;0))</f>
        <v>0</v>
      </c>
      <c r="AO212" s="50">
        <f t="shared" ca="1" si="180"/>
        <v>0</v>
      </c>
      <c r="AP212" s="50">
        <f t="shared" ca="1" si="143"/>
        <v>0</v>
      </c>
      <c r="AQ212" s="50">
        <f t="shared" ca="1" si="160"/>
        <v>0</v>
      </c>
      <c r="AR212" s="50">
        <f t="shared" ca="1" si="161"/>
        <v>0</v>
      </c>
      <c r="AS212" s="50">
        <f t="shared" si="162"/>
        <v>0</v>
      </c>
      <c r="AT212" s="50">
        <f ca="1">(MAX((MAX(AS212,105%*SUM($AJ$7:AJ212))-AM212*Flag_UL_Type),0)*B212)</f>
        <v>0</v>
      </c>
      <c r="AU212" s="50">
        <f ca="1">(MAX(AS212,AR212,105%*SUM($AJ$7:AJ212))*B212)</f>
        <v>0</v>
      </c>
      <c r="AV212" s="125"/>
      <c r="AW212" s="13"/>
      <c r="AX212" s="13"/>
      <c r="AY212" s="13"/>
      <c r="AZ212" s="13"/>
      <c r="BA212" s="13"/>
      <c r="BG212" s="51">
        <f t="shared" si="163"/>
        <v>0</v>
      </c>
      <c r="BH212" s="51">
        <f t="shared" si="164"/>
        <v>0</v>
      </c>
      <c r="BI212" s="51">
        <f t="shared" ca="1" si="165"/>
        <v>0</v>
      </c>
      <c r="BJ212" s="51">
        <f t="shared" ca="1" si="166"/>
        <v>0</v>
      </c>
      <c r="BK212" s="51">
        <f t="shared" si="167"/>
        <v>0</v>
      </c>
      <c r="BL212" s="51">
        <f t="shared" ca="1" si="168"/>
        <v>0</v>
      </c>
      <c r="BM212" s="51">
        <f t="shared" si="169"/>
        <v>0</v>
      </c>
      <c r="BN212" s="51">
        <f t="shared" si="170"/>
        <v>0</v>
      </c>
      <c r="BO212" s="51">
        <f t="shared" ca="1" si="171"/>
        <v>0</v>
      </c>
      <c r="BP212" s="51">
        <f t="shared" ca="1" si="172"/>
        <v>0</v>
      </c>
      <c r="BQ212" s="120"/>
      <c r="BR212" s="32"/>
      <c r="BS212" s="126"/>
      <c r="BT212" s="16"/>
      <c r="BU212" s="58"/>
      <c r="BW212" s="51">
        <f>VLOOKUP(H212,Charges!$AT$4:$AU$33,2,FALSE)*I212</f>
        <v>0</v>
      </c>
      <c r="BX212" s="51">
        <f t="shared" si="173"/>
        <v>0</v>
      </c>
      <c r="BY212" s="51">
        <f t="shared" si="181"/>
        <v>0</v>
      </c>
      <c r="BZ212" s="151"/>
      <c r="CA212" s="151"/>
      <c r="CB212" s="32"/>
      <c r="CC212" s="16">
        <f ca="1">SUM($N$7:$N212)</f>
        <v>0</v>
      </c>
      <c r="CD212" s="16">
        <f t="shared" ca="1" si="174"/>
        <v>0</v>
      </c>
      <c r="CE212" s="16">
        <f t="shared" ca="1" si="175"/>
        <v>0</v>
      </c>
      <c r="CF212" s="7">
        <f t="shared" ca="1" si="182"/>
        <v>0</v>
      </c>
    </row>
    <row r="213" spans="1:84" s="7" customFormat="1" x14ac:dyDescent="0.2">
      <c r="A213" s="149"/>
      <c r="B213" s="14">
        <f t="shared" si="144"/>
        <v>0</v>
      </c>
      <c r="C213" s="12">
        <f t="shared" si="145"/>
        <v>0</v>
      </c>
      <c r="D213" s="17">
        <f t="shared" si="183"/>
        <v>207</v>
      </c>
      <c r="E213" s="17">
        <f t="shared" ca="1" si="146"/>
        <v>77</v>
      </c>
      <c r="F213" s="12">
        <f t="shared" si="185"/>
        <v>2</v>
      </c>
      <c r="G213" s="12">
        <f t="shared" si="184"/>
        <v>35</v>
      </c>
      <c r="H213" s="17">
        <f t="shared" si="186"/>
        <v>18</v>
      </c>
      <c r="I213" s="29">
        <f t="shared" si="147"/>
        <v>0</v>
      </c>
      <c r="J213" s="211">
        <f>IFERROR(VLOOKUP(H213,Charges!$T$6:$U$35,2,0)*C213,0)</f>
        <v>0</v>
      </c>
      <c r="K213" s="29">
        <f t="shared" si="148"/>
        <v>0</v>
      </c>
      <c r="L213" s="29">
        <f t="shared" si="149"/>
        <v>0</v>
      </c>
      <c r="M213" s="147">
        <f t="shared" ca="1" si="150"/>
        <v>0</v>
      </c>
      <c r="N213" s="148">
        <f ca="1">IF(AND(Option_SPW="Y",Z212&gt;=SPW_Start_Min_FV,H213&gt;=Lock_In_Period,Z212&gt;SPW_Amount_pa+IF(option="Single",1/5*pr,2*pr),H213&gt;=SPW_Start_Year,H213&lt;=SPW_Start_Year+SPW_Duration-1,F213=0,age+H213&gt;=Legal_Age),SPW_Amount_pa,0)+IFERROR(VLOOKUP(H213,Input!$B$68:$C$74,2,0),0)*(F213=0)*(Option_PW="Y")*(Option_SPW="N")*(age+H213&gt;=Legal_Age)</f>
        <v>0</v>
      </c>
      <c r="O213" s="148">
        <f t="shared" ca="1" si="176"/>
        <v>0</v>
      </c>
      <c r="P213" s="14">
        <f ca="1">(MAX(MAX(sa-CF212*Flag_UL_Type,105%*SUM($I$7:I213))-(AD212+L213-N213)*Flag_UL_Type,0)*B213)</f>
        <v>0</v>
      </c>
      <c r="Q213" s="213">
        <f t="shared" si="151"/>
        <v>0</v>
      </c>
      <c r="R213" s="14">
        <f t="shared" ca="1" si="152"/>
        <v>0</v>
      </c>
      <c r="S213" s="14">
        <f t="shared" ca="1" si="153"/>
        <v>0</v>
      </c>
      <c r="T213" s="14">
        <f>IFERROR(IF(WoP_Flag="Y",IF(fq=1,VLOOKUP(ppt*fq-H213,Charges!$AN$41:$AO$59,2,FALSE),IF(fq=2,VLOOKUP(ppt*fq-G213,Charges!$AP$41:$AQ$79,2,FALSE),VLOOKUP(ppt*fq-D213,Charges!$AR$41:$AS$279,2,FALSE)))*pr/fq,0),0)</f>
        <v>0</v>
      </c>
      <c r="U213" s="14">
        <f ca="1">IFERROR(((T213*(VLOOKUP(Input!$D$18+H213-1,Tab_Mort_Charge,IF(Gender_2="M",2,3),FALSE)*(1+_emr2)+_rpm2)/IF(Model_Type="LA_PQIS",1000/0.0833,(12*1000))))*Flag_Mort_Rider_Charge*(T213&gt;0),0)</f>
        <v>0</v>
      </c>
      <c r="V213" s="34">
        <f>ROUND(MIN(IF(H213&gt;=7,Charges!$C$12*(1+Charges!$C$14)^((H213-7+1)),VLOOKUP(H213,Charges!$B$7:$C$12,2,0))*pr,Charges!$C$13)*B213,Round)</f>
        <v>0</v>
      </c>
      <c r="W213" s="14">
        <f t="shared" ca="1" si="154"/>
        <v>0</v>
      </c>
      <c r="X213" s="14">
        <f t="shared" ca="1" si="155"/>
        <v>0</v>
      </c>
      <c r="Y213" s="213">
        <f t="shared" ca="1" si="177"/>
        <v>0</v>
      </c>
      <c r="Z213" s="14">
        <f t="shared" ca="1" si="156"/>
        <v>0</v>
      </c>
      <c r="AA213" s="14">
        <f>IF(AND($H213=pt,$F213=11),SUM($K$7:K213)*VLOOKUP(pt,ROC,2,FALSE),0)</f>
        <v>0</v>
      </c>
      <c r="AB213" s="14">
        <f>IF(AND($H213=pt,$F213=11),SUM($V$7:V213)*VLOOKUP(pt,ROC,2,FALSE),0)</f>
        <v>0</v>
      </c>
      <c r="AC213" s="14">
        <f>IF(AND($H213=pt,$F213=11),SUM($Q$7:Q213)*VLOOKUP(pt,ROC,2,FALSE),0)</f>
        <v>0</v>
      </c>
      <c r="AD213" s="14">
        <f t="shared" ca="1" si="178"/>
        <v>0</v>
      </c>
      <c r="AE213" s="14">
        <f ca="1">(MAX(sa-CF212*Flag_UL_Type,105%*SUM($I$7:I213),Z213)+AU213)*B213</f>
        <v>0</v>
      </c>
      <c r="AF213" s="136"/>
      <c r="AG213" s="18">
        <v>207</v>
      </c>
      <c r="AH213" s="30">
        <f t="shared" ca="1" si="157"/>
        <v>0</v>
      </c>
      <c r="AI213" s="58"/>
      <c r="AJ213" s="50">
        <f>IF(AND(Option_Sys_TopUp&gt;="Y",H213&gt;=sytp,H213&lt;=(dtp+sytp-1),F213=0,H213&lt;=ppt+1),atp,0)+IFERROR(VLOOKUP(H213,Input!$B$55:$C$61,2,0),0)*(F213=0)*(Option_TopUP="Y")*(Option_Sys_TopUp="N")*B213*(pt&gt;=H213+5)</f>
        <v>0</v>
      </c>
      <c r="AK213" s="50">
        <f t="shared" si="158"/>
        <v>0</v>
      </c>
      <c r="AL213" s="50">
        <f t="shared" si="179"/>
        <v>0</v>
      </c>
      <c r="AM213" s="50">
        <f t="shared" ca="1" si="159"/>
        <v>0</v>
      </c>
      <c r="AN213" s="50">
        <f>IF(B213=0,0,AT213*(_rpm1+(1+_emr1)*VLOOKUP(E213,Tab_Mort_Charge,IF(Input!$C$12="M",2,3),0))*(0.001*0.0833)*Flag_Mort_Rider_Charge*(AT213&gt;0))</f>
        <v>0</v>
      </c>
      <c r="AO213" s="50">
        <f t="shared" ca="1" si="180"/>
        <v>0</v>
      </c>
      <c r="AP213" s="50">
        <f t="shared" ca="1" si="143"/>
        <v>0</v>
      </c>
      <c r="AQ213" s="50">
        <f t="shared" ca="1" si="160"/>
        <v>0</v>
      </c>
      <c r="AR213" s="50">
        <f t="shared" ca="1" si="161"/>
        <v>0</v>
      </c>
      <c r="AS213" s="50">
        <f t="shared" si="162"/>
        <v>0</v>
      </c>
      <c r="AT213" s="50">
        <f ca="1">(MAX((MAX(AS213,105%*SUM($AJ$7:AJ213))-AM213*Flag_UL_Type),0)*B213)</f>
        <v>0</v>
      </c>
      <c r="AU213" s="50">
        <f ca="1">(MAX(AS213,AR213,105%*SUM($AJ$7:AJ213))*B213)</f>
        <v>0</v>
      </c>
      <c r="AV213" s="125"/>
      <c r="AW213" s="13"/>
      <c r="AX213" s="13"/>
      <c r="AY213" s="13"/>
      <c r="AZ213" s="13"/>
      <c r="BA213" s="13"/>
      <c r="BG213" s="51">
        <f t="shared" si="163"/>
        <v>0</v>
      </c>
      <c r="BH213" s="51">
        <f t="shared" si="164"/>
        <v>0</v>
      </c>
      <c r="BI213" s="51">
        <f t="shared" ca="1" si="165"/>
        <v>0</v>
      </c>
      <c r="BJ213" s="51">
        <f t="shared" ca="1" si="166"/>
        <v>0</v>
      </c>
      <c r="BK213" s="51">
        <f t="shared" si="167"/>
        <v>0</v>
      </c>
      <c r="BL213" s="51">
        <f t="shared" ca="1" si="168"/>
        <v>0</v>
      </c>
      <c r="BM213" s="51">
        <f t="shared" si="169"/>
        <v>0</v>
      </c>
      <c r="BN213" s="51">
        <f t="shared" si="170"/>
        <v>0</v>
      </c>
      <c r="BO213" s="51">
        <f t="shared" ca="1" si="171"/>
        <v>0</v>
      </c>
      <c r="BP213" s="51">
        <f t="shared" ca="1" si="172"/>
        <v>0</v>
      </c>
      <c r="BQ213" s="120"/>
      <c r="BR213" s="32"/>
      <c r="BS213" s="126"/>
      <c r="BT213" s="16"/>
      <c r="BU213" s="58"/>
      <c r="BW213" s="51">
        <f>VLOOKUP(H213,Charges!$AT$4:$AU$33,2,FALSE)*I213</f>
        <v>0</v>
      </c>
      <c r="BX213" s="51">
        <f t="shared" si="173"/>
        <v>0</v>
      </c>
      <c r="BY213" s="51">
        <f t="shared" si="181"/>
        <v>0</v>
      </c>
      <c r="BZ213" s="151"/>
      <c r="CA213" s="151"/>
      <c r="CB213" s="32"/>
      <c r="CC213" s="16">
        <f ca="1">SUM($N$7:$N213)</f>
        <v>0</v>
      </c>
      <c r="CD213" s="16">
        <f t="shared" ca="1" si="174"/>
        <v>0</v>
      </c>
      <c r="CE213" s="16">
        <f t="shared" ca="1" si="175"/>
        <v>0</v>
      </c>
      <c r="CF213" s="7">
        <f t="shared" ca="1" si="182"/>
        <v>0</v>
      </c>
    </row>
    <row r="214" spans="1:84" s="7" customFormat="1" x14ac:dyDescent="0.2">
      <c r="A214" s="149"/>
      <c r="B214" s="14">
        <f t="shared" si="144"/>
        <v>0</v>
      </c>
      <c r="C214" s="12">
        <f t="shared" si="145"/>
        <v>0</v>
      </c>
      <c r="D214" s="17">
        <f t="shared" si="183"/>
        <v>208</v>
      </c>
      <c r="E214" s="17">
        <f t="shared" ca="1" si="146"/>
        <v>77</v>
      </c>
      <c r="F214" s="12">
        <f t="shared" si="185"/>
        <v>3</v>
      </c>
      <c r="G214" s="12">
        <f t="shared" si="184"/>
        <v>35</v>
      </c>
      <c r="H214" s="17">
        <f t="shared" si="186"/>
        <v>18</v>
      </c>
      <c r="I214" s="29">
        <f t="shared" si="147"/>
        <v>0</v>
      </c>
      <c r="J214" s="211">
        <f>IFERROR(VLOOKUP(H214,Charges!$T$6:$U$35,2,0)*C214,0)</f>
        <v>0</v>
      </c>
      <c r="K214" s="29">
        <f t="shared" si="148"/>
        <v>0</v>
      </c>
      <c r="L214" s="29">
        <f t="shared" si="149"/>
        <v>0</v>
      </c>
      <c r="M214" s="147">
        <f t="shared" ca="1" si="150"/>
        <v>0</v>
      </c>
      <c r="N214" s="148">
        <f ca="1">IF(AND(Option_SPW="Y",Z213&gt;=SPW_Start_Min_FV,H214&gt;=Lock_In_Period,Z213&gt;SPW_Amount_pa+IF(option="Single",1/5*pr,2*pr),H214&gt;=SPW_Start_Year,H214&lt;=SPW_Start_Year+SPW_Duration-1,F214=0,age+H214&gt;=Legal_Age),SPW_Amount_pa,0)+IFERROR(VLOOKUP(H214,Input!$B$68:$C$74,2,0),0)*(F214=0)*(Option_PW="Y")*(Option_SPW="N")*(age+H214&gt;=Legal_Age)</f>
        <v>0</v>
      </c>
      <c r="O214" s="148">
        <f t="shared" ca="1" si="176"/>
        <v>0</v>
      </c>
      <c r="P214" s="14">
        <f ca="1">(MAX(MAX(sa-CF213*Flag_UL_Type,105%*SUM($I$7:I214))-(AD213+L214-N214)*Flag_UL_Type,0)*B214)</f>
        <v>0</v>
      </c>
      <c r="Q214" s="213">
        <f t="shared" si="151"/>
        <v>0</v>
      </c>
      <c r="R214" s="14">
        <f t="shared" ca="1" si="152"/>
        <v>0</v>
      </c>
      <c r="S214" s="14">
        <f t="shared" ca="1" si="153"/>
        <v>0</v>
      </c>
      <c r="T214" s="14">
        <f>IFERROR(IF(WoP_Flag="Y",IF(fq=1,VLOOKUP(ppt*fq-H214,Charges!$AN$41:$AO$59,2,FALSE),IF(fq=2,VLOOKUP(ppt*fq-G214,Charges!$AP$41:$AQ$79,2,FALSE),VLOOKUP(ppt*fq-D214,Charges!$AR$41:$AS$279,2,FALSE)))*pr/fq,0),0)</f>
        <v>0</v>
      </c>
      <c r="U214" s="14">
        <f ca="1">IFERROR(((T214*(VLOOKUP(Input!$D$18+H214-1,Tab_Mort_Charge,IF(Gender_2="M",2,3),FALSE)*(1+_emr2)+_rpm2)/IF(Model_Type="LA_PQIS",1000/0.0833,(12*1000))))*Flag_Mort_Rider_Charge*(T214&gt;0),0)</f>
        <v>0</v>
      </c>
      <c r="V214" s="34">
        <f>ROUND(MIN(IF(H214&gt;=7,Charges!$C$12*(1+Charges!$C$14)^((H214-7+1)),VLOOKUP(H214,Charges!$B$7:$C$12,2,0))*pr,Charges!$C$13)*B214,Round)</f>
        <v>0</v>
      </c>
      <c r="W214" s="14">
        <f t="shared" ca="1" si="154"/>
        <v>0</v>
      </c>
      <c r="X214" s="14">
        <f t="shared" ca="1" si="155"/>
        <v>0</v>
      </c>
      <c r="Y214" s="213">
        <f t="shared" ca="1" si="177"/>
        <v>0</v>
      </c>
      <c r="Z214" s="14">
        <f t="shared" ca="1" si="156"/>
        <v>0</v>
      </c>
      <c r="AA214" s="14">
        <f>IF(AND($H214=pt,$F214=11),SUM($K$7:K214)*VLOOKUP(pt,ROC,2,FALSE),0)</f>
        <v>0</v>
      </c>
      <c r="AB214" s="14">
        <f>IF(AND($H214=pt,$F214=11),SUM($V$7:V214)*VLOOKUP(pt,ROC,2,FALSE),0)</f>
        <v>0</v>
      </c>
      <c r="AC214" s="14">
        <f>IF(AND($H214=pt,$F214=11),SUM($Q$7:Q214)*VLOOKUP(pt,ROC,2,FALSE),0)</f>
        <v>0</v>
      </c>
      <c r="AD214" s="14">
        <f t="shared" ca="1" si="178"/>
        <v>0</v>
      </c>
      <c r="AE214" s="14">
        <f ca="1">(MAX(sa-CF213*Flag_UL_Type,105%*SUM($I$7:I214),Z214)+AU214)*B214</f>
        <v>0</v>
      </c>
      <c r="AF214" s="136"/>
      <c r="AG214" s="18">
        <v>208</v>
      </c>
      <c r="AH214" s="30">
        <f t="shared" ca="1" si="157"/>
        <v>0</v>
      </c>
      <c r="AI214" s="58"/>
      <c r="AJ214" s="50">
        <f>IF(AND(Option_Sys_TopUp&gt;="Y",H214&gt;=sytp,H214&lt;=(dtp+sytp-1),F214=0,H214&lt;=ppt+1),atp,0)+IFERROR(VLOOKUP(H214,Input!$B$55:$C$61,2,0),0)*(F214=0)*(Option_TopUP="Y")*(Option_Sys_TopUp="N")*B214*(pt&gt;=H214+5)</f>
        <v>0</v>
      </c>
      <c r="AK214" s="50">
        <f t="shared" si="158"/>
        <v>0</v>
      </c>
      <c r="AL214" s="50">
        <f t="shared" si="179"/>
        <v>0</v>
      </c>
      <c r="AM214" s="50">
        <f t="shared" ca="1" si="159"/>
        <v>0</v>
      </c>
      <c r="AN214" s="50">
        <f>IF(B214=0,0,AT214*(_rpm1+(1+_emr1)*VLOOKUP(E214,Tab_Mort_Charge,IF(Input!$C$12="M",2,3),0))*(0.001*0.0833)*Flag_Mort_Rider_Charge*(AT214&gt;0))</f>
        <v>0</v>
      </c>
      <c r="AO214" s="50">
        <f t="shared" ca="1" si="180"/>
        <v>0</v>
      </c>
      <c r="AP214" s="50">
        <f t="shared" ca="1" si="143"/>
        <v>0</v>
      </c>
      <c r="AQ214" s="50">
        <f t="shared" ca="1" si="160"/>
        <v>0</v>
      </c>
      <c r="AR214" s="50">
        <f t="shared" ca="1" si="161"/>
        <v>0</v>
      </c>
      <c r="AS214" s="50">
        <f t="shared" si="162"/>
        <v>0</v>
      </c>
      <c r="AT214" s="50">
        <f ca="1">(MAX((MAX(AS214,105%*SUM($AJ$7:AJ214))-AM214*Flag_UL_Type),0)*B214)</f>
        <v>0</v>
      </c>
      <c r="AU214" s="50">
        <f ca="1">(MAX(AS214,AR214,105%*SUM($AJ$7:AJ214))*B214)</f>
        <v>0</v>
      </c>
      <c r="AV214" s="125"/>
      <c r="AW214" s="13"/>
      <c r="AX214" s="13"/>
      <c r="AY214" s="13"/>
      <c r="AZ214" s="13"/>
      <c r="BA214" s="13"/>
      <c r="BG214" s="51">
        <f t="shared" si="163"/>
        <v>0</v>
      </c>
      <c r="BH214" s="51">
        <f t="shared" si="164"/>
        <v>0</v>
      </c>
      <c r="BI214" s="51">
        <f t="shared" ca="1" si="165"/>
        <v>0</v>
      </c>
      <c r="BJ214" s="51">
        <f t="shared" ca="1" si="166"/>
        <v>0</v>
      </c>
      <c r="BK214" s="51">
        <f t="shared" si="167"/>
        <v>0</v>
      </c>
      <c r="BL214" s="51">
        <f t="shared" ca="1" si="168"/>
        <v>0</v>
      </c>
      <c r="BM214" s="51">
        <f t="shared" si="169"/>
        <v>0</v>
      </c>
      <c r="BN214" s="51">
        <f t="shared" si="170"/>
        <v>0</v>
      </c>
      <c r="BO214" s="51">
        <f t="shared" ca="1" si="171"/>
        <v>0</v>
      </c>
      <c r="BP214" s="51">
        <f t="shared" ca="1" si="172"/>
        <v>0</v>
      </c>
      <c r="BQ214" s="120"/>
      <c r="BR214" s="32"/>
      <c r="BS214" s="126"/>
      <c r="BT214" s="16"/>
      <c r="BU214" s="58"/>
      <c r="BW214" s="51">
        <f>VLOOKUP(H214,Charges!$AT$4:$AU$33,2,FALSE)*I214</f>
        <v>0</v>
      </c>
      <c r="BX214" s="51">
        <f t="shared" si="173"/>
        <v>0</v>
      </c>
      <c r="BY214" s="51">
        <f t="shared" si="181"/>
        <v>0</v>
      </c>
      <c r="BZ214" s="151"/>
      <c r="CA214" s="151"/>
      <c r="CB214" s="32"/>
      <c r="CC214" s="16">
        <f ca="1">SUM($N$7:$N214)</f>
        <v>0</v>
      </c>
      <c r="CD214" s="16">
        <f t="shared" ca="1" si="174"/>
        <v>0</v>
      </c>
      <c r="CE214" s="16">
        <f t="shared" ca="1" si="175"/>
        <v>0</v>
      </c>
      <c r="CF214" s="7">
        <f t="shared" ca="1" si="182"/>
        <v>0</v>
      </c>
    </row>
    <row r="215" spans="1:84" s="7" customFormat="1" x14ac:dyDescent="0.2">
      <c r="A215" s="149"/>
      <c r="B215" s="14">
        <f t="shared" si="144"/>
        <v>0</v>
      </c>
      <c r="C215" s="12">
        <f t="shared" si="145"/>
        <v>0</v>
      </c>
      <c r="D215" s="17">
        <f t="shared" si="183"/>
        <v>209</v>
      </c>
      <c r="E215" s="17">
        <f t="shared" ca="1" si="146"/>
        <v>77</v>
      </c>
      <c r="F215" s="12">
        <f t="shared" si="185"/>
        <v>4</v>
      </c>
      <c r="G215" s="12">
        <f t="shared" si="184"/>
        <v>35</v>
      </c>
      <c r="H215" s="17">
        <f t="shared" si="186"/>
        <v>18</v>
      </c>
      <c r="I215" s="29">
        <f t="shared" si="147"/>
        <v>0</v>
      </c>
      <c r="J215" s="211">
        <f>IFERROR(VLOOKUP(H215,Charges!$T$6:$U$35,2,0)*C215,0)</f>
        <v>0</v>
      </c>
      <c r="K215" s="29">
        <f t="shared" si="148"/>
        <v>0</v>
      </c>
      <c r="L215" s="29">
        <f t="shared" si="149"/>
        <v>0</v>
      </c>
      <c r="M215" s="147">
        <f t="shared" ca="1" si="150"/>
        <v>0</v>
      </c>
      <c r="N215" s="148">
        <f ca="1">IF(AND(Option_SPW="Y",Z214&gt;=SPW_Start_Min_FV,H215&gt;=Lock_In_Period,Z214&gt;SPW_Amount_pa+IF(option="Single",1/5*pr,2*pr),H215&gt;=SPW_Start_Year,H215&lt;=SPW_Start_Year+SPW_Duration-1,F215=0,age+H215&gt;=Legal_Age),SPW_Amount_pa,0)+IFERROR(VLOOKUP(H215,Input!$B$68:$C$74,2,0),0)*(F215=0)*(Option_PW="Y")*(Option_SPW="N")*(age+H215&gt;=Legal_Age)</f>
        <v>0</v>
      </c>
      <c r="O215" s="148">
        <f t="shared" ca="1" si="176"/>
        <v>0</v>
      </c>
      <c r="P215" s="14">
        <f ca="1">(MAX(MAX(sa-CF214*Flag_UL_Type,105%*SUM($I$7:I215))-(AD214+L215-N215)*Flag_UL_Type,0)*B215)</f>
        <v>0</v>
      </c>
      <c r="Q215" s="213">
        <f t="shared" si="151"/>
        <v>0</v>
      </c>
      <c r="R215" s="14">
        <f t="shared" ca="1" si="152"/>
        <v>0</v>
      </c>
      <c r="S215" s="14">
        <f t="shared" ca="1" si="153"/>
        <v>0</v>
      </c>
      <c r="T215" s="14">
        <f>IFERROR(IF(WoP_Flag="Y",IF(fq=1,VLOOKUP(ppt*fq-H215,Charges!$AN$41:$AO$59,2,FALSE),IF(fq=2,VLOOKUP(ppt*fq-G215,Charges!$AP$41:$AQ$79,2,FALSE),VLOOKUP(ppt*fq-D215,Charges!$AR$41:$AS$279,2,FALSE)))*pr/fq,0),0)</f>
        <v>0</v>
      </c>
      <c r="U215" s="14">
        <f ca="1">IFERROR(((T215*(VLOOKUP(Input!$D$18+H215-1,Tab_Mort_Charge,IF(Gender_2="M",2,3),FALSE)*(1+_emr2)+_rpm2)/IF(Model_Type="LA_PQIS",1000/0.0833,(12*1000))))*Flag_Mort_Rider_Charge*(T215&gt;0),0)</f>
        <v>0</v>
      </c>
      <c r="V215" s="34">
        <f>ROUND(MIN(IF(H215&gt;=7,Charges!$C$12*(1+Charges!$C$14)^((H215-7+1)),VLOOKUP(H215,Charges!$B$7:$C$12,2,0))*pr,Charges!$C$13)*B215,Round)</f>
        <v>0</v>
      </c>
      <c r="W215" s="14">
        <f t="shared" ca="1" si="154"/>
        <v>0</v>
      </c>
      <c r="X215" s="14">
        <f t="shared" ca="1" si="155"/>
        <v>0</v>
      </c>
      <c r="Y215" s="213">
        <f t="shared" ca="1" si="177"/>
        <v>0</v>
      </c>
      <c r="Z215" s="14">
        <f t="shared" ca="1" si="156"/>
        <v>0</v>
      </c>
      <c r="AA215" s="14">
        <f>IF(AND($H215=pt,$F215=11),SUM($K$7:K215)*VLOOKUP(pt,ROC,2,FALSE),0)</f>
        <v>0</v>
      </c>
      <c r="AB215" s="14">
        <f>IF(AND($H215=pt,$F215=11),SUM($V$7:V215)*VLOOKUP(pt,ROC,2,FALSE),0)</f>
        <v>0</v>
      </c>
      <c r="AC215" s="14">
        <f>IF(AND($H215=pt,$F215=11),SUM($Q$7:Q215)*VLOOKUP(pt,ROC,2,FALSE),0)</f>
        <v>0</v>
      </c>
      <c r="AD215" s="14">
        <f t="shared" ca="1" si="178"/>
        <v>0</v>
      </c>
      <c r="AE215" s="14">
        <f ca="1">(MAX(sa-CF214*Flag_UL_Type,105%*SUM($I$7:I215),Z215)+AU215)*B215</f>
        <v>0</v>
      </c>
      <c r="AF215" s="136"/>
      <c r="AG215" s="18">
        <v>209</v>
      </c>
      <c r="AH215" s="30">
        <f t="shared" ca="1" si="157"/>
        <v>0</v>
      </c>
      <c r="AI215" s="58"/>
      <c r="AJ215" s="50">
        <f>IF(AND(Option_Sys_TopUp&gt;="Y",H215&gt;=sytp,H215&lt;=(dtp+sytp-1),F215=0,H215&lt;=ppt+1),atp,0)+IFERROR(VLOOKUP(H215,Input!$B$55:$C$61,2,0),0)*(F215=0)*(Option_TopUP="Y")*(Option_Sys_TopUp="N")*B215*(pt&gt;=H215+5)</f>
        <v>0</v>
      </c>
      <c r="AK215" s="50">
        <f t="shared" si="158"/>
        <v>0</v>
      </c>
      <c r="AL215" s="50">
        <f t="shared" si="179"/>
        <v>0</v>
      </c>
      <c r="AM215" s="50">
        <f t="shared" ca="1" si="159"/>
        <v>0</v>
      </c>
      <c r="AN215" s="50">
        <f>IF(B215=0,0,AT215*(_rpm1+(1+_emr1)*VLOOKUP(E215,Tab_Mort_Charge,IF(Input!$C$12="M",2,3),0))*(0.001*0.0833)*Flag_Mort_Rider_Charge*(AT215&gt;0))</f>
        <v>0</v>
      </c>
      <c r="AO215" s="50">
        <f t="shared" ca="1" si="180"/>
        <v>0</v>
      </c>
      <c r="AP215" s="50">
        <f t="shared" ca="1" si="143"/>
        <v>0</v>
      </c>
      <c r="AQ215" s="50">
        <f t="shared" ca="1" si="160"/>
        <v>0</v>
      </c>
      <c r="AR215" s="50">
        <f t="shared" ca="1" si="161"/>
        <v>0</v>
      </c>
      <c r="AS215" s="50">
        <f t="shared" si="162"/>
        <v>0</v>
      </c>
      <c r="AT215" s="50">
        <f ca="1">(MAX((MAX(AS215,105%*SUM($AJ$7:AJ215))-AM215*Flag_UL_Type),0)*B215)</f>
        <v>0</v>
      </c>
      <c r="AU215" s="50">
        <f ca="1">(MAX(AS215,AR215,105%*SUM($AJ$7:AJ215))*B215)</f>
        <v>0</v>
      </c>
      <c r="AV215" s="125"/>
      <c r="AW215" s="13"/>
      <c r="AX215" s="13"/>
      <c r="AY215" s="13"/>
      <c r="AZ215" s="13"/>
      <c r="BA215" s="13"/>
      <c r="BG215" s="51">
        <f t="shared" si="163"/>
        <v>0</v>
      </c>
      <c r="BH215" s="51">
        <f t="shared" si="164"/>
        <v>0</v>
      </c>
      <c r="BI215" s="51">
        <f t="shared" ca="1" si="165"/>
        <v>0</v>
      </c>
      <c r="BJ215" s="51">
        <f t="shared" ca="1" si="166"/>
        <v>0</v>
      </c>
      <c r="BK215" s="51">
        <f t="shared" si="167"/>
        <v>0</v>
      </c>
      <c r="BL215" s="51">
        <f t="shared" ca="1" si="168"/>
        <v>0</v>
      </c>
      <c r="BM215" s="51">
        <f t="shared" si="169"/>
        <v>0</v>
      </c>
      <c r="BN215" s="51">
        <f t="shared" si="170"/>
        <v>0</v>
      </c>
      <c r="BO215" s="51">
        <f t="shared" ca="1" si="171"/>
        <v>0</v>
      </c>
      <c r="BP215" s="51">
        <f t="shared" ca="1" si="172"/>
        <v>0</v>
      </c>
      <c r="BQ215" s="120"/>
      <c r="BR215" s="32"/>
      <c r="BS215" s="126"/>
      <c r="BT215" s="16"/>
      <c r="BU215" s="58"/>
      <c r="BW215" s="51">
        <f>VLOOKUP(H215,Charges!$AT$4:$AU$33,2,FALSE)*I215</f>
        <v>0</v>
      </c>
      <c r="BX215" s="51">
        <f t="shared" si="173"/>
        <v>0</v>
      </c>
      <c r="BY215" s="51">
        <f t="shared" si="181"/>
        <v>0</v>
      </c>
      <c r="BZ215" s="151"/>
      <c r="CA215" s="151"/>
      <c r="CB215" s="32"/>
      <c r="CC215" s="16">
        <f ca="1">SUM($N$7:$N215)</f>
        <v>0</v>
      </c>
      <c r="CD215" s="16">
        <f t="shared" ca="1" si="174"/>
        <v>0</v>
      </c>
      <c r="CE215" s="16">
        <f t="shared" ca="1" si="175"/>
        <v>0</v>
      </c>
      <c r="CF215" s="7">
        <f t="shared" ca="1" si="182"/>
        <v>0</v>
      </c>
    </row>
    <row r="216" spans="1:84" s="7" customFormat="1" x14ac:dyDescent="0.2">
      <c r="A216" s="149"/>
      <c r="B216" s="14">
        <f t="shared" si="144"/>
        <v>0</v>
      </c>
      <c r="C216" s="12">
        <f t="shared" si="145"/>
        <v>0</v>
      </c>
      <c r="D216" s="17">
        <f t="shared" si="183"/>
        <v>210</v>
      </c>
      <c r="E216" s="17">
        <f t="shared" ca="1" si="146"/>
        <v>77</v>
      </c>
      <c r="F216" s="12">
        <f t="shared" si="185"/>
        <v>5</v>
      </c>
      <c r="G216" s="12">
        <f t="shared" si="184"/>
        <v>35</v>
      </c>
      <c r="H216" s="17">
        <f t="shared" si="186"/>
        <v>18</v>
      </c>
      <c r="I216" s="29">
        <f t="shared" si="147"/>
        <v>0</v>
      </c>
      <c r="J216" s="211">
        <f>IFERROR(VLOOKUP(H216,Charges!$T$6:$U$35,2,0)*C216,0)</f>
        <v>0</v>
      </c>
      <c r="K216" s="29">
        <f t="shared" si="148"/>
        <v>0</v>
      </c>
      <c r="L216" s="29">
        <f t="shared" si="149"/>
        <v>0</v>
      </c>
      <c r="M216" s="147">
        <f t="shared" ca="1" si="150"/>
        <v>0</v>
      </c>
      <c r="N216" s="148">
        <f ca="1">IF(AND(Option_SPW="Y",Z215&gt;=SPW_Start_Min_FV,H216&gt;=Lock_In_Period,Z215&gt;SPW_Amount_pa+IF(option="Single",1/5*pr,2*pr),H216&gt;=SPW_Start_Year,H216&lt;=SPW_Start_Year+SPW_Duration-1,F216=0,age+H216&gt;=Legal_Age),SPW_Amount_pa,0)+IFERROR(VLOOKUP(H216,Input!$B$68:$C$74,2,0),0)*(F216=0)*(Option_PW="Y")*(Option_SPW="N")*(age+H216&gt;=Legal_Age)</f>
        <v>0</v>
      </c>
      <c r="O216" s="148">
        <f t="shared" ca="1" si="176"/>
        <v>0</v>
      </c>
      <c r="P216" s="14">
        <f ca="1">(MAX(MAX(sa-CF215*Flag_UL_Type,105%*SUM($I$7:I216))-(AD215+L216-N216)*Flag_UL_Type,0)*B216)</f>
        <v>0</v>
      </c>
      <c r="Q216" s="213">
        <f t="shared" si="151"/>
        <v>0</v>
      </c>
      <c r="R216" s="14">
        <f t="shared" ca="1" si="152"/>
        <v>0</v>
      </c>
      <c r="S216" s="14">
        <f t="shared" ca="1" si="153"/>
        <v>0</v>
      </c>
      <c r="T216" s="14">
        <f>IFERROR(IF(WoP_Flag="Y",IF(fq=1,VLOOKUP(ppt*fq-H216,Charges!$AN$41:$AO$59,2,FALSE),IF(fq=2,VLOOKUP(ppt*fq-G216,Charges!$AP$41:$AQ$79,2,FALSE),VLOOKUP(ppt*fq-D216,Charges!$AR$41:$AS$279,2,FALSE)))*pr/fq,0),0)</f>
        <v>0</v>
      </c>
      <c r="U216" s="14">
        <f ca="1">IFERROR(((T216*(VLOOKUP(Input!$D$18+H216-1,Tab_Mort_Charge,IF(Gender_2="M",2,3),FALSE)*(1+_emr2)+_rpm2)/IF(Model_Type="LA_PQIS",1000/0.0833,(12*1000))))*Flag_Mort_Rider_Charge*(T216&gt;0),0)</f>
        <v>0</v>
      </c>
      <c r="V216" s="34">
        <f>ROUND(MIN(IF(H216&gt;=7,Charges!$C$12*(1+Charges!$C$14)^((H216-7+1)),VLOOKUP(H216,Charges!$B$7:$C$12,2,0))*pr,Charges!$C$13)*B216,Round)</f>
        <v>0</v>
      </c>
      <c r="W216" s="14">
        <f t="shared" ca="1" si="154"/>
        <v>0</v>
      </c>
      <c r="X216" s="14">
        <f t="shared" ca="1" si="155"/>
        <v>0</v>
      </c>
      <c r="Y216" s="213">
        <f t="shared" ca="1" si="177"/>
        <v>0</v>
      </c>
      <c r="Z216" s="14">
        <f t="shared" ca="1" si="156"/>
        <v>0</v>
      </c>
      <c r="AA216" s="14">
        <f>IF(AND($H216=pt,$F216=11),SUM($K$7:K216)*VLOOKUP(pt,ROC,2,FALSE),0)</f>
        <v>0</v>
      </c>
      <c r="AB216" s="14">
        <f>IF(AND($H216=pt,$F216=11),SUM($V$7:V216)*VLOOKUP(pt,ROC,2,FALSE),0)</f>
        <v>0</v>
      </c>
      <c r="AC216" s="14">
        <f>IF(AND($H216=pt,$F216=11),SUM($Q$7:Q216)*VLOOKUP(pt,ROC,2,FALSE),0)</f>
        <v>0</v>
      </c>
      <c r="AD216" s="14">
        <f t="shared" ca="1" si="178"/>
        <v>0</v>
      </c>
      <c r="AE216" s="14">
        <f ca="1">(MAX(sa-CF215*Flag_UL_Type,105%*SUM($I$7:I216),Z216)+AU216)*B216</f>
        <v>0</v>
      </c>
      <c r="AF216" s="136"/>
      <c r="AG216" s="18">
        <v>210</v>
      </c>
      <c r="AH216" s="30">
        <f t="shared" ca="1" si="157"/>
        <v>0</v>
      </c>
      <c r="AI216" s="58"/>
      <c r="AJ216" s="50">
        <f>IF(AND(Option_Sys_TopUp&gt;="Y",H216&gt;=sytp,H216&lt;=(dtp+sytp-1),F216=0,H216&lt;=ppt+1),atp,0)+IFERROR(VLOOKUP(H216,Input!$B$55:$C$61,2,0),0)*(F216=0)*(Option_TopUP="Y")*(Option_Sys_TopUp="N")*B216*(pt&gt;=H216+5)</f>
        <v>0</v>
      </c>
      <c r="AK216" s="50">
        <f t="shared" si="158"/>
        <v>0</v>
      </c>
      <c r="AL216" s="50">
        <f t="shared" si="179"/>
        <v>0</v>
      </c>
      <c r="AM216" s="50">
        <f t="shared" ca="1" si="159"/>
        <v>0</v>
      </c>
      <c r="AN216" s="50">
        <f>IF(B216=0,0,AT216*(_rpm1+(1+_emr1)*VLOOKUP(E216,Tab_Mort_Charge,IF(Input!$C$12="M",2,3),0))*(0.001*0.0833)*Flag_Mort_Rider_Charge*(AT216&gt;0))</f>
        <v>0</v>
      </c>
      <c r="AO216" s="50">
        <f t="shared" ca="1" si="180"/>
        <v>0</v>
      </c>
      <c r="AP216" s="50">
        <f t="shared" ca="1" si="143"/>
        <v>0</v>
      </c>
      <c r="AQ216" s="50">
        <f t="shared" ca="1" si="160"/>
        <v>0</v>
      </c>
      <c r="AR216" s="50">
        <f t="shared" ca="1" si="161"/>
        <v>0</v>
      </c>
      <c r="AS216" s="50">
        <f t="shared" si="162"/>
        <v>0</v>
      </c>
      <c r="AT216" s="50">
        <f ca="1">(MAX((MAX(AS216,105%*SUM($AJ$7:AJ216))-AM216*Flag_UL_Type),0)*B216)</f>
        <v>0</v>
      </c>
      <c r="AU216" s="50">
        <f ca="1">(MAX(AS216,AR216,105%*SUM($AJ$7:AJ216))*B216)</f>
        <v>0</v>
      </c>
      <c r="AV216" s="125"/>
      <c r="AW216" s="13"/>
      <c r="AX216" s="13"/>
      <c r="AY216" s="13"/>
      <c r="AZ216" s="13"/>
      <c r="BA216" s="13"/>
      <c r="BG216" s="51">
        <f t="shared" si="163"/>
        <v>0</v>
      </c>
      <c r="BH216" s="51">
        <f t="shared" si="164"/>
        <v>0</v>
      </c>
      <c r="BI216" s="51">
        <f t="shared" ca="1" si="165"/>
        <v>0</v>
      </c>
      <c r="BJ216" s="51">
        <f t="shared" ca="1" si="166"/>
        <v>0</v>
      </c>
      <c r="BK216" s="51">
        <f t="shared" si="167"/>
        <v>0</v>
      </c>
      <c r="BL216" s="51">
        <f t="shared" ca="1" si="168"/>
        <v>0</v>
      </c>
      <c r="BM216" s="51">
        <f t="shared" si="169"/>
        <v>0</v>
      </c>
      <c r="BN216" s="51">
        <f t="shared" si="170"/>
        <v>0</v>
      </c>
      <c r="BO216" s="51">
        <f t="shared" ca="1" si="171"/>
        <v>0</v>
      </c>
      <c r="BP216" s="51">
        <f t="shared" ca="1" si="172"/>
        <v>0</v>
      </c>
      <c r="BQ216" s="120"/>
      <c r="BR216" s="32"/>
      <c r="BS216" s="126"/>
      <c r="BT216" s="16"/>
      <c r="BU216" s="58"/>
      <c r="BW216" s="51">
        <f>VLOOKUP(H216,Charges!$AT$4:$AU$33,2,FALSE)*I216</f>
        <v>0</v>
      </c>
      <c r="BX216" s="51">
        <f t="shared" si="173"/>
        <v>0</v>
      </c>
      <c r="BY216" s="51">
        <f t="shared" si="181"/>
        <v>0</v>
      </c>
      <c r="BZ216" s="151"/>
      <c r="CA216" s="151"/>
      <c r="CB216" s="32"/>
      <c r="CC216" s="16">
        <f ca="1">SUM($N$7:$N216)</f>
        <v>0</v>
      </c>
      <c r="CD216" s="16">
        <f t="shared" ca="1" si="174"/>
        <v>0</v>
      </c>
      <c r="CE216" s="16">
        <f t="shared" ca="1" si="175"/>
        <v>0</v>
      </c>
      <c r="CF216" s="7">
        <f t="shared" ca="1" si="182"/>
        <v>0</v>
      </c>
    </row>
    <row r="217" spans="1:84" s="7" customFormat="1" x14ac:dyDescent="0.2">
      <c r="A217" s="149"/>
      <c r="B217" s="14">
        <f t="shared" si="144"/>
        <v>0</v>
      </c>
      <c r="C217" s="12">
        <f t="shared" si="145"/>
        <v>0</v>
      </c>
      <c r="D217" s="17">
        <f t="shared" si="183"/>
        <v>211</v>
      </c>
      <c r="E217" s="17">
        <f t="shared" ca="1" si="146"/>
        <v>77</v>
      </c>
      <c r="F217" s="12">
        <f t="shared" si="185"/>
        <v>6</v>
      </c>
      <c r="G217" s="12">
        <f t="shared" si="184"/>
        <v>36</v>
      </c>
      <c r="H217" s="17">
        <f t="shared" si="186"/>
        <v>18</v>
      </c>
      <c r="I217" s="29">
        <f t="shared" si="147"/>
        <v>0</v>
      </c>
      <c r="J217" s="211">
        <f>IFERROR(VLOOKUP(H217,Charges!$T$6:$U$35,2,0)*C217,0)</f>
        <v>0</v>
      </c>
      <c r="K217" s="29">
        <f t="shared" si="148"/>
        <v>0</v>
      </c>
      <c r="L217" s="29">
        <f t="shared" si="149"/>
        <v>0</v>
      </c>
      <c r="M217" s="147">
        <f t="shared" ca="1" si="150"/>
        <v>0</v>
      </c>
      <c r="N217" s="148">
        <f ca="1">IF(AND(Option_SPW="Y",Z216&gt;=SPW_Start_Min_FV,H217&gt;=Lock_In_Period,Z216&gt;SPW_Amount_pa+IF(option="Single",1/5*pr,2*pr),H217&gt;=SPW_Start_Year,H217&lt;=SPW_Start_Year+SPW_Duration-1,F217=0,age+H217&gt;=Legal_Age),SPW_Amount_pa,0)+IFERROR(VLOOKUP(H217,Input!$B$68:$C$74,2,0),0)*(F217=0)*(Option_PW="Y")*(Option_SPW="N")*(age+H217&gt;=Legal_Age)</f>
        <v>0</v>
      </c>
      <c r="O217" s="148">
        <f t="shared" ca="1" si="176"/>
        <v>0</v>
      </c>
      <c r="P217" s="14">
        <f ca="1">(MAX(MAX(sa-CF216*Flag_UL_Type,105%*SUM($I$7:I217))-(AD216+L217-N217)*Flag_UL_Type,0)*B217)</f>
        <v>0</v>
      </c>
      <c r="Q217" s="213">
        <f t="shared" si="151"/>
        <v>0</v>
      </c>
      <c r="R217" s="14">
        <f t="shared" ca="1" si="152"/>
        <v>0</v>
      </c>
      <c r="S217" s="14">
        <f t="shared" ca="1" si="153"/>
        <v>0</v>
      </c>
      <c r="T217" s="14">
        <f>IFERROR(IF(WoP_Flag="Y",IF(fq=1,VLOOKUP(ppt*fq-H217,Charges!$AN$41:$AO$59,2,FALSE),IF(fq=2,VLOOKUP(ppt*fq-G217,Charges!$AP$41:$AQ$79,2,FALSE),VLOOKUP(ppt*fq-D217,Charges!$AR$41:$AS$279,2,FALSE)))*pr/fq,0),0)</f>
        <v>0</v>
      </c>
      <c r="U217" s="14">
        <f ca="1">IFERROR(((T217*(VLOOKUP(Input!$D$18+H217-1,Tab_Mort_Charge,IF(Gender_2="M",2,3),FALSE)*(1+_emr2)+_rpm2)/IF(Model_Type="LA_PQIS",1000/0.0833,(12*1000))))*Flag_Mort_Rider_Charge*(T217&gt;0),0)</f>
        <v>0</v>
      </c>
      <c r="V217" s="34">
        <f>ROUND(MIN(IF(H217&gt;=7,Charges!$C$12*(1+Charges!$C$14)^((H217-7+1)),VLOOKUP(H217,Charges!$B$7:$C$12,2,0))*pr,Charges!$C$13)*B217,Round)</f>
        <v>0</v>
      </c>
      <c r="W217" s="14">
        <f t="shared" ca="1" si="154"/>
        <v>0</v>
      </c>
      <c r="X217" s="14">
        <f t="shared" ca="1" si="155"/>
        <v>0</v>
      </c>
      <c r="Y217" s="213">
        <f t="shared" ca="1" si="177"/>
        <v>0</v>
      </c>
      <c r="Z217" s="14">
        <f t="shared" ca="1" si="156"/>
        <v>0</v>
      </c>
      <c r="AA217" s="14">
        <f>IF(AND($H217=pt,$F217=11),SUM($K$7:K217)*VLOOKUP(pt,ROC,2,FALSE),0)</f>
        <v>0</v>
      </c>
      <c r="AB217" s="14">
        <f>IF(AND($H217=pt,$F217=11),SUM($V$7:V217)*VLOOKUP(pt,ROC,2,FALSE),0)</f>
        <v>0</v>
      </c>
      <c r="AC217" s="14">
        <f>IF(AND($H217=pt,$F217=11),SUM($Q$7:Q217)*VLOOKUP(pt,ROC,2,FALSE),0)</f>
        <v>0</v>
      </c>
      <c r="AD217" s="14">
        <f t="shared" ca="1" si="178"/>
        <v>0</v>
      </c>
      <c r="AE217" s="14">
        <f ca="1">(MAX(sa-CF216*Flag_UL_Type,105%*SUM($I$7:I217),Z217)+AU217)*B217</f>
        <v>0</v>
      </c>
      <c r="AF217" s="136"/>
      <c r="AG217" s="18">
        <v>211</v>
      </c>
      <c r="AH217" s="30">
        <f t="shared" ca="1" si="157"/>
        <v>0</v>
      </c>
      <c r="AI217" s="58"/>
      <c r="AJ217" s="50">
        <f>IF(AND(Option_Sys_TopUp&gt;="Y",H217&gt;=sytp,H217&lt;=(dtp+sytp-1),F217=0,H217&lt;=ppt+1),atp,0)+IFERROR(VLOOKUP(H217,Input!$B$55:$C$61,2,0),0)*(F217=0)*(Option_TopUP="Y")*(Option_Sys_TopUp="N")*B217*(pt&gt;=H217+5)</f>
        <v>0</v>
      </c>
      <c r="AK217" s="50">
        <f t="shared" si="158"/>
        <v>0</v>
      </c>
      <c r="AL217" s="50">
        <f t="shared" si="179"/>
        <v>0</v>
      </c>
      <c r="AM217" s="50">
        <f t="shared" ca="1" si="159"/>
        <v>0</v>
      </c>
      <c r="AN217" s="50">
        <f>IF(B217=0,0,AT217*(_rpm1+(1+_emr1)*VLOOKUP(E217,Tab_Mort_Charge,IF(Input!$C$12="M",2,3),0))*(0.001*0.0833)*Flag_Mort_Rider_Charge*(AT217&gt;0))</f>
        <v>0</v>
      </c>
      <c r="AO217" s="50">
        <f t="shared" ca="1" si="180"/>
        <v>0</v>
      </c>
      <c r="AP217" s="50">
        <f t="shared" ca="1" si="143"/>
        <v>0</v>
      </c>
      <c r="AQ217" s="50">
        <f t="shared" ca="1" si="160"/>
        <v>0</v>
      </c>
      <c r="AR217" s="50">
        <f t="shared" ca="1" si="161"/>
        <v>0</v>
      </c>
      <c r="AS217" s="50">
        <f t="shared" si="162"/>
        <v>0</v>
      </c>
      <c r="AT217" s="50">
        <f ca="1">(MAX((MAX(AS217,105%*SUM($AJ$7:AJ217))-AM217*Flag_UL_Type),0)*B217)</f>
        <v>0</v>
      </c>
      <c r="AU217" s="50">
        <f ca="1">(MAX(AS217,AR217,105%*SUM($AJ$7:AJ217))*B217)</f>
        <v>0</v>
      </c>
      <c r="AV217" s="125"/>
      <c r="AW217" s="13"/>
      <c r="AX217" s="13"/>
      <c r="AY217" s="13"/>
      <c r="AZ217" s="13"/>
      <c r="BA217" s="13"/>
      <c r="BG217" s="51">
        <f t="shared" si="163"/>
        <v>0</v>
      </c>
      <c r="BH217" s="51">
        <f t="shared" si="164"/>
        <v>0</v>
      </c>
      <c r="BI217" s="51">
        <f t="shared" ca="1" si="165"/>
        <v>0</v>
      </c>
      <c r="BJ217" s="51">
        <f t="shared" ca="1" si="166"/>
        <v>0</v>
      </c>
      <c r="BK217" s="51">
        <f t="shared" si="167"/>
        <v>0</v>
      </c>
      <c r="BL217" s="51">
        <f t="shared" ca="1" si="168"/>
        <v>0</v>
      </c>
      <c r="BM217" s="51">
        <f t="shared" si="169"/>
        <v>0</v>
      </c>
      <c r="BN217" s="51">
        <f t="shared" si="170"/>
        <v>0</v>
      </c>
      <c r="BO217" s="51">
        <f t="shared" ca="1" si="171"/>
        <v>0</v>
      </c>
      <c r="BP217" s="51">
        <f t="shared" ca="1" si="172"/>
        <v>0</v>
      </c>
      <c r="BQ217" s="120"/>
      <c r="BR217" s="32"/>
      <c r="BS217" s="126"/>
      <c r="BT217" s="16"/>
      <c r="BU217" s="58"/>
      <c r="BW217" s="51">
        <f>VLOOKUP(H217,Charges!$AT$4:$AU$33,2,FALSE)*I217</f>
        <v>0</v>
      </c>
      <c r="BX217" s="51">
        <f t="shared" si="173"/>
        <v>0</v>
      </c>
      <c r="BY217" s="51">
        <f t="shared" si="181"/>
        <v>0</v>
      </c>
      <c r="BZ217" s="151"/>
      <c r="CA217" s="151"/>
      <c r="CB217" s="32"/>
      <c r="CC217" s="16">
        <f ca="1">SUM($N$7:$N217)</f>
        <v>0</v>
      </c>
      <c r="CD217" s="16">
        <f t="shared" ca="1" si="174"/>
        <v>0</v>
      </c>
      <c r="CE217" s="16">
        <f t="shared" ca="1" si="175"/>
        <v>0</v>
      </c>
      <c r="CF217" s="7">
        <f t="shared" ca="1" si="182"/>
        <v>0</v>
      </c>
    </row>
    <row r="218" spans="1:84" s="7" customFormat="1" x14ac:dyDescent="0.2">
      <c r="A218" s="149"/>
      <c r="B218" s="14">
        <f t="shared" si="144"/>
        <v>0</v>
      </c>
      <c r="C218" s="12">
        <f t="shared" si="145"/>
        <v>0</v>
      </c>
      <c r="D218" s="17">
        <f t="shared" si="183"/>
        <v>212</v>
      </c>
      <c r="E218" s="17">
        <f t="shared" ca="1" si="146"/>
        <v>77</v>
      </c>
      <c r="F218" s="12">
        <f t="shared" si="185"/>
        <v>7</v>
      </c>
      <c r="G218" s="12">
        <f t="shared" si="184"/>
        <v>36</v>
      </c>
      <c r="H218" s="17">
        <f t="shared" si="186"/>
        <v>18</v>
      </c>
      <c r="I218" s="29">
        <f t="shared" si="147"/>
        <v>0</v>
      </c>
      <c r="J218" s="211">
        <f>IFERROR(VLOOKUP(H218,Charges!$T$6:$U$35,2,0)*C218,0)</f>
        <v>0</v>
      </c>
      <c r="K218" s="29">
        <f t="shared" si="148"/>
        <v>0</v>
      </c>
      <c r="L218" s="29">
        <f t="shared" si="149"/>
        <v>0</v>
      </c>
      <c r="M218" s="147">
        <f t="shared" ca="1" si="150"/>
        <v>0</v>
      </c>
      <c r="N218" s="148">
        <f ca="1">IF(AND(Option_SPW="Y",Z217&gt;=SPW_Start_Min_FV,H218&gt;=Lock_In_Period,Z217&gt;SPW_Amount_pa+IF(option="Single",1/5*pr,2*pr),H218&gt;=SPW_Start_Year,H218&lt;=SPW_Start_Year+SPW_Duration-1,F218=0,age+H218&gt;=Legal_Age),SPW_Amount_pa,0)+IFERROR(VLOOKUP(H218,Input!$B$68:$C$74,2,0),0)*(F218=0)*(Option_PW="Y")*(Option_SPW="N")*(age+H218&gt;=Legal_Age)</f>
        <v>0</v>
      </c>
      <c r="O218" s="148">
        <f t="shared" ca="1" si="176"/>
        <v>0</v>
      </c>
      <c r="P218" s="14">
        <f ca="1">(MAX(MAX(sa-CF217*Flag_UL_Type,105%*SUM($I$7:I218))-(AD217+L218-N218)*Flag_UL_Type,0)*B218)</f>
        <v>0</v>
      </c>
      <c r="Q218" s="213">
        <f t="shared" si="151"/>
        <v>0</v>
      </c>
      <c r="R218" s="14">
        <f t="shared" ca="1" si="152"/>
        <v>0</v>
      </c>
      <c r="S218" s="14">
        <f t="shared" ca="1" si="153"/>
        <v>0</v>
      </c>
      <c r="T218" s="14">
        <f>IFERROR(IF(WoP_Flag="Y",IF(fq=1,VLOOKUP(ppt*fq-H218,Charges!$AN$41:$AO$59,2,FALSE),IF(fq=2,VLOOKUP(ppt*fq-G218,Charges!$AP$41:$AQ$79,2,FALSE),VLOOKUP(ppt*fq-D218,Charges!$AR$41:$AS$279,2,FALSE)))*pr/fq,0),0)</f>
        <v>0</v>
      </c>
      <c r="U218" s="14">
        <f ca="1">IFERROR(((T218*(VLOOKUP(Input!$D$18+H218-1,Tab_Mort_Charge,IF(Gender_2="M",2,3),FALSE)*(1+_emr2)+_rpm2)/IF(Model_Type="LA_PQIS",1000/0.0833,(12*1000))))*Flag_Mort_Rider_Charge*(T218&gt;0),0)</f>
        <v>0</v>
      </c>
      <c r="V218" s="34">
        <f>ROUND(MIN(IF(H218&gt;=7,Charges!$C$12*(1+Charges!$C$14)^((H218-7+1)),VLOOKUP(H218,Charges!$B$7:$C$12,2,0))*pr,Charges!$C$13)*B218,Round)</f>
        <v>0</v>
      </c>
      <c r="W218" s="14">
        <f t="shared" ca="1" si="154"/>
        <v>0</v>
      </c>
      <c r="X218" s="14">
        <f t="shared" ca="1" si="155"/>
        <v>0</v>
      </c>
      <c r="Y218" s="213">
        <f t="shared" ca="1" si="177"/>
        <v>0</v>
      </c>
      <c r="Z218" s="14">
        <f t="shared" ca="1" si="156"/>
        <v>0</v>
      </c>
      <c r="AA218" s="14">
        <f>IF(AND($H218=pt,$F218=11),SUM($K$7:K218)*VLOOKUP(pt,ROC,2,FALSE),0)</f>
        <v>0</v>
      </c>
      <c r="AB218" s="14">
        <f>IF(AND($H218=pt,$F218=11),SUM($V$7:V218)*VLOOKUP(pt,ROC,2,FALSE),0)</f>
        <v>0</v>
      </c>
      <c r="AC218" s="14">
        <f>IF(AND($H218=pt,$F218=11),SUM($Q$7:Q218)*VLOOKUP(pt,ROC,2,FALSE),0)</f>
        <v>0</v>
      </c>
      <c r="AD218" s="14">
        <f t="shared" ca="1" si="178"/>
        <v>0</v>
      </c>
      <c r="AE218" s="14">
        <f ca="1">(MAX(sa-CF217*Flag_UL_Type,105%*SUM($I$7:I218),Z218)+AU218)*B218</f>
        <v>0</v>
      </c>
      <c r="AF218" s="136"/>
      <c r="AG218" s="18">
        <v>212</v>
      </c>
      <c r="AH218" s="30">
        <f t="shared" ca="1" si="157"/>
        <v>0</v>
      </c>
      <c r="AI218" s="58"/>
      <c r="AJ218" s="50">
        <f>IF(AND(Option_Sys_TopUp&gt;="Y",H218&gt;=sytp,H218&lt;=(dtp+sytp-1),F218=0,H218&lt;=ppt+1),atp,0)+IFERROR(VLOOKUP(H218,Input!$B$55:$C$61,2,0),0)*(F218=0)*(Option_TopUP="Y")*(Option_Sys_TopUp="N")*B218*(pt&gt;=H218+5)</f>
        <v>0</v>
      </c>
      <c r="AK218" s="50">
        <f t="shared" si="158"/>
        <v>0</v>
      </c>
      <c r="AL218" s="50">
        <f t="shared" si="179"/>
        <v>0</v>
      </c>
      <c r="AM218" s="50">
        <f t="shared" ca="1" si="159"/>
        <v>0</v>
      </c>
      <c r="AN218" s="50">
        <f>IF(B218=0,0,AT218*(_rpm1+(1+_emr1)*VLOOKUP(E218,Tab_Mort_Charge,IF(Input!$C$12="M",2,3),0))*(0.001*0.0833)*Flag_Mort_Rider_Charge*(AT218&gt;0))</f>
        <v>0</v>
      </c>
      <c r="AO218" s="50">
        <f t="shared" ca="1" si="180"/>
        <v>0</v>
      </c>
      <c r="AP218" s="50">
        <f t="shared" ca="1" si="143"/>
        <v>0</v>
      </c>
      <c r="AQ218" s="50">
        <f t="shared" ca="1" si="160"/>
        <v>0</v>
      </c>
      <c r="AR218" s="50">
        <f t="shared" ca="1" si="161"/>
        <v>0</v>
      </c>
      <c r="AS218" s="50">
        <f t="shared" si="162"/>
        <v>0</v>
      </c>
      <c r="AT218" s="50">
        <f ca="1">(MAX((MAX(AS218,105%*SUM($AJ$7:AJ218))-AM218*Flag_UL_Type),0)*B218)</f>
        <v>0</v>
      </c>
      <c r="AU218" s="50">
        <f ca="1">(MAX(AS218,AR218,105%*SUM($AJ$7:AJ218))*B218)</f>
        <v>0</v>
      </c>
      <c r="AV218" s="125"/>
      <c r="AW218" s="13"/>
      <c r="AX218" s="13"/>
      <c r="AY218" s="13"/>
      <c r="AZ218" s="13"/>
      <c r="BA218" s="13"/>
      <c r="BG218" s="51">
        <f t="shared" si="163"/>
        <v>0</v>
      </c>
      <c r="BH218" s="51">
        <f t="shared" si="164"/>
        <v>0</v>
      </c>
      <c r="BI218" s="51">
        <f t="shared" ca="1" si="165"/>
        <v>0</v>
      </c>
      <c r="BJ218" s="51">
        <f t="shared" ca="1" si="166"/>
        <v>0</v>
      </c>
      <c r="BK218" s="51">
        <f t="shared" si="167"/>
        <v>0</v>
      </c>
      <c r="BL218" s="51">
        <f t="shared" ca="1" si="168"/>
        <v>0</v>
      </c>
      <c r="BM218" s="51">
        <f t="shared" si="169"/>
        <v>0</v>
      </c>
      <c r="BN218" s="51">
        <f t="shared" si="170"/>
        <v>0</v>
      </c>
      <c r="BO218" s="51">
        <f t="shared" ca="1" si="171"/>
        <v>0</v>
      </c>
      <c r="BP218" s="51">
        <f t="shared" ca="1" si="172"/>
        <v>0</v>
      </c>
      <c r="BQ218" s="120"/>
      <c r="BR218" s="32"/>
      <c r="BS218" s="126"/>
      <c r="BT218" s="16"/>
      <c r="BU218" s="58"/>
      <c r="BW218" s="51">
        <f>VLOOKUP(H218,Charges!$AT$4:$AU$33,2,FALSE)*I218</f>
        <v>0</v>
      </c>
      <c r="BX218" s="51">
        <f t="shared" si="173"/>
        <v>0</v>
      </c>
      <c r="BY218" s="51">
        <f t="shared" si="181"/>
        <v>0</v>
      </c>
      <c r="BZ218" s="151"/>
      <c r="CA218" s="151"/>
      <c r="CB218" s="32"/>
      <c r="CC218" s="16">
        <f ca="1">SUM($N$7:$N218)</f>
        <v>0</v>
      </c>
      <c r="CD218" s="16">
        <f t="shared" ca="1" si="174"/>
        <v>0</v>
      </c>
      <c r="CE218" s="16">
        <f t="shared" ca="1" si="175"/>
        <v>0</v>
      </c>
      <c r="CF218" s="7">
        <f t="shared" ca="1" si="182"/>
        <v>0</v>
      </c>
    </row>
    <row r="219" spans="1:84" s="7" customFormat="1" x14ac:dyDescent="0.2">
      <c r="A219" s="149"/>
      <c r="B219" s="14">
        <f t="shared" si="144"/>
        <v>0</v>
      </c>
      <c r="C219" s="12">
        <f t="shared" si="145"/>
        <v>0</v>
      </c>
      <c r="D219" s="17">
        <f t="shared" si="183"/>
        <v>213</v>
      </c>
      <c r="E219" s="17">
        <f t="shared" ca="1" si="146"/>
        <v>77</v>
      </c>
      <c r="F219" s="12">
        <f t="shared" si="185"/>
        <v>8</v>
      </c>
      <c r="G219" s="12">
        <f t="shared" si="184"/>
        <v>36</v>
      </c>
      <c r="H219" s="17">
        <f t="shared" si="186"/>
        <v>18</v>
      </c>
      <c r="I219" s="29">
        <f t="shared" si="147"/>
        <v>0</v>
      </c>
      <c r="J219" s="211">
        <f>IFERROR(VLOOKUP(H219,Charges!$T$6:$U$35,2,0)*C219,0)</f>
        <v>0</v>
      </c>
      <c r="K219" s="29">
        <f t="shared" si="148"/>
        <v>0</v>
      </c>
      <c r="L219" s="29">
        <f t="shared" si="149"/>
        <v>0</v>
      </c>
      <c r="M219" s="147">
        <f t="shared" ca="1" si="150"/>
        <v>0</v>
      </c>
      <c r="N219" s="148">
        <f ca="1">IF(AND(Option_SPW="Y",Z218&gt;=SPW_Start_Min_FV,H219&gt;=Lock_In_Period,Z218&gt;SPW_Amount_pa+IF(option="Single",1/5*pr,2*pr),H219&gt;=SPW_Start_Year,H219&lt;=SPW_Start_Year+SPW_Duration-1,F219=0,age+H219&gt;=Legal_Age),SPW_Amount_pa,0)+IFERROR(VLOOKUP(H219,Input!$B$68:$C$74,2,0),0)*(F219=0)*(Option_PW="Y")*(Option_SPW="N")*(age+H219&gt;=Legal_Age)</f>
        <v>0</v>
      </c>
      <c r="O219" s="148">
        <f t="shared" ca="1" si="176"/>
        <v>0</v>
      </c>
      <c r="P219" s="14">
        <f ca="1">(MAX(MAX(sa-CF218*Flag_UL_Type,105%*SUM($I$7:I219))-(AD218+L219-N219)*Flag_UL_Type,0)*B219)</f>
        <v>0</v>
      </c>
      <c r="Q219" s="213">
        <f t="shared" si="151"/>
        <v>0</v>
      </c>
      <c r="R219" s="14">
        <f t="shared" ca="1" si="152"/>
        <v>0</v>
      </c>
      <c r="S219" s="14">
        <f t="shared" ca="1" si="153"/>
        <v>0</v>
      </c>
      <c r="T219" s="14">
        <f>IFERROR(IF(WoP_Flag="Y",IF(fq=1,VLOOKUP(ppt*fq-H219,Charges!$AN$41:$AO$59,2,FALSE),IF(fq=2,VLOOKUP(ppt*fq-G219,Charges!$AP$41:$AQ$79,2,FALSE),VLOOKUP(ppt*fq-D219,Charges!$AR$41:$AS$279,2,FALSE)))*pr/fq,0),0)</f>
        <v>0</v>
      </c>
      <c r="U219" s="14">
        <f ca="1">IFERROR(((T219*(VLOOKUP(Input!$D$18+H219-1,Tab_Mort_Charge,IF(Gender_2="M",2,3),FALSE)*(1+_emr2)+_rpm2)/IF(Model_Type="LA_PQIS",1000/0.0833,(12*1000))))*Flag_Mort_Rider_Charge*(T219&gt;0),0)</f>
        <v>0</v>
      </c>
      <c r="V219" s="34">
        <f>ROUND(MIN(IF(H219&gt;=7,Charges!$C$12*(1+Charges!$C$14)^((H219-7+1)),VLOOKUP(H219,Charges!$B$7:$C$12,2,0))*pr,Charges!$C$13)*B219,Round)</f>
        <v>0</v>
      </c>
      <c r="W219" s="14">
        <f t="shared" ca="1" si="154"/>
        <v>0</v>
      </c>
      <c r="X219" s="14">
        <f t="shared" ca="1" si="155"/>
        <v>0</v>
      </c>
      <c r="Y219" s="213">
        <f t="shared" ca="1" si="177"/>
        <v>0</v>
      </c>
      <c r="Z219" s="14">
        <f t="shared" ca="1" si="156"/>
        <v>0</v>
      </c>
      <c r="AA219" s="14">
        <f>IF(AND($H219=pt,$F219=11),SUM($K$7:K219)*VLOOKUP(pt,ROC,2,FALSE),0)</f>
        <v>0</v>
      </c>
      <c r="AB219" s="14">
        <f>IF(AND($H219=pt,$F219=11),SUM($V$7:V219)*VLOOKUP(pt,ROC,2,FALSE),0)</f>
        <v>0</v>
      </c>
      <c r="AC219" s="14">
        <f>IF(AND($H219=pt,$F219=11),SUM($Q$7:Q219)*VLOOKUP(pt,ROC,2,FALSE),0)</f>
        <v>0</v>
      </c>
      <c r="AD219" s="14">
        <f t="shared" ca="1" si="178"/>
        <v>0</v>
      </c>
      <c r="AE219" s="14">
        <f ca="1">(MAX(sa-CF218*Flag_UL_Type,105%*SUM($I$7:I219),Z219)+AU219)*B219</f>
        <v>0</v>
      </c>
      <c r="AF219" s="136"/>
      <c r="AG219" s="18">
        <v>213</v>
      </c>
      <c r="AH219" s="30">
        <f t="shared" ca="1" si="157"/>
        <v>0</v>
      </c>
      <c r="AI219" s="58"/>
      <c r="AJ219" s="50">
        <f>IF(AND(Option_Sys_TopUp&gt;="Y",H219&gt;=sytp,H219&lt;=(dtp+sytp-1),F219=0,H219&lt;=ppt+1),atp,0)+IFERROR(VLOOKUP(H219,Input!$B$55:$C$61,2,0),0)*(F219=0)*(Option_TopUP="Y")*(Option_Sys_TopUp="N")*B219*(pt&gt;=H219+5)</f>
        <v>0</v>
      </c>
      <c r="AK219" s="50">
        <f t="shared" si="158"/>
        <v>0</v>
      </c>
      <c r="AL219" s="50">
        <f t="shared" si="179"/>
        <v>0</v>
      </c>
      <c r="AM219" s="50">
        <f t="shared" ca="1" si="159"/>
        <v>0</v>
      </c>
      <c r="AN219" s="50">
        <f>IF(B219=0,0,AT219*(_rpm1+(1+_emr1)*VLOOKUP(E219,Tab_Mort_Charge,IF(Input!$C$12="M",2,3),0))*(0.001*0.0833)*Flag_Mort_Rider_Charge*(AT219&gt;0))</f>
        <v>0</v>
      </c>
      <c r="AO219" s="50">
        <f t="shared" ca="1" si="180"/>
        <v>0</v>
      </c>
      <c r="AP219" s="50">
        <f t="shared" ca="1" si="143"/>
        <v>0</v>
      </c>
      <c r="AQ219" s="50">
        <f t="shared" ca="1" si="160"/>
        <v>0</v>
      </c>
      <c r="AR219" s="50">
        <f t="shared" ca="1" si="161"/>
        <v>0</v>
      </c>
      <c r="AS219" s="50">
        <f t="shared" si="162"/>
        <v>0</v>
      </c>
      <c r="AT219" s="50">
        <f ca="1">(MAX((MAX(AS219,105%*SUM($AJ$7:AJ219))-AM219*Flag_UL_Type),0)*B219)</f>
        <v>0</v>
      </c>
      <c r="AU219" s="50">
        <f ca="1">(MAX(AS219,AR219,105%*SUM($AJ$7:AJ219))*B219)</f>
        <v>0</v>
      </c>
      <c r="AV219" s="125"/>
      <c r="AW219" s="13"/>
      <c r="AX219" s="13"/>
      <c r="AY219" s="13"/>
      <c r="AZ219" s="13"/>
      <c r="BA219" s="13"/>
      <c r="BG219" s="51">
        <f t="shared" si="163"/>
        <v>0</v>
      </c>
      <c r="BH219" s="51">
        <f t="shared" si="164"/>
        <v>0</v>
      </c>
      <c r="BI219" s="51">
        <f t="shared" ca="1" si="165"/>
        <v>0</v>
      </c>
      <c r="BJ219" s="51">
        <f t="shared" ca="1" si="166"/>
        <v>0</v>
      </c>
      <c r="BK219" s="51">
        <f t="shared" si="167"/>
        <v>0</v>
      </c>
      <c r="BL219" s="51">
        <f t="shared" ca="1" si="168"/>
        <v>0</v>
      </c>
      <c r="BM219" s="51">
        <f t="shared" si="169"/>
        <v>0</v>
      </c>
      <c r="BN219" s="51">
        <f t="shared" si="170"/>
        <v>0</v>
      </c>
      <c r="BO219" s="51">
        <f t="shared" ca="1" si="171"/>
        <v>0</v>
      </c>
      <c r="BP219" s="51">
        <f t="shared" ca="1" si="172"/>
        <v>0</v>
      </c>
      <c r="BQ219" s="120"/>
      <c r="BR219" s="32"/>
      <c r="BS219" s="126"/>
      <c r="BT219" s="16"/>
      <c r="BU219" s="58"/>
      <c r="BW219" s="51">
        <f>VLOOKUP(H219,Charges!$AT$4:$AU$33,2,FALSE)*I219</f>
        <v>0</v>
      </c>
      <c r="BX219" s="51">
        <f t="shared" si="173"/>
        <v>0</v>
      </c>
      <c r="BY219" s="51">
        <f t="shared" si="181"/>
        <v>0</v>
      </c>
      <c r="BZ219" s="151"/>
      <c r="CA219" s="151"/>
      <c r="CB219" s="32"/>
      <c r="CC219" s="16">
        <f ca="1">SUM($N$7:$N219)</f>
        <v>0</v>
      </c>
      <c r="CD219" s="16">
        <f t="shared" ca="1" si="174"/>
        <v>0</v>
      </c>
      <c r="CE219" s="16">
        <f t="shared" ca="1" si="175"/>
        <v>0</v>
      </c>
      <c r="CF219" s="7">
        <f t="shared" ca="1" si="182"/>
        <v>0</v>
      </c>
    </row>
    <row r="220" spans="1:84" s="7" customFormat="1" x14ac:dyDescent="0.2">
      <c r="A220" s="149"/>
      <c r="B220" s="14">
        <f t="shared" si="144"/>
        <v>0</v>
      </c>
      <c r="C220" s="12">
        <f t="shared" si="145"/>
        <v>0</v>
      </c>
      <c r="D220" s="17">
        <f t="shared" si="183"/>
        <v>214</v>
      </c>
      <c r="E220" s="17">
        <f t="shared" ca="1" si="146"/>
        <v>77</v>
      </c>
      <c r="F220" s="12">
        <f t="shared" si="185"/>
        <v>9</v>
      </c>
      <c r="G220" s="12">
        <f t="shared" si="184"/>
        <v>36</v>
      </c>
      <c r="H220" s="17">
        <f t="shared" si="186"/>
        <v>18</v>
      </c>
      <c r="I220" s="29">
        <f t="shared" si="147"/>
        <v>0</v>
      </c>
      <c r="J220" s="211">
        <f>IFERROR(VLOOKUP(H220,Charges!$T$6:$U$35,2,0)*C220,0)</f>
        <v>0</v>
      </c>
      <c r="K220" s="29">
        <f t="shared" si="148"/>
        <v>0</v>
      </c>
      <c r="L220" s="29">
        <f t="shared" si="149"/>
        <v>0</v>
      </c>
      <c r="M220" s="147">
        <f t="shared" ca="1" si="150"/>
        <v>0</v>
      </c>
      <c r="N220" s="148">
        <f ca="1">IF(AND(Option_SPW="Y",Z219&gt;=SPW_Start_Min_FV,H220&gt;=Lock_In_Period,Z219&gt;SPW_Amount_pa+IF(option="Single",1/5*pr,2*pr),H220&gt;=SPW_Start_Year,H220&lt;=SPW_Start_Year+SPW_Duration-1,F220=0,age+H220&gt;=Legal_Age),SPW_Amount_pa,0)+IFERROR(VLOOKUP(H220,Input!$B$68:$C$74,2,0),0)*(F220=0)*(Option_PW="Y")*(Option_SPW="N")*(age+H220&gt;=Legal_Age)</f>
        <v>0</v>
      </c>
      <c r="O220" s="148">
        <f t="shared" ca="1" si="176"/>
        <v>0</v>
      </c>
      <c r="P220" s="14">
        <f ca="1">(MAX(MAX(sa-CF219*Flag_UL_Type,105%*SUM($I$7:I220))-(AD219+L220-N220)*Flag_UL_Type,0)*B220)</f>
        <v>0</v>
      </c>
      <c r="Q220" s="213">
        <f t="shared" si="151"/>
        <v>0</v>
      </c>
      <c r="R220" s="14">
        <f t="shared" ca="1" si="152"/>
        <v>0</v>
      </c>
      <c r="S220" s="14">
        <f t="shared" ca="1" si="153"/>
        <v>0</v>
      </c>
      <c r="T220" s="14">
        <f>IFERROR(IF(WoP_Flag="Y",IF(fq=1,VLOOKUP(ppt*fq-H220,Charges!$AN$41:$AO$59,2,FALSE),IF(fq=2,VLOOKUP(ppt*fq-G220,Charges!$AP$41:$AQ$79,2,FALSE),VLOOKUP(ppt*fq-D220,Charges!$AR$41:$AS$279,2,FALSE)))*pr/fq,0),0)</f>
        <v>0</v>
      </c>
      <c r="U220" s="14">
        <f ca="1">IFERROR(((T220*(VLOOKUP(Input!$D$18+H220-1,Tab_Mort_Charge,IF(Gender_2="M",2,3),FALSE)*(1+_emr2)+_rpm2)/IF(Model_Type="LA_PQIS",1000/0.0833,(12*1000))))*Flag_Mort_Rider_Charge*(T220&gt;0),0)</f>
        <v>0</v>
      </c>
      <c r="V220" s="34">
        <f>ROUND(MIN(IF(H220&gt;=7,Charges!$C$12*(1+Charges!$C$14)^((H220-7+1)),VLOOKUP(H220,Charges!$B$7:$C$12,2,0))*pr,Charges!$C$13)*B220,Round)</f>
        <v>0</v>
      </c>
      <c r="W220" s="14">
        <f t="shared" ca="1" si="154"/>
        <v>0</v>
      </c>
      <c r="X220" s="14">
        <f t="shared" ca="1" si="155"/>
        <v>0</v>
      </c>
      <c r="Y220" s="213">
        <f t="shared" ca="1" si="177"/>
        <v>0</v>
      </c>
      <c r="Z220" s="14">
        <f t="shared" ca="1" si="156"/>
        <v>0</v>
      </c>
      <c r="AA220" s="14">
        <f>IF(AND($H220=pt,$F220=11),SUM($K$7:K220)*VLOOKUP(pt,ROC,2,FALSE),0)</f>
        <v>0</v>
      </c>
      <c r="AB220" s="14">
        <f>IF(AND($H220=pt,$F220=11),SUM($V$7:V220)*VLOOKUP(pt,ROC,2,FALSE),0)</f>
        <v>0</v>
      </c>
      <c r="AC220" s="14">
        <f>IF(AND($H220=pt,$F220=11),SUM($Q$7:Q220)*VLOOKUP(pt,ROC,2,FALSE),0)</f>
        <v>0</v>
      </c>
      <c r="AD220" s="14">
        <f t="shared" ca="1" si="178"/>
        <v>0</v>
      </c>
      <c r="AE220" s="14">
        <f ca="1">(MAX(sa-CF219*Flag_UL_Type,105%*SUM($I$7:I220),Z220)+AU220)*B220</f>
        <v>0</v>
      </c>
      <c r="AF220" s="136"/>
      <c r="AG220" s="18">
        <v>214</v>
      </c>
      <c r="AH220" s="30">
        <f t="shared" ca="1" si="157"/>
        <v>0</v>
      </c>
      <c r="AI220" s="58"/>
      <c r="AJ220" s="50">
        <f>IF(AND(Option_Sys_TopUp&gt;="Y",H220&gt;=sytp,H220&lt;=(dtp+sytp-1),F220=0,H220&lt;=ppt+1),atp,0)+IFERROR(VLOOKUP(H220,Input!$B$55:$C$61,2,0),0)*(F220=0)*(Option_TopUP="Y")*(Option_Sys_TopUp="N")*B220*(pt&gt;=H220+5)</f>
        <v>0</v>
      </c>
      <c r="AK220" s="50">
        <f t="shared" si="158"/>
        <v>0</v>
      </c>
      <c r="AL220" s="50">
        <f t="shared" si="179"/>
        <v>0</v>
      </c>
      <c r="AM220" s="50">
        <f t="shared" ca="1" si="159"/>
        <v>0</v>
      </c>
      <c r="AN220" s="50">
        <f>IF(B220=0,0,AT220*(_rpm1+(1+_emr1)*VLOOKUP(E220,Tab_Mort_Charge,IF(Input!$C$12="M",2,3),0))*(0.001*0.0833)*Flag_Mort_Rider_Charge*(AT220&gt;0))</f>
        <v>0</v>
      </c>
      <c r="AO220" s="50">
        <f t="shared" ca="1" si="180"/>
        <v>0</v>
      </c>
      <c r="AP220" s="50">
        <f t="shared" ref="AP220:AP283" ca="1" si="187">AO220*(1+$F$3)*B220</f>
        <v>0</v>
      </c>
      <c r="AQ220" s="50">
        <f t="shared" ca="1" si="160"/>
        <v>0</v>
      </c>
      <c r="AR220" s="50">
        <f t="shared" ca="1" si="161"/>
        <v>0</v>
      </c>
      <c r="AS220" s="50">
        <f t="shared" si="162"/>
        <v>0</v>
      </c>
      <c r="AT220" s="50">
        <f ca="1">(MAX((MAX(AS220,105%*SUM($AJ$7:AJ220))-AM220*Flag_UL_Type),0)*B220)</f>
        <v>0</v>
      </c>
      <c r="AU220" s="50">
        <f ca="1">(MAX(AS220,AR220,105%*SUM($AJ$7:AJ220))*B220)</f>
        <v>0</v>
      </c>
      <c r="AV220" s="125"/>
      <c r="AW220" s="13"/>
      <c r="AX220" s="13"/>
      <c r="AY220" s="13"/>
      <c r="AZ220" s="13"/>
      <c r="BA220" s="13"/>
      <c r="BG220" s="51">
        <f t="shared" si="163"/>
        <v>0</v>
      </c>
      <c r="BH220" s="51">
        <f t="shared" si="164"/>
        <v>0</v>
      </c>
      <c r="BI220" s="51">
        <f t="shared" ca="1" si="165"/>
        <v>0</v>
      </c>
      <c r="BJ220" s="51">
        <f t="shared" ca="1" si="166"/>
        <v>0</v>
      </c>
      <c r="BK220" s="51">
        <f t="shared" si="167"/>
        <v>0</v>
      </c>
      <c r="BL220" s="51">
        <f t="shared" ca="1" si="168"/>
        <v>0</v>
      </c>
      <c r="BM220" s="51">
        <f t="shared" si="169"/>
        <v>0</v>
      </c>
      <c r="BN220" s="51">
        <f t="shared" si="170"/>
        <v>0</v>
      </c>
      <c r="BO220" s="51">
        <f t="shared" ca="1" si="171"/>
        <v>0</v>
      </c>
      <c r="BP220" s="51">
        <f t="shared" ca="1" si="172"/>
        <v>0</v>
      </c>
      <c r="BQ220" s="120"/>
      <c r="BR220" s="32"/>
      <c r="BS220" s="126"/>
      <c r="BT220" s="16"/>
      <c r="BU220" s="58"/>
      <c r="BW220" s="51">
        <f>VLOOKUP(H220,Charges!$AT$4:$AU$33,2,FALSE)*I220</f>
        <v>0</v>
      </c>
      <c r="BX220" s="51">
        <f t="shared" si="173"/>
        <v>0</v>
      </c>
      <c r="BY220" s="51">
        <f t="shared" si="181"/>
        <v>0</v>
      </c>
      <c r="BZ220" s="151"/>
      <c r="CA220" s="151"/>
      <c r="CB220" s="32"/>
      <c r="CC220" s="16">
        <f ca="1">SUM($N$7:$N220)</f>
        <v>0</v>
      </c>
      <c r="CD220" s="16">
        <f t="shared" ca="1" si="174"/>
        <v>0</v>
      </c>
      <c r="CE220" s="16">
        <f t="shared" ca="1" si="175"/>
        <v>0</v>
      </c>
      <c r="CF220" s="7">
        <f t="shared" ca="1" si="182"/>
        <v>0</v>
      </c>
    </row>
    <row r="221" spans="1:84" s="7" customFormat="1" x14ac:dyDescent="0.2">
      <c r="A221" s="149"/>
      <c r="B221" s="14">
        <f t="shared" si="144"/>
        <v>0</v>
      </c>
      <c r="C221" s="12">
        <f t="shared" si="145"/>
        <v>0</v>
      </c>
      <c r="D221" s="17">
        <f t="shared" si="183"/>
        <v>215</v>
      </c>
      <c r="E221" s="17">
        <f t="shared" ca="1" si="146"/>
        <v>77</v>
      </c>
      <c r="F221" s="12">
        <f t="shared" si="185"/>
        <v>10</v>
      </c>
      <c r="G221" s="12">
        <f t="shared" si="184"/>
        <v>36</v>
      </c>
      <c r="H221" s="17">
        <f t="shared" si="186"/>
        <v>18</v>
      </c>
      <c r="I221" s="29">
        <f t="shared" si="147"/>
        <v>0</v>
      </c>
      <c r="J221" s="211">
        <f>IFERROR(VLOOKUP(H221,Charges!$T$6:$U$35,2,0)*C221,0)</f>
        <v>0</v>
      </c>
      <c r="K221" s="29">
        <f t="shared" si="148"/>
        <v>0</v>
      </c>
      <c r="L221" s="29">
        <f t="shared" si="149"/>
        <v>0</v>
      </c>
      <c r="M221" s="147">
        <f t="shared" ca="1" si="150"/>
        <v>0</v>
      </c>
      <c r="N221" s="148">
        <f ca="1">IF(AND(Option_SPW="Y",Z220&gt;=SPW_Start_Min_FV,H221&gt;=Lock_In_Period,Z220&gt;SPW_Amount_pa+IF(option="Single",1/5*pr,2*pr),H221&gt;=SPW_Start_Year,H221&lt;=SPW_Start_Year+SPW_Duration-1,F221=0,age+H221&gt;=Legal_Age),SPW_Amount_pa,0)+IFERROR(VLOOKUP(H221,Input!$B$68:$C$74,2,0),0)*(F221=0)*(Option_PW="Y")*(Option_SPW="N")*(age+H221&gt;=Legal_Age)</f>
        <v>0</v>
      </c>
      <c r="O221" s="148">
        <f t="shared" ca="1" si="176"/>
        <v>0</v>
      </c>
      <c r="P221" s="14">
        <f ca="1">(MAX(MAX(sa-CF220*Flag_UL_Type,105%*SUM($I$7:I221))-(AD220+L221-N221)*Flag_UL_Type,0)*B221)</f>
        <v>0</v>
      </c>
      <c r="Q221" s="213">
        <f t="shared" si="151"/>
        <v>0</v>
      </c>
      <c r="R221" s="14">
        <f t="shared" ca="1" si="152"/>
        <v>0</v>
      </c>
      <c r="S221" s="14">
        <f t="shared" ca="1" si="153"/>
        <v>0</v>
      </c>
      <c r="T221" s="14">
        <f>IFERROR(IF(WoP_Flag="Y",IF(fq=1,VLOOKUP(ppt*fq-H221,Charges!$AN$41:$AO$59,2,FALSE),IF(fq=2,VLOOKUP(ppt*fq-G221,Charges!$AP$41:$AQ$79,2,FALSE),VLOOKUP(ppt*fq-D221,Charges!$AR$41:$AS$279,2,FALSE)))*pr/fq,0),0)</f>
        <v>0</v>
      </c>
      <c r="U221" s="14">
        <f ca="1">IFERROR(((T221*(VLOOKUP(Input!$D$18+H221-1,Tab_Mort_Charge,IF(Gender_2="M",2,3),FALSE)*(1+_emr2)+_rpm2)/IF(Model_Type="LA_PQIS",1000/0.0833,(12*1000))))*Flag_Mort_Rider_Charge*(T221&gt;0),0)</f>
        <v>0</v>
      </c>
      <c r="V221" s="34">
        <f>ROUND(MIN(IF(H221&gt;=7,Charges!$C$12*(1+Charges!$C$14)^((H221-7+1)),VLOOKUP(H221,Charges!$B$7:$C$12,2,0))*pr,Charges!$C$13)*B221,Round)</f>
        <v>0</v>
      </c>
      <c r="W221" s="14">
        <f t="shared" ca="1" si="154"/>
        <v>0</v>
      </c>
      <c r="X221" s="14">
        <f t="shared" ca="1" si="155"/>
        <v>0</v>
      </c>
      <c r="Y221" s="213">
        <f t="shared" ca="1" si="177"/>
        <v>0</v>
      </c>
      <c r="Z221" s="14">
        <f t="shared" ca="1" si="156"/>
        <v>0</v>
      </c>
      <c r="AA221" s="14">
        <f>IF(AND($H221=pt,$F221=11),SUM($K$7:K221)*VLOOKUP(pt,ROC,2,FALSE),0)</f>
        <v>0</v>
      </c>
      <c r="AB221" s="14">
        <f>IF(AND($H221=pt,$F221=11),SUM($V$7:V221)*VLOOKUP(pt,ROC,2,FALSE),0)</f>
        <v>0</v>
      </c>
      <c r="AC221" s="14">
        <f>IF(AND($H221=pt,$F221=11),SUM($Q$7:Q221)*VLOOKUP(pt,ROC,2,FALSE),0)</f>
        <v>0</v>
      </c>
      <c r="AD221" s="14">
        <f t="shared" ca="1" si="178"/>
        <v>0</v>
      </c>
      <c r="AE221" s="14">
        <f ca="1">(MAX(sa-CF220*Flag_UL_Type,105%*SUM($I$7:I221),Z221)+AU221)*B221</f>
        <v>0</v>
      </c>
      <c r="AF221" s="136"/>
      <c r="AG221" s="18">
        <v>215</v>
      </c>
      <c r="AH221" s="30">
        <f t="shared" ca="1" si="157"/>
        <v>0</v>
      </c>
      <c r="AI221" s="58"/>
      <c r="AJ221" s="50">
        <f>IF(AND(Option_Sys_TopUp&gt;="Y",H221&gt;=sytp,H221&lt;=(dtp+sytp-1),F221=0,H221&lt;=ppt+1),atp,0)+IFERROR(VLOOKUP(H221,Input!$B$55:$C$61,2,0),0)*(F221=0)*(Option_TopUP="Y")*(Option_Sys_TopUp="N")*B221*(pt&gt;=H221+5)</f>
        <v>0</v>
      </c>
      <c r="AK221" s="50">
        <f t="shared" si="158"/>
        <v>0</v>
      </c>
      <c r="AL221" s="50">
        <f t="shared" si="179"/>
        <v>0</v>
      </c>
      <c r="AM221" s="50">
        <f t="shared" ca="1" si="159"/>
        <v>0</v>
      </c>
      <c r="AN221" s="50">
        <f>IF(B221=0,0,AT221*(_rpm1+(1+_emr1)*VLOOKUP(E221,Tab_Mort_Charge,IF(Input!$C$12="M",2,3),0))*(0.001*0.0833)*Flag_Mort_Rider_Charge*(AT221&gt;0))</f>
        <v>0</v>
      </c>
      <c r="AO221" s="50">
        <f t="shared" ca="1" si="180"/>
        <v>0</v>
      </c>
      <c r="AP221" s="50">
        <f t="shared" ca="1" si="187"/>
        <v>0</v>
      </c>
      <c r="AQ221" s="50">
        <f t="shared" ca="1" si="160"/>
        <v>0</v>
      </c>
      <c r="AR221" s="50">
        <f t="shared" ca="1" si="161"/>
        <v>0</v>
      </c>
      <c r="AS221" s="50">
        <f t="shared" si="162"/>
        <v>0</v>
      </c>
      <c r="AT221" s="50">
        <f ca="1">(MAX((MAX(AS221,105%*SUM($AJ$7:AJ221))-AM221*Flag_UL_Type),0)*B221)</f>
        <v>0</v>
      </c>
      <c r="AU221" s="50">
        <f ca="1">(MAX(AS221,AR221,105%*SUM($AJ$7:AJ221))*B221)</f>
        <v>0</v>
      </c>
      <c r="AV221" s="125"/>
      <c r="AW221" s="13"/>
      <c r="AX221" s="13"/>
      <c r="AY221" s="13"/>
      <c r="AZ221" s="13"/>
      <c r="BA221" s="13"/>
      <c r="BG221" s="51">
        <f t="shared" si="163"/>
        <v>0</v>
      </c>
      <c r="BH221" s="51">
        <f t="shared" si="164"/>
        <v>0</v>
      </c>
      <c r="BI221" s="51">
        <f t="shared" ca="1" si="165"/>
        <v>0</v>
      </c>
      <c r="BJ221" s="51">
        <f t="shared" ca="1" si="166"/>
        <v>0</v>
      </c>
      <c r="BK221" s="51">
        <f t="shared" si="167"/>
        <v>0</v>
      </c>
      <c r="BL221" s="51">
        <f t="shared" ca="1" si="168"/>
        <v>0</v>
      </c>
      <c r="BM221" s="51">
        <f t="shared" si="169"/>
        <v>0</v>
      </c>
      <c r="BN221" s="51">
        <f t="shared" si="170"/>
        <v>0</v>
      </c>
      <c r="BO221" s="51">
        <f t="shared" ca="1" si="171"/>
        <v>0</v>
      </c>
      <c r="BP221" s="51">
        <f t="shared" ca="1" si="172"/>
        <v>0</v>
      </c>
      <c r="BQ221" s="120"/>
      <c r="BR221" s="32"/>
      <c r="BS221" s="126"/>
      <c r="BT221" s="16"/>
      <c r="BU221" s="58"/>
      <c r="BW221" s="51">
        <f>VLOOKUP(H221,Charges!$AT$4:$AU$33,2,FALSE)*I221</f>
        <v>0</v>
      </c>
      <c r="BX221" s="51">
        <f t="shared" si="173"/>
        <v>0</v>
      </c>
      <c r="BY221" s="51">
        <f t="shared" si="181"/>
        <v>0</v>
      </c>
      <c r="BZ221" s="151"/>
      <c r="CA221" s="151"/>
      <c r="CB221" s="32"/>
      <c r="CC221" s="16">
        <f ca="1">SUM($N$7:$N221)</f>
        <v>0</v>
      </c>
      <c r="CD221" s="16">
        <f t="shared" ca="1" si="174"/>
        <v>0</v>
      </c>
      <c r="CE221" s="16">
        <f t="shared" ca="1" si="175"/>
        <v>0</v>
      </c>
      <c r="CF221" s="7">
        <f t="shared" ca="1" si="182"/>
        <v>0</v>
      </c>
    </row>
    <row r="222" spans="1:84" s="7" customFormat="1" x14ac:dyDescent="0.2">
      <c r="A222" s="149"/>
      <c r="B222" s="14">
        <f t="shared" si="144"/>
        <v>0</v>
      </c>
      <c r="C222" s="12">
        <f t="shared" si="145"/>
        <v>0</v>
      </c>
      <c r="D222" s="17">
        <f t="shared" si="183"/>
        <v>216</v>
      </c>
      <c r="E222" s="17">
        <f t="shared" ca="1" si="146"/>
        <v>77</v>
      </c>
      <c r="F222" s="12">
        <f t="shared" si="185"/>
        <v>11</v>
      </c>
      <c r="G222" s="12">
        <f t="shared" si="184"/>
        <v>36</v>
      </c>
      <c r="H222" s="17">
        <f t="shared" si="186"/>
        <v>18</v>
      </c>
      <c r="I222" s="29">
        <f t="shared" si="147"/>
        <v>0</v>
      </c>
      <c r="J222" s="211">
        <f>IFERROR(VLOOKUP(H222,Charges!$T$6:$U$35,2,0)*C222,0)</f>
        <v>0</v>
      </c>
      <c r="K222" s="29">
        <f t="shared" si="148"/>
        <v>0</v>
      </c>
      <c r="L222" s="29">
        <f t="shared" si="149"/>
        <v>0</v>
      </c>
      <c r="M222" s="147">
        <f t="shared" ca="1" si="150"/>
        <v>0</v>
      </c>
      <c r="N222" s="148">
        <f ca="1">IF(AND(Option_SPW="Y",Z221&gt;=SPW_Start_Min_FV,H222&gt;=Lock_In_Period,Z221&gt;SPW_Amount_pa+IF(option="Single",1/5*pr,2*pr),H222&gt;=SPW_Start_Year,H222&lt;=SPW_Start_Year+SPW_Duration-1,F222=0,age+H222&gt;=Legal_Age),SPW_Amount_pa,0)+IFERROR(VLOOKUP(H222,Input!$B$68:$C$74,2,0),0)*(F222=0)*(Option_PW="Y")*(Option_SPW="N")*(age+H222&gt;=Legal_Age)</f>
        <v>0</v>
      </c>
      <c r="O222" s="148">
        <f t="shared" ca="1" si="176"/>
        <v>0</v>
      </c>
      <c r="P222" s="14">
        <f ca="1">(MAX(MAX(sa-CF221*Flag_UL_Type,105%*SUM($I$7:I222))-(AD221+L222-N222)*Flag_UL_Type,0)*B222)</f>
        <v>0</v>
      </c>
      <c r="Q222" s="213">
        <f t="shared" si="151"/>
        <v>0</v>
      </c>
      <c r="R222" s="14">
        <f t="shared" ca="1" si="152"/>
        <v>0</v>
      </c>
      <c r="S222" s="14">
        <f t="shared" ca="1" si="153"/>
        <v>0</v>
      </c>
      <c r="T222" s="14">
        <f>IFERROR(IF(WoP_Flag="Y",IF(fq=1,VLOOKUP(ppt*fq-H222,Charges!$AN$41:$AO$59,2,FALSE),IF(fq=2,VLOOKUP(ppt*fq-G222,Charges!$AP$41:$AQ$79,2,FALSE),VLOOKUP(ppt*fq-D222,Charges!$AR$41:$AS$279,2,FALSE)))*pr/fq,0),0)</f>
        <v>0</v>
      </c>
      <c r="U222" s="14">
        <f ca="1">IFERROR(((T222*(VLOOKUP(Input!$D$18+H222-1,Tab_Mort_Charge,IF(Gender_2="M",2,3),FALSE)*(1+_emr2)+_rpm2)/IF(Model_Type="LA_PQIS",1000/0.0833,(12*1000))))*Flag_Mort_Rider_Charge*(T222&gt;0),0)</f>
        <v>0</v>
      </c>
      <c r="V222" s="34">
        <f>ROUND(MIN(IF(H222&gt;=7,Charges!$C$12*(1+Charges!$C$14)^((H222-7+1)),VLOOKUP(H222,Charges!$B$7:$C$12,2,0))*pr,Charges!$C$13)*B222,Round)</f>
        <v>0</v>
      </c>
      <c r="W222" s="14">
        <f t="shared" ca="1" si="154"/>
        <v>0</v>
      </c>
      <c r="X222" s="14">
        <f t="shared" ca="1" si="155"/>
        <v>0</v>
      </c>
      <c r="Y222" s="213">
        <f t="shared" ca="1" si="177"/>
        <v>0</v>
      </c>
      <c r="Z222" s="14">
        <f t="shared" ca="1" si="156"/>
        <v>0</v>
      </c>
      <c r="AA222" s="14">
        <f>IF(AND($H222=pt,$F222=11),SUM($K$7:K222)*VLOOKUP(pt,ROC,2,FALSE),0)</f>
        <v>0</v>
      </c>
      <c r="AB222" s="14">
        <f>IF(AND($H222=pt,$F222=11),SUM($V$7:V222)*VLOOKUP(pt,ROC,2,FALSE),0)</f>
        <v>0</v>
      </c>
      <c r="AC222" s="14">
        <f>IF(AND($H222=pt,$F222=11),SUM($Q$7:Q222)*VLOOKUP(pt,ROC,2,FALSE),0)</f>
        <v>0</v>
      </c>
      <c r="AD222" s="14">
        <f t="shared" ca="1" si="178"/>
        <v>0</v>
      </c>
      <c r="AE222" s="14">
        <f ca="1">(MAX(sa-CF221*Flag_UL_Type,105%*SUM($I$7:I222),Z222)+AU222)*B222</f>
        <v>0</v>
      </c>
      <c r="AF222" s="136"/>
      <c r="AG222" s="18">
        <v>216</v>
      </c>
      <c r="AH222" s="30">
        <f t="shared" ca="1" si="157"/>
        <v>0</v>
      </c>
      <c r="AI222" s="58"/>
      <c r="AJ222" s="50">
        <f>IF(AND(Option_Sys_TopUp&gt;="Y",H222&gt;=sytp,H222&lt;=(dtp+sytp-1),F222=0,H222&lt;=ppt+1),atp,0)+IFERROR(VLOOKUP(H222,Input!$B$55:$C$61,2,0),0)*(F222=0)*(Option_TopUP="Y")*(Option_Sys_TopUp="N")*B222*(pt&gt;=H222+5)</f>
        <v>0</v>
      </c>
      <c r="AK222" s="50">
        <f t="shared" si="158"/>
        <v>0</v>
      </c>
      <c r="AL222" s="50">
        <f t="shared" si="179"/>
        <v>0</v>
      </c>
      <c r="AM222" s="50">
        <f t="shared" ca="1" si="159"/>
        <v>0</v>
      </c>
      <c r="AN222" s="50">
        <f>IF(B222=0,0,AT222*(_rpm1+(1+_emr1)*VLOOKUP(E222,Tab_Mort_Charge,IF(Input!$C$12="M",2,3),0))*(0.001*0.0833)*Flag_Mort_Rider_Charge*(AT222&gt;0))</f>
        <v>0</v>
      </c>
      <c r="AO222" s="50">
        <f t="shared" ca="1" si="180"/>
        <v>0</v>
      </c>
      <c r="AP222" s="50">
        <f t="shared" ca="1" si="187"/>
        <v>0</v>
      </c>
      <c r="AQ222" s="50">
        <f t="shared" ca="1" si="160"/>
        <v>0</v>
      </c>
      <c r="AR222" s="50">
        <f t="shared" ca="1" si="161"/>
        <v>0</v>
      </c>
      <c r="AS222" s="50">
        <f t="shared" si="162"/>
        <v>0</v>
      </c>
      <c r="AT222" s="50">
        <f ca="1">(MAX((MAX(AS222,105%*SUM($AJ$7:AJ222))-AM222*Flag_UL_Type),0)*B222)</f>
        <v>0</v>
      </c>
      <c r="AU222" s="50">
        <f ca="1">(MAX(AS222,AR222,105%*SUM($AJ$7:AJ222))*B222)</f>
        <v>0</v>
      </c>
      <c r="AV222" s="125"/>
      <c r="AW222" s="13"/>
      <c r="AX222" s="13"/>
      <c r="AY222" s="13"/>
      <c r="AZ222" s="13"/>
      <c r="BA222" s="13"/>
      <c r="BG222" s="51">
        <f t="shared" si="163"/>
        <v>0</v>
      </c>
      <c r="BH222" s="51">
        <f t="shared" si="164"/>
        <v>0</v>
      </c>
      <c r="BI222" s="51">
        <f t="shared" ca="1" si="165"/>
        <v>0</v>
      </c>
      <c r="BJ222" s="51">
        <f t="shared" ca="1" si="166"/>
        <v>0</v>
      </c>
      <c r="BK222" s="51">
        <f t="shared" si="167"/>
        <v>0</v>
      </c>
      <c r="BL222" s="51">
        <f t="shared" ca="1" si="168"/>
        <v>0</v>
      </c>
      <c r="BM222" s="51">
        <f t="shared" si="169"/>
        <v>0</v>
      </c>
      <c r="BN222" s="51">
        <f t="shared" si="170"/>
        <v>0</v>
      </c>
      <c r="BO222" s="51">
        <f t="shared" ca="1" si="171"/>
        <v>0</v>
      </c>
      <c r="BP222" s="51">
        <f t="shared" ca="1" si="172"/>
        <v>0</v>
      </c>
      <c r="BQ222" s="120"/>
      <c r="BR222" s="32"/>
      <c r="BS222" s="126"/>
      <c r="BT222" s="16"/>
      <c r="BU222" s="58"/>
      <c r="BW222" s="51">
        <f>VLOOKUP(H222,Charges!$AT$4:$AU$33,2,FALSE)*I222</f>
        <v>0</v>
      </c>
      <c r="BX222" s="51">
        <f t="shared" si="173"/>
        <v>0</v>
      </c>
      <c r="BY222" s="51">
        <f t="shared" si="181"/>
        <v>0</v>
      </c>
      <c r="BZ222" s="151"/>
      <c r="CA222" s="151"/>
      <c r="CB222" s="32"/>
      <c r="CC222" s="16">
        <f ca="1">SUM($N$7:$N222)</f>
        <v>0</v>
      </c>
      <c r="CD222" s="16">
        <f t="shared" ca="1" si="174"/>
        <v>0</v>
      </c>
      <c r="CE222" s="16">
        <f t="shared" ca="1" si="175"/>
        <v>0</v>
      </c>
      <c r="CF222" s="7">
        <f t="shared" ca="1" si="182"/>
        <v>0</v>
      </c>
    </row>
    <row r="223" spans="1:84" s="7" customFormat="1" x14ac:dyDescent="0.2">
      <c r="A223" s="149"/>
      <c r="B223" s="14">
        <f t="shared" si="144"/>
        <v>0</v>
      </c>
      <c r="C223" s="12">
        <f t="shared" si="145"/>
        <v>0</v>
      </c>
      <c r="D223" s="17">
        <f t="shared" si="183"/>
        <v>217</v>
      </c>
      <c r="E223" s="17">
        <f t="shared" ca="1" si="146"/>
        <v>78</v>
      </c>
      <c r="F223" s="12">
        <f t="shared" si="185"/>
        <v>0</v>
      </c>
      <c r="G223" s="12">
        <f t="shared" si="184"/>
        <v>37</v>
      </c>
      <c r="H223" s="17">
        <f t="shared" si="186"/>
        <v>19</v>
      </c>
      <c r="I223" s="29">
        <f t="shared" si="147"/>
        <v>0</v>
      </c>
      <c r="J223" s="211">
        <f>IFERROR(VLOOKUP(H223,Charges!$T$6:$U$35,2,0)*C223,0)</f>
        <v>0</v>
      </c>
      <c r="K223" s="29">
        <f t="shared" si="148"/>
        <v>0</v>
      </c>
      <c r="L223" s="29">
        <f t="shared" si="149"/>
        <v>0</v>
      </c>
      <c r="M223" s="147">
        <f t="shared" ca="1" si="150"/>
        <v>0</v>
      </c>
      <c r="N223" s="148">
        <f ca="1">IF(AND(Option_SPW="Y",Z222&gt;=SPW_Start_Min_FV,H223&gt;=Lock_In_Period,Z222&gt;SPW_Amount_pa+IF(option="Single",1/5*pr,2*pr),H223&gt;=SPW_Start_Year,H223&lt;=SPW_Start_Year+SPW_Duration-1,F223=0,age+H223&gt;=Legal_Age),SPW_Amount_pa,0)+IFERROR(VLOOKUP(H223,Input!$B$68:$C$74,2,0),0)*(F223=0)*(Option_PW="Y")*(Option_SPW="N")*(age+H223&gt;=Legal_Age)</f>
        <v>0</v>
      </c>
      <c r="O223" s="148">
        <f t="shared" ca="1" si="176"/>
        <v>0</v>
      </c>
      <c r="P223" s="14">
        <f ca="1">(MAX(MAX(sa-CF222*Flag_UL_Type,105%*SUM($I$7:I223))-(AD222+L223-N223)*Flag_UL_Type,0)*B223)</f>
        <v>0</v>
      </c>
      <c r="Q223" s="213">
        <f t="shared" si="151"/>
        <v>0</v>
      </c>
      <c r="R223" s="14">
        <f t="shared" ca="1" si="152"/>
        <v>0</v>
      </c>
      <c r="S223" s="14">
        <f t="shared" ca="1" si="153"/>
        <v>0</v>
      </c>
      <c r="T223" s="14">
        <f>IFERROR(IF(WoP_Flag="Y",IF(fq=1,VLOOKUP(ppt*fq-H223,Charges!$AN$41:$AO$59,2,FALSE),IF(fq=2,VLOOKUP(ppt*fq-G223,Charges!$AP$41:$AQ$79,2,FALSE),VLOOKUP(ppt*fq-D223,Charges!$AR$41:$AS$279,2,FALSE)))*pr/fq,0),0)</f>
        <v>0</v>
      </c>
      <c r="U223" s="14">
        <f ca="1">IFERROR(((T223*(VLOOKUP(Input!$D$18+H223-1,Tab_Mort_Charge,IF(Gender_2="M",2,3),FALSE)*(1+_emr2)+_rpm2)/IF(Model_Type="LA_PQIS",1000/0.0833,(12*1000))))*Flag_Mort_Rider_Charge*(T223&gt;0),0)</f>
        <v>0</v>
      </c>
      <c r="V223" s="34">
        <f>ROUND(MIN(IF(H223&gt;=7,Charges!$C$12*(1+Charges!$C$14)^((H223-7+1)),VLOOKUP(H223,Charges!$B$7:$C$12,2,0))*pr,Charges!$C$13)*B223,Round)</f>
        <v>0</v>
      </c>
      <c r="W223" s="14">
        <f t="shared" ca="1" si="154"/>
        <v>0</v>
      </c>
      <c r="X223" s="14">
        <f t="shared" ca="1" si="155"/>
        <v>0</v>
      </c>
      <c r="Y223" s="213">
        <f t="shared" ca="1" si="177"/>
        <v>0</v>
      </c>
      <c r="Z223" s="14">
        <f t="shared" ca="1" si="156"/>
        <v>0</v>
      </c>
      <c r="AA223" s="14">
        <f>IF(AND($H223=pt,$F223=11),SUM($K$7:K223)*VLOOKUP(pt,ROC,2,FALSE),0)</f>
        <v>0</v>
      </c>
      <c r="AB223" s="14">
        <f>IF(AND($H223=pt,$F223=11),SUM($V$7:V223)*VLOOKUP(pt,ROC,2,FALSE),0)</f>
        <v>0</v>
      </c>
      <c r="AC223" s="14">
        <f>IF(AND($H223=pt,$F223=11),SUM($Q$7:Q223)*VLOOKUP(pt,ROC,2,FALSE),0)</f>
        <v>0</v>
      </c>
      <c r="AD223" s="14">
        <f t="shared" ca="1" si="178"/>
        <v>0</v>
      </c>
      <c r="AE223" s="14">
        <f ca="1">(MAX(sa-CF222*Flag_UL_Type,105%*SUM($I$7:I223),Z223)+AU223)*B223</f>
        <v>0</v>
      </c>
      <c r="AF223" s="136"/>
      <c r="AG223" s="18">
        <v>217</v>
      </c>
      <c r="AH223" s="30">
        <f t="shared" ca="1" si="157"/>
        <v>0</v>
      </c>
      <c r="AI223" s="58"/>
      <c r="AJ223" s="50">
        <f>IF(AND(Option_Sys_TopUp&gt;="Y",H223&gt;=sytp,H223&lt;=(dtp+sytp-1),F223=0,H223&lt;=ppt+1),atp,0)+IFERROR(VLOOKUP(H223,Input!$B$55:$C$61,2,0),0)*(F223=0)*(Option_TopUP="Y")*(Option_Sys_TopUp="N")*B223*(pt&gt;=H223+5)</f>
        <v>0</v>
      </c>
      <c r="AK223" s="50">
        <f t="shared" si="158"/>
        <v>0</v>
      </c>
      <c r="AL223" s="50">
        <f t="shared" si="179"/>
        <v>0</v>
      </c>
      <c r="AM223" s="50">
        <f t="shared" ca="1" si="159"/>
        <v>0</v>
      </c>
      <c r="AN223" s="50">
        <f>IF(B223=0,0,AT223*(_rpm1+(1+_emr1)*VLOOKUP(E223,Tab_Mort_Charge,IF(Input!$C$12="M",2,3),0))*(0.001*0.0833)*Flag_Mort_Rider_Charge*(AT223&gt;0))</f>
        <v>0</v>
      </c>
      <c r="AO223" s="50">
        <f t="shared" ca="1" si="180"/>
        <v>0</v>
      </c>
      <c r="AP223" s="50">
        <f t="shared" ca="1" si="187"/>
        <v>0</v>
      </c>
      <c r="AQ223" s="50">
        <f t="shared" ca="1" si="160"/>
        <v>0</v>
      </c>
      <c r="AR223" s="50">
        <f t="shared" ca="1" si="161"/>
        <v>0</v>
      </c>
      <c r="AS223" s="50">
        <f t="shared" si="162"/>
        <v>0</v>
      </c>
      <c r="AT223" s="50">
        <f ca="1">(MAX((MAX(AS223,105%*SUM($AJ$7:AJ223))-AM223*Flag_UL_Type),0)*B223)</f>
        <v>0</v>
      </c>
      <c r="AU223" s="50">
        <f ca="1">(MAX(AS223,AR223,105%*SUM($AJ$7:AJ223))*B223)</f>
        <v>0</v>
      </c>
      <c r="AV223" s="125"/>
      <c r="AW223" s="13"/>
      <c r="AX223" s="13"/>
      <c r="AY223" s="13"/>
      <c r="AZ223" s="13"/>
      <c r="BA223" s="13"/>
      <c r="BG223" s="51">
        <f t="shared" si="163"/>
        <v>0</v>
      </c>
      <c r="BH223" s="51">
        <f t="shared" si="164"/>
        <v>0</v>
      </c>
      <c r="BI223" s="51">
        <f t="shared" ca="1" si="165"/>
        <v>0</v>
      </c>
      <c r="BJ223" s="51">
        <f t="shared" ca="1" si="166"/>
        <v>0</v>
      </c>
      <c r="BK223" s="51">
        <f t="shared" si="167"/>
        <v>0</v>
      </c>
      <c r="BL223" s="51">
        <f t="shared" ca="1" si="168"/>
        <v>0</v>
      </c>
      <c r="BM223" s="51">
        <f t="shared" si="169"/>
        <v>0</v>
      </c>
      <c r="BN223" s="51">
        <f t="shared" si="170"/>
        <v>0</v>
      </c>
      <c r="BO223" s="51">
        <f t="shared" ca="1" si="171"/>
        <v>0</v>
      </c>
      <c r="BP223" s="51">
        <f t="shared" ca="1" si="172"/>
        <v>0</v>
      </c>
      <c r="BQ223" s="120"/>
      <c r="BR223" s="32"/>
      <c r="BS223" s="126"/>
      <c r="BT223" s="16"/>
      <c r="BU223" s="58"/>
      <c r="BW223" s="51">
        <f>VLOOKUP(H223,Charges!$AT$4:$AU$33,2,FALSE)*I223</f>
        <v>0</v>
      </c>
      <c r="BX223" s="51">
        <f t="shared" si="173"/>
        <v>0</v>
      </c>
      <c r="BY223" s="51">
        <f t="shared" si="181"/>
        <v>0</v>
      </c>
      <c r="BZ223" s="151"/>
      <c r="CA223" s="151"/>
      <c r="CB223" s="32"/>
      <c r="CC223" s="16">
        <f ca="1">SUM($N$7:$N223)</f>
        <v>0</v>
      </c>
      <c r="CD223" s="16">
        <f t="shared" ca="1" si="174"/>
        <v>0</v>
      </c>
      <c r="CE223" s="16">
        <f t="shared" ca="1" si="175"/>
        <v>0</v>
      </c>
      <c r="CF223" s="7">
        <f t="shared" ca="1" si="182"/>
        <v>0</v>
      </c>
    </row>
    <row r="224" spans="1:84" s="7" customFormat="1" x14ac:dyDescent="0.2">
      <c r="A224" s="149"/>
      <c r="B224" s="14">
        <f t="shared" si="144"/>
        <v>0</v>
      </c>
      <c r="C224" s="12">
        <f t="shared" si="145"/>
        <v>0</v>
      </c>
      <c r="D224" s="17">
        <f t="shared" si="183"/>
        <v>218</v>
      </c>
      <c r="E224" s="17">
        <f t="shared" ca="1" si="146"/>
        <v>78</v>
      </c>
      <c r="F224" s="12">
        <f t="shared" si="185"/>
        <v>1</v>
      </c>
      <c r="G224" s="12">
        <f t="shared" si="184"/>
        <v>37</v>
      </c>
      <c r="H224" s="17">
        <f t="shared" si="186"/>
        <v>19</v>
      </c>
      <c r="I224" s="29">
        <f t="shared" si="147"/>
        <v>0</v>
      </c>
      <c r="J224" s="211">
        <f>IFERROR(VLOOKUP(H224,Charges!$T$6:$U$35,2,0)*C224,0)</f>
        <v>0</v>
      </c>
      <c r="K224" s="29">
        <f t="shared" si="148"/>
        <v>0</v>
      </c>
      <c r="L224" s="29">
        <f t="shared" si="149"/>
        <v>0</v>
      </c>
      <c r="M224" s="147">
        <f t="shared" ca="1" si="150"/>
        <v>0</v>
      </c>
      <c r="N224" s="148">
        <f ca="1">IF(AND(Option_SPW="Y",Z223&gt;=SPW_Start_Min_FV,H224&gt;=Lock_In_Period,Z223&gt;SPW_Amount_pa+IF(option="Single",1/5*pr,2*pr),H224&gt;=SPW_Start_Year,H224&lt;=SPW_Start_Year+SPW_Duration-1,F224=0,age+H224&gt;=Legal_Age),SPW_Amount_pa,0)+IFERROR(VLOOKUP(H224,Input!$B$68:$C$74,2,0),0)*(F224=0)*(Option_PW="Y")*(Option_SPW="N")*(age+H224&gt;=Legal_Age)</f>
        <v>0</v>
      </c>
      <c r="O224" s="148">
        <f t="shared" ca="1" si="176"/>
        <v>0</v>
      </c>
      <c r="P224" s="14">
        <f ca="1">(MAX(MAX(sa-CF223*Flag_UL_Type,105%*SUM($I$7:I224))-(AD223+L224-N224)*Flag_UL_Type,0)*B224)</f>
        <v>0</v>
      </c>
      <c r="Q224" s="213">
        <f t="shared" si="151"/>
        <v>0</v>
      </c>
      <c r="R224" s="14">
        <f t="shared" ca="1" si="152"/>
        <v>0</v>
      </c>
      <c r="S224" s="14">
        <f t="shared" ca="1" si="153"/>
        <v>0</v>
      </c>
      <c r="T224" s="14">
        <f>IFERROR(IF(WoP_Flag="Y",IF(fq=1,VLOOKUP(ppt*fq-H224,Charges!$AN$41:$AO$59,2,FALSE),IF(fq=2,VLOOKUP(ppt*fq-G224,Charges!$AP$41:$AQ$79,2,FALSE),VLOOKUP(ppt*fq-D224,Charges!$AR$41:$AS$279,2,FALSE)))*pr/fq,0),0)</f>
        <v>0</v>
      </c>
      <c r="U224" s="14">
        <f ca="1">IFERROR(((T224*(VLOOKUP(Input!$D$18+H224-1,Tab_Mort_Charge,IF(Gender_2="M",2,3),FALSE)*(1+_emr2)+_rpm2)/IF(Model_Type="LA_PQIS",1000/0.0833,(12*1000))))*Flag_Mort_Rider_Charge*(T224&gt;0),0)</f>
        <v>0</v>
      </c>
      <c r="V224" s="34">
        <f>ROUND(MIN(IF(H224&gt;=7,Charges!$C$12*(1+Charges!$C$14)^((H224-7+1)),VLOOKUP(H224,Charges!$B$7:$C$12,2,0))*pr,Charges!$C$13)*B224,Round)</f>
        <v>0</v>
      </c>
      <c r="W224" s="14">
        <f t="shared" ca="1" si="154"/>
        <v>0</v>
      </c>
      <c r="X224" s="14">
        <f t="shared" ca="1" si="155"/>
        <v>0</v>
      </c>
      <c r="Y224" s="213">
        <f t="shared" ca="1" si="177"/>
        <v>0</v>
      </c>
      <c r="Z224" s="14">
        <f t="shared" ca="1" si="156"/>
        <v>0</v>
      </c>
      <c r="AA224" s="14">
        <f>IF(AND($H224=pt,$F224=11),SUM($K$7:K224)*VLOOKUP(pt,ROC,2,FALSE),0)</f>
        <v>0</v>
      </c>
      <c r="AB224" s="14">
        <f>IF(AND($H224=pt,$F224=11),SUM($V$7:V224)*VLOOKUP(pt,ROC,2,FALSE),0)</f>
        <v>0</v>
      </c>
      <c r="AC224" s="14">
        <f>IF(AND($H224=pt,$F224=11),SUM($Q$7:Q224)*VLOOKUP(pt,ROC,2,FALSE),0)</f>
        <v>0</v>
      </c>
      <c r="AD224" s="14">
        <f t="shared" ca="1" si="178"/>
        <v>0</v>
      </c>
      <c r="AE224" s="14">
        <f ca="1">(MAX(sa-CF223*Flag_UL_Type,105%*SUM($I$7:I224),Z224)+AU224)*B224</f>
        <v>0</v>
      </c>
      <c r="AF224" s="136"/>
      <c r="AG224" s="18">
        <v>218</v>
      </c>
      <c r="AH224" s="30">
        <f t="shared" ca="1" si="157"/>
        <v>0</v>
      </c>
      <c r="AI224" s="58"/>
      <c r="AJ224" s="50">
        <f>IF(AND(Option_Sys_TopUp&gt;="Y",H224&gt;=sytp,H224&lt;=(dtp+sytp-1),F224=0,H224&lt;=ppt+1),atp,0)+IFERROR(VLOOKUP(H224,Input!$B$55:$C$61,2,0),0)*(F224=0)*(Option_TopUP="Y")*(Option_Sys_TopUp="N")*B224*(pt&gt;=H224+5)</f>
        <v>0</v>
      </c>
      <c r="AK224" s="50">
        <f t="shared" si="158"/>
        <v>0</v>
      </c>
      <c r="AL224" s="50">
        <f t="shared" si="179"/>
        <v>0</v>
      </c>
      <c r="AM224" s="50">
        <f t="shared" ca="1" si="159"/>
        <v>0</v>
      </c>
      <c r="AN224" s="50">
        <f>IF(B224=0,0,AT224*(_rpm1+(1+_emr1)*VLOOKUP(E224,Tab_Mort_Charge,IF(Input!$C$12="M",2,3),0))*(0.001*0.0833)*Flag_Mort_Rider_Charge*(AT224&gt;0))</f>
        <v>0</v>
      </c>
      <c r="AO224" s="50">
        <f t="shared" ca="1" si="180"/>
        <v>0</v>
      </c>
      <c r="AP224" s="50">
        <f t="shared" ca="1" si="187"/>
        <v>0</v>
      </c>
      <c r="AQ224" s="50">
        <f t="shared" ca="1" si="160"/>
        <v>0</v>
      </c>
      <c r="AR224" s="50">
        <f t="shared" ca="1" si="161"/>
        <v>0</v>
      </c>
      <c r="AS224" s="50">
        <f t="shared" si="162"/>
        <v>0</v>
      </c>
      <c r="AT224" s="50">
        <f ca="1">(MAX((MAX(AS224,105%*SUM($AJ$7:AJ224))-AM224*Flag_UL_Type),0)*B224)</f>
        <v>0</v>
      </c>
      <c r="AU224" s="50">
        <f ca="1">(MAX(AS224,AR224,105%*SUM($AJ$7:AJ224))*B224)</f>
        <v>0</v>
      </c>
      <c r="AV224" s="125"/>
      <c r="AW224" s="13"/>
      <c r="AX224" s="13"/>
      <c r="AY224" s="13"/>
      <c r="AZ224" s="13"/>
      <c r="BA224" s="13"/>
      <c r="BG224" s="51">
        <f t="shared" si="163"/>
        <v>0</v>
      </c>
      <c r="BH224" s="51">
        <f t="shared" si="164"/>
        <v>0</v>
      </c>
      <c r="BI224" s="51">
        <f t="shared" ca="1" si="165"/>
        <v>0</v>
      </c>
      <c r="BJ224" s="51">
        <f t="shared" ca="1" si="166"/>
        <v>0</v>
      </c>
      <c r="BK224" s="51">
        <f t="shared" si="167"/>
        <v>0</v>
      </c>
      <c r="BL224" s="51">
        <f t="shared" ca="1" si="168"/>
        <v>0</v>
      </c>
      <c r="BM224" s="51">
        <f t="shared" si="169"/>
        <v>0</v>
      </c>
      <c r="BN224" s="51">
        <f t="shared" si="170"/>
        <v>0</v>
      </c>
      <c r="BO224" s="51">
        <f t="shared" ca="1" si="171"/>
        <v>0</v>
      </c>
      <c r="BP224" s="51">
        <f t="shared" ca="1" si="172"/>
        <v>0</v>
      </c>
      <c r="BQ224" s="120"/>
      <c r="BR224" s="32"/>
      <c r="BS224" s="126"/>
      <c r="BT224" s="16"/>
      <c r="BU224" s="58"/>
      <c r="BW224" s="51">
        <f>VLOOKUP(H224,Charges!$AT$4:$AU$33,2,FALSE)*I224</f>
        <v>0</v>
      </c>
      <c r="BX224" s="51">
        <f t="shared" si="173"/>
        <v>0</v>
      </c>
      <c r="BY224" s="51">
        <f t="shared" si="181"/>
        <v>0</v>
      </c>
      <c r="BZ224" s="151"/>
      <c r="CA224" s="151"/>
      <c r="CB224" s="32"/>
      <c r="CC224" s="16">
        <f ca="1">SUM($N$7:$N224)</f>
        <v>0</v>
      </c>
      <c r="CD224" s="16">
        <f t="shared" ca="1" si="174"/>
        <v>0</v>
      </c>
      <c r="CE224" s="16">
        <f t="shared" ca="1" si="175"/>
        <v>0</v>
      </c>
      <c r="CF224" s="7">
        <f t="shared" ca="1" si="182"/>
        <v>0</v>
      </c>
    </row>
    <row r="225" spans="1:84" s="7" customFormat="1" x14ac:dyDescent="0.2">
      <c r="A225" s="149"/>
      <c r="B225" s="14">
        <f t="shared" si="144"/>
        <v>0</v>
      </c>
      <c r="C225" s="12">
        <f t="shared" si="145"/>
        <v>0</v>
      </c>
      <c r="D225" s="17">
        <f t="shared" si="183"/>
        <v>219</v>
      </c>
      <c r="E225" s="17">
        <f t="shared" ca="1" si="146"/>
        <v>78</v>
      </c>
      <c r="F225" s="12">
        <f t="shared" si="185"/>
        <v>2</v>
      </c>
      <c r="G225" s="12">
        <f t="shared" si="184"/>
        <v>37</v>
      </c>
      <c r="H225" s="17">
        <f t="shared" si="186"/>
        <v>19</v>
      </c>
      <c r="I225" s="29">
        <f t="shared" si="147"/>
        <v>0</v>
      </c>
      <c r="J225" s="211">
        <f>IFERROR(VLOOKUP(H225,Charges!$T$6:$U$35,2,0)*C225,0)</f>
        <v>0</v>
      </c>
      <c r="K225" s="29">
        <f t="shared" si="148"/>
        <v>0</v>
      </c>
      <c r="L225" s="29">
        <f t="shared" si="149"/>
        <v>0</v>
      </c>
      <c r="M225" s="147">
        <f t="shared" ca="1" si="150"/>
        <v>0</v>
      </c>
      <c r="N225" s="148">
        <f ca="1">IF(AND(Option_SPW="Y",Z224&gt;=SPW_Start_Min_FV,H225&gt;=Lock_In_Period,Z224&gt;SPW_Amount_pa+IF(option="Single",1/5*pr,2*pr),H225&gt;=SPW_Start_Year,H225&lt;=SPW_Start_Year+SPW_Duration-1,F225=0,age+H225&gt;=Legal_Age),SPW_Amount_pa,0)+IFERROR(VLOOKUP(H225,Input!$B$68:$C$74,2,0),0)*(F225=0)*(Option_PW="Y")*(Option_SPW="N")*(age+H225&gt;=Legal_Age)</f>
        <v>0</v>
      </c>
      <c r="O225" s="148">
        <f t="shared" ca="1" si="176"/>
        <v>0</v>
      </c>
      <c r="P225" s="14">
        <f ca="1">(MAX(MAX(sa-CF224*Flag_UL_Type,105%*SUM($I$7:I225))-(AD224+L225-N225)*Flag_UL_Type,0)*B225)</f>
        <v>0</v>
      </c>
      <c r="Q225" s="213">
        <f t="shared" si="151"/>
        <v>0</v>
      </c>
      <c r="R225" s="14">
        <f t="shared" ca="1" si="152"/>
        <v>0</v>
      </c>
      <c r="S225" s="14">
        <f t="shared" ca="1" si="153"/>
        <v>0</v>
      </c>
      <c r="T225" s="14">
        <f>IFERROR(IF(WoP_Flag="Y",IF(fq=1,VLOOKUP(ppt*fq-H225,Charges!$AN$41:$AO$59,2,FALSE),IF(fq=2,VLOOKUP(ppt*fq-G225,Charges!$AP$41:$AQ$79,2,FALSE),VLOOKUP(ppt*fq-D225,Charges!$AR$41:$AS$279,2,FALSE)))*pr/fq,0),0)</f>
        <v>0</v>
      </c>
      <c r="U225" s="14">
        <f ca="1">IFERROR(((T225*(VLOOKUP(Input!$D$18+H225-1,Tab_Mort_Charge,IF(Gender_2="M",2,3),FALSE)*(1+_emr2)+_rpm2)/IF(Model_Type="LA_PQIS",1000/0.0833,(12*1000))))*Flag_Mort_Rider_Charge*(T225&gt;0),0)</f>
        <v>0</v>
      </c>
      <c r="V225" s="34">
        <f>ROUND(MIN(IF(H225&gt;=7,Charges!$C$12*(1+Charges!$C$14)^((H225-7+1)),VLOOKUP(H225,Charges!$B$7:$C$12,2,0))*pr,Charges!$C$13)*B225,Round)</f>
        <v>0</v>
      </c>
      <c r="W225" s="14">
        <f t="shared" ca="1" si="154"/>
        <v>0</v>
      </c>
      <c r="X225" s="14">
        <f t="shared" ca="1" si="155"/>
        <v>0</v>
      </c>
      <c r="Y225" s="213">
        <f t="shared" ca="1" si="177"/>
        <v>0</v>
      </c>
      <c r="Z225" s="14">
        <f t="shared" ca="1" si="156"/>
        <v>0</v>
      </c>
      <c r="AA225" s="14">
        <f>IF(AND($H225=pt,$F225=11),SUM($K$7:K225)*VLOOKUP(pt,ROC,2,FALSE),0)</f>
        <v>0</v>
      </c>
      <c r="AB225" s="14">
        <f>IF(AND($H225=pt,$F225=11),SUM($V$7:V225)*VLOOKUP(pt,ROC,2,FALSE),0)</f>
        <v>0</v>
      </c>
      <c r="AC225" s="14">
        <f>IF(AND($H225=pt,$F225=11),SUM($Q$7:Q225)*VLOOKUP(pt,ROC,2,FALSE),0)</f>
        <v>0</v>
      </c>
      <c r="AD225" s="14">
        <f t="shared" ca="1" si="178"/>
        <v>0</v>
      </c>
      <c r="AE225" s="14">
        <f ca="1">(MAX(sa-CF224*Flag_UL_Type,105%*SUM($I$7:I225),Z225)+AU225)*B225</f>
        <v>0</v>
      </c>
      <c r="AF225" s="136"/>
      <c r="AG225" s="18">
        <v>219</v>
      </c>
      <c r="AH225" s="30">
        <f t="shared" ca="1" si="157"/>
        <v>0</v>
      </c>
      <c r="AI225" s="58"/>
      <c r="AJ225" s="50">
        <f>IF(AND(Option_Sys_TopUp&gt;="Y",H225&gt;=sytp,H225&lt;=(dtp+sytp-1),F225=0,H225&lt;=ppt+1),atp,0)+IFERROR(VLOOKUP(H225,Input!$B$55:$C$61,2,0),0)*(F225=0)*(Option_TopUP="Y")*(Option_Sys_TopUp="N")*B225*(pt&gt;=H225+5)</f>
        <v>0</v>
      </c>
      <c r="AK225" s="50">
        <f t="shared" si="158"/>
        <v>0</v>
      </c>
      <c r="AL225" s="50">
        <f t="shared" si="179"/>
        <v>0</v>
      </c>
      <c r="AM225" s="50">
        <f t="shared" ca="1" si="159"/>
        <v>0</v>
      </c>
      <c r="AN225" s="50">
        <f>IF(B225=0,0,AT225*(_rpm1+(1+_emr1)*VLOOKUP(E225,Tab_Mort_Charge,IF(Input!$C$12="M",2,3),0))*(0.001*0.0833)*Flag_Mort_Rider_Charge*(AT225&gt;0))</f>
        <v>0</v>
      </c>
      <c r="AO225" s="50">
        <f t="shared" ca="1" si="180"/>
        <v>0</v>
      </c>
      <c r="AP225" s="50">
        <f t="shared" ca="1" si="187"/>
        <v>0</v>
      </c>
      <c r="AQ225" s="50">
        <f t="shared" ca="1" si="160"/>
        <v>0</v>
      </c>
      <c r="AR225" s="50">
        <f t="shared" ca="1" si="161"/>
        <v>0</v>
      </c>
      <c r="AS225" s="50">
        <f t="shared" si="162"/>
        <v>0</v>
      </c>
      <c r="AT225" s="50">
        <f ca="1">(MAX((MAX(AS225,105%*SUM($AJ$7:AJ225))-AM225*Flag_UL_Type),0)*B225)</f>
        <v>0</v>
      </c>
      <c r="AU225" s="50">
        <f ca="1">(MAX(AS225,AR225,105%*SUM($AJ$7:AJ225))*B225)</f>
        <v>0</v>
      </c>
      <c r="AV225" s="125"/>
      <c r="AW225" s="13"/>
      <c r="AX225" s="13"/>
      <c r="AY225" s="13"/>
      <c r="AZ225" s="13"/>
      <c r="BA225" s="13"/>
      <c r="BG225" s="51">
        <f t="shared" si="163"/>
        <v>0</v>
      </c>
      <c r="BH225" s="51">
        <f t="shared" si="164"/>
        <v>0</v>
      </c>
      <c r="BI225" s="51">
        <f t="shared" ca="1" si="165"/>
        <v>0</v>
      </c>
      <c r="BJ225" s="51">
        <f t="shared" ca="1" si="166"/>
        <v>0</v>
      </c>
      <c r="BK225" s="51">
        <f t="shared" si="167"/>
        <v>0</v>
      </c>
      <c r="BL225" s="51">
        <f t="shared" ca="1" si="168"/>
        <v>0</v>
      </c>
      <c r="BM225" s="51">
        <f t="shared" si="169"/>
        <v>0</v>
      </c>
      <c r="BN225" s="51">
        <f t="shared" si="170"/>
        <v>0</v>
      </c>
      <c r="BO225" s="51">
        <f t="shared" ca="1" si="171"/>
        <v>0</v>
      </c>
      <c r="BP225" s="51">
        <f t="shared" ca="1" si="172"/>
        <v>0</v>
      </c>
      <c r="BQ225" s="120"/>
      <c r="BR225" s="32"/>
      <c r="BS225" s="126"/>
      <c r="BT225" s="16"/>
      <c r="BU225" s="58"/>
      <c r="BW225" s="51">
        <f>VLOOKUP(H225,Charges!$AT$4:$AU$33,2,FALSE)*I225</f>
        <v>0</v>
      </c>
      <c r="BX225" s="51">
        <f t="shared" si="173"/>
        <v>0</v>
      </c>
      <c r="BY225" s="51">
        <f t="shared" si="181"/>
        <v>0</v>
      </c>
      <c r="BZ225" s="151"/>
      <c r="CA225" s="151"/>
      <c r="CB225" s="32"/>
      <c r="CC225" s="16">
        <f ca="1">SUM($N$7:$N225)</f>
        <v>0</v>
      </c>
      <c r="CD225" s="16">
        <f t="shared" ca="1" si="174"/>
        <v>0</v>
      </c>
      <c r="CE225" s="16">
        <f t="shared" ca="1" si="175"/>
        <v>0</v>
      </c>
      <c r="CF225" s="7">
        <f t="shared" ca="1" si="182"/>
        <v>0</v>
      </c>
    </row>
    <row r="226" spans="1:84" s="7" customFormat="1" x14ac:dyDescent="0.2">
      <c r="A226" s="149"/>
      <c r="B226" s="14">
        <f t="shared" si="144"/>
        <v>0</v>
      </c>
      <c r="C226" s="12">
        <f t="shared" si="145"/>
        <v>0</v>
      </c>
      <c r="D226" s="17">
        <f t="shared" si="183"/>
        <v>220</v>
      </c>
      <c r="E226" s="17">
        <f t="shared" ca="1" si="146"/>
        <v>78</v>
      </c>
      <c r="F226" s="12">
        <f t="shared" si="185"/>
        <v>3</v>
      </c>
      <c r="G226" s="12">
        <f t="shared" si="184"/>
        <v>37</v>
      </c>
      <c r="H226" s="17">
        <f t="shared" si="186"/>
        <v>19</v>
      </c>
      <c r="I226" s="29">
        <f t="shared" si="147"/>
        <v>0</v>
      </c>
      <c r="J226" s="211">
        <f>IFERROR(VLOOKUP(H226,Charges!$T$6:$U$35,2,0)*C226,0)</f>
        <v>0</v>
      </c>
      <c r="K226" s="29">
        <f t="shared" si="148"/>
        <v>0</v>
      </c>
      <c r="L226" s="29">
        <f t="shared" si="149"/>
        <v>0</v>
      </c>
      <c r="M226" s="147">
        <f t="shared" ca="1" si="150"/>
        <v>0</v>
      </c>
      <c r="N226" s="148">
        <f ca="1">IF(AND(Option_SPW="Y",Z225&gt;=SPW_Start_Min_FV,H226&gt;=Lock_In_Period,Z225&gt;SPW_Amount_pa+IF(option="Single",1/5*pr,2*pr),H226&gt;=SPW_Start_Year,H226&lt;=SPW_Start_Year+SPW_Duration-1,F226=0,age+H226&gt;=Legal_Age),SPW_Amount_pa,0)+IFERROR(VLOOKUP(H226,Input!$B$68:$C$74,2,0),0)*(F226=0)*(Option_PW="Y")*(Option_SPW="N")*(age+H226&gt;=Legal_Age)</f>
        <v>0</v>
      </c>
      <c r="O226" s="148">
        <f t="shared" ca="1" si="176"/>
        <v>0</v>
      </c>
      <c r="P226" s="14">
        <f ca="1">(MAX(MAX(sa-CF225*Flag_UL_Type,105%*SUM($I$7:I226))-(AD225+L226-N226)*Flag_UL_Type,0)*B226)</f>
        <v>0</v>
      </c>
      <c r="Q226" s="213">
        <f t="shared" si="151"/>
        <v>0</v>
      </c>
      <c r="R226" s="14">
        <f t="shared" ca="1" si="152"/>
        <v>0</v>
      </c>
      <c r="S226" s="14">
        <f t="shared" ca="1" si="153"/>
        <v>0</v>
      </c>
      <c r="T226" s="14">
        <f>IFERROR(IF(WoP_Flag="Y",IF(fq=1,VLOOKUP(ppt*fq-H226,Charges!$AN$41:$AO$59,2,FALSE),IF(fq=2,VLOOKUP(ppt*fq-G226,Charges!$AP$41:$AQ$79,2,FALSE),VLOOKUP(ppt*fq-D226,Charges!$AR$41:$AS$279,2,FALSE)))*pr/fq,0),0)</f>
        <v>0</v>
      </c>
      <c r="U226" s="14">
        <f ca="1">IFERROR(((T226*(VLOOKUP(Input!$D$18+H226-1,Tab_Mort_Charge,IF(Gender_2="M",2,3),FALSE)*(1+_emr2)+_rpm2)/IF(Model_Type="LA_PQIS",1000/0.0833,(12*1000))))*Flag_Mort_Rider_Charge*(T226&gt;0),0)</f>
        <v>0</v>
      </c>
      <c r="V226" s="34">
        <f>ROUND(MIN(IF(H226&gt;=7,Charges!$C$12*(1+Charges!$C$14)^((H226-7+1)),VLOOKUP(H226,Charges!$B$7:$C$12,2,0))*pr,Charges!$C$13)*B226,Round)</f>
        <v>0</v>
      </c>
      <c r="W226" s="14">
        <f t="shared" ca="1" si="154"/>
        <v>0</v>
      </c>
      <c r="X226" s="14">
        <f t="shared" ca="1" si="155"/>
        <v>0</v>
      </c>
      <c r="Y226" s="213">
        <f t="shared" ca="1" si="177"/>
        <v>0</v>
      </c>
      <c r="Z226" s="14">
        <f t="shared" ca="1" si="156"/>
        <v>0</v>
      </c>
      <c r="AA226" s="14">
        <f>IF(AND($H226=pt,$F226=11),SUM($K$7:K226)*VLOOKUP(pt,ROC,2,FALSE),0)</f>
        <v>0</v>
      </c>
      <c r="AB226" s="14">
        <f>IF(AND($H226=pt,$F226=11),SUM($V$7:V226)*VLOOKUP(pt,ROC,2,FALSE),0)</f>
        <v>0</v>
      </c>
      <c r="AC226" s="14">
        <f>IF(AND($H226=pt,$F226=11),SUM($Q$7:Q226)*VLOOKUP(pt,ROC,2,FALSE),0)</f>
        <v>0</v>
      </c>
      <c r="AD226" s="14">
        <f t="shared" ca="1" si="178"/>
        <v>0</v>
      </c>
      <c r="AE226" s="14">
        <f ca="1">(MAX(sa-CF225*Flag_UL_Type,105%*SUM($I$7:I226),Z226)+AU226)*B226</f>
        <v>0</v>
      </c>
      <c r="AF226" s="136"/>
      <c r="AG226" s="18">
        <v>220</v>
      </c>
      <c r="AH226" s="30">
        <f t="shared" ca="1" si="157"/>
        <v>0</v>
      </c>
      <c r="AI226" s="58"/>
      <c r="AJ226" s="50">
        <f>IF(AND(Option_Sys_TopUp&gt;="Y",H226&gt;=sytp,H226&lt;=(dtp+sytp-1),F226=0,H226&lt;=ppt+1),atp,0)+IFERROR(VLOOKUP(H226,Input!$B$55:$C$61,2,0),0)*(F226=0)*(Option_TopUP="Y")*(Option_Sys_TopUp="N")*B226*(pt&gt;=H226+5)</f>
        <v>0</v>
      </c>
      <c r="AK226" s="50">
        <f t="shared" si="158"/>
        <v>0</v>
      </c>
      <c r="AL226" s="50">
        <f t="shared" si="179"/>
        <v>0</v>
      </c>
      <c r="AM226" s="50">
        <f t="shared" ca="1" si="159"/>
        <v>0</v>
      </c>
      <c r="AN226" s="50">
        <f>IF(B226=0,0,AT226*(_rpm1+(1+_emr1)*VLOOKUP(E226,Tab_Mort_Charge,IF(Input!$C$12="M",2,3),0))*(0.001*0.0833)*Flag_Mort_Rider_Charge*(AT226&gt;0))</f>
        <v>0</v>
      </c>
      <c r="AO226" s="50">
        <f t="shared" ca="1" si="180"/>
        <v>0</v>
      </c>
      <c r="AP226" s="50">
        <f t="shared" ca="1" si="187"/>
        <v>0</v>
      </c>
      <c r="AQ226" s="50">
        <f t="shared" ca="1" si="160"/>
        <v>0</v>
      </c>
      <c r="AR226" s="50">
        <f t="shared" ca="1" si="161"/>
        <v>0</v>
      </c>
      <c r="AS226" s="50">
        <f t="shared" si="162"/>
        <v>0</v>
      </c>
      <c r="AT226" s="50">
        <f ca="1">(MAX((MAX(AS226,105%*SUM($AJ$7:AJ226))-AM226*Flag_UL_Type),0)*B226)</f>
        <v>0</v>
      </c>
      <c r="AU226" s="50">
        <f ca="1">(MAX(AS226,AR226,105%*SUM($AJ$7:AJ226))*B226)</f>
        <v>0</v>
      </c>
      <c r="AV226" s="125"/>
      <c r="AW226" s="13"/>
      <c r="AX226" s="13"/>
      <c r="AY226" s="13"/>
      <c r="AZ226" s="13"/>
      <c r="BA226" s="13"/>
      <c r="BG226" s="51">
        <f t="shared" si="163"/>
        <v>0</v>
      </c>
      <c r="BH226" s="51">
        <f t="shared" si="164"/>
        <v>0</v>
      </c>
      <c r="BI226" s="51">
        <f t="shared" ca="1" si="165"/>
        <v>0</v>
      </c>
      <c r="BJ226" s="51">
        <f t="shared" ca="1" si="166"/>
        <v>0</v>
      </c>
      <c r="BK226" s="51">
        <f t="shared" si="167"/>
        <v>0</v>
      </c>
      <c r="BL226" s="51">
        <f t="shared" ca="1" si="168"/>
        <v>0</v>
      </c>
      <c r="BM226" s="51">
        <f t="shared" si="169"/>
        <v>0</v>
      </c>
      <c r="BN226" s="51">
        <f t="shared" si="170"/>
        <v>0</v>
      </c>
      <c r="BO226" s="51">
        <f t="shared" ca="1" si="171"/>
        <v>0</v>
      </c>
      <c r="BP226" s="51">
        <f t="shared" ca="1" si="172"/>
        <v>0</v>
      </c>
      <c r="BQ226" s="120"/>
      <c r="BR226" s="32"/>
      <c r="BS226" s="126"/>
      <c r="BT226" s="16"/>
      <c r="BU226" s="58"/>
      <c r="BW226" s="51">
        <f>VLOOKUP(H226,Charges!$AT$4:$AU$33,2,FALSE)*I226</f>
        <v>0</v>
      </c>
      <c r="BX226" s="51">
        <f t="shared" si="173"/>
        <v>0</v>
      </c>
      <c r="BY226" s="51">
        <f t="shared" si="181"/>
        <v>0</v>
      </c>
      <c r="BZ226" s="151"/>
      <c r="CA226" s="151"/>
      <c r="CB226" s="32"/>
      <c r="CC226" s="16">
        <f ca="1">SUM($N$7:$N226)</f>
        <v>0</v>
      </c>
      <c r="CD226" s="16">
        <f t="shared" ca="1" si="174"/>
        <v>0</v>
      </c>
      <c r="CE226" s="16">
        <f t="shared" ca="1" si="175"/>
        <v>0</v>
      </c>
      <c r="CF226" s="7">
        <f t="shared" ca="1" si="182"/>
        <v>0</v>
      </c>
    </row>
    <row r="227" spans="1:84" s="7" customFormat="1" x14ac:dyDescent="0.2">
      <c r="A227" s="149"/>
      <c r="B227" s="14">
        <f t="shared" si="144"/>
        <v>0</v>
      </c>
      <c r="C227" s="12">
        <f t="shared" si="145"/>
        <v>0</v>
      </c>
      <c r="D227" s="17">
        <f t="shared" si="183"/>
        <v>221</v>
      </c>
      <c r="E227" s="17">
        <f t="shared" ca="1" si="146"/>
        <v>78</v>
      </c>
      <c r="F227" s="12">
        <f t="shared" si="185"/>
        <v>4</v>
      </c>
      <c r="G227" s="12">
        <f t="shared" si="184"/>
        <v>37</v>
      </c>
      <c r="H227" s="17">
        <f t="shared" si="186"/>
        <v>19</v>
      </c>
      <c r="I227" s="29">
        <f t="shared" si="147"/>
        <v>0</v>
      </c>
      <c r="J227" s="211">
        <f>IFERROR(VLOOKUP(H227,Charges!$T$6:$U$35,2,0)*C227,0)</f>
        <v>0</v>
      </c>
      <c r="K227" s="29">
        <f t="shared" si="148"/>
        <v>0</v>
      </c>
      <c r="L227" s="29">
        <f t="shared" si="149"/>
        <v>0</v>
      </c>
      <c r="M227" s="147">
        <f t="shared" ca="1" si="150"/>
        <v>0</v>
      </c>
      <c r="N227" s="148">
        <f ca="1">IF(AND(Option_SPW="Y",Z226&gt;=SPW_Start_Min_FV,H227&gt;=Lock_In_Period,Z226&gt;SPW_Amount_pa+IF(option="Single",1/5*pr,2*pr),H227&gt;=SPW_Start_Year,H227&lt;=SPW_Start_Year+SPW_Duration-1,F227=0,age+H227&gt;=Legal_Age),SPW_Amount_pa,0)+IFERROR(VLOOKUP(H227,Input!$B$68:$C$74,2,0),0)*(F227=0)*(Option_PW="Y")*(Option_SPW="N")*(age+H227&gt;=Legal_Age)</f>
        <v>0</v>
      </c>
      <c r="O227" s="148">
        <f t="shared" ca="1" si="176"/>
        <v>0</v>
      </c>
      <c r="P227" s="14">
        <f ca="1">(MAX(MAX(sa-CF226*Flag_UL_Type,105%*SUM($I$7:I227))-(AD226+L227-N227)*Flag_UL_Type,0)*B227)</f>
        <v>0</v>
      </c>
      <c r="Q227" s="213">
        <f t="shared" si="151"/>
        <v>0</v>
      </c>
      <c r="R227" s="14">
        <f t="shared" ca="1" si="152"/>
        <v>0</v>
      </c>
      <c r="S227" s="14">
        <f t="shared" ca="1" si="153"/>
        <v>0</v>
      </c>
      <c r="T227" s="14">
        <f>IFERROR(IF(WoP_Flag="Y",IF(fq=1,VLOOKUP(ppt*fq-H227,Charges!$AN$41:$AO$59,2,FALSE),IF(fq=2,VLOOKUP(ppt*fq-G227,Charges!$AP$41:$AQ$79,2,FALSE),VLOOKUP(ppt*fq-D227,Charges!$AR$41:$AS$279,2,FALSE)))*pr/fq,0),0)</f>
        <v>0</v>
      </c>
      <c r="U227" s="14">
        <f ca="1">IFERROR(((T227*(VLOOKUP(Input!$D$18+H227-1,Tab_Mort_Charge,IF(Gender_2="M",2,3),FALSE)*(1+_emr2)+_rpm2)/IF(Model_Type="LA_PQIS",1000/0.0833,(12*1000))))*Flag_Mort_Rider_Charge*(T227&gt;0),0)</f>
        <v>0</v>
      </c>
      <c r="V227" s="34">
        <f>ROUND(MIN(IF(H227&gt;=7,Charges!$C$12*(1+Charges!$C$14)^((H227-7+1)),VLOOKUP(H227,Charges!$B$7:$C$12,2,0))*pr,Charges!$C$13)*B227,Round)</f>
        <v>0</v>
      </c>
      <c r="W227" s="14">
        <f t="shared" ca="1" si="154"/>
        <v>0</v>
      </c>
      <c r="X227" s="14">
        <f t="shared" ca="1" si="155"/>
        <v>0</v>
      </c>
      <c r="Y227" s="213">
        <f t="shared" ca="1" si="177"/>
        <v>0</v>
      </c>
      <c r="Z227" s="14">
        <f t="shared" ca="1" si="156"/>
        <v>0</v>
      </c>
      <c r="AA227" s="14">
        <f>IF(AND($H227=pt,$F227=11),SUM($K$7:K227)*VLOOKUP(pt,ROC,2,FALSE),0)</f>
        <v>0</v>
      </c>
      <c r="AB227" s="14">
        <f>IF(AND($H227=pt,$F227=11),SUM($V$7:V227)*VLOOKUP(pt,ROC,2,FALSE),0)</f>
        <v>0</v>
      </c>
      <c r="AC227" s="14">
        <f>IF(AND($H227=pt,$F227=11),SUM($Q$7:Q227)*VLOOKUP(pt,ROC,2,FALSE),0)</f>
        <v>0</v>
      </c>
      <c r="AD227" s="14">
        <f t="shared" ca="1" si="178"/>
        <v>0</v>
      </c>
      <c r="AE227" s="14">
        <f ca="1">(MAX(sa-CF226*Flag_UL_Type,105%*SUM($I$7:I227),Z227)+AU227)*B227</f>
        <v>0</v>
      </c>
      <c r="AF227" s="136"/>
      <c r="AG227" s="18">
        <v>221</v>
      </c>
      <c r="AH227" s="30">
        <f t="shared" ca="1" si="157"/>
        <v>0</v>
      </c>
      <c r="AI227" s="58"/>
      <c r="AJ227" s="50">
        <f>IF(AND(Option_Sys_TopUp&gt;="Y",H227&gt;=sytp,H227&lt;=(dtp+sytp-1),F227=0,H227&lt;=ppt+1),atp,0)+IFERROR(VLOOKUP(H227,Input!$B$55:$C$61,2,0),0)*(F227=0)*(Option_TopUP="Y")*(Option_Sys_TopUp="N")*B227*(pt&gt;=H227+5)</f>
        <v>0</v>
      </c>
      <c r="AK227" s="50">
        <f t="shared" si="158"/>
        <v>0</v>
      </c>
      <c r="AL227" s="50">
        <f t="shared" si="179"/>
        <v>0</v>
      </c>
      <c r="AM227" s="50">
        <f t="shared" ca="1" si="159"/>
        <v>0</v>
      </c>
      <c r="AN227" s="50">
        <f>IF(B227=0,0,AT227*(_rpm1+(1+_emr1)*VLOOKUP(E227,Tab_Mort_Charge,IF(Input!$C$12="M",2,3),0))*(0.001*0.0833)*Flag_Mort_Rider_Charge*(AT227&gt;0))</f>
        <v>0</v>
      </c>
      <c r="AO227" s="50">
        <f t="shared" ca="1" si="180"/>
        <v>0</v>
      </c>
      <c r="AP227" s="50">
        <f t="shared" ca="1" si="187"/>
        <v>0</v>
      </c>
      <c r="AQ227" s="50">
        <f t="shared" ca="1" si="160"/>
        <v>0</v>
      </c>
      <c r="AR227" s="50">
        <f t="shared" ca="1" si="161"/>
        <v>0</v>
      </c>
      <c r="AS227" s="50">
        <f t="shared" si="162"/>
        <v>0</v>
      </c>
      <c r="AT227" s="50">
        <f ca="1">(MAX((MAX(AS227,105%*SUM($AJ$7:AJ227))-AM227*Flag_UL_Type),0)*B227)</f>
        <v>0</v>
      </c>
      <c r="AU227" s="50">
        <f ca="1">(MAX(AS227,AR227,105%*SUM($AJ$7:AJ227))*B227)</f>
        <v>0</v>
      </c>
      <c r="AV227" s="125"/>
      <c r="AW227" s="13"/>
      <c r="AX227" s="13"/>
      <c r="AY227" s="13"/>
      <c r="AZ227" s="13"/>
      <c r="BA227" s="13"/>
      <c r="BG227" s="51">
        <f t="shared" si="163"/>
        <v>0</v>
      </c>
      <c r="BH227" s="51">
        <f t="shared" si="164"/>
        <v>0</v>
      </c>
      <c r="BI227" s="51">
        <f t="shared" ca="1" si="165"/>
        <v>0</v>
      </c>
      <c r="BJ227" s="51">
        <f t="shared" ca="1" si="166"/>
        <v>0</v>
      </c>
      <c r="BK227" s="51">
        <f t="shared" si="167"/>
        <v>0</v>
      </c>
      <c r="BL227" s="51">
        <f t="shared" ca="1" si="168"/>
        <v>0</v>
      </c>
      <c r="BM227" s="51">
        <f t="shared" si="169"/>
        <v>0</v>
      </c>
      <c r="BN227" s="51">
        <f t="shared" si="170"/>
        <v>0</v>
      </c>
      <c r="BO227" s="51">
        <f t="shared" ca="1" si="171"/>
        <v>0</v>
      </c>
      <c r="BP227" s="51">
        <f t="shared" ca="1" si="172"/>
        <v>0</v>
      </c>
      <c r="BQ227" s="120"/>
      <c r="BR227" s="32"/>
      <c r="BS227" s="126"/>
      <c r="BT227" s="16"/>
      <c r="BU227" s="58"/>
      <c r="BW227" s="51">
        <f>VLOOKUP(H227,Charges!$AT$4:$AU$33,2,FALSE)*I227</f>
        <v>0</v>
      </c>
      <c r="BX227" s="51">
        <f t="shared" si="173"/>
        <v>0</v>
      </c>
      <c r="BY227" s="51">
        <f t="shared" si="181"/>
        <v>0</v>
      </c>
      <c r="BZ227" s="151"/>
      <c r="CA227" s="151"/>
      <c r="CB227" s="32"/>
      <c r="CC227" s="16">
        <f ca="1">SUM($N$7:$N227)</f>
        <v>0</v>
      </c>
      <c r="CD227" s="16">
        <f t="shared" ca="1" si="174"/>
        <v>0</v>
      </c>
      <c r="CE227" s="16">
        <f t="shared" ca="1" si="175"/>
        <v>0</v>
      </c>
      <c r="CF227" s="7">
        <f t="shared" ca="1" si="182"/>
        <v>0</v>
      </c>
    </row>
    <row r="228" spans="1:84" s="7" customFormat="1" x14ac:dyDescent="0.2">
      <c r="A228" s="149"/>
      <c r="B228" s="14">
        <f t="shared" si="144"/>
        <v>0</v>
      </c>
      <c r="C228" s="12">
        <f t="shared" si="145"/>
        <v>0</v>
      </c>
      <c r="D228" s="17">
        <f t="shared" si="183"/>
        <v>222</v>
      </c>
      <c r="E228" s="17">
        <f t="shared" ca="1" si="146"/>
        <v>78</v>
      </c>
      <c r="F228" s="12">
        <f t="shared" si="185"/>
        <v>5</v>
      </c>
      <c r="G228" s="12">
        <f t="shared" si="184"/>
        <v>37</v>
      </c>
      <c r="H228" s="17">
        <f t="shared" si="186"/>
        <v>19</v>
      </c>
      <c r="I228" s="29">
        <f t="shared" si="147"/>
        <v>0</v>
      </c>
      <c r="J228" s="211">
        <f>IFERROR(VLOOKUP(H228,Charges!$T$6:$U$35,2,0)*C228,0)</f>
        <v>0</v>
      </c>
      <c r="K228" s="29">
        <f t="shared" si="148"/>
        <v>0</v>
      </c>
      <c r="L228" s="29">
        <f t="shared" si="149"/>
        <v>0</v>
      </c>
      <c r="M228" s="147">
        <f t="shared" ca="1" si="150"/>
        <v>0</v>
      </c>
      <c r="N228" s="148">
        <f ca="1">IF(AND(Option_SPW="Y",Z227&gt;=SPW_Start_Min_FV,H228&gt;=Lock_In_Period,Z227&gt;SPW_Amount_pa+IF(option="Single",1/5*pr,2*pr),H228&gt;=SPW_Start_Year,H228&lt;=SPW_Start_Year+SPW_Duration-1,F228=0,age+H228&gt;=Legal_Age),SPW_Amount_pa,0)+IFERROR(VLOOKUP(H228,Input!$B$68:$C$74,2,0),0)*(F228=0)*(Option_PW="Y")*(Option_SPW="N")*(age+H228&gt;=Legal_Age)</f>
        <v>0</v>
      </c>
      <c r="O228" s="148">
        <f t="shared" ca="1" si="176"/>
        <v>0</v>
      </c>
      <c r="P228" s="14">
        <f ca="1">(MAX(MAX(sa-CF227*Flag_UL_Type,105%*SUM($I$7:I228))-(AD227+L228-N228)*Flag_UL_Type,0)*B228)</f>
        <v>0</v>
      </c>
      <c r="Q228" s="213">
        <f t="shared" si="151"/>
        <v>0</v>
      </c>
      <c r="R228" s="14">
        <f t="shared" ca="1" si="152"/>
        <v>0</v>
      </c>
      <c r="S228" s="14">
        <f t="shared" ca="1" si="153"/>
        <v>0</v>
      </c>
      <c r="T228" s="14">
        <f>IFERROR(IF(WoP_Flag="Y",IF(fq=1,VLOOKUP(ppt*fq-H228,Charges!$AN$41:$AO$59,2,FALSE),IF(fq=2,VLOOKUP(ppt*fq-G228,Charges!$AP$41:$AQ$79,2,FALSE),VLOOKUP(ppt*fq-D228,Charges!$AR$41:$AS$279,2,FALSE)))*pr/fq,0),0)</f>
        <v>0</v>
      </c>
      <c r="U228" s="14">
        <f ca="1">IFERROR(((T228*(VLOOKUP(Input!$D$18+H228-1,Tab_Mort_Charge,IF(Gender_2="M",2,3),FALSE)*(1+_emr2)+_rpm2)/IF(Model_Type="LA_PQIS",1000/0.0833,(12*1000))))*Flag_Mort_Rider_Charge*(T228&gt;0),0)</f>
        <v>0</v>
      </c>
      <c r="V228" s="34">
        <f>ROUND(MIN(IF(H228&gt;=7,Charges!$C$12*(1+Charges!$C$14)^((H228-7+1)),VLOOKUP(H228,Charges!$B$7:$C$12,2,0))*pr,Charges!$C$13)*B228,Round)</f>
        <v>0</v>
      </c>
      <c r="W228" s="14">
        <f t="shared" ca="1" si="154"/>
        <v>0</v>
      </c>
      <c r="X228" s="14">
        <f t="shared" ca="1" si="155"/>
        <v>0</v>
      </c>
      <c r="Y228" s="213">
        <f t="shared" ca="1" si="177"/>
        <v>0</v>
      </c>
      <c r="Z228" s="14">
        <f t="shared" ca="1" si="156"/>
        <v>0</v>
      </c>
      <c r="AA228" s="14">
        <f>IF(AND($H228=pt,$F228=11),SUM($K$7:K228)*VLOOKUP(pt,ROC,2,FALSE),0)</f>
        <v>0</v>
      </c>
      <c r="AB228" s="14">
        <f>IF(AND($H228=pt,$F228=11),SUM($V$7:V228)*VLOOKUP(pt,ROC,2,FALSE),0)</f>
        <v>0</v>
      </c>
      <c r="AC228" s="14">
        <f>IF(AND($H228=pt,$F228=11),SUM($Q$7:Q228)*VLOOKUP(pt,ROC,2,FALSE),0)</f>
        <v>0</v>
      </c>
      <c r="AD228" s="14">
        <f t="shared" ca="1" si="178"/>
        <v>0</v>
      </c>
      <c r="AE228" s="14">
        <f ca="1">(MAX(sa-CF227*Flag_UL_Type,105%*SUM($I$7:I228),Z228)+AU228)*B228</f>
        <v>0</v>
      </c>
      <c r="AF228" s="136"/>
      <c r="AG228" s="18">
        <v>222</v>
      </c>
      <c r="AH228" s="30">
        <f t="shared" ca="1" si="157"/>
        <v>0</v>
      </c>
      <c r="AI228" s="58"/>
      <c r="AJ228" s="50">
        <f>IF(AND(Option_Sys_TopUp&gt;="Y",H228&gt;=sytp,H228&lt;=(dtp+sytp-1),F228=0,H228&lt;=ppt+1),atp,0)+IFERROR(VLOOKUP(H228,Input!$B$55:$C$61,2,0),0)*(F228=0)*(Option_TopUP="Y")*(Option_Sys_TopUp="N")*B228*(pt&gt;=H228+5)</f>
        <v>0</v>
      </c>
      <c r="AK228" s="50">
        <f t="shared" si="158"/>
        <v>0</v>
      </c>
      <c r="AL228" s="50">
        <f t="shared" si="179"/>
        <v>0</v>
      </c>
      <c r="AM228" s="50">
        <f t="shared" ca="1" si="159"/>
        <v>0</v>
      </c>
      <c r="AN228" s="50">
        <f>IF(B228=0,0,AT228*(_rpm1+(1+_emr1)*VLOOKUP(E228,Tab_Mort_Charge,IF(Input!$C$12="M",2,3),0))*(0.001*0.0833)*Flag_Mort_Rider_Charge*(AT228&gt;0))</f>
        <v>0</v>
      </c>
      <c r="AO228" s="50">
        <f t="shared" ca="1" si="180"/>
        <v>0</v>
      </c>
      <c r="AP228" s="50">
        <f t="shared" ca="1" si="187"/>
        <v>0</v>
      </c>
      <c r="AQ228" s="50">
        <f t="shared" ca="1" si="160"/>
        <v>0</v>
      </c>
      <c r="AR228" s="50">
        <f t="shared" ca="1" si="161"/>
        <v>0</v>
      </c>
      <c r="AS228" s="50">
        <f t="shared" si="162"/>
        <v>0</v>
      </c>
      <c r="AT228" s="50">
        <f ca="1">(MAX((MAX(AS228,105%*SUM($AJ$7:AJ228))-AM228*Flag_UL_Type),0)*B228)</f>
        <v>0</v>
      </c>
      <c r="AU228" s="50">
        <f ca="1">(MAX(AS228,AR228,105%*SUM($AJ$7:AJ228))*B228)</f>
        <v>0</v>
      </c>
      <c r="AV228" s="125"/>
      <c r="AW228" s="13"/>
      <c r="AX228" s="13"/>
      <c r="AY228" s="13"/>
      <c r="AZ228" s="13"/>
      <c r="BA228" s="13"/>
      <c r="BG228" s="51">
        <f t="shared" si="163"/>
        <v>0</v>
      </c>
      <c r="BH228" s="51">
        <f t="shared" si="164"/>
        <v>0</v>
      </c>
      <c r="BI228" s="51">
        <f t="shared" ca="1" si="165"/>
        <v>0</v>
      </c>
      <c r="BJ228" s="51">
        <f t="shared" ca="1" si="166"/>
        <v>0</v>
      </c>
      <c r="BK228" s="51">
        <f t="shared" si="167"/>
        <v>0</v>
      </c>
      <c r="BL228" s="51">
        <f t="shared" ca="1" si="168"/>
        <v>0</v>
      </c>
      <c r="BM228" s="51">
        <f t="shared" si="169"/>
        <v>0</v>
      </c>
      <c r="BN228" s="51">
        <f t="shared" si="170"/>
        <v>0</v>
      </c>
      <c r="BO228" s="51">
        <f t="shared" ca="1" si="171"/>
        <v>0</v>
      </c>
      <c r="BP228" s="51">
        <f t="shared" ca="1" si="172"/>
        <v>0</v>
      </c>
      <c r="BQ228" s="120"/>
      <c r="BR228" s="32"/>
      <c r="BS228" s="126"/>
      <c r="BT228" s="16"/>
      <c r="BU228" s="58"/>
      <c r="BW228" s="51">
        <f>VLOOKUP(H228,Charges!$AT$4:$AU$33,2,FALSE)*I228</f>
        <v>0</v>
      </c>
      <c r="BX228" s="51">
        <f t="shared" si="173"/>
        <v>0</v>
      </c>
      <c r="BY228" s="51">
        <f t="shared" si="181"/>
        <v>0</v>
      </c>
      <c r="BZ228" s="151"/>
      <c r="CA228" s="151"/>
      <c r="CB228" s="32"/>
      <c r="CC228" s="16">
        <f ca="1">SUM($N$7:$N228)</f>
        <v>0</v>
      </c>
      <c r="CD228" s="16">
        <f t="shared" ca="1" si="174"/>
        <v>0</v>
      </c>
      <c r="CE228" s="16">
        <f t="shared" ca="1" si="175"/>
        <v>0</v>
      </c>
      <c r="CF228" s="7">
        <f t="shared" ca="1" si="182"/>
        <v>0</v>
      </c>
    </row>
    <row r="229" spans="1:84" s="7" customFormat="1" x14ac:dyDescent="0.2">
      <c r="A229" s="149"/>
      <c r="B229" s="14">
        <f t="shared" si="144"/>
        <v>0</v>
      </c>
      <c r="C229" s="12">
        <f t="shared" si="145"/>
        <v>0</v>
      </c>
      <c r="D229" s="17">
        <f t="shared" si="183"/>
        <v>223</v>
      </c>
      <c r="E229" s="17">
        <f t="shared" ca="1" si="146"/>
        <v>78</v>
      </c>
      <c r="F229" s="12">
        <f t="shared" si="185"/>
        <v>6</v>
      </c>
      <c r="G229" s="12">
        <f t="shared" si="184"/>
        <v>38</v>
      </c>
      <c r="H229" s="17">
        <f t="shared" si="186"/>
        <v>19</v>
      </c>
      <c r="I229" s="29">
        <f t="shared" si="147"/>
        <v>0</v>
      </c>
      <c r="J229" s="211">
        <f>IFERROR(VLOOKUP(H229,Charges!$T$6:$U$35,2,0)*C229,0)</f>
        <v>0</v>
      </c>
      <c r="K229" s="29">
        <f t="shared" si="148"/>
        <v>0</v>
      </c>
      <c r="L229" s="29">
        <f t="shared" si="149"/>
        <v>0</v>
      </c>
      <c r="M229" s="147">
        <f t="shared" ca="1" si="150"/>
        <v>0</v>
      </c>
      <c r="N229" s="148">
        <f ca="1">IF(AND(Option_SPW="Y",Z228&gt;=SPW_Start_Min_FV,H229&gt;=Lock_In_Period,Z228&gt;SPW_Amount_pa+IF(option="Single",1/5*pr,2*pr),H229&gt;=SPW_Start_Year,H229&lt;=SPW_Start_Year+SPW_Duration-1,F229=0,age+H229&gt;=Legal_Age),SPW_Amount_pa,0)+IFERROR(VLOOKUP(H229,Input!$B$68:$C$74,2,0),0)*(F229=0)*(Option_PW="Y")*(Option_SPW="N")*(age+H229&gt;=Legal_Age)</f>
        <v>0</v>
      </c>
      <c r="O229" s="148">
        <f t="shared" ca="1" si="176"/>
        <v>0</v>
      </c>
      <c r="P229" s="14">
        <f ca="1">(MAX(MAX(sa-CF228*Flag_UL_Type,105%*SUM($I$7:I229))-(AD228+L229-N229)*Flag_UL_Type,0)*B229)</f>
        <v>0</v>
      </c>
      <c r="Q229" s="213">
        <f t="shared" si="151"/>
        <v>0</v>
      </c>
      <c r="R229" s="14">
        <f t="shared" ca="1" si="152"/>
        <v>0</v>
      </c>
      <c r="S229" s="14">
        <f t="shared" ca="1" si="153"/>
        <v>0</v>
      </c>
      <c r="T229" s="14">
        <f>IFERROR(IF(WoP_Flag="Y",IF(fq=1,VLOOKUP(ppt*fq-H229,Charges!$AN$41:$AO$59,2,FALSE),IF(fq=2,VLOOKUP(ppt*fq-G229,Charges!$AP$41:$AQ$79,2,FALSE),VLOOKUP(ppt*fq-D229,Charges!$AR$41:$AS$279,2,FALSE)))*pr/fq,0),0)</f>
        <v>0</v>
      </c>
      <c r="U229" s="14">
        <f ca="1">IFERROR(((T229*(VLOOKUP(Input!$D$18+H229-1,Tab_Mort_Charge,IF(Gender_2="M",2,3),FALSE)*(1+_emr2)+_rpm2)/IF(Model_Type="LA_PQIS",1000/0.0833,(12*1000))))*Flag_Mort_Rider_Charge*(T229&gt;0),0)</f>
        <v>0</v>
      </c>
      <c r="V229" s="34">
        <f>ROUND(MIN(IF(H229&gt;=7,Charges!$C$12*(1+Charges!$C$14)^((H229-7+1)),VLOOKUP(H229,Charges!$B$7:$C$12,2,0))*pr,Charges!$C$13)*B229,Round)</f>
        <v>0</v>
      </c>
      <c r="W229" s="14">
        <f t="shared" ca="1" si="154"/>
        <v>0</v>
      </c>
      <c r="X229" s="14">
        <f t="shared" ca="1" si="155"/>
        <v>0</v>
      </c>
      <c r="Y229" s="213">
        <f t="shared" ca="1" si="177"/>
        <v>0</v>
      </c>
      <c r="Z229" s="14">
        <f t="shared" ca="1" si="156"/>
        <v>0</v>
      </c>
      <c r="AA229" s="14">
        <f>IF(AND($H229=pt,$F229=11),SUM($K$7:K229)*VLOOKUP(pt,ROC,2,FALSE),0)</f>
        <v>0</v>
      </c>
      <c r="AB229" s="14">
        <f>IF(AND($H229=pt,$F229=11),SUM($V$7:V229)*VLOOKUP(pt,ROC,2,FALSE),0)</f>
        <v>0</v>
      </c>
      <c r="AC229" s="14">
        <f>IF(AND($H229=pt,$F229=11),SUM($Q$7:Q229)*VLOOKUP(pt,ROC,2,FALSE),0)</f>
        <v>0</v>
      </c>
      <c r="AD229" s="14">
        <f t="shared" ca="1" si="178"/>
        <v>0</v>
      </c>
      <c r="AE229" s="14">
        <f ca="1">(MAX(sa-CF228*Flag_UL_Type,105%*SUM($I$7:I229),Z229)+AU229)*B229</f>
        <v>0</v>
      </c>
      <c r="AF229" s="136"/>
      <c r="AG229" s="18">
        <v>223</v>
      </c>
      <c r="AH229" s="30">
        <f t="shared" ca="1" si="157"/>
        <v>0</v>
      </c>
      <c r="AI229" s="58"/>
      <c r="AJ229" s="50">
        <f>IF(AND(Option_Sys_TopUp&gt;="Y",H229&gt;=sytp,H229&lt;=(dtp+sytp-1),F229=0,H229&lt;=ppt+1),atp,0)+IFERROR(VLOOKUP(H229,Input!$B$55:$C$61,2,0),0)*(F229=0)*(Option_TopUP="Y")*(Option_Sys_TopUp="N")*B229*(pt&gt;=H229+5)</f>
        <v>0</v>
      </c>
      <c r="AK229" s="50">
        <f t="shared" si="158"/>
        <v>0</v>
      </c>
      <c r="AL229" s="50">
        <f t="shared" si="179"/>
        <v>0</v>
      </c>
      <c r="AM229" s="50">
        <f t="shared" ca="1" si="159"/>
        <v>0</v>
      </c>
      <c r="AN229" s="50">
        <f>IF(B229=0,0,AT229*(_rpm1+(1+_emr1)*VLOOKUP(E229,Tab_Mort_Charge,IF(Input!$C$12="M",2,3),0))*(0.001*0.0833)*Flag_Mort_Rider_Charge*(AT229&gt;0))</f>
        <v>0</v>
      </c>
      <c r="AO229" s="50">
        <f t="shared" ca="1" si="180"/>
        <v>0</v>
      </c>
      <c r="AP229" s="50">
        <f t="shared" ca="1" si="187"/>
        <v>0</v>
      </c>
      <c r="AQ229" s="50">
        <f t="shared" ca="1" si="160"/>
        <v>0</v>
      </c>
      <c r="AR229" s="50">
        <f t="shared" ca="1" si="161"/>
        <v>0</v>
      </c>
      <c r="AS229" s="50">
        <f t="shared" si="162"/>
        <v>0</v>
      </c>
      <c r="AT229" s="50">
        <f ca="1">(MAX((MAX(AS229,105%*SUM($AJ$7:AJ229))-AM229*Flag_UL_Type),0)*B229)</f>
        <v>0</v>
      </c>
      <c r="AU229" s="50">
        <f ca="1">(MAX(AS229,AR229,105%*SUM($AJ$7:AJ229))*B229)</f>
        <v>0</v>
      </c>
      <c r="AV229" s="125"/>
      <c r="AW229" s="13"/>
      <c r="AX229" s="13"/>
      <c r="AY229" s="13"/>
      <c r="AZ229" s="13"/>
      <c r="BA229" s="13"/>
      <c r="BG229" s="51">
        <f t="shared" si="163"/>
        <v>0</v>
      </c>
      <c r="BH229" s="51">
        <f t="shared" si="164"/>
        <v>0</v>
      </c>
      <c r="BI229" s="51">
        <f t="shared" ca="1" si="165"/>
        <v>0</v>
      </c>
      <c r="BJ229" s="51">
        <f t="shared" ca="1" si="166"/>
        <v>0</v>
      </c>
      <c r="BK229" s="51">
        <f t="shared" si="167"/>
        <v>0</v>
      </c>
      <c r="BL229" s="51">
        <f t="shared" ca="1" si="168"/>
        <v>0</v>
      </c>
      <c r="BM229" s="51">
        <f t="shared" si="169"/>
        <v>0</v>
      </c>
      <c r="BN229" s="51">
        <f t="shared" si="170"/>
        <v>0</v>
      </c>
      <c r="BO229" s="51">
        <f t="shared" ca="1" si="171"/>
        <v>0</v>
      </c>
      <c r="BP229" s="51">
        <f t="shared" ca="1" si="172"/>
        <v>0</v>
      </c>
      <c r="BQ229" s="120"/>
      <c r="BR229" s="32"/>
      <c r="BS229" s="126"/>
      <c r="BT229" s="16"/>
      <c r="BU229" s="58"/>
      <c r="BW229" s="51">
        <f>VLOOKUP(H229,Charges!$AT$4:$AU$33,2,FALSE)*I229</f>
        <v>0</v>
      </c>
      <c r="BX229" s="51">
        <f t="shared" si="173"/>
        <v>0</v>
      </c>
      <c r="BY229" s="51">
        <f t="shared" si="181"/>
        <v>0</v>
      </c>
      <c r="BZ229" s="151"/>
      <c r="CA229" s="151"/>
      <c r="CB229" s="32"/>
      <c r="CC229" s="16">
        <f ca="1">SUM($N$7:$N229)</f>
        <v>0</v>
      </c>
      <c r="CD229" s="16">
        <f t="shared" ca="1" si="174"/>
        <v>0</v>
      </c>
      <c r="CE229" s="16">
        <f t="shared" ca="1" si="175"/>
        <v>0</v>
      </c>
      <c r="CF229" s="7">
        <f t="shared" ca="1" si="182"/>
        <v>0</v>
      </c>
    </row>
    <row r="230" spans="1:84" s="7" customFormat="1" x14ac:dyDescent="0.2">
      <c r="A230" s="149"/>
      <c r="B230" s="14">
        <f t="shared" si="144"/>
        <v>0</v>
      </c>
      <c r="C230" s="12">
        <f t="shared" si="145"/>
        <v>0</v>
      </c>
      <c r="D230" s="17">
        <f t="shared" si="183"/>
        <v>224</v>
      </c>
      <c r="E230" s="17">
        <f t="shared" ca="1" si="146"/>
        <v>78</v>
      </c>
      <c r="F230" s="12">
        <f t="shared" si="185"/>
        <v>7</v>
      </c>
      <c r="G230" s="12">
        <f t="shared" si="184"/>
        <v>38</v>
      </c>
      <c r="H230" s="17">
        <f t="shared" si="186"/>
        <v>19</v>
      </c>
      <c r="I230" s="29">
        <f t="shared" si="147"/>
        <v>0</v>
      </c>
      <c r="J230" s="211">
        <f>IFERROR(VLOOKUP(H230,Charges!$T$6:$U$35,2,0)*C230,0)</f>
        <v>0</v>
      </c>
      <c r="K230" s="29">
        <f t="shared" si="148"/>
        <v>0</v>
      </c>
      <c r="L230" s="29">
        <f t="shared" si="149"/>
        <v>0</v>
      </c>
      <c r="M230" s="147">
        <f t="shared" ca="1" si="150"/>
        <v>0</v>
      </c>
      <c r="N230" s="148">
        <f ca="1">IF(AND(Option_SPW="Y",Z229&gt;=SPW_Start_Min_FV,H230&gt;=Lock_In_Period,Z229&gt;SPW_Amount_pa+IF(option="Single",1/5*pr,2*pr),H230&gt;=SPW_Start_Year,H230&lt;=SPW_Start_Year+SPW_Duration-1,F230=0,age+H230&gt;=Legal_Age),SPW_Amount_pa,0)+IFERROR(VLOOKUP(H230,Input!$B$68:$C$74,2,0),0)*(F230=0)*(Option_PW="Y")*(Option_SPW="N")*(age+H230&gt;=Legal_Age)</f>
        <v>0</v>
      </c>
      <c r="O230" s="148">
        <f t="shared" ca="1" si="176"/>
        <v>0</v>
      </c>
      <c r="P230" s="14">
        <f ca="1">(MAX(MAX(sa-CF229*Flag_UL_Type,105%*SUM($I$7:I230))-(AD229+L230-N230)*Flag_UL_Type,0)*B230)</f>
        <v>0</v>
      </c>
      <c r="Q230" s="213">
        <f t="shared" si="151"/>
        <v>0</v>
      </c>
      <c r="R230" s="14">
        <f t="shared" ca="1" si="152"/>
        <v>0</v>
      </c>
      <c r="S230" s="14">
        <f t="shared" ca="1" si="153"/>
        <v>0</v>
      </c>
      <c r="T230" s="14">
        <f>IFERROR(IF(WoP_Flag="Y",IF(fq=1,VLOOKUP(ppt*fq-H230,Charges!$AN$41:$AO$59,2,FALSE),IF(fq=2,VLOOKUP(ppt*fq-G230,Charges!$AP$41:$AQ$79,2,FALSE),VLOOKUP(ppt*fq-D230,Charges!$AR$41:$AS$279,2,FALSE)))*pr/fq,0),0)</f>
        <v>0</v>
      </c>
      <c r="U230" s="14">
        <f ca="1">IFERROR(((T230*(VLOOKUP(Input!$D$18+H230-1,Tab_Mort_Charge,IF(Gender_2="M",2,3),FALSE)*(1+_emr2)+_rpm2)/IF(Model_Type="LA_PQIS",1000/0.0833,(12*1000))))*Flag_Mort_Rider_Charge*(T230&gt;0),0)</f>
        <v>0</v>
      </c>
      <c r="V230" s="34">
        <f>ROUND(MIN(IF(H230&gt;=7,Charges!$C$12*(1+Charges!$C$14)^((H230-7+1)),VLOOKUP(H230,Charges!$B$7:$C$12,2,0))*pr,Charges!$C$13)*B230,Round)</f>
        <v>0</v>
      </c>
      <c r="W230" s="14">
        <f t="shared" ca="1" si="154"/>
        <v>0</v>
      </c>
      <c r="X230" s="14">
        <f t="shared" ca="1" si="155"/>
        <v>0</v>
      </c>
      <c r="Y230" s="213">
        <f t="shared" ca="1" si="177"/>
        <v>0</v>
      </c>
      <c r="Z230" s="14">
        <f t="shared" ca="1" si="156"/>
        <v>0</v>
      </c>
      <c r="AA230" s="14">
        <f>IF(AND($H230=pt,$F230=11),SUM($K$7:K230)*VLOOKUP(pt,ROC,2,FALSE),0)</f>
        <v>0</v>
      </c>
      <c r="AB230" s="14">
        <f>IF(AND($H230=pt,$F230=11),SUM($V$7:V230)*VLOOKUP(pt,ROC,2,FALSE),0)</f>
        <v>0</v>
      </c>
      <c r="AC230" s="14">
        <f>IF(AND($H230=pt,$F230=11),SUM($Q$7:Q230)*VLOOKUP(pt,ROC,2,FALSE),0)</f>
        <v>0</v>
      </c>
      <c r="AD230" s="14">
        <f t="shared" ca="1" si="178"/>
        <v>0</v>
      </c>
      <c r="AE230" s="14">
        <f ca="1">(MAX(sa-CF229*Flag_UL_Type,105%*SUM($I$7:I230),Z230)+AU230)*B230</f>
        <v>0</v>
      </c>
      <c r="AF230" s="136"/>
      <c r="AG230" s="18">
        <v>224</v>
      </c>
      <c r="AH230" s="30">
        <f t="shared" ca="1" si="157"/>
        <v>0</v>
      </c>
      <c r="AI230" s="58"/>
      <c r="AJ230" s="50">
        <f>IF(AND(Option_Sys_TopUp&gt;="Y",H230&gt;=sytp,H230&lt;=(dtp+sytp-1),F230=0,H230&lt;=ppt+1),atp,0)+IFERROR(VLOOKUP(H230,Input!$B$55:$C$61,2,0),0)*(F230=0)*(Option_TopUP="Y")*(Option_Sys_TopUp="N")*B230*(pt&gt;=H230+5)</f>
        <v>0</v>
      </c>
      <c r="AK230" s="50">
        <f t="shared" si="158"/>
        <v>0</v>
      </c>
      <c r="AL230" s="50">
        <f t="shared" si="179"/>
        <v>0</v>
      </c>
      <c r="AM230" s="50">
        <f t="shared" ca="1" si="159"/>
        <v>0</v>
      </c>
      <c r="AN230" s="50">
        <f>IF(B230=0,0,AT230*(_rpm1+(1+_emr1)*VLOOKUP(E230,Tab_Mort_Charge,IF(Input!$C$12="M",2,3),0))*(0.001*0.0833)*Flag_Mort_Rider_Charge*(AT230&gt;0))</f>
        <v>0</v>
      </c>
      <c r="AO230" s="50">
        <f t="shared" ca="1" si="180"/>
        <v>0</v>
      </c>
      <c r="AP230" s="50">
        <f t="shared" ca="1" si="187"/>
        <v>0</v>
      </c>
      <c r="AQ230" s="50">
        <f t="shared" ca="1" si="160"/>
        <v>0</v>
      </c>
      <c r="AR230" s="50">
        <f t="shared" ca="1" si="161"/>
        <v>0</v>
      </c>
      <c r="AS230" s="50">
        <f t="shared" si="162"/>
        <v>0</v>
      </c>
      <c r="AT230" s="50">
        <f ca="1">(MAX((MAX(AS230,105%*SUM($AJ$7:AJ230))-AM230*Flag_UL_Type),0)*B230)</f>
        <v>0</v>
      </c>
      <c r="AU230" s="50">
        <f ca="1">(MAX(AS230,AR230,105%*SUM($AJ$7:AJ230))*B230)</f>
        <v>0</v>
      </c>
      <c r="AV230" s="125"/>
      <c r="AW230" s="13"/>
      <c r="AX230" s="13"/>
      <c r="AY230" s="13"/>
      <c r="AZ230" s="13"/>
      <c r="BA230" s="13"/>
      <c r="BG230" s="51">
        <f t="shared" si="163"/>
        <v>0</v>
      </c>
      <c r="BH230" s="51">
        <f t="shared" si="164"/>
        <v>0</v>
      </c>
      <c r="BI230" s="51">
        <f t="shared" ca="1" si="165"/>
        <v>0</v>
      </c>
      <c r="BJ230" s="51">
        <f t="shared" ca="1" si="166"/>
        <v>0</v>
      </c>
      <c r="BK230" s="51">
        <f t="shared" si="167"/>
        <v>0</v>
      </c>
      <c r="BL230" s="51">
        <f t="shared" ca="1" si="168"/>
        <v>0</v>
      </c>
      <c r="BM230" s="51">
        <f t="shared" si="169"/>
        <v>0</v>
      </c>
      <c r="BN230" s="51">
        <f t="shared" si="170"/>
        <v>0</v>
      </c>
      <c r="BO230" s="51">
        <f t="shared" ca="1" si="171"/>
        <v>0</v>
      </c>
      <c r="BP230" s="51">
        <f t="shared" ca="1" si="172"/>
        <v>0</v>
      </c>
      <c r="BQ230" s="120"/>
      <c r="BR230" s="32"/>
      <c r="BS230" s="126"/>
      <c r="BT230" s="16"/>
      <c r="BU230" s="58"/>
      <c r="BW230" s="51">
        <f>VLOOKUP(H230,Charges!$AT$4:$AU$33,2,FALSE)*I230</f>
        <v>0</v>
      </c>
      <c r="BX230" s="51">
        <f t="shared" si="173"/>
        <v>0</v>
      </c>
      <c r="BY230" s="51">
        <f t="shared" si="181"/>
        <v>0</v>
      </c>
      <c r="BZ230" s="151"/>
      <c r="CA230" s="151"/>
      <c r="CB230" s="32"/>
      <c r="CC230" s="16">
        <f ca="1">SUM($N$7:$N230)</f>
        <v>0</v>
      </c>
      <c r="CD230" s="16">
        <f t="shared" ca="1" si="174"/>
        <v>0</v>
      </c>
      <c r="CE230" s="16">
        <f t="shared" ca="1" si="175"/>
        <v>0</v>
      </c>
      <c r="CF230" s="7">
        <f t="shared" ca="1" si="182"/>
        <v>0</v>
      </c>
    </row>
    <row r="231" spans="1:84" s="7" customFormat="1" x14ac:dyDescent="0.2">
      <c r="A231" s="149"/>
      <c r="B231" s="14">
        <f t="shared" si="144"/>
        <v>0</v>
      </c>
      <c r="C231" s="12">
        <f t="shared" si="145"/>
        <v>0</v>
      </c>
      <c r="D231" s="17">
        <f t="shared" si="183"/>
        <v>225</v>
      </c>
      <c r="E231" s="17">
        <f t="shared" ca="1" si="146"/>
        <v>78</v>
      </c>
      <c r="F231" s="12">
        <f t="shared" si="185"/>
        <v>8</v>
      </c>
      <c r="G231" s="12">
        <f t="shared" si="184"/>
        <v>38</v>
      </c>
      <c r="H231" s="17">
        <f t="shared" si="186"/>
        <v>19</v>
      </c>
      <c r="I231" s="29">
        <f t="shared" si="147"/>
        <v>0</v>
      </c>
      <c r="J231" s="211">
        <f>IFERROR(VLOOKUP(H231,Charges!$T$6:$U$35,2,0)*C231,0)</f>
        <v>0</v>
      </c>
      <c r="K231" s="29">
        <f t="shared" si="148"/>
        <v>0</v>
      </c>
      <c r="L231" s="29">
        <f t="shared" si="149"/>
        <v>0</v>
      </c>
      <c r="M231" s="147">
        <f t="shared" ca="1" si="150"/>
        <v>0</v>
      </c>
      <c r="N231" s="148">
        <f ca="1">IF(AND(Option_SPW="Y",Z230&gt;=SPW_Start_Min_FV,H231&gt;=Lock_In_Period,Z230&gt;SPW_Amount_pa+IF(option="Single",1/5*pr,2*pr),H231&gt;=SPW_Start_Year,H231&lt;=SPW_Start_Year+SPW_Duration-1,F231=0,age+H231&gt;=Legal_Age),SPW_Amount_pa,0)+IFERROR(VLOOKUP(H231,Input!$B$68:$C$74,2,0),0)*(F231=0)*(Option_PW="Y")*(Option_SPW="N")*(age+H231&gt;=Legal_Age)</f>
        <v>0</v>
      </c>
      <c r="O231" s="148">
        <f t="shared" ca="1" si="176"/>
        <v>0</v>
      </c>
      <c r="P231" s="14">
        <f ca="1">(MAX(MAX(sa-CF230*Flag_UL_Type,105%*SUM($I$7:I231))-(AD230+L231-N231)*Flag_UL_Type,0)*B231)</f>
        <v>0</v>
      </c>
      <c r="Q231" s="213">
        <f t="shared" si="151"/>
        <v>0</v>
      </c>
      <c r="R231" s="14">
        <f t="shared" ca="1" si="152"/>
        <v>0</v>
      </c>
      <c r="S231" s="14">
        <f t="shared" ca="1" si="153"/>
        <v>0</v>
      </c>
      <c r="T231" s="14">
        <f>IFERROR(IF(WoP_Flag="Y",IF(fq=1,VLOOKUP(ppt*fq-H231,Charges!$AN$41:$AO$59,2,FALSE),IF(fq=2,VLOOKUP(ppt*fq-G231,Charges!$AP$41:$AQ$79,2,FALSE),VLOOKUP(ppt*fq-D231,Charges!$AR$41:$AS$279,2,FALSE)))*pr/fq,0),0)</f>
        <v>0</v>
      </c>
      <c r="U231" s="14">
        <f ca="1">IFERROR(((T231*(VLOOKUP(Input!$D$18+H231-1,Tab_Mort_Charge,IF(Gender_2="M",2,3),FALSE)*(1+_emr2)+_rpm2)/IF(Model_Type="LA_PQIS",1000/0.0833,(12*1000))))*Flag_Mort_Rider_Charge*(T231&gt;0),0)</f>
        <v>0</v>
      </c>
      <c r="V231" s="34">
        <f>ROUND(MIN(IF(H231&gt;=7,Charges!$C$12*(1+Charges!$C$14)^((H231-7+1)),VLOOKUP(H231,Charges!$B$7:$C$12,2,0))*pr,Charges!$C$13)*B231,Round)</f>
        <v>0</v>
      </c>
      <c r="W231" s="14">
        <f t="shared" ca="1" si="154"/>
        <v>0</v>
      </c>
      <c r="X231" s="14">
        <f t="shared" ca="1" si="155"/>
        <v>0</v>
      </c>
      <c r="Y231" s="213">
        <f t="shared" ca="1" si="177"/>
        <v>0</v>
      </c>
      <c r="Z231" s="14">
        <f t="shared" ca="1" si="156"/>
        <v>0</v>
      </c>
      <c r="AA231" s="14">
        <f>IF(AND($H231=pt,$F231=11),SUM($K$7:K231)*VLOOKUP(pt,ROC,2,FALSE),0)</f>
        <v>0</v>
      </c>
      <c r="AB231" s="14">
        <f>IF(AND($H231=pt,$F231=11),SUM($V$7:V231)*VLOOKUP(pt,ROC,2,FALSE),0)</f>
        <v>0</v>
      </c>
      <c r="AC231" s="14">
        <f>IF(AND($H231=pt,$F231=11),SUM($Q$7:Q231)*VLOOKUP(pt,ROC,2,FALSE),0)</f>
        <v>0</v>
      </c>
      <c r="AD231" s="14">
        <f t="shared" ca="1" si="178"/>
        <v>0</v>
      </c>
      <c r="AE231" s="14">
        <f ca="1">(MAX(sa-CF230*Flag_UL_Type,105%*SUM($I$7:I231),Z231)+AU231)*B231</f>
        <v>0</v>
      </c>
      <c r="AF231" s="136"/>
      <c r="AG231" s="18">
        <v>225</v>
      </c>
      <c r="AH231" s="30">
        <f t="shared" ca="1" si="157"/>
        <v>0</v>
      </c>
      <c r="AI231" s="58"/>
      <c r="AJ231" s="50">
        <f>IF(AND(Option_Sys_TopUp&gt;="Y",H231&gt;=sytp,H231&lt;=(dtp+sytp-1),F231=0,H231&lt;=ppt+1),atp,0)+IFERROR(VLOOKUP(H231,Input!$B$55:$C$61,2,0),0)*(F231=0)*(Option_TopUP="Y")*(Option_Sys_TopUp="N")*B231*(pt&gt;=H231+5)</f>
        <v>0</v>
      </c>
      <c r="AK231" s="50">
        <f t="shared" si="158"/>
        <v>0</v>
      </c>
      <c r="AL231" s="50">
        <f t="shared" si="179"/>
        <v>0</v>
      </c>
      <c r="AM231" s="50">
        <f t="shared" ca="1" si="159"/>
        <v>0</v>
      </c>
      <c r="AN231" s="50">
        <f>IF(B231=0,0,AT231*(_rpm1+(1+_emr1)*VLOOKUP(E231,Tab_Mort_Charge,IF(Input!$C$12="M",2,3),0))*(0.001*0.0833)*Flag_Mort_Rider_Charge*(AT231&gt;0))</f>
        <v>0</v>
      </c>
      <c r="AO231" s="50">
        <f t="shared" ca="1" si="180"/>
        <v>0</v>
      </c>
      <c r="AP231" s="50">
        <f t="shared" ca="1" si="187"/>
        <v>0</v>
      </c>
      <c r="AQ231" s="50">
        <f t="shared" ca="1" si="160"/>
        <v>0</v>
      </c>
      <c r="AR231" s="50">
        <f t="shared" ca="1" si="161"/>
        <v>0</v>
      </c>
      <c r="AS231" s="50">
        <f t="shared" si="162"/>
        <v>0</v>
      </c>
      <c r="AT231" s="50">
        <f ca="1">(MAX((MAX(AS231,105%*SUM($AJ$7:AJ231))-AM231*Flag_UL_Type),0)*B231)</f>
        <v>0</v>
      </c>
      <c r="AU231" s="50">
        <f ca="1">(MAX(AS231,AR231,105%*SUM($AJ$7:AJ231))*B231)</f>
        <v>0</v>
      </c>
      <c r="AV231" s="125"/>
      <c r="AW231" s="13"/>
      <c r="AX231" s="13"/>
      <c r="AY231" s="13"/>
      <c r="AZ231" s="13"/>
      <c r="BA231" s="13"/>
      <c r="BG231" s="51">
        <f t="shared" si="163"/>
        <v>0</v>
      </c>
      <c r="BH231" s="51">
        <f t="shared" si="164"/>
        <v>0</v>
      </c>
      <c r="BI231" s="51">
        <f t="shared" ca="1" si="165"/>
        <v>0</v>
      </c>
      <c r="BJ231" s="51">
        <f t="shared" ca="1" si="166"/>
        <v>0</v>
      </c>
      <c r="BK231" s="51">
        <f t="shared" si="167"/>
        <v>0</v>
      </c>
      <c r="BL231" s="51">
        <f t="shared" ca="1" si="168"/>
        <v>0</v>
      </c>
      <c r="BM231" s="51">
        <f t="shared" si="169"/>
        <v>0</v>
      </c>
      <c r="BN231" s="51">
        <f t="shared" si="170"/>
        <v>0</v>
      </c>
      <c r="BO231" s="51">
        <f t="shared" ca="1" si="171"/>
        <v>0</v>
      </c>
      <c r="BP231" s="51">
        <f t="shared" ca="1" si="172"/>
        <v>0</v>
      </c>
      <c r="BQ231" s="120"/>
      <c r="BR231" s="32"/>
      <c r="BS231" s="126"/>
      <c r="BT231" s="16"/>
      <c r="BU231" s="58"/>
      <c r="BW231" s="51">
        <f>VLOOKUP(H231,Charges!$AT$4:$AU$33,2,FALSE)*I231</f>
        <v>0</v>
      </c>
      <c r="BX231" s="51">
        <f t="shared" si="173"/>
        <v>0</v>
      </c>
      <c r="BY231" s="51">
        <f t="shared" si="181"/>
        <v>0</v>
      </c>
      <c r="BZ231" s="151"/>
      <c r="CA231" s="151"/>
      <c r="CB231" s="32"/>
      <c r="CC231" s="16">
        <f ca="1">SUM($N$7:$N231)</f>
        <v>0</v>
      </c>
      <c r="CD231" s="16">
        <f t="shared" ca="1" si="174"/>
        <v>0</v>
      </c>
      <c r="CE231" s="16">
        <f t="shared" ca="1" si="175"/>
        <v>0</v>
      </c>
      <c r="CF231" s="7">
        <f t="shared" ca="1" si="182"/>
        <v>0</v>
      </c>
    </row>
    <row r="232" spans="1:84" s="7" customFormat="1" x14ac:dyDescent="0.2">
      <c r="A232" s="149"/>
      <c r="B232" s="14">
        <f t="shared" si="144"/>
        <v>0</v>
      </c>
      <c r="C232" s="12">
        <f t="shared" si="145"/>
        <v>0</v>
      </c>
      <c r="D232" s="17">
        <f t="shared" si="183"/>
        <v>226</v>
      </c>
      <c r="E232" s="17">
        <f t="shared" ca="1" si="146"/>
        <v>78</v>
      </c>
      <c r="F232" s="12">
        <f t="shared" si="185"/>
        <v>9</v>
      </c>
      <c r="G232" s="12">
        <f t="shared" si="184"/>
        <v>38</v>
      </c>
      <c r="H232" s="17">
        <f t="shared" si="186"/>
        <v>19</v>
      </c>
      <c r="I232" s="29">
        <f t="shared" si="147"/>
        <v>0</v>
      </c>
      <c r="J232" s="211">
        <f>IFERROR(VLOOKUP(H232,Charges!$T$6:$U$35,2,0)*C232,0)</f>
        <v>0</v>
      </c>
      <c r="K232" s="29">
        <f t="shared" si="148"/>
        <v>0</v>
      </c>
      <c r="L232" s="29">
        <f t="shared" si="149"/>
        <v>0</v>
      </c>
      <c r="M232" s="147">
        <f t="shared" ca="1" si="150"/>
        <v>0</v>
      </c>
      <c r="N232" s="148">
        <f ca="1">IF(AND(Option_SPW="Y",Z231&gt;=SPW_Start_Min_FV,H232&gt;=Lock_In_Period,Z231&gt;SPW_Amount_pa+IF(option="Single",1/5*pr,2*pr),H232&gt;=SPW_Start_Year,H232&lt;=SPW_Start_Year+SPW_Duration-1,F232=0,age+H232&gt;=Legal_Age),SPW_Amount_pa,0)+IFERROR(VLOOKUP(H232,Input!$B$68:$C$74,2,0),0)*(F232=0)*(Option_PW="Y")*(Option_SPW="N")*(age+H232&gt;=Legal_Age)</f>
        <v>0</v>
      </c>
      <c r="O232" s="148">
        <f t="shared" ca="1" si="176"/>
        <v>0</v>
      </c>
      <c r="P232" s="14">
        <f ca="1">(MAX(MAX(sa-CF231*Flag_UL_Type,105%*SUM($I$7:I232))-(AD231+L232-N232)*Flag_UL_Type,0)*B232)</f>
        <v>0</v>
      </c>
      <c r="Q232" s="213">
        <f t="shared" si="151"/>
        <v>0</v>
      </c>
      <c r="R232" s="14">
        <f t="shared" ca="1" si="152"/>
        <v>0</v>
      </c>
      <c r="S232" s="14">
        <f t="shared" ca="1" si="153"/>
        <v>0</v>
      </c>
      <c r="T232" s="14">
        <f>IFERROR(IF(WoP_Flag="Y",IF(fq=1,VLOOKUP(ppt*fq-H232,Charges!$AN$41:$AO$59,2,FALSE),IF(fq=2,VLOOKUP(ppt*fq-G232,Charges!$AP$41:$AQ$79,2,FALSE),VLOOKUP(ppt*fq-D232,Charges!$AR$41:$AS$279,2,FALSE)))*pr/fq,0),0)</f>
        <v>0</v>
      </c>
      <c r="U232" s="14">
        <f ca="1">IFERROR(((T232*(VLOOKUP(Input!$D$18+H232-1,Tab_Mort_Charge,IF(Gender_2="M",2,3),FALSE)*(1+_emr2)+_rpm2)/IF(Model_Type="LA_PQIS",1000/0.0833,(12*1000))))*Flag_Mort_Rider_Charge*(T232&gt;0),0)</f>
        <v>0</v>
      </c>
      <c r="V232" s="34">
        <f>ROUND(MIN(IF(H232&gt;=7,Charges!$C$12*(1+Charges!$C$14)^((H232-7+1)),VLOOKUP(H232,Charges!$B$7:$C$12,2,0))*pr,Charges!$C$13)*B232,Round)</f>
        <v>0</v>
      </c>
      <c r="W232" s="14">
        <f t="shared" ca="1" si="154"/>
        <v>0</v>
      </c>
      <c r="X232" s="14">
        <f t="shared" ca="1" si="155"/>
        <v>0</v>
      </c>
      <c r="Y232" s="213">
        <f t="shared" ca="1" si="177"/>
        <v>0</v>
      </c>
      <c r="Z232" s="14">
        <f t="shared" ca="1" si="156"/>
        <v>0</v>
      </c>
      <c r="AA232" s="14">
        <f>IF(AND($H232=pt,$F232=11),SUM($K$7:K232)*VLOOKUP(pt,ROC,2,FALSE),0)</f>
        <v>0</v>
      </c>
      <c r="AB232" s="14">
        <f>IF(AND($H232=pt,$F232=11),SUM($V$7:V232)*VLOOKUP(pt,ROC,2,FALSE),0)</f>
        <v>0</v>
      </c>
      <c r="AC232" s="14">
        <f>IF(AND($H232=pt,$F232=11),SUM($Q$7:Q232)*VLOOKUP(pt,ROC,2,FALSE),0)</f>
        <v>0</v>
      </c>
      <c r="AD232" s="14">
        <f t="shared" ca="1" si="178"/>
        <v>0</v>
      </c>
      <c r="AE232" s="14">
        <f ca="1">(MAX(sa-CF231*Flag_UL_Type,105%*SUM($I$7:I232),Z232)+AU232)*B232</f>
        <v>0</v>
      </c>
      <c r="AF232" s="136"/>
      <c r="AG232" s="18">
        <v>226</v>
      </c>
      <c r="AH232" s="30">
        <f t="shared" ca="1" si="157"/>
        <v>0</v>
      </c>
      <c r="AI232" s="58"/>
      <c r="AJ232" s="50">
        <f>IF(AND(Option_Sys_TopUp&gt;="Y",H232&gt;=sytp,H232&lt;=(dtp+sytp-1),F232=0,H232&lt;=ppt+1),atp,0)+IFERROR(VLOOKUP(H232,Input!$B$55:$C$61,2,0),0)*(F232=0)*(Option_TopUP="Y")*(Option_Sys_TopUp="N")*B232*(pt&gt;=H232+5)</f>
        <v>0</v>
      </c>
      <c r="AK232" s="50">
        <f t="shared" si="158"/>
        <v>0</v>
      </c>
      <c r="AL232" s="50">
        <f t="shared" si="179"/>
        <v>0</v>
      </c>
      <c r="AM232" s="50">
        <f t="shared" ca="1" si="159"/>
        <v>0</v>
      </c>
      <c r="AN232" s="50">
        <f>IF(B232=0,0,AT232*(_rpm1+(1+_emr1)*VLOOKUP(E232,Tab_Mort_Charge,IF(Input!$C$12="M",2,3),0))*(0.001*0.0833)*Flag_Mort_Rider_Charge*(AT232&gt;0))</f>
        <v>0</v>
      </c>
      <c r="AO232" s="50">
        <f t="shared" ca="1" si="180"/>
        <v>0</v>
      </c>
      <c r="AP232" s="50">
        <f t="shared" ca="1" si="187"/>
        <v>0</v>
      </c>
      <c r="AQ232" s="50">
        <f t="shared" ca="1" si="160"/>
        <v>0</v>
      </c>
      <c r="AR232" s="50">
        <f t="shared" ca="1" si="161"/>
        <v>0</v>
      </c>
      <c r="AS232" s="50">
        <f t="shared" si="162"/>
        <v>0</v>
      </c>
      <c r="AT232" s="50">
        <f ca="1">(MAX((MAX(AS232,105%*SUM($AJ$7:AJ232))-AM232*Flag_UL_Type),0)*B232)</f>
        <v>0</v>
      </c>
      <c r="AU232" s="50">
        <f ca="1">(MAX(AS232,AR232,105%*SUM($AJ$7:AJ232))*B232)</f>
        <v>0</v>
      </c>
      <c r="AV232" s="125"/>
      <c r="AW232" s="13"/>
      <c r="AX232" s="13"/>
      <c r="AY232" s="13"/>
      <c r="AZ232" s="13"/>
      <c r="BA232" s="13"/>
      <c r="BG232" s="51">
        <f t="shared" si="163"/>
        <v>0</v>
      </c>
      <c r="BH232" s="51">
        <f t="shared" si="164"/>
        <v>0</v>
      </c>
      <c r="BI232" s="51">
        <f t="shared" ca="1" si="165"/>
        <v>0</v>
      </c>
      <c r="BJ232" s="51">
        <f t="shared" ca="1" si="166"/>
        <v>0</v>
      </c>
      <c r="BK232" s="51">
        <f t="shared" si="167"/>
        <v>0</v>
      </c>
      <c r="BL232" s="51">
        <f t="shared" ca="1" si="168"/>
        <v>0</v>
      </c>
      <c r="BM232" s="51">
        <f t="shared" si="169"/>
        <v>0</v>
      </c>
      <c r="BN232" s="51">
        <f t="shared" si="170"/>
        <v>0</v>
      </c>
      <c r="BO232" s="51">
        <f t="shared" ca="1" si="171"/>
        <v>0</v>
      </c>
      <c r="BP232" s="51">
        <f t="shared" ca="1" si="172"/>
        <v>0</v>
      </c>
      <c r="BQ232" s="120"/>
      <c r="BR232" s="32"/>
      <c r="BS232" s="126"/>
      <c r="BT232" s="16"/>
      <c r="BU232" s="58"/>
      <c r="BW232" s="51">
        <f>VLOOKUP(H232,Charges!$AT$4:$AU$33,2,FALSE)*I232</f>
        <v>0</v>
      </c>
      <c r="BX232" s="51">
        <f t="shared" si="173"/>
        <v>0</v>
      </c>
      <c r="BY232" s="51">
        <f t="shared" si="181"/>
        <v>0</v>
      </c>
      <c r="BZ232" s="151"/>
      <c r="CA232" s="151"/>
      <c r="CB232" s="32"/>
      <c r="CC232" s="16">
        <f ca="1">SUM($N$7:$N232)</f>
        <v>0</v>
      </c>
      <c r="CD232" s="16">
        <f t="shared" ca="1" si="174"/>
        <v>0</v>
      </c>
      <c r="CE232" s="16">
        <f t="shared" ca="1" si="175"/>
        <v>0</v>
      </c>
      <c r="CF232" s="7">
        <f t="shared" ca="1" si="182"/>
        <v>0</v>
      </c>
    </row>
    <row r="233" spans="1:84" s="7" customFormat="1" x14ac:dyDescent="0.2">
      <c r="A233" s="149"/>
      <c r="B233" s="14">
        <f t="shared" si="144"/>
        <v>0</v>
      </c>
      <c r="C233" s="12">
        <f t="shared" si="145"/>
        <v>0</v>
      </c>
      <c r="D233" s="17">
        <f t="shared" si="183"/>
        <v>227</v>
      </c>
      <c r="E233" s="17">
        <f t="shared" ca="1" si="146"/>
        <v>78</v>
      </c>
      <c r="F233" s="12">
        <f t="shared" si="185"/>
        <v>10</v>
      </c>
      <c r="G233" s="12">
        <f t="shared" si="184"/>
        <v>38</v>
      </c>
      <c r="H233" s="17">
        <f t="shared" si="186"/>
        <v>19</v>
      </c>
      <c r="I233" s="29">
        <f t="shared" si="147"/>
        <v>0</v>
      </c>
      <c r="J233" s="211">
        <f>IFERROR(VLOOKUP(H233,Charges!$T$6:$U$35,2,0)*C233,0)</f>
        <v>0</v>
      </c>
      <c r="K233" s="29">
        <f t="shared" si="148"/>
        <v>0</v>
      </c>
      <c r="L233" s="29">
        <f t="shared" si="149"/>
        <v>0</v>
      </c>
      <c r="M233" s="147">
        <f t="shared" ca="1" si="150"/>
        <v>0</v>
      </c>
      <c r="N233" s="148">
        <f ca="1">IF(AND(Option_SPW="Y",Z232&gt;=SPW_Start_Min_FV,H233&gt;=Lock_In_Period,Z232&gt;SPW_Amount_pa+IF(option="Single",1/5*pr,2*pr),H233&gt;=SPW_Start_Year,H233&lt;=SPW_Start_Year+SPW_Duration-1,F233=0,age+H233&gt;=Legal_Age),SPW_Amount_pa,0)+IFERROR(VLOOKUP(H233,Input!$B$68:$C$74,2,0),0)*(F233=0)*(Option_PW="Y")*(Option_SPW="N")*(age+H233&gt;=Legal_Age)</f>
        <v>0</v>
      </c>
      <c r="O233" s="148">
        <f t="shared" ca="1" si="176"/>
        <v>0</v>
      </c>
      <c r="P233" s="14">
        <f ca="1">(MAX(MAX(sa-CF232*Flag_UL_Type,105%*SUM($I$7:I233))-(AD232+L233-N233)*Flag_UL_Type,0)*B233)</f>
        <v>0</v>
      </c>
      <c r="Q233" s="213">
        <f t="shared" si="151"/>
        <v>0</v>
      </c>
      <c r="R233" s="14">
        <f t="shared" ca="1" si="152"/>
        <v>0</v>
      </c>
      <c r="S233" s="14">
        <f t="shared" ca="1" si="153"/>
        <v>0</v>
      </c>
      <c r="T233" s="14">
        <f>IFERROR(IF(WoP_Flag="Y",IF(fq=1,VLOOKUP(ppt*fq-H233,Charges!$AN$41:$AO$59,2,FALSE),IF(fq=2,VLOOKUP(ppt*fq-G233,Charges!$AP$41:$AQ$79,2,FALSE),VLOOKUP(ppt*fq-D233,Charges!$AR$41:$AS$279,2,FALSE)))*pr/fq,0),0)</f>
        <v>0</v>
      </c>
      <c r="U233" s="14">
        <f ca="1">IFERROR(((T233*(VLOOKUP(Input!$D$18+H233-1,Tab_Mort_Charge,IF(Gender_2="M",2,3),FALSE)*(1+_emr2)+_rpm2)/IF(Model_Type="LA_PQIS",1000/0.0833,(12*1000))))*Flag_Mort_Rider_Charge*(T233&gt;0),0)</f>
        <v>0</v>
      </c>
      <c r="V233" s="34">
        <f>ROUND(MIN(IF(H233&gt;=7,Charges!$C$12*(1+Charges!$C$14)^((H233-7+1)),VLOOKUP(H233,Charges!$B$7:$C$12,2,0))*pr,Charges!$C$13)*B233,Round)</f>
        <v>0</v>
      </c>
      <c r="W233" s="14">
        <f t="shared" ca="1" si="154"/>
        <v>0</v>
      </c>
      <c r="X233" s="14">
        <f t="shared" ca="1" si="155"/>
        <v>0</v>
      </c>
      <c r="Y233" s="213">
        <f t="shared" ca="1" si="177"/>
        <v>0</v>
      </c>
      <c r="Z233" s="14">
        <f t="shared" ca="1" si="156"/>
        <v>0</v>
      </c>
      <c r="AA233" s="14">
        <f>IF(AND($H233=pt,$F233=11),SUM($K$7:K233)*VLOOKUP(pt,ROC,2,FALSE),0)</f>
        <v>0</v>
      </c>
      <c r="AB233" s="14">
        <f>IF(AND($H233=pt,$F233=11),SUM($V$7:V233)*VLOOKUP(pt,ROC,2,FALSE),0)</f>
        <v>0</v>
      </c>
      <c r="AC233" s="14">
        <f>IF(AND($H233=pt,$F233=11),SUM($Q$7:Q233)*VLOOKUP(pt,ROC,2,FALSE),0)</f>
        <v>0</v>
      </c>
      <c r="AD233" s="14">
        <f t="shared" ca="1" si="178"/>
        <v>0</v>
      </c>
      <c r="AE233" s="14">
        <f ca="1">(MAX(sa-CF232*Flag_UL_Type,105%*SUM($I$7:I233),Z233)+AU233)*B233</f>
        <v>0</v>
      </c>
      <c r="AF233" s="136"/>
      <c r="AG233" s="18">
        <v>227</v>
      </c>
      <c r="AH233" s="30">
        <f t="shared" ca="1" si="157"/>
        <v>0</v>
      </c>
      <c r="AI233" s="58"/>
      <c r="AJ233" s="50">
        <f>IF(AND(Option_Sys_TopUp&gt;="Y",H233&gt;=sytp,H233&lt;=(dtp+sytp-1),F233=0,H233&lt;=ppt+1),atp,0)+IFERROR(VLOOKUP(H233,Input!$B$55:$C$61,2,0),0)*(F233=0)*(Option_TopUP="Y")*(Option_Sys_TopUp="N")*B233*(pt&gt;=H233+5)</f>
        <v>0</v>
      </c>
      <c r="AK233" s="50">
        <f t="shared" si="158"/>
        <v>0</v>
      </c>
      <c r="AL233" s="50">
        <f t="shared" si="179"/>
        <v>0</v>
      </c>
      <c r="AM233" s="50">
        <f t="shared" ca="1" si="159"/>
        <v>0</v>
      </c>
      <c r="AN233" s="50">
        <f>IF(B233=0,0,AT233*(_rpm1+(1+_emr1)*VLOOKUP(E233,Tab_Mort_Charge,IF(Input!$C$12="M",2,3),0))*(0.001*0.0833)*Flag_Mort_Rider_Charge*(AT233&gt;0))</f>
        <v>0</v>
      </c>
      <c r="AO233" s="50">
        <f t="shared" ca="1" si="180"/>
        <v>0</v>
      </c>
      <c r="AP233" s="50">
        <f t="shared" ca="1" si="187"/>
        <v>0</v>
      </c>
      <c r="AQ233" s="50">
        <f t="shared" ca="1" si="160"/>
        <v>0</v>
      </c>
      <c r="AR233" s="50">
        <f t="shared" ca="1" si="161"/>
        <v>0</v>
      </c>
      <c r="AS233" s="50">
        <f t="shared" si="162"/>
        <v>0</v>
      </c>
      <c r="AT233" s="50">
        <f ca="1">(MAX((MAX(AS233,105%*SUM($AJ$7:AJ233))-AM233*Flag_UL_Type),0)*B233)</f>
        <v>0</v>
      </c>
      <c r="AU233" s="50">
        <f ca="1">(MAX(AS233,AR233,105%*SUM($AJ$7:AJ233))*B233)</f>
        <v>0</v>
      </c>
      <c r="AV233" s="125"/>
      <c r="AW233" s="13"/>
      <c r="AX233" s="13"/>
      <c r="AY233" s="13"/>
      <c r="AZ233" s="13"/>
      <c r="BA233" s="13"/>
      <c r="BG233" s="51">
        <f t="shared" si="163"/>
        <v>0</v>
      </c>
      <c r="BH233" s="51">
        <f t="shared" si="164"/>
        <v>0</v>
      </c>
      <c r="BI233" s="51">
        <f t="shared" ca="1" si="165"/>
        <v>0</v>
      </c>
      <c r="BJ233" s="51">
        <f t="shared" ca="1" si="166"/>
        <v>0</v>
      </c>
      <c r="BK233" s="51">
        <f t="shared" si="167"/>
        <v>0</v>
      </c>
      <c r="BL233" s="51">
        <f t="shared" ca="1" si="168"/>
        <v>0</v>
      </c>
      <c r="BM233" s="51">
        <f t="shared" si="169"/>
        <v>0</v>
      </c>
      <c r="BN233" s="51">
        <f t="shared" si="170"/>
        <v>0</v>
      </c>
      <c r="BO233" s="51">
        <f t="shared" ca="1" si="171"/>
        <v>0</v>
      </c>
      <c r="BP233" s="51">
        <f t="shared" ca="1" si="172"/>
        <v>0</v>
      </c>
      <c r="BQ233" s="120"/>
      <c r="BR233" s="32"/>
      <c r="BS233" s="126"/>
      <c r="BT233" s="16"/>
      <c r="BU233" s="58"/>
      <c r="BW233" s="51">
        <f>VLOOKUP(H233,Charges!$AT$4:$AU$33,2,FALSE)*I233</f>
        <v>0</v>
      </c>
      <c r="BX233" s="51">
        <f t="shared" si="173"/>
        <v>0</v>
      </c>
      <c r="BY233" s="51">
        <f t="shared" si="181"/>
        <v>0</v>
      </c>
      <c r="BZ233" s="151"/>
      <c r="CA233" s="151"/>
      <c r="CB233" s="32"/>
      <c r="CC233" s="16">
        <f ca="1">SUM($N$7:$N233)</f>
        <v>0</v>
      </c>
      <c r="CD233" s="16">
        <f t="shared" ca="1" si="174"/>
        <v>0</v>
      </c>
      <c r="CE233" s="16">
        <f t="shared" ca="1" si="175"/>
        <v>0</v>
      </c>
      <c r="CF233" s="7">
        <f t="shared" ca="1" si="182"/>
        <v>0</v>
      </c>
    </row>
    <row r="234" spans="1:84" s="7" customFormat="1" x14ac:dyDescent="0.2">
      <c r="A234" s="149"/>
      <c r="B234" s="14">
        <f t="shared" si="144"/>
        <v>0</v>
      </c>
      <c r="C234" s="12">
        <f t="shared" si="145"/>
        <v>0</v>
      </c>
      <c r="D234" s="17">
        <f t="shared" si="183"/>
        <v>228</v>
      </c>
      <c r="E234" s="17">
        <f t="shared" ca="1" si="146"/>
        <v>78</v>
      </c>
      <c r="F234" s="12">
        <f t="shared" si="185"/>
        <v>11</v>
      </c>
      <c r="G234" s="12">
        <f t="shared" si="184"/>
        <v>38</v>
      </c>
      <c r="H234" s="17">
        <f t="shared" si="186"/>
        <v>19</v>
      </c>
      <c r="I234" s="29">
        <f t="shared" si="147"/>
        <v>0</v>
      </c>
      <c r="J234" s="211">
        <f>IFERROR(VLOOKUP(H234,Charges!$T$6:$U$35,2,0)*C234,0)</f>
        <v>0</v>
      </c>
      <c r="K234" s="29">
        <f t="shared" si="148"/>
        <v>0</v>
      </c>
      <c r="L234" s="29">
        <f t="shared" si="149"/>
        <v>0</v>
      </c>
      <c r="M234" s="147">
        <f t="shared" ca="1" si="150"/>
        <v>0</v>
      </c>
      <c r="N234" s="148">
        <f ca="1">IF(AND(Option_SPW="Y",Z233&gt;=SPW_Start_Min_FV,H234&gt;=Lock_In_Period,Z233&gt;SPW_Amount_pa+IF(option="Single",1/5*pr,2*pr),H234&gt;=SPW_Start_Year,H234&lt;=SPW_Start_Year+SPW_Duration-1,F234=0,age+H234&gt;=Legal_Age),SPW_Amount_pa,0)+IFERROR(VLOOKUP(H234,Input!$B$68:$C$74,2,0),0)*(F234=0)*(Option_PW="Y")*(Option_SPW="N")*(age+H234&gt;=Legal_Age)</f>
        <v>0</v>
      </c>
      <c r="O234" s="148">
        <f t="shared" ca="1" si="176"/>
        <v>0</v>
      </c>
      <c r="P234" s="14">
        <f ca="1">(MAX(MAX(sa-CF233*Flag_UL_Type,105%*SUM($I$7:I234))-(AD233+L234-N234)*Flag_UL_Type,0)*B234)</f>
        <v>0</v>
      </c>
      <c r="Q234" s="213">
        <f t="shared" si="151"/>
        <v>0</v>
      </c>
      <c r="R234" s="14">
        <f t="shared" ca="1" si="152"/>
        <v>0</v>
      </c>
      <c r="S234" s="14">
        <f t="shared" ca="1" si="153"/>
        <v>0</v>
      </c>
      <c r="T234" s="14">
        <f>IFERROR(IF(WoP_Flag="Y",IF(fq=1,VLOOKUP(ppt*fq-H234,Charges!$AN$41:$AO$59,2,FALSE),IF(fq=2,VLOOKUP(ppt*fq-G234,Charges!$AP$41:$AQ$79,2,FALSE),VLOOKUP(ppt*fq-D234,Charges!$AR$41:$AS$279,2,FALSE)))*pr/fq,0),0)</f>
        <v>0</v>
      </c>
      <c r="U234" s="14">
        <f ca="1">IFERROR(((T234*(VLOOKUP(Input!$D$18+H234-1,Tab_Mort_Charge,IF(Gender_2="M",2,3),FALSE)*(1+_emr2)+_rpm2)/IF(Model_Type="LA_PQIS",1000/0.0833,(12*1000))))*Flag_Mort_Rider_Charge*(T234&gt;0),0)</f>
        <v>0</v>
      </c>
      <c r="V234" s="34">
        <f>ROUND(MIN(IF(H234&gt;=7,Charges!$C$12*(1+Charges!$C$14)^((H234-7+1)),VLOOKUP(H234,Charges!$B$7:$C$12,2,0))*pr,Charges!$C$13)*B234,Round)</f>
        <v>0</v>
      </c>
      <c r="W234" s="14">
        <f t="shared" ca="1" si="154"/>
        <v>0</v>
      </c>
      <c r="X234" s="14">
        <f t="shared" ca="1" si="155"/>
        <v>0</v>
      </c>
      <c r="Y234" s="213">
        <f t="shared" ca="1" si="177"/>
        <v>0</v>
      </c>
      <c r="Z234" s="14">
        <f t="shared" ca="1" si="156"/>
        <v>0</v>
      </c>
      <c r="AA234" s="14">
        <f>IF(AND($H234=pt,$F234=11),SUM($K$7:K234)*VLOOKUP(pt,ROC,2,FALSE),0)</f>
        <v>0</v>
      </c>
      <c r="AB234" s="14">
        <f>IF(AND($H234=pt,$F234=11),SUM($V$7:V234)*VLOOKUP(pt,ROC,2,FALSE),0)</f>
        <v>0</v>
      </c>
      <c r="AC234" s="14">
        <f>IF(AND($H234=pt,$F234=11),SUM($Q$7:Q234)*VLOOKUP(pt,ROC,2,FALSE),0)</f>
        <v>0</v>
      </c>
      <c r="AD234" s="14">
        <f t="shared" ca="1" si="178"/>
        <v>0</v>
      </c>
      <c r="AE234" s="14">
        <f ca="1">(MAX(sa-CF233*Flag_UL_Type,105%*SUM($I$7:I234),Z234)+AU234)*B234</f>
        <v>0</v>
      </c>
      <c r="AF234" s="136"/>
      <c r="AG234" s="18">
        <v>228</v>
      </c>
      <c r="AH234" s="30">
        <f t="shared" ca="1" si="157"/>
        <v>0</v>
      </c>
      <c r="AI234" s="58"/>
      <c r="AJ234" s="50">
        <f>IF(AND(Option_Sys_TopUp&gt;="Y",H234&gt;=sytp,H234&lt;=(dtp+sytp-1),F234=0,H234&lt;=ppt+1),atp,0)+IFERROR(VLOOKUP(H234,Input!$B$55:$C$61,2,0),0)*(F234=0)*(Option_TopUP="Y")*(Option_Sys_TopUp="N")*B234*(pt&gt;=H234+5)</f>
        <v>0</v>
      </c>
      <c r="AK234" s="50">
        <f t="shared" si="158"/>
        <v>0</v>
      </c>
      <c r="AL234" s="50">
        <f t="shared" si="179"/>
        <v>0</v>
      </c>
      <c r="AM234" s="50">
        <f t="shared" ca="1" si="159"/>
        <v>0</v>
      </c>
      <c r="AN234" s="50">
        <f>IF(B234=0,0,AT234*(_rpm1+(1+_emr1)*VLOOKUP(E234,Tab_Mort_Charge,IF(Input!$C$12="M",2,3),0))*(0.001*0.0833)*Flag_Mort_Rider_Charge*(AT234&gt;0))</f>
        <v>0</v>
      </c>
      <c r="AO234" s="50">
        <f t="shared" ca="1" si="180"/>
        <v>0</v>
      </c>
      <c r="AP234" s="50">
        <f t="shared" ca="1" si="187"/>
        <v>0</v>
      </c>
      <c r="AQ234" s="50">
        <f t="shared" ca="1" si="160"/>
        <v>0</v>
      </c>
      <c r="AR234" s="50">
        <f t="shared" ca="1" si="161"/>
        <v>0</v>
      </c>
      <c r="AS234" s="50">
        <f t="shared" si="162"/>
        <v>0</v>
      </c>
      <c r="AT234" s="50">
        <f ca="1">(MAX((MAX(AS234,105%*SUM($AJ$7:AJ234))-AM234*Flag_UL_Type),0)*B234)</f>
        <v>0</v>
      </c>
      <c r="AU234" s="50">
        <f ca="1">(MAX(AS234,AR234,105%*SUM($AJ$7:AJ234))*B234)</f>
        <v>0</v>
      </c>
      <c r="AV234" s="125"/>
      <c r="AW234" s="13"/>
      <c r="AX234" s="13"/>
      <c r="AY234" s="13"/>
      <c r="AZ234" s="13"/>
      <c r="BA234" s="13"/>
      <c r="BG234" s="51">
        <f t="shared" si="163"/>
        <v>0</v>
      </c>
      <c r="BH234" s="51">
        <f t="shared" si="164"/>
        <v>0</v>
      </c>
      <c r="BI234" s="51">
        <f t="shared" ca="1" si="165"/>
        <v>0</v>
      </c>
      <c r="BJ234" s="51">
        <f t="shared" ca="1" si="166"/>
        <v>0</v>
      </c>
      <c r="BK234" s="51">
        <f t="shared" si="167"/>
        <v>0</v>
      </c>
      <c r="BL234" s="51">
        <f t="shared" ca="1" si="168"/>
        <v>0</v>
      </c>
      <c r="BM234" s="51">
        <f t="shared" si="169"/>
        <v>0</v>
      </c>
      <c r="BN234" s="51">
        <f t="shared" si="170"/>
        <v>0</v>
      </c>
      <c r="BO234" s="51">
        <f t="shared" ca="1" si="171"/>
        <v>0</v>
      </c>
      <c r="BP234" s="51">
        <f t="shared" ca="1" si="172"/>
        <v>0</v>
      </c>
      <c r="BQ234" s="120"/>
      <c r="BR234" s="32"/>
      <c r="BS234" s="126"/>
      <c r="BT234" s="16"/>
      <c r="BU234" s="58"/>
      <c r="BW234" s="51">
        <f>VLOOKUP(H234,Charges!$AT$4:$AU$33,2,FALSE)*I234</f>
        <v>0</v>
      </c>
      <c r="BX234" s="51">
        <f t="shared" si="173"/>
        <v>0</v>
      </c>
      <c r="BY234" s="51">
        <f t="shared" si="181"/>
        <v>0</v>
      </c>
      <c r="BZ234" s="151"/>
      <c r="CA234" s="151"/>
      <c r="CB234" s="32"/>
      <c r="CC234" s="16">
        <f ca="1">SUM($N$7:$N234)</f>
        <v>0</v>
      </c>
      <c r="CD234" s="16">
        <f t="shared" ca="1" si="174"/>
        <v>0</v>
      </c>
      <c r="CE234" s="16">
        <f t="shared" ca="1" si="175"/>
        <v>0</v>
      </c>
      <c r="CF234" s="7">
        <f t="shared" ca="1" si="182"/>
        <v>0</v>
      </c>
    </row>
    <row r="235" spans="1:84" s="7" customFormat="1" x14ac:dyDescent="0.2">
      <c r="A235" s="149"/>
      <c r="B235" s="14">
        <f t="shared" si="144"/>
        <v>0</v>
      </c>
      <c r="C235" s="12">
        <f t="shared" si="145"/>
        <v>0</v>
      </c>
      <c r="D235" s="17">
        <f t="shared" si="183"/>
        <v>229</v>
      </c>
      <c r="E235" s="17">
        <f t="shared" ca="1" si="146"/>
        <v>79</v>
      </c>
      <c r="F235" s="12">
        <f t="shared" si="185"/>
        <v>0</v>
      </c>
      <c r="G235" s="12">
        <f t="shared" si="184"/>
        <v>39</v>
      </c>
      <c r="H235" s="17">
        <f t="shared" si="186"/>
        <v>20</v>
      </c>
      <c r="I235" s="29">
        <f t="shared" si="147"/>
        <v>0</v>
      </c>
      <c r="J235" s="211">
        <f>IFERROR(VLOOKUP(H235,Charges!$T$6:$U$35,2,0)*C235,0)</f>
        <v>0</v>
      </c>
      <c r="K235" s="29">
        <f t="shared" si="148"/>
        <v>0</v>
      </c>
      <c r="L235" s="29">
        <f t="shared" si="149"/>
        <v>0</v>
      </c>
      <c r="M235" s="147">
        <f t="shared" ca="1" si="150"/>
        <v>0</v>
      </c>
      <c r="N235" s="148">
        <f ca="1">IF(AND(Option_SPW="Y",Z234&gt;=SPW_Start_Min_FV,H235&gt;=Lock_In_Period,Z234&gt;SPW_Amount_pa+IF(option="Single",1/5*pr,2*pr),H235&gt;=SPW_Start_Year,H235&lt;=SPW_Start_Year+SPW_Duration-1,F235=0,age+H235&gt;=Legal_Age),SPW_Amount_pa,0)+IFERROR(VLOOKUP(H235,Input!$B$68:$C$74,2,0),0)*(F235=0)*(Option_PW="Y")*(Option_SPW="N")*(age+H235&gt;=Legal_Age)</f>
        <v>0</v>
      </c>
      <c r="O235" s="148">
        <f t="shared" ca="1" si="176"/>
        <v>0</v>
      </c>
      <c r="P235" s="14">
        <f ca="1">(MAX(MAX(sa-CF234*Flag_UL_Type,105%*SUM($I$7:I235))-(AD234+L235-N235)*Flag_UL_Type,0)*B235)</f>
        <v>0</v>
      </c>
      <c r="Q235" s="213">
        <f t="shared" si="151"/>
        <v>0</v>
      </c>
      <c r="R235" s="14">
        <f t="shared" ca="1" si="152"/>
        <v>0</v>
      </c>
      <c r="S235" s="14">
        <f t="shared" ca="1" si="153"/>
        <v>0</v>
      </c>
      <c r="T235" s="14">
        <f>IFERROR(IF(WoP_Flag="Y",IF(fq=1,VLOOKUP(ppt*fq-H235,Charges!$AN$41:$AO$59,2,FALSE),IF(fq=2,VLOOKUP(ppt*fq-G235,Charges!$AP$41:$AQ$79,2,FALSE),VLOOKUP(ppt*fq-D235,Charges!$AR$41:$AS$279,2,FALSE)))*pr/fq,0),0)</f>
        <v>0</v>
      </c>
      <c r="U235" s="14">
        <f ca="1">IFERROR(((T235*(VLOOKUP(Input!$D$18+H235-1,Tab_Mort_Charge,IF(Gender_2="M",2,3),FALSE)*(1+_emr2)+_rpm2)/IF(Model_Type="LA_PQIS",1000/0.0833,(12*1000))))*Flag_Mort_Rider_Charge*(T235&gt;0),0)</f>
        <v>0</v>
      </c>
      <c r="V235" s="34">
        <f>ROUND(MIN(IF(H235&gt;=7,Charges!$C$12*(1+Charges!$C$14)^((H235-7+1)),VLOOKUP(H235,Charges!$B$7:$C$12,2,0))*pr,Charges!$C$13)*B235,Round)</f>
        <v>0</v>
      </c>
      <c r="W235" s="14">
        <f t="shared" ca="1" si="154"/>
        <v>0</v>
      </c>
      <c r="X235" s="14">
        <f t="shared" ca="1" si="155"/>
        <v>0</v>
      </c>
      <c r="Y235" s="213">
        <f t="shared" ca="1" si="177"/>
        <v>0</v>
      </c>
      <c r="Z235" s="14">
        <f t="shared" ca="1" si="156"/>
        <v>0</v>
      </c>
      <c r="AA235" s="14">
        <f>IF(AND($H235=pt,$F235=11),SUM($K$7:K235)*VLOOKUP(pt,ROC,2,FALSE),0)</f>
        <v>0</v>
      </c>
      <c r="AB235" s="14">
        <f>IF(AND($H235=pt,$F235=11),SUM($V$7:V235)*VLOOKUP(pt,ROC,2,FALSE),0)</f>
        <v>0</v>
      </c>
      <c r="AC235" s="14">
        <f>IF(AND($H235=pt,$F235=11),SUM($Q$7:Q235)*VLOOKUP(pt,ROC,2,FALSE),0)</f>
        <v>0</v>
      </c>
      <c r="AD235" s="14">
        <f t="shared" ca="1" si="178"/>
        <v>0</v>
      </c>
      <c r="AE235" s="14">
        <f ca="1">(MAX(sa-CF234*Flag_UL_Type,105%*SUM($I$7:I235),Z235)+AU235)*B235</f>
        <v>0</v>
      </c>
      <c r="AF235" s="136"/>
      <c r="AG235" s="18">
        <v>229</v>
      </c>
      <c r="AH235" s="30">
        <f t="shared" ca="1" si="157"/>
        <v>0</v>
      </c>
      <c r="AI235" s="58"/>
      <c r="AJ235" s="50">
        <f>IF(AND(Option_Sys_TopUp&gt;="Y",H235&gt;=sytp,H235&lt;=(dtp+sytp-1),F235=0,H235&lt;=ppt+1),atp,0)+IFERROR(VLOOKUP(H235,Input!$B$55:$C$61,2,0),0)*(F235=0)*(Option_TopUP="Y")*(Option_Sys_TopUp="N")*B235*(pt&gt;=H235+5)</f>
        <v>0</v>
      </c>
      <c r="AK235" s="50">
        <f t="shared" si="158"/>
        <v>0</v>
      </c>
      <c r="AL235" s="50">
        <f t="shared" si="179"/>
        <v>0</v>
      </c>
      <c r="AM235" s="50">
        <f t="shared" ca="1" si="159"/>
        <v>0</v>
      </c>
      <c r="AN235" s="50">
        <f>IF(B235=0,0,AT235*(_rpm1+(1+_emr1)*VLOOKUP(E235,Tab_Mort_Charge,IF(Input!$C$12="M",2,3),0))*(0.001*0.0833)*Flag_Mort_Rider_Charge*(AT235&gt;0))</f>
        <v>0</v>
      </c>
      <c r="AO235" s="50">
        <f t="shared" ca="1" si="180"/>
        <v>0</v>
      </c>
      <c r="AP235" s="50">
        <f t="shared" ca="1" si="187"/>
        <v>0</v>
      </c>
      <c r="AQ235" s="50">
        <f t="shared" ca="1" si="160"/>
        <v>0</v>
      </c>
      <c r="AR235" s="50">
        <f t="shared" ca="1" si="161"/>
        <v>0</v>
      </c>
      <c r="AS235" s="50">
        <f t="shared" si="162"/>
        <v>0</v>
      </c>
      <c r="AT235" s="50">
        <f ca="1">(MAX((MAX(AS235,105%*SUM($AJ$7:AJ235))-AM235*Flag_UL_Type),0)*B235)</f>
        <v>0</v>
      </c>
      <c r="AU235" s="50">
        <f ca="1">(MAX(AS235,AR235,105%*SUM($AJ$7:AJ235))*B235)</f>
        <v>0</v>
      </c>
      <c r="AV235" s="125"/>
      <c r="AW235" s="13"/>
      <c r="AX235" s="13"/>
      <c r="AY235" s="13"/>
      <c r="AZ235" s="13"/>
      <c r="BA235" s="13"/>
      <c r="BG235" s="51">
        <f t="shared" si="163"/>
        <v>0</v>
      </c>
      <c r="BH235" s="51">
        <f t="shared" si="164"/>
        <v>0</v>
      </c>
      <c r="BI235" s="51">
        <f t="shared" ca="1" si="165"/>
        <v>0</v>
      </c>
      <c r="BJ235" s="51">
        <f t="shared" ca="1" si="166"/>
        <v>0</v>
      </c>
      <c r="BK235" s="51">
        <f t="shared" si="167"/>
        <v>0</v>
      </c>
      <c r="BL235" s="51">
        <f t="shared" ca="1" si="168"/>
        <v>0</v>
      </c>
      <c r="BM235" s="51">
        <f t="shared" si="169"/>
        <v>0</v>
      </c>
      <c r="BN235" s="51">
        <f t="shared" si="170"/>
        <v>0</v>
      </c>
      <c r="BO235" s="51">
        <f t="shared" ca="1" si="171"/>
        <v>0</v>
      </c>
      <c r="BP235" s="51">
        <f t="shared" ca="1" si="172"/>
        <v>0</v>
      </c>
      <c r="BQ235" s="120"/>
      <c r="BR235" s="32"/>
      <c r="BS235" s="126"/>
      <c r="BT235" s="16"/>
      <c r="BU235" s="58"/>
      <c r="BW235" s="51">
        <f>VLOOKUP(H235,Charges!$AT$4:$AU$33,2,FALSE)*I235</f>
        <v>0</v>
      </c>
      <c r="BX235" s="51">
        <f t="shared" si="173"/>
        <v>0</v>
      </c>
      <c r="BY235" s="51">
        <f t="shared" si="181"/>
        <v>0</v>
      </c>
      <c r="BZ235" s="151"/>
      <c r="CA235" s="151"/>
      <c r="CB235" s="32"/>
      <c r="CC235" s="16">
        <f ca="1">SUM($N$7:$N235)</f>
        <v>0</v>
      </c>
      <c r="CD235" s="16">
        <f t="shared" ca="1" si="174"/>
        <v>0</v>
      </c>
      <c r="CE235" s="16">
        <f t="shared" ca="1" si="175"/>
        <v>0</v>
      </c>
      <c r="CF235" s="7">
        <f t="shared" ca="1" si="182"/>
        <v>0</v>
      </c>
    </row>
    <row r="236" spans="1:84" s="7" customFormat="1" x14ac:dyDescent="0.2">
      <c r="A236" s="149"/>
      <c r="B236" s="14">
        <f t="shared" si="144"/>
        <v>0</v>
      </c>
      <c r="C236" s="12">
        <f t="shared" si="145"/>
        <v>0</v>
      </c>
      <c r="D236" s="17">
        <f t="shared" si="183"/>
        <v>230</v>
      </c>
      <c r="E236" s="17">
        <f t="shared" ca="1" si="146"/>
        <v>79</v>
      </c>
      <c r="F236" s="12">
        <f t="shared" si="185"/>
        <v>1</v>
      </c>
      <c r="G236" s="12">
        <f t="shared" si="184"/>
        <v>39</v>
      </c>
      <c r="H236" s="17">
        <f t="shared" si="186"/>
        <v>20</v>
      </c>
      <c r="I236" s="29">
        <f t="shared" si="147"/>
        <v>0</v>
      </c>
      <c r="J236" s="211">
        <f>IFERROR(VLOOKUP(H236,Charges!$T$6:$U$35,2,0)*C236,0)</f>
        <v>0</v>
      </c>
      <c r="K236" s="29">
        <f t="shared" si="148"/>
        <v>0</v>
      </c>
      <c r="L236" s="29">
        <f t="shared" si="149"/>
        <v>0</v>
      </c>
      <c r="M236" s="147">
        <f t="shared" ca="1" si="150"/>
        <v>0</v>
      </c>
      <c r="N236" s="148">
        <f ca="1">IF(AND(Option_SPW="Y",Z235&gt;=SPW_Start_Min_FV,H236&gt;=Lock_In_Period,Z235&gt;SPW_Amount_pa+IF(option="Single",1/5*pr,2*pr),H236&gt;=SPW_Start_Year,H236&lt;=SPW_Start_Year+SPW_Duration-1,F236=0,age+H236&gt;=Legal_Age),SPW_Amount_pa,0)+IFERROR(VLOOKUP(H236,Input!$B$68:$C$74,2,0),0)*(F236=0)*(Option_PW="Y")*(Option_SPW="N")*(age+H236&gt;=Legal_Age)</f>
        <v>0</v>
      </c>
      <c r="O236" s="148">
        <f t="shared" ca="1" si="176"/>
        <v>0</v>
      </c>
      <c r="P236" s="14">
        <f ca="1">(MAX(MAX(sa-CF235*Flag_UL_Type,105%*SUM($I$7:I236))-(AD235+L236-N236)*Flag_UL_Type,0)*B236)</f>
        <v>0</v>
      </c>
      <c r="Q236" s="213">
        <f t="shared" si="151"/>
        <v>0</v>
      </c>
      <c r="R236" s="14">
        <f t="shared" ca="1" si="152"/>
        <v>0</v>
      </c>
      <c r="S236" s="14">
        <f t="shared" ca="1" si="153"/>
        <v>0</v>
      </c>
      <c r="T236" s="14">
        <f>IFERROR(IF(WoP_Flag="Y",IF(fq=1,VLOOKUP(ppt*fq-H236,Charges!$AN$41:$AO$59,2,FALSE),IF(fq=2,VLOOKUP(ppt*fq-G236,Charges!$AP$41:$AQ$79,2,FALSE),VLOOKUP(ppt*fq-D236,Charges!$AR$41:$AS$279,2,FALSE)))*pr/fq,0),0)</f>
        <v>0</v>
      </c>
      <c r="U236" s="14">
        <f ca="1">IFERROR(((T236*(VLOOKUP(Input!$D$18+H236-1,Tab_Mort_Charge,IF(Gender_2="M",2,3),FALSE)*(1+_emr2)+_rpm2)/IF(Model_Type="LA_PQIS",1000/0.0833,(12*1000))))*Flag_Mort_Rider_Charge*(T236&gt;0),0)</f>
        <v>0</v>
      </c>
      <c r="V236" s="34">
        <f>ROUND(MIN(IF(H236&gt;=7,Charges!$C$12*(1+Charges!$C$14)^((H236-7+1)),VLOOKUP(H236,Charges!$B$7:$C$12,2,0))*pr,Charges!$C$13)*B236,Round)</f>
        <v>0</v>
      </c>
      <c r="W236" s="14">
        <f t="shared" ca="1" si="154"/>
        <v>0</v>
      </c>
      <c r="X236" s="14">
        <f t="shared" ca="1" si="155"/>
        <v>0</v>
      </c>
      <c r="Y236" s="213">
        <f t="shared" ca="1" si="177"/>
        <v>0</v>
      </c>
      <c r="Z236" s="14">
        <f t="shared" ca="1" si="156"/>
        <v>0</v>
      </c>
      <c r="AA236" s="14">
        <f>IF(AND($H236=pt,$F236=11),SUM($K$7:K236)*VLOOKUP(pt,ROC,2,FALSE),0)</f>
        <v>0</v>
      </c>
      <c r="AB236" s="14">
        <f>IF(AND($H236=pt,$F236=11),SUM($V$7:V236)*VLOOKUP(pt,ROC,2,FALSE),0)</f>
        <v>0</v>
      </c>
      <c r="AC236" s="14">
        <f>IF(AND($H236=pt,$F236=11),SUM($Q$7:Q236)*VLOOKUP(pt,ROC,2,FALSE),0)</f>
        <v>0</v>
      </c>
      <c r="AD236" s="14">
        <f t="shared" ca="1" si="178"/>
        <v>0</v>
      </c>
      <c r="AE236" s="14">
        <f ca="1">(MAX(sa-CF235*Flag_UL_Type,105%*SUM($I$7:I236),Z236)+AU236)*B236</f>
        <v>0</v>
      </c>
      <c r="AF236" s="136"/>
      <c r="AG236" s="18">
        <v>230</v>
      </c>
      <c r="AH236" s="30">
        <f t="shared" ca="1" si="157"/>
        <v>0</v>
      </c>
      <c r="AI236" s="58"/>
      <c r="AJ236" s="50">
        <f>IF(AND(Option_Sys_TopUp&gt;="Y",H236&gt;=sytp,H236&lt;=(dtp+sytp-1),F236=0,H236&lt;=ppt+1),atp,0)+IFERROR(VLOOKUP(H236,Input!$B$55:$C$61,2,0),0)*(F236=0)*(Option_TopUP="Y")*(Option_Sys_TopUp="N")*B236*(pt&gt;=H236+5)</f>
        <v>0</v>
      </c>
      <c r="AK236" s="50">
        <f t="shared" si="158"/>
        <v>0</v>
      </c>
      <c r="AL236" s="50">
        <f t="shared" si="179"/>
        <v>0</v>
      </c>
      <c r="AM236" s="50">
        <f t="shared" ca="1" si="159"/>
        <v>0</v>
      </c>
      <c r="AN236" s="50">
        <f>IF(B236=0,0,AT236*(_rpm1+(1+_emr1)*VLOOKUP(E236,Tab_Mort_Charge,IF(Input!$C$12="M",2,3),0))*(0.001*0.0833)*Flag_Mort_Rider_Charge*(AT236&gt;0))</f>
        <v>0</v>
      </c>
      <c r="AO236" s="50">
        <f t="shared" ca="1" si="180"/>
        <v>0</v>
      </c>
      <c r="AP236" s="50">
        <f t="shared" ca="1" si="187"/>
        <v>0</v>
      </c>
      <c r="AQ236" s="50">
        <f t="shared" ca="1" si="160"/>
        <v>0</v>
      </c>
      <c r="AR236" s="50">
        <f t="shared" ca="1" si="161"/>
        <v>0</v>
      </c>
      <c r="AS236" s="50">
        <f t="shared" si="162"/>
        <v>0</v>
      </c>
      <c r="AT236" s="50">
        <f ca="1">(MAX((MAX(AS236,105%*SUM($AJ$7:AJ236))-AM236*Flag_UL_Type),0)*B236)</f>
        <v>0</v>
      </c>
      <c r="AU236" s="50">
        <f ca="1">(MAX(AS236,AR236,105%*SUM($AJ$7:AJ236))*B236)</f>
        <v>0</v>
      </c>
      <c r="AV236" s="125"/>
      <c r="AW236" s="13"/>
      <c r="AX236" s="13"/>
      <c r="AY236" s="13"/>
      <c r="AZ236" s="13"/>
      <c r="BA236" s="13"/>
      <c r="BG236" s="51">
        <f t="shared" si="163"/>
        <v>0</v>
      </c>
      <c r="BH236" s="51">
        <f t="shared" si="164"/>
        <v>0</v>
      </c>
      <c r="BI236" s="51">
        <f t="shared" ca="1" si="165"/>
        <v>0</v>
      </c>
      <c r="BJ236" s="51">
        <f t="shared" ca="1" si="166"/>
        <v>0</v>
      </c>
      <c r="BK236" s="51">
        <f t="shared" si="167"/>
        <v>0</v>
      </c>
      <c r="BL236" s="51">
        <f t="shared" ca="1" si="168"/>
        <v>0</v>
      </c>
      <c r="BM236" s="51">
        <f t="shared" si="169"/>
        <v>0</v>
      </c>
      <c r="BN236" s="51">
        <f t="shared" si="170"/>
        <v>0</v>
      </c>
      <c r="BO236" s="51">
        <f t="shared" ca="1" si="171"/>
        <v>0</v>
      </c>
      <c r="BP236" s="51">
        <f t="shared" ca="1" si="172"/>
        <v>0</v>
      </c>
      <c r="BQ236" s="120"/>
      <c r="BR236" s="32"/>
      <c r="BS236" s="126"/>
      <c r="BT236" s="16"/>
      <c r="BU236" s="58"/>
      <c r="BW236" s="51">
        <f>VLOOKUP(H236,Charges!$AT$4:$AU$33,2,FALSE)*I236</f>
        <v>0</v>
      </c>
      <c r="BX236" s="51">
        <f t="shared" si="173"/>
        <v>0</v>
      </c>
      <c r="BY236" s="51">
        <f t="shared" si="181"/>
        <v>0</v>
      </c>
      <c r="BZ236" s="151"/>
      <c r="CA236" s="151"/>
      <c r="CB236" s="32"/>
      <c r="CC236" s="16">
        <f ca="1">SUM($N$7:$N236)</f>
        <v>0</v>
      </c>
      <c r="CD236" s="16">
        <f t="shared" ca="1" si="174"/>
        <v>0</v>
      </c>
      <c r="CE236" s="16">
        <f t="shared" ca="1" si="175"/>
        <v>0</v>
      </c>
      <c r="CF236" s="7">
        <f t="shared" ca="1" si="182"/>
        <v>0</v>
      </c>
    </row>
    <row r="237" spans="1:84" s="7" customFormat="1" x14ac:dyDescent="0.2">
      <c r="A237" s="149"/>
      <c r="B237" s="14">
        <f t="shared" si="144"/>
        <v>0</v>
      </c>
      <c r="C237" s="12">
        <f t="shared" si="145"/>
        <v>0</v>
      </c>
      <c r="D237" s="17">
        <f t="shared" si="183"/>
        <v>231</v>
      </c>
      <c r="E237" s="17">
        <f t="shared" ca="1" si="146"/>
        <v>79</v>
      </c>
      <c r="F237" s="12">
        <f t="shared" si="185"/>
        <v>2</v>
      </c>
      <c r="G237" s="12">
        <f t="shared" si="184"/>
        <v>39</v>
      </c>
      <c r="H237" s="17">
        <f t="shared" si="186"/>
        <v>20</v>
      </c>
      <c r="I237" s="29">
        <f t="shared" si="147"/>
        <v>0</v>
      </c>
      <c r="J237" s="211">
        <f>IFERROR(VLOOKUP(H237,Charges!$T$6:$U$35,2,0)*C237,0)</f>
        <v>0</v>
      </c>
      <c r="K237" s="29">
        <f t="shared" si="148"/>
        <v>0</v>
      </c>
      <c r="L237" s="29">
        <f t="shared" si="149"/>
        <v>0</v>
      </c>
      <c r="M237" s="147">
        <f t="shared" ca="1" si="150"/>
        <v>0</v>
      </c>
      <c r="N237" s="148">
        <f ca="1">IF(AND(Option_SPW="Y",Z236&gt;=SPW_Start_Min_FV,H237&gt;=Lock_In_Period,Z236&gt;SPW_Amount_pa+IF(option="Single",1/5*pr,2*pr),H237&gt;=SPW_Start_Year,H237&lt;=SPW_Start_Year+SPW_Duration-1,F237=0,age+H237&gt;=Legal_Age),SPW_Amount_pa,0)+IFERROR(VLOOKUP(H237,Input!$B$68:$C$74,2,0),0)*(F237=0)*(Option_PW="Y")*(Option_SPW="N")*(age+H237&gt;=Legal_Age)</f>
        <v>0</v>
      </c>
      <c r="O237" s="148">
        <f t="shared" ca="1" si="176"/>
        <v>0</v>
      </c>
      <c r="P237" s="14">
        <f ca="1">(MAX(MAX(sa-CF236*Flag_UL_Type,105%*SUM($I$7:I237))-(AD236+L237-N237)*Flag_UL_Type,0)*B237)</f>
        <v>0</v>
      </c>
      <c r="Q237" s="213">
        <f t="shared" si="151"/>
        <v>0</v>
      </c>
      <c r="R237" s="14">
        <f t="shared" ca="1" si="152"/>
        <v>0</v>
      </c>
      <c r="S237" s="14">
        <f t="shared" ca="1" si="153"/>
        <v>0</v>
      </c>
      <c r="T237" s="14">
        <f>IFERROR(IF(WoP_Flag="Y",IF(fq=1,VLOOKUP(ppt*fq-H237,Charges!$AN$41:$AO$59,2,FALSE),IF(fq=2,VLOOKUP(ppt*fq-G237,Charges!$AP$41:$AQ$79,2,FALSE),VLOOKUP(ppt*fq-D237,Charges!$AR$41:$AS$279,2,FALSE)))*pr/fq,0),0)</f>
        <v>0</v>
      </c>
      <c r="U237" s="14">
        <f ca="1">IFERROR(((T237*(VLOOKUP(Input!$D$18+H237-1,Tab_Mort_Charge,IF(Gender_2="M",2,3),FALSE)*(1+_emr2)+_rpm2)/IF(Model_Type="LA_PQIS",1000/0.0833,(12*1000))))*Flag_Mort_Rider_Charge*(T237&gt;0),0)</f>
        <v>0</v>
      </c>
      <c r="V237" s="34">
        <f>ROUND(MIN(IF(H237&gt;=7,Charges!$C$12*(1+Charges!$C$14)^((H237-7+1)),VLOOKUP(H237,Charges!$B$7:$C$12,2,0))*pr,Charges!$C$13)*B237,Round)</f>
        <v>0</v>
      </c>
      <c r="W237" s="14">
        <f t="shared" ca="1" si="154"/>
        <v>0</v>
      </c>
      <c r="X237" s="14">
        <f t="shared" ca="1" si="155"/>
        <v>0</v>
      </c>
      <c r="Y237" s="213">
        <f t="shared" ca="1" si="177"/>
        <v>0</v>
      </c>
      <c r="Z237" s="14">
        <f t="shared" ca="1" si="156"/>
        <v>0</v>
      </c>
      <c r="AA237" s="14">
        <f>IF(AND($H237=pt,$F237=11),SUM($K$7:K237)*VLOOKUP(pt,ROC,2,FALSE),0)</f>
        <v>0</v>
      </c>
      <c r="AB237" s="14">
        <f>IF(AND($H237=pt,$F237=11),SUM($V$7:V237)*VLOOKUP(pt,ROC,2,FALSE),0)</f>
        <v>0</v>
      </c>
      <c r="AC237" s="14">
        <f>IF(AND($H237=pt,$F237=11),SUM($Q$7:Q237)*VLOOKUP(pt,ROC,2,FALSE),0)</f>
        <v>0</v>
      </c>
      <c r="AD237" s="14">
        <f t="shared" ca="1" si="178"/>
        <v>0</v>
      </c>
      <c r="AE237" s="14">
        <f ca="1">(MAX(sa-CF236*Flag_UL_Type,105%*SUM($I$7:I237),Z237)+AU237)*B237</f>
        <v>0</v>
      </c>
      <c r="AF237" s="136"/>
      <c r="AG237" s="18">
        <v>231</v>
      </c>
      <c r="AH237" s="30">
        <f t="shared" ca="1" si="157"/>
        <v>0</v>
      </c>
      <c r="AI237" s="58"/>
      <c r="AJ237" s="50">
        <f>IF(AND(Option_Sys_TopUp&gt;="Y",H237&gt;=sytp,H237&lt;=(dtp+sytp-1),F237=0,H237&lt;=ppt+1),atp,0)+IFERROR(VLOOKUP(H237,Input!$B$55:$C$61,2,0),0)*(F237=0)*(Option_TopUP="Y")*(Option_Sys_TopUp="N")*B237*(pt&gt;=H237+5)</f>
        <v>0</v>
      </c>
      <c r="AK237" s="50">
        <f t="shared" si="158"/>
        <v>0</v>
      </c>
      <c r="AL237" s="50">
        <f t="shared" si="179"/>
        <v>0</v>
      </c>
      <c r="AM237" s="50">
        <f t="shared" ca="1" si="159"/>
        <v>0</v>
      </c>
      <c r="AN237" s="50">
        <f>IF(B237=0,0,AT237*(_rpm1+(1+_emr1)*VLOOKUP(E237,Tab_Mort_Charge,IF(Input!$C$12="M",2,3),0))*(0.001*0.0833)*Flag_Mort_Rider_Charge*(AT237&gt;0))</f>
        <v>0</v>
      </c>
      <c r="AO237" s="50">
        <f t="shared" ca="1" si="180"/>
        <v>0</v>
      </c>
      <c r="AP237" s="50">
        <f t="shared" ca="1" si="187"/>
        <v>0</v>
      </c>
      <c r="AQ237" s="50">
        <f t="shared" ca="1" si="160"/>
        <v>0</v>
      </c>
      <c r="AR237" s="50">
        <f t="shared" ca="1" si="161"/>
        <v>0</v>
      </c>
      <c r="AS237" s="50">
        <f t="shared" si="162"/>
        <v>0</v>
      </c>
      <c r="AT237" s="50">
        <f ca="1">(MAX((MAX(AS237,105%*SUM($AJ$7:AJ237))-AM237*Flag_UL_Type),0)*B237)</f>
        <v>0</v>
      </c>
      <c r="AU237" s="50">
        <f ca="1">(MAX(AS237,AR237,105%*SUM($AJ$7:AJ237))*B237)</f>
        <v>0</v>
      </c>
      <c r="AV237" s="125"/>
      <c r="AW237" s="13"/>
      <c r="AX237" s="13"/>
      <c r="AY237" s="13"/>
      <c r="AZ237" s="13"/>
      <c r="BA237" s="13"/>
      <c r="BG237" s="51">
        <f t="shared" si="163"/>
        <v>0</v>
      </c>
      <c r="BH237" s="51">
        <f t="shared" si="164"/>
        <v>0</v>
      </c>
      <c r="BI237" s="51">
        <f t="shared" ca="1" si="165"/>
        <v>0</v>
      </c>
      <c r="BJ237" s="51">
        <f t="shared" ca="1" si="166"/>
        <v>0</v>
      </c>
      <c r="BK237" s="51">
        <f t="shared" si="167"/>
        <v>0</v>
      </c>
      <c r="BL237" s="51">
        <f t="shared" ca="1" si="168"/>
        <v>0</v>
      </c>
      <c r="BM237" s="51">
        <f t="shared" si="169"/>
        <v>0</v>
      </c>
      <c r="BN237" s="51">
        <f t="shared" si="170"/>
        <v>0</v>
      </c>
      <c r="BO237" s="51">
        <f t="shared" ca="1" si="171"/>
        <v>0</v>
      </c>
      <c r="BP237" s="51">
        <f t="shared" ca="1" si="172"/>
        <v>0</v>
      </c>
      <c r="BQ237" s="120"/>
      <c r="BR237" s="32"/>
      <c r="BS237" s="126"/>
      <c r="BT237" s="16"/>
      <c r="BU237" s="58"/>
      <c r="BW237" s="51">
        <f>VLOOKUP(H237,Charges!$AT$4:$AU$33,2,FALSE)*I237</f>
        <v>0</v>
      </c>
      <c r="BX237" s="51">
        <f t="shared" si="173"/>
        <v>0</v>
      </c>
      <c r="BY237" s="51">
        <f t="shared" si="181"/>
        <v>0</v>
      </c>
      <c r="BZ237" s="151"/>
      <c r="CA237" s="151"/>
      <c r="CB237" s="32"/>
      <c r="CC237" s="16">
        <f ca="1">SUM($N$7:$N237)</f>
        <v>0</v>
      </c>
      <c r="CD237" s="16">
        <f t="shared" ca="1" si="174"/>
        <v>0</v>
      </c>
      <c r="CE237" s="16">
        <f t="shared" ca="1" si="175"/>
        <v>0</v>
      </c>
      <c r="CF237" s="7">
        <f t="shared" ca="1" si="182"/>
        <v>0</v>
      </c>
    </row>
    <row r="238" spans="1:84" s="7" customFormat="1" x14ac:dyDescent="0.2">
      <c r="A238" s="149"/>
      <c r="B238" s="14">
        <f t="shared" si="144"/>
        <v>0</v>
      </c>
      <c r="C238" s="12">
        <f t="shared" si="145"/>
        <v>0</v>
      </c>
      <c r="D238" s="17">
        <f t="shared" si="183"/>
        <v>232</v>
      </c>
      <c r="E238" s="17">
        <f t="shared" ca="1" si="146"/>
        <v>79</v>
      </c>
      <c r="F238" s="12">
        <f t="shared" si="185"/>
        <v>3</v>
      </c>
      <c r="G238" s="12">
        <f t="shared" si="184"/>
        <v>39</v>
      </c>
      <c r="H238" s="17">
        <f t="shared" si="186"/>
        <v>20</v>
      </c>
      <c r="I238" s="29">
        <f t="shared" si="147"/>
        <v>0</v>
      </c>
      <c r="J238" s="211">
        <f>IFERROR(VLOOKUP(H238,Charges!$T$6:$U$35,2,0)*C238,0)</f>
        <v>0</v>
      </c>
      <c r="K238" s="29">
        <f t="shared" si="148"/>
        <v>0</v>
      </c>
      <c r="L238" s="29">
        <f t="shared" si="149"/>
        <v>0</v>
      </c>
      <c r="M238" s="147">
        <f t="shared" ca="1" si="150"/>
        <v>0</v>
      </c>
      <c r="N238" s="148">
        <f ca="1">IF(AND(Option_SPW="Y",Z237&gt;=SPW_Start_Min_FV,H238&gt;=Lock_In_Period,Z237&gt;SPW_Amount_pa+IF(option="Single",1/5*pr,2*pr),H238&gt;=SPW_Start_Year,H238&lt;=SPW_Start_Year+SPW_Duration-1,F238=0,age+H238&gt;=Legal_Age),SPW_Amount_pa,0)+IFERROR(VLOOKUP(H238,Input!$B$68:$C$74,2,0),0)*(F238=0)*(Option_PW="Y")*(Option_SPW="N")*(age+H238&gt;=Legal_Age)</f>
        <v>0</v>
      </c>
      <c r="O238" s="148">
        <f t="shared" ca="1" si="176"/>
        <v>0</v>
      </c>
      <c r="P238" s="14">
        <f ca="1">(MAX(MAX(sa-CF237*Flag_UL_Type,105%*SUM($I$7:I238))-(AD237+L238-N238)*Flag_UL_Type,0)*B238)</f>
        <v>0</v>
      </c>
      <c r="Q238" s="213">
        <f t="shared" si="151"/>
        <v>0</v>
      </c>
      <c r="R238" s="14">
        <f t="shared" ca="1" si="152"/>
        <v>0</v>
      </c>
      <c r="S238" s="14">
        <f t="shared" ca="1" si="153"/>
        <v>0</v>
      </c>
      <c r="T238" s="14">
        <f>IFERROR(IF(WoP_Flag="Y",IF(fq=1,VLOOKUP(ppt*fq-H238,Charges!$AN$41:$AO$59,2,FALSE),IF(fq=2,VLOOKUP(ppt*fq-G238,Charges!$AP$41:$AQ$79,2,FALSE),VLOOKUP(ppt*fq-D238,Charges!$AR$41:$AS$279,2,FALSE)))*pr/fq,0),0)</f>
        <v>0</v>
      </c>
      <c r="U238" s="14">
        <f ca="1">IFERROR(((T238*(VLOOKUP(Input!$D$18+H238-1,Tab_Mort_Charge,IF(Gender_2="M",2,3),FALSE)*(1+_emr2)+_rpm2)/IF(Model_Type="LA_PQIS",1000/0.0833,(12*1000))))*Flag_Mort_Rider_Charge*(T238&gt;0),0)</f>
        <v>0</v>
      </c>
      <c r="V238" s="34">
        <f>ROUND(MIN(IF(H238&gt;=7,Charges!$C$12*(1+Charges!$C$14)^((H238-7+1)),VLOOKUP(H238,Charges!$B$7:$C$12,2,0))*pr,Charges!$C$13)*B238,Round)</f>
        <v>0</v>
      </c>
      <c r="W238" s="14">
        <f t="shared" ca="1" si="154"/>
        <v>0</v>
      </c>
      <c r="X238" s="14">
        <f t="shared" ca="1" si="155"/>
        <v>0</v>
      </c>
      <c r="Y238" s="213">
        <f t="shared" ca="1" si="177"/>
        <v>0</v>
      </c>
      <c r="Z238" s="14">
        <f t="shared" ca="1" si="156"/>
        <v>0</v>
      </c>
      <c r="AA238" s="14">
        <f>IF(AND($H238=pt,$F238=11),SUM($K$7:K238)*VLOOKUP(pt,ROC,2,FALSE),0)</f>
        <v>0</v>
      </c>
      <c r="AB238" s="14">
        <f>IF(AND($H238=pt,$F238=11),SUM($V$7:V238)*VLOOKUP(pt,ROC,2,FALSE),0)</f>
        <v>0</v>
      </c>
      <c r="AC238" s="14">
        <f>IF(AND($H238=pt,$F238=11),SUM($Q$7:Q238)*VLOOKUP(pt,ROC,2,FALSE),0)</f>
        <v>0</v>
      </c>
      <c r="AD238" s="14">
        <f t="shared" ca="1" si="178"/>
        <v>0</v>
      </c>
      <c r="AE238" s="14">
        <f ca="1">(MAX(sa-CF237*Flag_UL_Type,105%*SUM($I$7:I238),Z238)+AU238)*B238</f>
        <v>0</v>
      </c>
      <c r="AF238" s="136"/>
      <c r="AG238" s="18">
        <v>232</v>
      </c>
      <c r="AH238" s="30">
        <f t="shared" ca="1" si="157"/>
        <v>0</v>
      </c>
      <c r="AI238" s="58"/>
      <c r="AJ238" s="50">
        <f>IF(AND(Option_Sys_TopUp&gt;="Y",H238&gt;=sytp,H238&lt;=(dtp+sytp-1),F238=0,H238&lt;=ppt+1),atp,0)+IFERROR(VLOOKUP(H238,Input!$B$55:$C$61,2,0),0)*(F238=0)*(Option_TopUP="Y")*(Option_Sys_TopUp="N")*B238*(pt&gt;=H238+5)</f>
        <v>0</v>
      </c>
      <c r="AK238" s="50">
        <f t="shared" si="158"/>
        <v>0</v>
      </c>
      <c r="AL238" s="50">
        <f t="shared" si="179"/>
        <v>0</v>
      </c>
      <c r="AM238" s="50">
        <f t="shared" ca="1" si="159"/>
        <v>0</v>
      </c>
      <c r="AN238" s="50">
        <f>IF(B238=0,0,AT238*(_rpm1+(1+_emr1)*VLOOKUP(E238,Tab_Mort_Charge,IF(Input!$C$12="M",2,3),0))*(0.001*0.0833)*Flag_Mort_Rider_Charge*(AT238&gt;0))</f>
        <v>0</v>
      </c>
      <c r="AO238" s="50">
        <f t="shared" ca="1" si="180"/>
        <v>0</v>
      </c>
      <c r="AP238" s="50">
        <f t="shared" ca="1" si="187"/>
        <v>0</v>
      </c>
      <c r="AQ238" s="50">
        <f t="shared" ca="1" si="160"/>
        <v>0</v>
      </c>
      <c r="AR238" s="50">
        <f t="shared" ca="1" si="161"/>
        <v>0</v>
      </c>
      <c r="AS238" s="50">
        <f t="shared" si="162"/>
        <v>0</v>
      </c>
      <c r="AT238" s="50">
        <f ca="1">(MAX((MAX(AS238,105%*SUM($AJ$7:AJ238))-AM238*Flag_UL_Type),0)*B238)</f>
        <v>0</v>
      </c>
      <c r="AU238" s="50">
        <f ca="1">(MAX(AS238,AR238,105%*SUM($AJ$7:AJ238))*B238)</f>
        <v>0</v>
      </c>
      <c r="AV238" s="125"/>
      <c r="AW238" s="13"/>
      <c r="AX238" s="13"/>
      <c r="AY238" s="13"/>
      <c r="AZ238" s="13"/>
      <c r="BA238" s="13"/>
      <c r="BG238" s="51">
        <f t="shared" si="163"/>
        <v>0</v>
      </c>
      <c r="BH238" s="51">
        <f t="shared" si="164"/>
        <v>0</v>
      </c>
      <c r="BI238" s="51">
        <f t="shared" ca="1" si="165"/>
        <v>0</v>
      </c>
      <c r="BJ238" s="51">
        <f t="shared" ca="1" si="166"/>
        <v>0</v>
      </c>
      <c r="BK238" s="51">
        <f t="shared" si="167"/>
        <v>0</v>
      </c>
      <c r="BL238" s="51">
        <f t="shared" ca="1" si="168"/>
        <v>0</v>
      </c>
      <c r="BM238" s="51">
        <f t="shared" si="169"/>
        <v>0</v>
      </c>
      <c r="BN238" s="51">
        <f t="shared" si="170"/>
        <v>0</v>
      </c>
      <c r="BO238" s="51">
        <f t="shared" ca="1" si="171"/>
        <v>0</v>
      </c>
      <c r="BP238" s="51">
        <f t="shared" ca="1" si="172"/>
        <v>0</v>
      </c>
      <c r="BQ238" s="120"/>
      <c r="BR238" s="32"/>
      <c r="BS238" s="126"/>
      <c r="BT238" s="16"/>
      <c r="BU238" s="58"/>
      <c r="BW238" s="51">
        <f>VLOOKUP(H238,Charges!$AT$4:$AU$33,2,FALSE)*I238</f>
        <v>0</v>
      </c>
      <c r="BX238" s="51">
        <f t="shared" si="173"/>
        <v>0</v>
      </c>
      <c r="BY238" s="51">
        <f t="shared" si="181"/>
        <v>0</v>
      </c>
      <c r="BZ238" s="151"/>
      <c r="CA238" s="151"/>
      <c r="CB238" s="32"/>
      <c r="CC238" s="16">
        <f ca="1">SUM($N$7:$N238)</f>
        <v>0</v>
      </c>
      <c r="CD238" s="16">
        <f t="shared" ca="1" si="174"/>
        <v>0</v>
      </c>
      <c r="CE238" s="16">
        <f t="shared" ca="1" si="175"/>
        <v>0</v>
      </c>
      <c r="CF238" s="7">
        <f t="shared" ca="1" si="182"/>
        <v>0</v>
      </c>
    </row>
    <row r="239" spans="1:84" s="7" customFormat="1" x14ac:dyDescent="0.2">
      <c r="A239" s="149"/>
      <c r="B239" s="14">
        <f t="shared" si="144"/>
        <v>0</v>
      </c>
      <c r="C239" s="12">
        <f t="shared" si="145"/>
        <v>0</v>
      </c>
      <c r="D239" s="17">
        <f t="shared" si="183"/>
        <v>233</v>
      </c>
      <c r="E239" s="17">
        <f t="shared" ca="1" si="146"/>
        <v>79</v>
      </c>
      <c r="F239" s="12">
        <f t="shared" si="185"/>
        <v>4</v>
      </c>
      <c r="G239" s="12">
        <f t="shared" si="184"/>
        <v>39</v>
      </c>
      <c r="H239" s="17">
        <f t="shared" si="186"/>
        <v>20</v>
      </c>
      <c r="I239" s="29">
        <f t="shared" si="147"/>
        <v>0</v>
      </c>
      <c r="J239" s="211">
        <f>IFERROR(VLOOKUP(H239,Charges!$T$6:$U$35,2,0)*C239,0)</f>
        <v>0</v>
      </c>
      <c r="K239" s="29">
        <f t="shared" si="148"/>
        <v>0</v>
      </c>
      <c r="L239" s="29">
        <f t="shared" si="149"/>
        <v>0</v>
      </c>
      <c r="M239" s="147">
        <f t="shared" ca="1" si="150"/>
        <v>0</v>
      </c>
      <c r="N239" s="148">
        <f ca="1">IF(AND(Option_SPW="Y",Z238&gt;=SPW_Start_Min_FV,H239&gt;=Lock_In_Period,Z238&gt;SPW_Amount_pa+IF(option="Single",1/5*pr,2*pr),H239&gt;=SPW_Start_Year,H239&lt;=SPW_Start_Year+SPW_Duration-1,F239=0,age+H239&gt;=Legal_Age),SPW_Amount_pa,0)+IFERROR(VLOOKUP(H239,Input!$B$68:$C$74,2,0),0)*(F239=0)*(Option_PW="Y")*(Option_SPW="N")*(age+H239&gt;=Legal_Age)</f>
        <v>0</v>
      </c>
      <c r="O239" s="148">
        <f t="shared" ca="1" si="176"/>
        <v>0</v>
      </c>
      <c r="P239" s="14">
        <f ca="1">(MAX(MAX(sa-CF238*Flag_UL_Type,105%*SUM($I$7:I239))-(AD238+L239-N239)*Flag_UL_Type,0)*B239)</f>
        <v>0</v>
      </c>
      <c r="Q239" s="213">
        <f t="shared" si="151"/>
        <v>0</v>
      </c>
      <c r="R239" s="14">
        <f t="shared" ca="1" si="152"/>
        <v>0</v>
      </c>
      <c r="S239" s="14">
        <f t="shared" ca="1" si="153"/>
        <v>0</v>
      </c>
      <c r="T239" s="14">
        <f>IFERROR(IF(WoP_Flag="Y",IF(fq=1,VLOOKUP(ppt*fq-H239,Charges!$AN$41:$AO$59,2,FALSE),IF(fq=2,VLOOKUP(ppt*fq-G239,Charges!$AP$41:$AQ$79,2,FALSE),VLOOKUP(ppt*fq-D239,Charges!$AR$41:$AS$279,2,FALSE)))*pr/fq,0),0)</f>
        <v>0</v>
      </c>
      <c r="U239" s="14">
        <f ca="1">IFERROR(((T239*(VLOOKUP(Input!$D$18+H239-1,Tab_Mort_Charge,IF(Gender_2="M",2,3),FALSE)*(1+_emr2)+_rpm2)/IF(Model_Type="LA_PQIS",1000/0.0833,(12*1000))))*Flag_Mort_Rider_Charge*(T239&gt;0),0)</f>
        <v>0</v>
      </c>
      <c r="V239" s="34">
        <f>ROUND(MIN(IF(H239&gt;=7,Charges!$C$12*(1+Charges!$C$14)^((H239-7+1)),VLOOKUP(H239,Charges!$B$7:$C$12,2,0))*pr,Charges!$C$13)*B239,Round)</f>
        <v>0</v>
      </c>
      <c r="W239" s="14">
        <f t="shared" ca="1" si="154"/>
        <v>0</v>
      </c>
      <c r="X239" s="14">
        <f t="shared" ca="1" si="155"/>
        <v>0</v>
      </c>
      <c r="Y239" s="213">
        <f t="shared" ca="1" si="177"/>
        <v>0</v>
      </c>
      <c r="Z239" s="14">
        <f t="shared" ca="1" si="156"/>
        <v>0</v>
      </c>
      <c r="AA239" s="14">
        <f>IF(AND($H239=pt,$F239=11),SUM($K$7:K239)*VLOOKUP(pt,ROC,2,FALSE),0)</f>
        <v>0</v>
      </c>
      <c r="AB239" s="14">
        <f>IF(AND($H239=pt,$F239=11),SUM($V$7:V239)*VLOOKUP(pt,ROC,2,FALSE),0)</f>
        <v>0</v>
      </c>
      <c r="AC239" s="14">
        <f>IF(AND($H239=pt,$F239=11),SUM($Q$7:Q239)*VLOOKUP(pt,ROC,2,FALSE),0)</f>
        <v>0</v>
      </c>
      <c r="AD239" s="14">
        <f t="shared" ca="1" si="178"/>
        <v>0</v>
      </c>
      <c r="AE239" s="14">
        <f ca="1">(MAX(sa-CF238*Flag_UL_Type,105%*SUM($I$7:I239),Z239)+AU239)*B239</f>
        <v>0</v>
      </c>
      <c r="AF239" s="136"/>
      <c r="AG239" s="18">
        <v>233</v>
      </c>
      <c r="AH239" s="30">
        <f t="shared" ca="1" si="157"/>
        <v>0</v>
      </c>
      <c r="AI239" s="58"/>
      <c r="AJ239" s="50">
        <f>IF(AND(Option_Sys_TopUp&gt;="Y",H239&gt;=sytp,H239&lt;=(dtp+sytp-1),F239=0,H239&lt;=ppt+1),atp,0)+IFERROR(VLOOKUP(H239,Input!$B$55:$C$61,2,0),0)*(F239=0)*(Option_TopUP="Y")*(Option_Sys_TopUp="N")*B239*(pt&gt;=H239+5)</f>
        <v>0</v>
      </c>
      <c r="AK239" s="50">
        <f t="shared" si="158"/>
        <v>0</v>
      </c>
      <c r="AL239" s="50">
        <f t="shared" si="179"/>
        <v>0</v>
      </c>
      <c r="AM239" s="50">
        <f t="shared" ca="1" si="159"/>
        <v>0</v>
      </c>
      <c r="AN239" s="50">
        <f>IF(B239=0,0,AT239*(_rpm1+(1+_emr1)*VLOOKUP(E239,Tab_Mort_Charge,IF(Input!$C$12="M",2,3),0))*(0.001*0.0833)*Flag_Mort_Rider_Charge*(AT239&gt;0))</f>
        <v>0</v>
      </c>
      <c r="AO239" s="50">
        <f t="shared" ca="1" si="180"/>
        <v>0</v>
      </c>
      <c r="AP239" s="50">
        <f t="shared" ca="1" si="187"/>
        <v>0</v>
      </c>
      <c r="AQ239" s="50">
        <f t="shared" ca="1" si="160"/>
        <v>0</v>
      </c>
      <c r="AR239" s="50">
        <f t="shared" ca="1" si="161"/>
        <v>0</v>
      </c>
      <c r="AS239" s="50">
        <f t="shared" si="162"/>
        <v>0</v>
      </c>
      <c r="AT239" s="50">
        <f ca="1">(MAX((MAX(AS239,105%*SUM($AJ$7:AJ239))-AM239*Flag_UL_Type),0)*B239)</f>
        <v>0</v>
      </c>
      <c r="AU239" s="50">
        <f ca="1">(MAX(AS239,AR239,105%*SUM($AJ$7:AJ239))*B239)</f>
        <v>0</v>
      </c>
      <c r="AV239" s="125"/>
      <c r="AW239" s="13"/>
      <c r="AX239" s="13"/>
      <c r="AY239" s="13"/>
      <c r="AZ239" s="13"/>
      <c r="BA239" s="13"/>
      <c r="BG239" s="51">
        <f t="shared" si="163"/>
        <v>0</v>
      </c>
      <c r="BH239" s="51">
        <f t="shared" si="164"/>
        <v>0</v>
      </c>
      <c r="BI239" s="51">
        <f t="shared" ca="1" si="165"/>
        <v>0</v>
      </c>
      <c r="BJ239" s="51">
        <f t="shared" ca="1" si="166"/>
        <v>0</v>
      </c>
      <c r="BK239" s="51">
        <f t="shared" si="167"/>
        <v>0</v>
      </c>
      <c r="BL239" s="51">
        <f t="shared" ca="1" si="168"/>
        <v>0</v>
      </c>
      <c r="BM239" s="51">
        <f t="shared" si="169"/>
        <v>0</v>
      </c>
      <c r="BN239" s="51">
        <f t="shared" si="170"/>
        <v>0</v>
      </c>
      <c r="BO239" s="51">
        <f t="shared" ca="1" si="171"/>
        <v>0</v>
      </c>
      <c r="BP239" s="51">
        <f t="shared" ca="1" si="172"/>
        <v>0</v>
      </c>
      <c r="BQ239" s="120"/>
      <c r="BR239" s="32"/>
      <c r="BS239" s="126"/>
      <c r="BT239" s="16"/>
      <c r="BU239" s="58"/>
      <c r="BW239" s="51">
        <f>VLOOKUP(H239,Charges!$AT$4:$AU$33,2,FALSE)*I239</f>
        <v>0</v>
      </c>
      <c r="BX239" s="51">
        <f t="shared" si="173"/>
        <v>0</v>
      </c>
      <c r="BY239" s="51">
        <f t="shared" si="181"/>
        <v>0</v>
      </c>
      <c r="BZ239" s="151"/>
      <c r="CA239" s="151"/>
      <c r="CB239" s="32"/>
      <c r="CC239" s="16">
        <f ca="1">SUM($N$7:$N239)</f>
        <v>0</v>
      </c>
      <c r="CD239" s="16">
        <f t="shared" ca="1" si="174"/>
        <v>0</v>
      </c>
      <c r="CE239" s="16">
        <f t="shared" ca="1" si="175"/>
        <v>0</v>
      </c>
      <c r="CF239" s="7">
        <f t="shared" ca="1" si="182"/>
        <v>0</v>
      </c>
    </row>
    <row r="240" spans="1:84" s="7" customFormat="1" x14ac:dyDescent="0.2">
      <c r="A240" s="149"/>
      <c r="B240" s="14">
        <f t="shared" si="144"/>
        <v>0</v>
      </c>
      <c r="C240" s="12">
        <f t="shared" si="145"/>
        <v>0</v>
      </c>
      <c r="D240" s="17">
        <f t="shared" si="183"/>
        <v>234</v>
      </c>
      <c r="E240" s="17">
        <f t="shared" ca="1" si="146"/>
        <v>79</v>
      </c>
      <c r="F240" s="12">
        <f t="shared" si="185"/>
        <v>5</v>
      </c>
      <c r="G240" s="12">
        <f t="shared" si="184"/>
        <v>39</v>
      </c>
      <c r="H240" s="17">
        <f t="shared" si="186"/>
        <v>20</v>
      </c>
      <c r="I240" s="29">
        <f t="shared" si="147"/>
        <v>0</v>
      </c>
      <c r="J240" s="211">
        <f>IFERROR(VLOOKUP(H240,Charges!$T$6:$U$35,2,0)*C240,0)</f>
        <v>0</v>
      </c>
      <c r="K240" s="29">
        <f t="shared" si="148"/>
        <v>0</v>
      </c>
      <c r="L240" s="29">
        <f t="shared" si="149"/>
        <v>0</v>
      </c>
      <c r="M240" s="147">
        <f t="shared" ca="1" si="150"/>
        <v>0</v>
      </c>
      <c r="N240" s="148">
        <f ca="1">IF(AND(Option_SPW="Y",Z239&gt;=SPW_Start_Min_FV,H240&gt;=Lock_In_Period,Z239&gt;SPW_Amount_pa+IF(option="Single",1/5*pr,2*pr),H240&gt;=SPW_Start_Year,H240&lt;=SPW_Start_Year+SPW_Duration-1,F240=0,age+H240&gt;=Legal_Age),SPW_Amount_pa,0)+IFERROR(VLOOKUP(H240,Input!$B$68:$C$74,2,0),0)*(F240=0)*(Option_PW="Y")*(Option_SPW="N")*(age+H240&gt;=Legal_Age)</f>
        <v>0</v>
      </c>
      <c r="O240" s="148">
        <f t="shared" ca="1" si="176"/>
        <v>0</v>
      </c>
      <c r="P240" s="14">
        <f ca="1">(MAX(MAX(sa-CF239*Flag_UL_Type,105%*SUM($I$7:I240))-(AD239+L240-N240)*Flag_UL_Type,0)*B240)</f>
        <v>0</v>
      </c>
      <c r="Q240" s="213">
        <f t="shared" si="151"/>
        <v>0</v>
      </c>
      <c r="R240" s="14">
        <f t="shared" ca="1" si="152"/>
        <v>0</v>
      </c>
      <c r="S240" s="14">
        <f t="shared" ca="1" si="153"/>
        <v>0</v>
      </c>
      <c r="T240" s="14">
        <f>IFERROR(IF(WoP_Flag="Y",IF(fq=1,VLOOKUP(ppt*fq-H240,Charges!$AN$41:$AO$59,2,FALSE),IF(fq=2,VLOOKUP(ppt*fq-G240,Charges!$AP$41:$AQ$79,2,FALSE),VLOOKUP(ppt*fq-D240,Charges!$AR$41:$AS$279,2,FALSE)))*pr/fq,0),0)</f>
        <v>0</v>
      </c>
      <c r="U240" s="14">
        <f ca="1">IFERROR(((T240*(VLOOKUP(Input!$D$18+H240-1,Tab_Mort_Charge,IF(Gender_2="M",2,3),FALSE)*(1+_emr2)+_rpm2)/IF(Model_Type="LA_PQIS",1000/0.0833,(12*1000))))*Flag_Mort_Rider_Charge*(T240&gt;0),0)</f>
        <v>0</v>
      </c>
      <c r="V240" s="34">
        <f>ROUND(MIN(IF(H240&gt;=7,Charges!$C$12*(1+Charges!$C$14)^((H240-7+1)),VLOOKUP(H240,Charges!$B$7:$C$12,2,0))*pr,Charges!$C$13)*B240,Round)</f>
        <v>0</v>
      </c>
      <c r="W240" s="14">
        <f t="shared" ca="1" si="154"/>
        <v>0</v>
      </c>
      <c r="X240" s="14">
        <f t="shared" ca="1" si="155"/>
        <v>0</v>
      </c>
      <c r="Y240" s="213">
        <f t="shared" ca="1" si="177"/>
        <v>0</v>
      </c>
      <c r="Z240" s="14">
        <f t="shared" ca="1" si="156"/>
        <v>0</v>
      </c>
      <c r="AA240" s="14">
        <f>IF(AND($H240=pt,$F240=11),SUM($K$7:K240)*VLOOKUP(pt,ROC,2,FALSE),0)</f>
        <v>0</v>
      </c>
      <c r="AB240" s="14">
        <f>IF(AND($H240=pt,$F240=11),SUM($V$7:V240)*VLOOKUP(pt,ROC,2,FALSE),0)</f>
        <v>0</v>
      </c>
      <c r="AC240" s="14">
        <f>IF(AND($H240=pt,$F240=11),SUM($Q$7:Q240)*VLOOKUP(pt,ROC,2,FALSE),0)</f>
        <v>0</v>
      </c>
      <c r="AD240" s="14">
        <f t="shared" ca="1" si="178"/>
        <v>0</v>
      </c>
      <c r="AE240" s="14">
        <f ca="1">(MAX(sa-CF239*Flag_UL_Type,105%*SUM($I$7:I240),Z240)+AU240)*B240</f>
        <v>0</v>
      </c>
      <c r="AF240" s="136"/>
      <c r="AG240" s="18">
        <v>234</v>
      </c>
      <c r="AH240" s="30">
        <f t="shared" ca="1" si="157"/>
        <v>0</v>
      </c>
      <c r="AI240" s="58"/>
      <c r="AJ240" s="50">
        <f>IF(AND(Option_Sys_TopUp&gt;="Y",H240&gt;=sytp,H240&lt;=(dtp+sytp-1),F240=0,H240&lt;=ppt+1),atp,0)+IFERROR(VLOOKUP(H240,Input!$B$55:$C$61,2,0),0)*(F240=0)*(Option_TopUP="Y")*(Option_Sys_TopUp="N")*B240*(pt&gt;=H240+5)</f>
        <v>0</v>
      </c>
      <c r="AK240" s="50">
        <f t="shared" si="158"/>
        <v>0</v>
      </c>
      <c r="AL240" s="50">
        <f t="shared" si="179"/>
        <v>0</v>
      </c>
      <c r="AM240" s="50">
        <f t="shared" ca="1" si="159"/>
        <v>0</v>
      </c>
      <c r="AN240" s="50">
        <f>IF(B240=0,0,AT240*(_rpm1+(1+_emr1)*VLOOKUP(E240,Tab_Mort_Charge,IF(Input!$C$12="M",2,3),0))*(0.001*0.0833)*Flag_Mort_Rider_Charge*(AT240&gt;0))</f>
        <v>0</v>
      </c>
      <c r="AO240" s="50">
        <f t="shared" ca="1" si="180"/>
        <v>0</v>
      </c>
      <c r="AP240" s="50">
        <f t="shared" ca="1" si="187"/>
        <v>0</v>
      </c>
      <c r="AQ240" s="50">
        <f t="shared" ca="1" si="160"/>
        <v>0</v>
      </c>
      <c r="AR240" s="50">
        <f t="shared" ca="1" si="161"/>
        <v>0</v>
      </c>
      <c r="AS240" s="50">
        <f t="shared" si="162"/>
        <v>0</v>
      </c>
      <c r="AT240" s="50">
        <f ca="1">(MAX((MAX(AS240,105%*SUM($AJ$7:AJ240))-AM240*Flag_UL_Type),0)*B240)</f>
        <v>0</v>
      </c>
      <c r="AU240" s="50">
        <f ca="1">(MAX(AS240,AR240,105%*SUM($AJ$7:AJ240))*B240)</f>
        <v>0</v>
      </c>
      <c r="AV240" s="125"/>
      <c r="AW240" s="13"/>
      <c r="AX240" s="13"/>
      <c r="AY240" s="13"/>
      <c r="AZ240" s="13"/>
      <c r="BA240" s="13"/>
      <c r="BG240" s="51">
        <f t="shared" si="163"/>
        <v>0</v>
      </c>
      <c r="BH240" s="51">
        <f t="shared" si="164"/>
        <v>0</v>
      </c>
      <c r="BI240" s="51">
        <f t="shared" ca="1" si="165"/>
        <v>0</v>
      </c>
      <c r="BJ240" s="51">
        <f t="shared" ca="1" si="166"/>
        <v>0</v>
      </c>
      <c r="BK240" s="51">
        <f t="shared" si="167"/>
        <v>0</v>
      </c>
      <c r="BL240" s="51">
        <f t="shared" ca="1" si="168"/>
        <v>0</v>
      </c>
      <c r="BM240" s="51">
        <f t="shared" si="169"/>
        <v>0</v>
      </c>
      <c r="BN240" s="51">
        <f t="shared" si="170"/>
        <v>0</v>
      </c>
      <c r="BO240" s="51">
        <f t="shared" ca="1" si="171"/>
        <v>0</v>
      </c>
      <c r="BP240" s="51">
        <f t="shared" ca="1" si="172"/>
        <v>0</v>
      </c>
      <c r="BQ240" s="120"/>
      <c r="BR240" s="32"/>
      <c r="BS240" s="126"/>
      <c r="BT240" s="16"/>
      <c r="BU240" s="58"/>
      <c r="BW240" s="51">
        <f>VLOOKUP(H240,Charges!$AT$4:$AU$33,2,FALSE)*I240</f>
        <v>0</v>
      </c>
      <c r="BX240" s="51">
        <f t="shared" si="173"/>
        <v>0</v>
      </c>
      <c r="BY240" s="51">
        <f t="shared" si="181"/>
        <v>0</v>
      </c>
      <c r="BZ240" s="151"/>
      <c r="CA240" s="151"/>
      <c r="CB240" s="32"/>
      <c r="CC240" s="16">
        <f ca="1">SUM($N$7:$N240)</f>
        <v>0</v>
      </c>
      <c r="CD240" s="16">
        <f t="shared" ca="1" si="174"/>
        <v>0</v>
      </c>
      <c r="CE240" s="16">
        <f t="shared" ca="1" si="175"/>
        <v>0</v>
      </c>
      <c r="CF240" s="7">
        <f t="shared" ca="1" si="182"/>
        <v>0</v>
      </c>
    </row>
    <row r="241" spans="1:84" s="7" customFormat="1" x14ac:dyDescent="0.2">
      <c r="A241" s="149"/>
      <c r="B241" s="14">
        <f t="shared" si="144"/>
        <v>0</v>
      </c>
      <c r="C241" s="12">
        <f t="shared" si="145"/>
        <v>0</v>
      </c>
      <c r="D241" s="17">
        <f t="shared" si="183"/>
        <v>235</v>
      </c>
      <c r="E241" s="17">
        <f t="shared" ca="1" si="146"/>
        <v>79</v>
      </c>
      <c r="F241" s="12">
        <f t="shared" si="185"/>
        <v>6</v>
      </c>
      <c r="G241" s="12">
        <f t="shared" si="184"/>
        <v>40</v>
      </c>
      <c r="H241" s="17">
        <f t="shared" si="186"/>
        <v>20</v>
      </c>
      <c r="I241" s="29">
        <f t="shared" si="147"/>
        <v>0</v>
      </c>
      <c r="J241" s="211">
        <f>IFERROR(VLOOKUP(H241,Charges!$T$6:$U$35,2,0)*C241,0)</f>
        <v>0</v>
      </c>
      <c r="K241" s="29">
        <f t="shared" si="148"/>
        <v>0</v>
      </c>
      <c r="L241" s="29">
        <f t="shared" si="149"/>
        <v>0</v>
      </c>
      <c r="M241" s="147">
        <f t="shared" ca="1" si="150"/>
        <v>0</v>
      </c>
      <c r="N241" s="148">
        <f ca="1">IF(AND(Option_SPW="Y",Z240&gt;=SPW_Start_Min_FV,H241&gt;=Lock_In_Period,Z240&gt;SPW_Amount_pa+IF(option="Single",1/5*pr,2*pr),H241&gt;=SPW_Start_Year,H241&lt;=SPW_Start_Year+SPW_Duration-1,F241=0,age+H241&gt;=Legal_Age),SPW_Amount_pa,0)+IFERROR(VLOOKUP(H241,Input!$B$68:$C$74,2,0),0)*(F241=0)*(Option_PW="Y")*(Option_SPW="N")*(age+H241&gt;=Legal_Age)</f>
        <v>0</v>
      </c>
      <c r="O241" s="148">
        <f t="shared" ca="1" si="176"/>
        <v>0</v>
      </c>
      <c r="P241" s="14">
        <f ca="1">(MAX(MAX(sa-CF240*Flag_UL_Type,105%*SUM($I$7:I241))-(AD240+L241-N241)*Flag_UL_Type,0)*B241)</f>
        <v>0</v>
      </c>
      <c r="Q241" s="213">
        <f t="shared" si="151"/>
        <v>0</v>
      </c>
      <c r="R241" s="14">
        <f t="shared" ca="1" si="152"/>
        <v>0</v>
      </c>
      <c r="S241" s="14">
        <f t="shared" ca="1" si="153"/>
        <v>0</v>
      </c>
      <c r="T241" s="14">
        <f>IFERROR(IF(WoP_Flag="Y",IF(fq=1,VLOOKUP(ppt*fq-H241,Charges!$AN$41:$AO$59,2,FALSE),IF(fq=2,VLOOKUP(ppt*fq-G241,Charges!$AP$41:$AQ$79,2,FALSE),VLOOKUP(ppt*fq-D241,Charges!$AR$41:$AS$279,2,FALSE)))*pr/fq,0),0)</f>
        <v>0</v>
      </c>
      <c r="U241" s="14">
        <f ca="1">IFERROR(((T241*(VLOOKUP(Input!$D$18+H241-1,Tab_Mort_Charge,IF(Gender_2="M",2,3),FALSE)*(1+_emr2)+_rpm2)/IF(Model_Type="LA_PQIS",1000/0.0833,(12*1000))))*Flag_Mort_Rider_Charge*(T241&gt;0),0)</f>
        <v>0</v>
      </c>
      <c r="V241" s="34">
        <f>ROUND(MIN(IF(H241&gt;=7,Charges!$C$12*(1+Charges!$C$14)^((H241-7+1)),VLOOKUP(H241,Charges!$B$7:$C$12,2,0))*pr,Charges!$C$13)*B241,Round)</f>
        <v>0</v>
      </c>
      <c r="W241" s="14">
        <f t="shared" ca="1" si="154"/>
        <v>0</v>
      </c>
      <c r="X241" s="14">
        <f t="shared" ca="1" si="155"/>
        <v>0</v>
      </c>
      <c r="Y241" s="213">
        <f t="shared" ca="1" si="177"/>
        <v>0</v>
      </c>
      <c r="Z241" s="14">
        <f t="shared" ca="1" si="156"/>
        <v>0</v>
      </c>
      <c r="AA241" s="14">
        <f>IF(AND($H241=pt,$F241=11),SUM($K$7:K241)*VLOOKUP(pt,ROC,2,FALSE),0)</f>
        <v>0</v>
      </c>
      <c r="AB241" s="14">
        <f>IF(AND($H241=pt,$F241=11),SUM($V$7:V241)*VLOOKUP(pt,ROC,2,FALSE),0)</f>
        <v>0</v>
      </c>
      <c r="AC241" s="14">
        <f>IF(AND($H241=pt,$F241=11),SUM($Q$7:Q241)*VLOOKUP(pt,ROC,2,FALSE),0)</f>
        <v>0</v>
      </c>
      <c r="AD241" s="14">
        <f t="shared" ca="1" si="178"/>
        <v>0</v>
      </c>
      <c r="AE241" s="14">
        <f ca="1">(MAX(sa-CF240*Flag_UL_Type,105%*SUM($I$7:I241),Z241)+AU241)*B241</f>
        <v>0</v>
      </c>
      <c r="AF241" s="136"/>
      <c r="AG241" s="18">
        <v>235</v>
      </c>
      <c r="AH241" s="30">
        <f t="shared" ca="1" si="157"/>
        <v>0</v>
      </c>
      <c r="AI241" s="58"/>
      <c r="AJ241" s="50">
        <f>IF(AND(Option_Sys_TopUp&gt;="Y",H241&gt;=sytp,H241&lt;=(dtp+sytp-1),F241=0,H241&lt;=ppt+1),atp,0)+IFERROR(VLOOKUP(H241,Input!$B$55:$C$61,2,0),0)*(F241=0)*(Option_TopUP="Y")*(Option_Sys_TopUp="N")*B241*(pt&gt;=H241+5)</f>
        <v>0</v>
      </c>
      <c r="AK241" s="50">
        <f t="shared" si="158"/>
        <v>0</v>
      </c>
      <c r="AL241" s="50">
        <f t="shared" si="179"/>
        <v>0</v>
      </c>
      <c r="AM241" s="50">
        <f t="shared" ca="1" si="159"/>
        <v>0</v>
      </c>
      <c r="AN241" s="50">
        <f>IF(B241=0,0,AT241*(_rpm1+(1+_emr1)*VLOOKUP(E241,Tab_Mort_Charge,IF(Input!$C$12="M",2,3),0))*(0.001*0.0833)*Flag_Mort_Rider_Charge*(AT241&gt;0))</f>
        <v>0</v>
      </c>
      <c r="AO241" s="50">
        <f t="shared" ca="1" si="180"/>
        <v>0</v>
      </c>
      <c r="AP241" s="50">
        <f t="shared" ca="1" si="187"/>
        <v>0</v>
      </c>
      <c r="AQ241" s="50">
        <f t="shared" ca="1" si="160"/>
        <v>0</v>
      </c>
      <c r="AR241" s="50">
        <f t="shared" ca="1" si="161"/>
        <v>0</v>
      </c>
      <c r="AS241" s="50">
        <f t="shared" si="162"/>
        <v>0</v>
      </c>
      <c r="AT241" s="50">
        <f ca="1">(MAX((MAX(AS241,105%*SUM($AJ$7:AJ241))-AM241*Flag_UL_Type),0)*B241)</f>
        <v>0</v>
      </c>
      <c r="AU241" s="50">
        <f ca="1">(MAX(AS241,AR241,105%*SUM($AJ$7:AJ241))*B241)</f>
        <v>0</v>
      </c>
      <c r="AV241" s="125"/>
      <c r="AW241" s="13"/>
      <c r="AX241" s="13"/>
      <c r="AY241" s="13"/>
      <c r="AZ241" s="13"/>
      <c r="BA241" s="13"/>
      <c r="BG241" s="51">
        <f t="shared" si="163"/>
        <v>0</v>
      </c>
      <c r="BH241" s="51">
        <f t="shared" si="164"/>
        <v>0</v>
      </c>
      <c r="BI241" s="51">
        <f t="shared" ca="1" si="165"/>
        <v>0</v>
      </c>
      <c r="BJ241" s="51">
        <f t="shared" ca="1" si="166"/>
        <v>0</v>
      </c>
      <c r="BK241" s="51">
        <f t="shared" si="167"/>
        <v>0</v>
      </c>
      <c r="BL241" s="51">
        <f t="shared" ca="1" si="168"/>
        <v>0</v>
      </c>
      <c r="BM241" s="51">
        <f t="shared" si="169"/>
        <v>0</v>
      </c>
      <c r="BN241" s="51">
        <f t="shared" si="170"/>
        <v>0</v>
      </c>
      <c r="BO241" s="51">
        <f t="shared" ca="1" si="171"/>
        <v>0</v>
      </c>
      <c r="BP241" s="51">
        <f t="shared" ca="1" si="172"/>
        <v>0</v>
      </c>
      <c r="BQ241" s="120"/>
      <c r="BR241" s="32"/>
      <c r="BS241" s="126"/>
      <c r="BT241" s="16"/>
      <c r="BU241" s="58"/>
      <c r="BW241" s="51">
        <f>VLOOKUP(H241,Charges!$AT$4:$AU$33,2,FALSE)*I241</f>
        <v>0</v>
      </c>
      <c r="BX241" s="51">
        <f t="shared" si="173"/>
        <v>0</v>
      </c>
      <c r="BY241" s="51">
        <f t="shared" si="181"/>
        <v>0</v>
      </c>
      <c r="BZ241" s="151"/>
      <c r="CA241" s="151"/>
      <c r="CB241" s="32"/>
      <c r="CC241" s="16">
        <f ca="1">SUM($N$7:$N241)</f>
        <v>0</v>
      </c>
      <c r="CD241" s="16">
        <f t="shared" ca="1" si="174"/>
        <v>0</v>
      </c>
      <c r="CE241" s="16">
        <f t="shared" ca="1" si="175"/>
        <v>0</v>
      </c>
      <c r="CF241" s="7">
        <f t="shared" ca="1" si="182"/>
        <v>0</v>
      </c>
    </row>
    <row r="242" spans="1:84" s="7" customFormat="1" x14ac:dyDescent="0.2">
      <c r="A242" s="149"/>
      <c r="B242" s="14">
        <f t="shared" si="144"/>
        <v>0</v>
      </c>
      <c r="C242" s="12">
        <f t="shared" si="145"/>
        <v>0</v>
      </c>
      <c r="D242" s="17">
        <f t="shared" si="183"/>
        <v>236</v>
      </c>
      <c r="E242" s="17">
        <f t="shared" ca="1" si="146"/>
        <v>79</v>
      </c>
      <c r="F242" s="12">
        <f t="shared" si="185"/>
        <v>7</v>
      </c>
      <c r="G242" s="12">
        <f t="shared" si="184"/>
        <v>40</v>
      </c>
      <c r="H242" s="17">
        <f t="shared" si="186"/>
        <v>20</v>
      </c>
      <c r="I242" s="29">
        <f t="shared" si="147"/>
        <v>0</v>
      </c>
      <c r="J242" s="211">
        <f>IFERROR(VLOOKUP(H242,Charges!$T$6:$U$35,2,0)*C242,0)</f>
        <v>0</v>
      </c>
      <c r="K242" s="29">
        <f t="shared" si="148"/>
        <v>0</v>
      </c>
      <c r="L242" s="29">
        <f t="shared" si="149"/>
        <v>0</v>
      </c>
      <c r="M242" s="147">
        <f t="shared" ca="1" si="150"/>
        <v>0</v>
      </c>
      <c r="N242" s="148">
        <f ca="1">IF(AND(Option_SPW="Y",Z241&gt;=SPW_Start_Min_FV,H242&gt;=Lock_In_Period,Z241&gt;SPW_Amount_pa+IF(option="Single",1/5*pr,2*pr),H242&gt;=SPW_Start_Year,H242&lt;=SPW_Start_Year+SPW_Duration-1,F242=0,age+H242&gt;=Legal_Age),SPW_Amount_pa,0)+IFERROR(VLOOKUP(H242,Input!$B$68:$C$74,2,0),0)*(F242=0)*(Option_PW="Y")*(Option_SPW="N")*(age+H242&gt;=Legal_Age)</f>
        <v>0</v>
      </c>
      <c r="O242" s="148">
        <f t="shared" ca="1" si="176"/>
        <v>0</v>
      </c>
      <c r="P242" s="14">
        <f ca="1">(MAX(MAX(sa-CF241*Flag_UL_Type,105%*SUM($I$7:I242))-(AD241+L242-N242)*Flag_UL_Type,0)*B242)</f>
        <v>0</v>
      </c>
      <c r="Q242" s="213">
        <f t="shared" si="151"/>
        <v>0</v>
      </c>
      <c r="R242" s="14">
        <f t="shared" ca="1" si="152"/>
        <v>0</v>
      </c>
      <c r="S242" s="14">
        <f t="shared" ca="1" si="153"/>
        <v>0</v>
      </c>
      <c r="T242" s="14">
        <f>IFERROR(IF(WoP_Flag="Y",IF(fq=1,VLOOKUP(ppt*fq-H242,Charges!$AN$41:$AO$59,2,FALSE),IF(fq=2,VLOOKUP(ppt*fq-G242,Charges!$AP$41:$AQ$79,2,FALSE),VLOOKUP(ppt*fq-D242,Charges!$AR$41:$AS$279,2,FALSE)))*pr/fq,0),0)</f>
        <v>0</v>
      </c>
      <c r="U242" s="14">
        <f ca="1">IFERROR(((T242*(VLOOKUP(Input!$D$18+H242-1,Tab_Mort_Charge,IF(Gender_2="M",2,3),FALSE)*(1+_emr2)+_rpm2)/IF(Model_Type="LA_PQIS",1000/0.0833,(12*1000))))*Flag_Mort_Rider_Charge*(T242&gt;0),0)</f>
        <v>0</v>
      </c>
      <c r="V242" s="34">
        <f>ROUND(MIN(IF(H242&gt;=7,Charges!$C$12*(1+Charges!$C$14)^((H242-7+1)),VLOOKUP(H242,Charges!$B$7:$C$12,2,0))*pr,Charges!$C$13)*B242,Round)</f>
        <v>0</v>
      </c>
      <c r="W242" s="14">
        <f t="shared" ca="1" si="154"/>
        <v>0</v>
      </c>
      <c r="X242" s="14">
        <f t="shared" ca="1" si="155"/>
        <v>0</v>
      </c>
      <c r="Y242" s="213">
        <f t="shared" ca="1" si="177"/>
        <v>0</v>
      </c>
      <c r="Z242" s="14">
        <f t="shared" ca="1" si="156"/>
        <v>0</v>
      </c>
      <c r="AA242" s="14">
        <f>IF(AND($H242=pt,$F242=11),SUM($K$7:K242)*VLOOKUP(pt,ROC,2,FALSE),0)</f>
        <v>0</v>
      </c>
      <c r="AB242" s="14">
        <f>IF(AND($H242=pt,$F242=11),SUM($V$7:V242)*VLOOKUP(pt,ROC,2,FALSE),0)</f>
        <v>0</v>
      </c>
      <c r="AC242" s="14">
        <f>IF(AND($H242=pt,$F242=11),SUM($Q$7:Q242)*VLOOKUP(pt,ROC,2,FALSE),0)</f>
        <v>0</v>
      </c>
      <c r="AD242" s="14">
        <f t="shared" ca="1" si="178"/>
        <v>0</v>
      </c>
      <c r="AE242" s="14">
        <f ca="1">(MAX(sa-CF241*Flag_UL_Type,105%*SUM($I$7:I242),Z242)+AU242)*B242</f>
        <v>0</v>
      </c>
      <c r="AF242" s="136"/>
      <c r="AG242" s="18">
        <v>236</v>
      </c>
      <c r="AH242" s="30">
        <f t="shared" ca="1" si="157"/>
        <v>0</v>
      </c>
      <c r="AI242" s="58"/>
      <c r="AJ242" s="50">
        <f>IF(AND(Option_Sys_TopUp&gt;="Y",H242&gt;=sytp,H242&lt;=(dtp+sytp-1),F242=0,H242&lt;=ppt+1),atp,0)+IFERROR(VLOOKUP(H242,Input!$B$55:$C$61,2,0),0)*(F242=0)*(Option_TopUP="Y")*(Option_Sys_TopUp="N")*B242*(pt&gt;=H242+5)</f>
        <v>0</v>
      </c>
      <c r="AK242" s="50">
        <f t="shared" si="158"/>
        <v>0</v>
      </c>
      <c r="AL242" s="50">
        <f t="shared" si="179"/>
        <v>0</v>
      </c>
      <c r="AM242" s="50">
        <f t="shared" ca="1" si="159"/>
        <v>0</v>
      </c>
      <c r="AN242" s="50">
        <f>IF(B242=0,0,AT242*(_rpm1+(1+_emr1)*VLOOKUP(E242,Tab_Mort_Charge,IF(Input!$C$12="M",2,3),0))*(0.001*0.0833)*Flag_Mort_Rider_Charge*(AT242&gt;0))</f>
        <v>0</v>
      </c>
      <c r="AO242" s="50">
        <f t="shared" ca="1" si="180"/>
        <v>0</v>
      </c>
      <c r="AP242" s="50">
        <f t="shared" ca="1" si="187"/>
        <v>0</v>
      </c>
      <c r="AQ242" s="50">
        <f t="shared" ca="1" si="160"/>
        <v>0</v>
      </c>
      <c r="AR242" s="50">
        <f t="shared" ca="1" si="161"/>
        <v>0</v>
      </c>
      <c r="AS242" s="50">
        <f t="shared" si="162"/>
        <v>0</v>
      </c>
      <c r="AT242" s="50">
        <f ca="1">(MAX((MAX(AS242,105%*SUM($AJ$7:AJ242))-AM242*Flag_UL_Type),0)*B242)</f>
        <v>0</v>
      </c>
      <c r="AU242" s="50">
        <f ca="1">(MAX(AS242,AR242,105%*SUM($AJ$7:AJ242))*B242)</f>
        <v>0</v>
      </c>
      <c r="AV242" s="125"/>
      <c r="AW242" s="13"/>
      <c r="AX242" s="13"/>
      <c r="AY242" s="13"/>
      <c r="AZ242" s="13"/>
      <c r="BA242" s="13"/>
      <c r="BG242" s="51">
        <f t="shared" si="163"/>
        <v>0</v>
      </c>
      <c r="BH242" s="51">
        <f t="shared" si="164"/>
        <v>0</v>
      </c>
      <c r="BI242" s="51">
        <f t="shared" ca="1" si="165"/>
        <v>0</v>
      </c>
      <c r="BJ242" s="51">
        <f t="shared" ca="1" si="166"/>
        <v>0</v>
      </c>
      <c r="BK242" s="51">
        <f t="shared" si="167"/>
        <v>0</v>
      </c>
      <c r="BL242" s="51">
        <f t="shared" ca="1" si="168"/>
        <v>0</v>
      </c>
      <c r="BM242" s="51">
        <f t="shared" si="169"/>
        <v>0</v>
      </c>
      <c r="BN242" s="51">
        <f t="shared" si="170"/>
        <v>0</v>
      </c>
      <c r="BO242" s="51">
        <f t="shared" ca="1" si="171"/>
        <v>0</v>
      </c>
      <c r="BP242" s="51">
        <f t="shared" ca="1" si="172"/>
        <v>0</v>
      </c>
      <c r="BQ242" s="120"/>
      <c r="BR242" s="32"/>
      <c r="BS242" s="126"/>
      <c r="BT242" s="16"/>
      <c r="BU242" s="58"/>
      <c r="BW242" s="51">
        <f>VLOOKUP(H242,Charges!$AT$4:$AU$33,2,FALSE)*I242</f>
        <v>0</v>
      </c>
      <c r="BX242" s="51">
        <f t="shared" si="173"/>
        <v>0</v>
      </c>
      <c r="BY242" s="51">
        <f t="shared" si="181"/>
        <v>0</v>
      </c>
      <c r="BZ242" s="151"/>
      <c r="CA242" s="151"/>
      <c r="CB242" s="32"/>
      <c r="CC242" s="16">
        <f ca="1">SUM($N$7:$N242)</f>
        <v>0</v>
      </c>
      <c r="CD242" s="16">
        <f t="shared" ca="1" si="174"/>
        <v>0</v>
      </c>
      <c r="CE242" s="16">
        <f t="shared" ca="1" si="175"/>
        <v>0</v>
      </c>
      <c r="CF242" s="7">
        <f t="shared" ca="1" si="182"/>
        <v>0</v>
      </c>
    </row>
    <row r="243" spans="1:84" s="7" customFormat="1" x14ac:dyDescent="0.2">
      <c r="A243" s="149"/>
      <c r="B243" s="14">
        <f t="shared" si="144"/>
        <v>0</v>
      </c>
      <c r="C243" s="12">
        <f t="shared" si="145"/>
        <v>0</v>
      </c>
      <c r="D243" s="17">
        <f t="shared" si="183"/>
        <v>237</v>
      </c>
      <c r="E243" s="17">
        <f t="shared" ca="1" si="146"/>
        <v>79</v>
      </c>
      <c r="F243" s="12">
        <f t="shared" si="185"/>
        <v>8</v>
      </c>
      <c r="G243" s="12">
        <f t="shared" si="184"/>
        <v>40</v>
      </c>
      <c r="H243" s="17">
        <f t="shared" si="186"/>
        <v>20</v>
      </c>
      <c r="I243" s="29">
        <f t="shared" si="147"/>
        <v>0</v>
      </c>
      <c r="J243" s="211">
        <f>IFERROR(VLOOKUP(H243,Charges!$T$6:$U$35,2,0)*C243,0)</f>
        <v>0</v>
      </c>
      <c r="K243" s="29">
        <f t="shared" si="148"/>
        <v>0</v>
      </c>
      <c r="L243" s="29">
        <f t="shared" si="149"/>
        <v>0</v>
      </c>
      <c r="M243" s="147">
        <f t="shared" ca="1" si="150"/>
        <v>0</v>
      </c>
      <c r="N243" s="148">
        <f ca="1">IF(AND(Option_SPW="Y",Z242&gt;=SPW_Start_Min_FV,H243&gt;=Lock_In_Period,Z242&gt;SPW_Amount_pa+IF(option="Single",1/5*pr,2*pr),H243&gt;=SPW_Start_Year,H243&lt;=SPW_Start_Year+SPW_Duration-1,F243=0,age+H243&gt;=Legal_Age),SPW_Amount_pa,0)+IFERROR(VLOOKUP(H243,Input!$B$68:$C$74,2,0),0)*(F243=0)*(Option_PW="Y")*(Option_SPW="N")*(age+H243&gt;=Legal_Age)</f>
        <v>0</v>
      </c>
      <c r="O243" s="148">
        <f t="shared" ca="1" si="176"/>
        <v>0</v>
      </c>
      <c r="P243" s="14">
        <f ca="1">(MAX(MAX(sa-CF242*Flag_UL_Type,105%*SUM($I$7:I243))-(AD242+L243-N243)*Flag_UL_Type,0)*B243)</f>
        <v>0</v>
      </c>
      <c r="Q243" s="213">
        <f t="shared" si="151"/>
        <v>0</v>
      </c>
      <c r="R243" s="14">
        <f t="shared" ca="1" si="152"/>
        <v>0</v>
      </c>
      <c r="S243" s="14">
        <f t="shared" ca="1" si="153"/>
        <v>0</v>
      </c>
      <c r="T243" s="14">
        <f>IFERROR(IF(WoP_Flag="Y",IF(fq=1,VLOOKUP(ppt*fq-H243,Charges!$AN$41:$AO$59,2,FALSE),IF(fq=2,VLOOKUP(ppt*fq-G243,Charges!$AP$41:$AQ$79,2,FALSE),VLOOKUP(ppt*fq-D243,Charges!$AR$41:$AS$279,2,FALSE)))*pr/fq,0),0)</f>
        <v>0</v>
      </c>
      <c r="U243" s="14">
        <f ca="1">IFERROR(((T243*(VLOOKUP(Input!$D$18+H243-1,Tab_Mort_Charge,IF(Gender_2="M",2,3),FALSE)*(1+_emr2)+_rpm2)/IF(Model_Type="LA_PQIS",1000/0.0833,(12*1000))))*Flag_Mort_Rider_Charge*(T243&gt;0),0)</f>
        <v>0</v>
      </c>
      <c r="V243" s="34">
        <f>ROUND(MIN(IF(H243&gt;=7,Charges!$C$12*(1+Charges!$C$14)^((H243-7+1)),VLOOKUP(H243,Charges!$B$7:$C$12,2,0))*pr,Charges!$C$13)*B243,Round)</f>
        <v>0</v>
      </c>
      <c r="W243" s="14">
        <f t="shared" ca="1" si="154"/>
        <v>0</v>
      </c>
      <c r="X243" s="14">
        <f t="shared" ca="1" si="155"/>
        <v>0</v>
      </c>
      <c r="Y243" s="213">
        <f t="shared" ca="1" si="177"/>
        <v>0</v>
      </c>
      <c r="Z243" s="14">
        <f t="shared" ca="1" si="156"/>
        <v>0</v>
      </c>
      <c r="AA243" s="14">
        <f>IF(AND($H243=pt,$F243=11),SUM($K$7:K243)*VLOOKUP(pt,ROC,2,FALSE),0)</f>
        <v>0</v>
      </c>
      <c r="AB243" s="14">
        <f>IF(AND($H243=pt,$F243=11),SUM($V$7:V243)*VLOOKUP(pt,ROC,2,FALSE),0)</f>
        <v>0</v>
      </c>
      <c r="AC243" s="14">
        <f>IF(AND($H243=pt,$F243=11),SUM($Q$7:Q243)*VLOOKUP(pt,ROC,2,FALSE),0)</f>
        <v>0</v>
      </c>
      <c r="AD243" s="14">
        <f t="shared" ca="1" si="178"/>
        <v>0</v>
      </c>
      <c r="AE243" s="14">
        <f ca="1">(MAX(sa-CF242*Flag_UL_Type,105%*SUM($I$7:I243),Z243)+AU243)*B243</f>
        <v>0</v>
      </c>
      <c r="AF243" s="136"/>
      <c r="AG243" s="18">
        <v>237</v>
      </c>
      <c r="AH243" s="30">
        <f t="shared" ca="1" si="157"/>
        <v>0</v>
      </c>
      <c r="AI243" s="58"/>
      <c r="AJ243" s="50">
        <f>IF(AND(Option_Sys_TopUp&gt;="Y",H243&gt;=sytp,H243&lt;=(dtp+sytp-1),F243=0,H243&lt;=ppt+1),atp,0)+IFERROR(VLOOKUP(H243,Input!$B$55:$C$61,2,0),0)*(F243=0)*(Option_TopUP="Y")*(Option_Sys_TopUp="N")*B243*(pt&gt;=H243+5)</f>
        <v>0</v>
      </c>
      <c r="AK243" s="50">
        <f t="shared" si="158"/>
        <v>0</v>
      </c>
      <c r="AL243" s="50">
        <f t="shared" si="179"/>
        <v>0</v>
      </c>
      <c r="AM243" s="50">
        <f t="shared" ca="1" si="159"/>
        <v>0</v>
      </c>
      <c r="AN243" s="50">
        <f>IF(B243=0,0,AT243*(_rpm1+(1+_emr1)*VLOOKUP(E243,Tab_Mort_Charge,IF(Input!$C$12="M",2,3),0))*(0.001*0.0833)*Flag_Mort_Rider_Charge*(AT243&gt;0))</f>
        <v>0</v>
      </c>
      <c r="AO243" s="50">
        <f t="shared" ca="1" si="180"/>
        <v>0</v>
      </c>
      <c r="AP243" s="50">
        <f t="shared" ca="1" si="187"/>
        <v>0</v>
      </c>
      <c r="AQ243" s="50">
        <f t="shared" ca="1" si="160"/>
        <v>0</v>
      </c>
      <c r="AR243" s="50">
        <f t="shared" ca="1" si="161"/>
        <v>0</v>
      </c>
      <c r="AS243" s="50">
        <f t="shared" si="162"/>
        <v>0</v>
      </c>
      <c r="AT243" s="50">
        <f ca="1">(MAX((MAX(AS243,105%*SUM($AJ$7:AJ243))-AM243*Flag_UL_Type),0)*B243)</f>
        <v>0</v>
      </c>
      <c r="AU243" s="50">
        <f ca="1">(MAX(AS243,AR243,105%*SUM($AJ$7:AJ243))*B243)</f>
        <v>0</v>
      </c>
      <c r="AV243" s="125"/>
      <c r="AW243" s="13"/>
      <c r="AX243" s="13"/>
      <c r="AY243" s="13"/>
      <c r="AZ243" s="13"/>
      <c r="BA243" s="13"/>
      <c r="BG243" s="51">
        <f t="shared" si="163"/>
        <v>0</v>
      </c>
      <c r="BH243" s="51">
        <f t="shared" si="164"/>
        <v>0</v>
      </c>
      <c r="BI243" s="51">
        <f t="shared" ca="1" si="165"/>
        <v>0</v>
      </c>
      <c r="BJ243" s="51">
        <f t="shared" ca="1" si="166"/>
        <v>0</v>
      </c>
      <c r="BK243" s="51">
        <f t="shared" si="167"/>
        <v>0</v>
      </c>
      <c r="BL243" s="51">
        <f t="shared" ca="1" si="168"/>
        <v>0</v>
      </c>
      <c r="BM243" s="51">
        <f t="shared" si="169"/>
        <v>0</v>
      </c>
      <c r="BN243" s="51">
        <f t="shared" si="170"/>
        <v>0</v>
      </c>
      <c r="BO243" s="51">
        <f t="shared" ca="1" si="171"/>
        <v>0</v>
      </c>
      <c r="BP243" s="51">
        <f t="shared" ca="1" si="172"/>
        <v>0</v>
      </c>
      <c r="BQ243" s="120"/>
      <c r="BR243" s="32"/>
      <c r="BS243" s="126"/>
      <c r="BT243" s="16"/>
      <c r="BU243" s="58"/>
      <c r="BW243" s="51">
        <f>VLOOKUP(H243,Charges!$AT$4:$AU$33,2,FALSE)*I243</f>
        <v>0</v>
      </c>
      <c r="BX243" s="51">
        <f t="shared" si="173"/>
        <v>0</v>
      </c>
      <c r="BY243" s="51">
        <f t="shared" si="181"/>
        <v>0</v>
      </c>
      <c r="BZ243" s="151"/>
      <c r="CA243" s="151"/>
      <c r="CB243" s="32"/>
      <c r="CC243" s="16">
        <f ca="1">SUM($N$7:$N243)</f>
        <v>0</v>
      </c>
      <c r="CD243" s="16">
        <f t="shared" ca="1" si="174"/>
        <v>0</v>
      </c>
      <c r="CE243" s="16">
        <f t="shared" ca="1" si="175"/>
        <v>0</v>
      </c>
      <c r="CF243" s="7">
        <f t="shared" ca="1" si="182"/>
        <v>0</v>
      </c>
    </row>
    <row r="244" spans="1:84" s="7" customFormat="1" x14ac:dyDescent="0.2">
      <c r="A244" s="149"/>
      <c r="B244" s="14">
        <f t="shared" si="144"/>
        <v>0</v>
      </c>
      <c r="C244" s="12">
        <f t="shared" si="145"/>
        <v>0</v>
      </c>
      <c r="D244" s="17">
        <f t="shared" si="183"/>
        <v>238</v>
      </c>
      <c r="E244" s="17">
        <f t="shared" ca="1" si="146"/>
        <v>79</v>
      </c>
      <c r="F244" s="12">
        <f t="shared" si="185"/>
        <v>9</v>
      </c>
      <c r="G244" s="12">
        <f t="shared" si="184"/>
        <v>40</v>
      </c>
      <c r="H244" s="17">
        <f t="shared" si="186"/>
        <v>20</v>
      </c>
      <c r="I244" s="29">
        <f t="shared" si="147"/>
        <v>0</v>
      </c>
      <c r="J244" s="211">
        <f>IFERROR(VLOOKUP(H244,Charges!$T$6:$U$35,2,0)*C244,0)</f>
        <v>0</v>
      </c>
      <c r="K244" s="29">
        <f t="shared" si="148"/>
        <v>0</v>
      </c>
      <c r="L244" s="29">
        <f t="shared" si="149"/>
        <v>0</v>
      </c>
      <c r="M244" s="147">
        <f t="shared" ca="1" si="150"/>
        <v>0</v>
      </c>
      <c r="N244" s="148">
        <f ca="1">IF(AND(Option_SPW="Y",Z243&gt;=SPW_Start_Min_FV,H244&gt;=Lock_In_Period,Z243&gt;SPW_Amount_pa+IF(option="Single",1/5*pr,2*pr),H244&gt;=SPW_Start_Year,H244&lt;=SPW_Start_Year+SPW_Duration-1,F244=0,age+H244&gt;=Legal_Age),SPW_Amount_pa,0)+IFERROR(VLOOKUP(H244,Input!$B$68:$C$74,2,0),0)*(F244=0)*(Option_PW="Y")*(Option_SPW="N")*(age+H244&gt;=Legal_Age)</f>
        <v>0</v>
      </c>
      <c r="O244" s="148">
        <f t="shared" ca="1" si="176"/>
        <v>0</v>
      </c>
      <c r="P244" s="14">
        <f ca="1">(MAX(MAX(sa-CF243*Flag_UL_Type,105%*SUM($I$7:I244))-(AD243+L244-N244)*Flag_UL_Type,0)*B244)</f>
        <v>0</v>
      </c>
      <c r="Q244" s="213">
        <f t="shared" si="151"/>
        <v>0</v>
      </c>
      <c r="R244" s="14">
        <f t="shared" ca="1" si="152"/>
        <v>0</v>
      </c>
      <c r="S244" s="14">
        <f t="shared" ca="1" si="153"/>
        <v>0</v>
      </c>
      <c r="T244" s="14">
        <f>IFERROR(IF(WoP_Flag="Y",IF(fq=1,VLOOKUP(ppt*fq-H244,Charges!$AN$41:$AO$59,2,FALSE),IF(fq=2,VLOOKUP(ppt*fq-G244,Charges!$AP$41:$AQ$79,2,FALSE),VLOOKUP(ppt*fq-D244,Charges!$AR$41:$AS$279,2,FALSE)))*pr/fq,0),0)</f>
        <v>0</v>
      </c>
      <c r="U244" s="14">
        <f ca="1">IFERROR(((T244*(VLOOKUP(Input!$D$18+H244-1,Tab_Mort_Charge,IF(Gender_2="M",2,3),FALSE)*(1+_emr2)+_rpm2)/IF(Model_Type="LA_PQIS",1000/0.0833,(12*1000))))*Flag_Mort_Rider_Charge*(T244&gt;0),0)</f>
        <v>0</v>
      </c>
      <c r="V244" s="34">
        <f>ROUND(MIN(IF(H244&gt;=7,Charges!$C$12*(1+Charges!$C$14)^((H244-7+1)),VLOOKUP(H244,Charges!$B$7:$C$12,2,0))*pr,Charges!$C$13)*B244,Round)</f>
        <v>0</v>
      </c>
      <c r="W244" s="14">
        <f t="shared" ca="1" si="154"/>
        <v>0</v>
      </c>
      <c r="X244" s="14">
        <f t="shared" ca="1" si="155"/>
        <v>0</v>
      </c>
      <c r="Y244" s="213">
        <f t="shared" ca="1" si="177"/>
        <v>0</v>
      </c>
      <c r="Z244" s="14">
        <f t="shared" ca="1" si="156"/>
        <v>0</v>
      </c>
      <c r="AA244" s="14">
        <f>IF(AND($H244=pt,$F244=11),SUM($K$7:K244)*VLOOKUP(pt,ROC,2,FALSE),0)</f>
        <v>0</v>
      </c>
      <c r="AB244" s="14">
        <f>IF(AND($H244=pt,$F244=11),SUM($V$7:V244)*VLOOKUP(pt,ROC,2,FALSE),0)</f>
        <v>0</v>
      </c>
      <c r="AC244" s="14">
        <f>IF(AND($H244=pt,$F244=11),SUM($Q$7:Q244)*VLOOKUP(pt,ROC,2,FALSE),0)</f>
        <v>0</v>
      </c>
      <c r="AD244" s="14">
        <f t="shared" ca="1" si="178"/>
        <v>0</v>
      </c>
      <c r="AE244" s="14">
        <f ca="1">(MAX(sa-CF243*Flag_UL_Type,105%*SUM($I$7:I244),Z244)+AU244)*B244</f>
        <v>0</v>
      </c>
      <c r="AF244" s="136"/>
      <c r="AG244" s="18">
        <v>238</v>
      </c>
      <c r="AH244" s="30">
        <f t="shared" ca="1" si="157"/>
        <v>0</v>
      </c>
      <c r="AI244" s="58"/>
      <c r="AJ244" s="50">
        <f>IF(AND(Option_Sys_TopUp&gt;="Y",H244&gt;=sytp,H244&lt;=(dtp+sytp-1),F244=0,H244&lt;=ppt+1),atp,0)+IFERROR(VLOOKUP(H244,Input!$B$55:$C$61,2,0),0)*(F244=0)*(Option_TopUP="Y")*(Option_Sys_TopUp="N")*B244*(pt&gt;=H244+5)</f>
        <v>0</v>
      </c>
      <c r="AK244" s="50">
        <f t="shared" si="158"/>
        <v>0</v>
      </c>
      <c r="AL244" s="50">
        <f t="shared" si="179"/>
        <v>0</v>
      </c>
      <c r="AM244" s="50">
        <f t="shared" ca="1" si="159"/>
        <v>0</v>
      </c>
      <c r="AN244" s="50">
        <f>IF(B244=0,0,AT244*(_rpm1+(1+_emr1)*VLOOKUP(E244,Tab_Mort_Charge,IF(Input!$C$12="M",2,3),0))*(0.001*0.0833)*Flag_Mort_Rider_Charge*(AT244&gt;0))</f>
        <v>0</v>
      </c>
      <c r="AO244" s="50">
        <f t="shared" ca="1" si="180"/>
        <v>0</v>
      </c>
      <c r="AP244" s="50">
        <f t="shared" ca="1" si="187"/>
        <v>0</v>
      </c>
      <c r="AQ244" s="50">
        <f t="shared" ca="1" si="160"/>
        <v>0</v>
      </c>
      <c r="AR244" s="50">
        <f t="shared" ca="1" si="161"/>
        <v>0</v>
      </c>
      <c r="AS244" s="50">
        <f t="shared" si="162"/>
        <v>0</v>
      </c>
      <c r="AT244" s="50">
        <f ca="1">(MAX((MAX(AS244,105%*SUM($AJ$7:AJ244))-AM244*Flag_UL_Type),0)*B244)</f>
        <v>0</v>
      </c>
      <c r="AU244" s="50">
        <f ca="1">(MAX(AS244,AR244,105%*SUM($AJ$7:AJ244))*B244)</f>
        <v>0</v>
      </c>
      <c r="AV244" s="125"/>
      <c r="AW244" s="13"/>
      <c r="AX244" s="13"/>
      <c r="AY244" s="13"/>
      <c r="AZ244" s="13"/>
      <c r="BA244" s="13"/>
      <c r="BG244" s="51">
        <f t="shared" si="163"/>
        <v>0</v>
      </c>
      <c r="BH244" s="51">
        <f t="shared" si="164"/>
        <v>0</v>
      </c>
      <c r="BI244" s="51">
        <f t="shared" ca="1" si="165"/>
        <v>0</v>
      </c>
      <c r="BJ244" s="51">
        <f t="shared" ca="1" si="166"/>
        <v>0</v>
      </c>
      <c r="BK244" s="51">
        <f t="shared" si="167"/>
        <v>0</v>
      </c>
      <c r="BL244" s="51">
        <f t="shared" ca="1" si="168"/>
        <v>0</v>
      </c>
      <c r="BM244" s="51">
        <f t="shared" si="169"/>
        <v>0</v>
      </c>
      <c r="BN244" s="51">
        <f t="shared" si="170"/>
        <v>0</v>
      </c>
      <c r="BO244" s="51">
        <f t="shared" ca="1" si="171"/>
        <v>0</v>
      </c>
      <c r="BP244" s="51">
        <f t="shared" ca="1" si="172"/>
        <v>0</v>
      </c>
      <c r="BQ244" s="120"/>
      <c r="BR244" s="32"/>
      <c r="BS244" s="126"/>
      <c r="BT244" s="16"/>
      <c r="BU244" s="58"/>
      <c r="BW244" s="51">
        <f>VLOOKUP(H244,Charges!$AT$4:$AU$33,2,FALSE)*I244</f>
        <v>0</v>
      </c>
      <c r="BX244" s="51">
        <f t="shared" si="173"/>
        <v>0</v>
      </c>
      <c r="BY244" s="51">
        <f t="shared" si="181"/>
        <v>0</v>
      </c>
      <c r="BZ244" s="151"/>
      <c r="CA244" s="151"/>
      <c r="CB244" s="32"/>
      <c r="CC244" s="16">
        <f ca="1">SUM($N$7:$N244)</f>
        <v>0</v>
      </c>
      <c r="CD244" s="16">
        <f t="shared" ca="1" si="174"/>
        <v>0</v>
      </c>
      <c r="CE244" s="16">
        <f t="shared" ca="1" si="175"/>
        <v>0</v>
      </c>
      <c r="CF244" s="7">
        <f t="shared" ca="1" si="182"/>
        <v>0</v>
      </c>
    </row>
    <row r="245" spans="1:84" s="7" customFormat="1" x14ac:dyDescent="0.2">
      <c r="A245" s="149"/>
      <c r="B245" s="14">
        <f t="shared" si="144"/>
        <v>0</v>
      </c>
      <c r="C245" s="12">
        <f t="shared" si="145"/>
        <v>0</v>
      </c>
      <c r="D245" s="17">
        <f t="shared" si="183"/>
        <v>239</v>
      </c>
      <c r="E245" s="17">
        <f t="shared" ca="1" si="146"/>
        <v>79</v>
      </c>
      <c r="F245" s="12">
        <f t="shared" si="185"/>
        <v>10</v>
      </c>
      <c r="G245" s="12">
        <f t="shared" si="184"/>
        <v>40</v>
      </c>
      <c r="H245" s="17">
        <f t="shared" si="186"/>
        <v>20</v>
      </c>
      <c r="I245" s="29">
        <f t="shared" si="147"/>
        <v>0</v>
      </c>
      <c r="J245" s="211">
        <f>IFERROR(VLOOKUP(H245,Charges!$T$6:$U$35,2,0)*C245,0)</f>
        <v>0</v>
      </c>
      <c r="K245" s="29">
        <f t="shared" si="148"/>
        <v>0</v>
      </c>
      <c r="L245" s="29">
        <f t="shared" si="149"/>
        <v>0</v>
      </c>
      <c r="M245" s="147">
        <f t="shared" ca="1" si="150"/>
        <v>0</v>
      </c>
      <c r="N245" s="148">
        <f ca="1">IF(AND(Option_SPW="Y",Z244&gt;=SPW_Start_Min_FV,H245&gt;=Lock_In_Period,Z244&gt;SPW_Amount_pa+IF(option="Single",1/5*pr,2*pr),H245&gt;=SPW_Start_Year,H245&lt;=SPW_Start_Year+SPW_Duration-1,F245=0,age+H245&gt;=Legal_Age),SPW_Amount_pa,0)+IFERROR(VLOOKUP(H245,Input!$B$68:$C$74,2,0),0)*(F245=0)*(Option_PW="Y")*(Option_SPW="N")*(age+H245&gt;=Legal_Age)</f>
        <v>0</v>
      </c>
      <c r="O245" s="148">
        <f t="shared" ca="1" si="176"/>
        <v>0</v>
      </c>
      <c r="P245" s="14">
        <f ca="1">(MAX(MAX(sa-CF244*Flag_UL_Type,105%*SUM($I$7:I245))-(AD244+L245-N245)*Flag_UL_Type,0)*B245)</f>
        <v>0</v>
      </c>
      <c r="Q245" s="213">
        <f t="shared" si="151"/>
        <v>0</v>
      </c>
      <c r="R245" s="14">
        <f t="shared" ca="1" si="152"/>
        <v>0</v>
      </c>
      <c r="S245" s="14">
        <f t="shared" ca="1" si="153"/>
        <v>0</v>
      </c>
      <c r="T245" s="14">
        <f>IFERROR(IF(WoP_Flag="Y",IF(fq=1,VLOOKUP(ppt*fq-H245,Charges!$AN$41:$AO$59,2,FALSE),IF(fq=2,VLOOKUP(ppt*fq-G245,Charges!$AP$41:$AQ$79,2,FALSE),VLOOKUP(ppt*fq-D245,Charges!$AR$41:$AS$279,2,FALSE)))*pr/fq,0),0)</f>
        <v>0</v>
      </c>
      <c r="U245" s="14">
        <f ca="1">IFERROR(((T245*(VLOOKUP(Input!$D$18+H245-1,Tab_Mort_Charge,IF(Gender_2="M",2,3),FALSE)*(1+_emr2)+_rpm2)/IF(Model_Type="LA_PQIS",1000/0.0833,(12*1000))))*Flag_Mort_Rider_Charge*(T245&gt;0),0)</f>
        <v>0</v>
      </c>
      <c r="V245" s="34">
        <f>ROUND(MIN(IF(H245&gt;=7,Charges!$C$12*(1+Charges!$C$14)^((H245-7+1)),VLOOKUP(H245,Charges!$B$7:$C$12,2,0))*pr,Charges!$C$13)*B245,Round)</f>
        <v>0</v>
      </c>
      <c r="W245" s="14">
        <f t="shared" ca="1" si="154"/>
        <v>0</v>
      </c>
      <c r="X245" s="14">
        <f t="shared" ca="1" si="155"/>
        <v>0</v>
      </c>
      <c r="Y245" s="213">
        <f t="shared" ca="1" si="177"/>
        <v>0</v>
      </c>
      <c r="Z245" s="14">
        <f t="shared" ca="1" si="156"/>
        <v>0</v>
      </c>
      <c r="AA245" s="14">
        <f>IF(AND($H245=pt,$F245=11),SUM($K$7:K245)*VLOOKUP(pt,ROC,2,FALSE),0)</f>
        <v>0</v>
      </c>
      <c r="AB245" s="14">
        <f>IF(AND($H245=pt,$F245=11),SUM($V$7:V245)*VLOOKUP(pt,ROC,2,FALSE),0)</f>
        <v>0</v>
      </c>
      <c r="AC245" s="14">
        <f>IF(AND($H245=pt,$F245=11),SUM($Q$7:Q245)*VLOOKUP(pt,ROC,2,FALSE),0)</f>
        <v>0</v>
      </c>
      <c r="AD245" s="14">
        <f t="shared" ca="1" si="178"/>
        <v>0</v>
      </c>
      <c r="AE245" s="14">
        <f ca="1">(MAX(sa-CF244*Flag_UL_Type,105%*SUM($I$7:I245),Z245)+AU245)*B245</f>
        <v>0</v>
      </c>
      <c r="AF245" s="136"/>
      <c r="AG245" s="18">
        <v>239</v>
      </c>
      <c r="AH245" s="30">
        <f t="shared" ca="1" si="157"/>
        <v>0</v>
      </c>
      <c r="AI245" s="58"/>
      <c r="AJ245" s="50">
        <f>IF(AND(Option_Sys_TopUp&gt;="Y",H245&gt;=sytp,H245&lt;=(dtp+sytp-1),F245=0,H245&lt;=ppt+1),atp,0)+IFERROR(VLOOKUP(H245,Input!$B$55:$C$61,2,0),0)*(F245=0)*(Option_TopUP="Y")*(Option_Sys_TopUp="N")*B245*(pt&gt;=H245+5)</f>
        <v>0</v>
      </c>
      <c r="AK245" s="50">
        <f t="shared" si="158"/>
        <v>0</v>
      </c>
      <c r="AL245" s="50">
        <f t="shared" si="179"/>
        <v>0</v>
      </c>
      <c r="AM245" s="50">
        <f t="shared" ca="1" si="159"/>
        <v>0</v>
      </c>
      <c r="AN245" s="50">
        <f>IF(B245=0,0,AT245*(_rpm1+(1+_emr1)*VLOOKUP(E245,Tab_Mort_Charge,IF(Input!$C$12="M",2,3),0))*(0.001*0.0833)*Flag_Mort_Rider_Charge*(AT245&gt;0))</f>
        <v>0</v>
      </c>
      <c r="AO245" s="50">
        <f t="shared" ca="1" si="180"/>
        <v>0</v>
      </c>
      <c r="AP245" s="50">
        <f t="shared" ca="1" si="187"/>
        <v>0</v>
      </c>
      <c r="AQ245" s="50">
        <f t="shared" ca="1" si="160"/>
        <v>0</v>
      </c>
      <c r="AR245" s="50">
        <f t="shared" ca="1" si="161"/>
        <v>0</v>
      </c>
      <c r="AS245" s="50">
        <f t="shared" si="162"/>
        <v>0</v>
      </c>
      <c r="AT245" s="50">
        <f ca="1">(MAX((MAX(AS245,105%*SUM($AJ$7:AJ245))-AM245*Flag_UL_Type),0)*B245)</f>
        <v>0</v>
      </c>
      <c r="AU245" s="50">
        <f ca="1">(MAX(AS245,AR245,105%*SUM($AJ$7:AJ245))*B245)</f>
        <v>0</v>
      </c>
      <c r="AV245" s="125"/>
      <c r="AW245" s="13"/>
      <c r="AX245" s="13"/>
      <c r="AY245" s="13"/>
      <c r="AZ245" s="13"/>
      <c r="BA245" s="13"/>
      <c r="BG245" s="51">
        <f t="shared" si="163"/>
        <v>0</v>
      </c>
      <c r="BH245" s="51">
        <f t="shared" si="164"/>
        <v>0</v>
      </c>
      <c r="BI245" s="51">
        <f t="shared" ca="1" si="165"/>
        <v>0</v>
      </c>
      <c r="BJ245" s="51">
        <f t="shared" ca="1" si="166"/>
        <v>0</v>
      </c>
      <c r="BK245" s="51">
        <f t="shared" si="167"/>
        <v>0</v>
      </c>
      <c r="BL245" s="51">
        <f t="shared" ca="1" si="168"/>
        <v>0</v>
      </c>
      <c r="BM245" s="51">
        <f t="shared" si="169"/>
        <v>0</v>
      </c>
      <c r="BN245" s="51">
        <f t="shared" si="170"/>
        <v>0</v>
      </c>
      <c r="BO245" s="51">
        <f t="shared" ca="1" si="171"/>
        <v>0</v>
      </c>
      <c r="BP245" s="51">
        <f t="shared" ca="1" si="172"/>
        <v>0</v>
      </c>
      <c r="BQ245" s="120"/>
      <c r="BR245" s="32"/>
      <c r="BS245" s="126"/>
      <c r="BT245" s="16"/>
      <c r="BU245" s="58"/>
      <c r="BW245" s="51">
        <f>VLOOKUP(H245,Charges!$AT$4:$AU$33,2,FALSE)*I245</f>
        <v>0</v>
      </c>
      <c r="BX245" s="51">
        <f t="shared" si="173"/>
        <v>0</v>
      </c>
      <c r="BY245" s="51">
        <f t="shared" si="181"/>
        <v>0</v>
      </c>
      <c r="BZ245" s="151"/>
      <c r="CA245" s="151"/>
      <c r="CB245" s="32"/>
      <c r="CC245" s="16">
        <f ca="1">SUM($N$7:$N245)</f>
        <v>0</v>
      </c>
      <c r="CD245" s="16">
        <f t="shared" ca="1" si="174"/>
        <v>0</v>
      </c>
      <c r="CE245" s="16">
        <f t="shared" ca="1" si="175"/>
        <v>0</v>
      </c>
      <c r="CF245" s="7">
        <f t="shared" ca="1" si="182"/>
        <v>0</v>
      </c>
    </row>
    <row r="246" spans="1:84" s="7" customFormat="1" x14ac:dyDescent="0.2">
      <c r="A246" s="149"/>
      <c r="B246" s="14">
        <f t="shared" si="144"/>
        <v>0</v>
      </c>
      <c r="C246" s="12">
        <f t="shared" si="145"/>
        <v>0</v>
      </c>
      <c r="D246" s="17">
        <f t="shared" si="183"/>
        <v>240</v>
      </c>
      <c r="E246" s="17">
        <f t="shared" ca="1" si="146"/>
        <v>79</v>
      </c>
      <c r="F246" s="12">
        <f t="shared" si="185"/>
        <v>11</v>
      </c>
      <c r="G246" s="12">
        <f t="shared" si="184"/>
        <v>40</v>
      </c>
      <c r="H246" s="17">
        <f t="shared" si="186"/>
        <v>20</v>
      </c>
      <c r="I246" s="29">
        <f t="shared" si="147"/>
        <v>0</v>
      </c>
      <c r="J246" s="211">
        <f>IFERROR(VLOOKUP(H246,Charges!$T$6:$U$35,2,0)*C246,0)</f>
        <v>0</v>
      </c>
      <c r="K246" s="29">
        <f t="shared" si="148"/>
        <v>0</v>
      </c>
      <c r="L246" s="29">
        <f t="shared" si="149"/>
        <v>0</v>
      </c>
      <c r="M246" s="147">
        <f t="shared" ca="1" si="150"/>
        <v>0</v>
      </c>
      <c r="N246" s="148">
        <f ca="1">IF(AND(Option_SPW="Y",Z245&gt;=SPW_Start_Min_FV,H246&gt;=Lock_In_Period,Z245&gt;SPW_Amount_pa+IF(option="Single",1/5*pr,2*pr),H246&gt;=SPW_Start_Year,H246&lt;=SPW_Start_Year+SPW_Duration-1,F246=0,age+H246&gt;=Legal_Age),SPW_Amount_pa,0)+IFERROR(VLOOKUP(H246,Input!$B$68:$C$74,2,0),0)*(F246=0)*(Option_PW="Y")*(Option_SPW="N")*(age+H246&gt;=Legal_Age)</f>
        <v>0</v>
      </c>
      <c r="O246" s="148">
        <f t="shared" ca="1" si="176"/>
        <v>0</v>
      </c>
      <c r="P246" s="14">
        <f ca="1">(MAX(MAX(sa-CF245*Flag_UL_Type,105%*SUM($I$7:I246))-(AD245+L246-N246)*Flag_UL_Type,0)*B246)</f>
        <v>0</v>
      </c>
      <c r="Q246" s="213">
        <f t="shared" si="151"/>
        <v>0</v>
      </c>
      <c r="R246" s="14">
        <f t="shared" ca="1" si="152"/>
        <v>0</v>
      </c>
      <c r="S246" s="14">
        <f t="shared" ca="1" si="153"/>
        <v>0</v>
      </c>
      <c r="T246" s="14">
        <f>IFERROR(IF(WoP_Flag="Y",IF(fq=1,VLOOKUP(ppt*fq-H246,Charges!$AN$41:$AO$59,2,FALSE),IF(fq=2,VLOOKUP(ppt*fq-G246,Charges!$AP$41:$AQ$79,2,FALSE),VLOOKUP(ppt*fq-D246,Charges!$AR$41:$AS$279,2,FALSE)))*pr/fq,0),0)</f>
        <v>0</v>
      </c>
      <c r="U246" s="14">
        <f ca="1">IFERROR(((T246*(VLOOKUP(Input!$D$18+H246-1,Tab_Mort_Charge,IF(Gender_2="M",2,3),FALSE)*(1+_emr2)+_rpm2)/IF(Model_Type="LA_PQIS",1000/0.0833,(12*1000))))*Flag_Mort_Rider_Charge*(T246&gt;0),0)</f>
        <v>0</v>
      </c>
      <c r="V246" s="34">
        <f>ROUND(MIN(IF(H246&gt;=7,Charges!$C$12*(1+Charges!$C$14)^((H246-7+1)),VLOOKUP(H246,Charges!$B$7:$C$12,2,0))*pr,Charges!$C$13)*B246,Round)</f>
        <v>0</v>
      </c>
      <c r="W246" s="14">
        <f t="shared" ca="1" si="154"/>
        <v>0</v>
      </c>
      <c r="X246" s="14">
        <f t="shared" ca="1" si="155"/>
        <v>0</v>
      </c>
      <c r="Y246" s="213">
        <f t="shared" ca="1" si="177"/>
        <v>0</v>
      </c>
      <c r="Z246" s="14">
        <f t="shared" ca="1" si="156"/>
        <v>0</v>
      </c>
      <c r="AA246" s="14">
        <f>IF(AND($H246=pt,$F246=11),SUM($K$7:K246)*VLOOKUP(pt,ROC,2,FALSE),0)</f>
        <v>0</v>
      </c>
      <c r="AB246" s="14">
        <f>IF(AND($H246=pt,$F246=11),SUM($V$7:V246)*VLOOKUP(pt,ROC,2,FALSE),0)</f>
        <v>0</v>
      </c>
      <c r="AC246" s="14">
        <f>IF(AND($H246=pt,$F246=11),SUM($Q$7:Q246)*VLOOKUP(pt,ROC,2,FALSE),0)</f>
        <v>0</v>
      </c>
      <c r="AD246" s="14">
        <f t="shared" ca="1" si="178"/>
        <v>0</v>
      </c>
      <c r="AE246" s="14">
        <f ca="1">(MAX(sa-CF245*Flag_UL_Type,105%*SUM($I$7:I246),Z246)+AU246)*B246</f>
        <v>0</v>
      </c>
      <c r="AF246" s="136"/>
      <c r="AG246" s="18">
        <v>240</v>
      </c>
      <c r="AH246" s="30">
        <f t="shared" ca="1" si="157"/>
        <v>0</v>
      </c>
      <c r="AI246" s="58"/>
      <c r="AJ246" s="50">
        <f>IF(AND(Option_Sys_TopUp&gt;="Y",H246&gt;=sytp,H246&lt;=(dtp+sytp-1),F246=0,H246&lt;=ppt+1),atp,0)+IFERROR(VLOOKUP(H246,Input!$B$55:$C$61,2,0),0)*(F246=0)*(Option_TopUP="Y")*(Option_Sys_TopUp="N")*B246*(pt&gt;=H246+5)</f>
        <v>0</v>
      </c>
      <c r="AK246" s="50">
        <f t="shared" si="158"/>
        <v>0</v>
      </c>
      <c r="AL246" s="50">
        <f t="shared" si="179"/>
        <v>0</v>
      </c>
      <c r="AM246" s="50">
        <f t="shared" ca="1" si="159"/>
        <v>0</v>
      </c>
      <c r="AN246" s="50">
        <f>IF(B246=0,0,AT246*(_rpm1+(1+_emr1)*VLOOKUP(E246,Tab_Mort_Charge,IF(Input!$C$12="M",2,3),0))*(0.001*0.0833)*Flag_Mort_Rider_Charge*(AT246&gt;0))</f>
        <v>0</v>
      </c>
      <c r="AO246" s="50">
        <f t="shared" ca="1" si="180"/>
        <v>0</v>
      </c>
      <c r="AP246" s="50">
        <f t="shared" ca="1" si="187"/>
        <v>0</v>
      </c>
      <c r="AQ246" s="50">
        <f t="shared" ca="1" si="160"/>
        <v>0</v>
      </c>
      <c r="AR246" s="50">
        <f t="shared" ca="1" si="161"/>
        <v>0</v>
      </c>
      <c r="AS246" s="50">
        <f t="shared" si="162"/>
        <v>0</v>
      </c>
      <c r="AT246" s="50">
        <f ca="1">(MAX((MAX(AS246,105%*SUM($AJ$7:AJ246))-AM246*Flag_UL_Type),0)*B246)</f>
        <v>0</v>
      </c>
      <c r="AU246" s="50">
        <f ca="1">(MAX(AS246,AR246,105%*SUM($AJ$7:AJ246))*B246)</f>
        <v>0</v>
      </c>
      <c r="AV246" s="125"/>
      <c r="AW246" s="13"/>
      <c r="AX246" s="13"/>
      <c r="AY246" s="13"/>
      <c r="AZ246" s="13"/>
      <c r="BA246" s="13"/>
      <c r="BG246" s="51">
        <f t="shared" si="163"/>
        <v>0</v>
      </c>
      <c r="BH246" s="51">
        <f t="shared" si="164"/>
        <v>0</v>
      </c>
      <c r="BI246" s="51">
        <f t="shared" ca="1" si="165"/>
        <v>0</v>
      </c>
      <c r="BJ246" s="51">
        <f t="shared" ca="1" si="166"/>
        <v>0</v>
      </c>
      <c r="BK246" s="51">
        <f t="shared" si="167"/>
        <v>0</v>
      </c>
      <c r="BL246" s="51">
        <f t="shared" ca="1" si="168"/>
        <v>0</v>
      </c>
      <c r="BM246" s="51">
        <f t="shared" si="169"/>
        <v>0</v>
      </c>
      <c r="BN246" s="51">
        <f t="shared" si="170"/>
        <v>0</v>
      </c>
      <c r="BO246" s="51">
        <f t="shared" ca="1" si="171"/>
        <v>0</v>
      </c>
      <c r="BP246" s="51">
        <f t="shared" ca="1" si="172"/>
        <v>0</v>
      </c>
      <c r="BQ246" s="120"/>
      <c r="BR246" s="32"/>
      <c r="BS246" s="126"/>
      <c r="BT246" s="16"/>
      <c r="BU246" s="58"/>
      <c r="BW246" s="51">
        <f>VLOOKUP(H246,Charges!$AT$4:$AU$33,2,FALSE)*I246</f>
        <v>0</v>
      </c>
      <c r="BX246" s="51">
        <f t="shared" si="173"/>
        <v>0</v>
      </c>
      <c r="BY246" s="51">
        <f t="shared" si="181"/>
        <v>0</v>
      </c>
      <c r="BZ246" s="151"/>
      <c r="CA246" s="151"/>
      <c r="CB246" s="32"/>
      <c r="CC246" s="16">
        <f ca="1">SUM($N$7:$N246)</f>
        <v>0</v>
      </c>
      <c r="CD246" s="16">
        <f t="shared" ca="1" si="174"/>
        <v>0</v>
      </c>
      <c r="CE246" s="16">
        <f t="shared" ca="1" si="175"/>
        <v>0</v>
      </c>
      <c r="CF246" s="7">
        <f t="shared" ca="1" si="182"/>
        <v>0</v>
      </c>
    </row>
    <row r="247" spans="1:84" s="7" customFormat="1" x14ac:dyDescent="0.2">
      <c r="A247" s="149"/>
      <c r="B247" s="14">
        <f t="shared" si="144"/>
        <v>0</v>
      </c>
      <c r="C247" s="12">
        <f t="shared" si="145"/>
        <v>0</v>
      </c>
      <c r="D247" s="17">
        <f t="shared" si="183"/>
        <v>241</v>
      </c>
      <c r="E247" s="17">
        <f t="shared" ca="1" si="146"/>
        <v>80</v>
      </c>
      <c r="F247" s="12">
        <f t="shared" si="185"/>
        <v>0</v>
      </c>
      <c r="G247" s="12">
        <f t="shared" si="184"/>
        <v>41</v>
      </c>
      <c r="H247" s="17">
        <f t="shared" si="186"/>
        <v>21</v>
      </c>
      <c r="I247" s="29">
        <f t="shared" si="147"/>
        <v>0</v>
      </c>
      <c r="J247" s="211">
        <f>IFERROR(VLOOKUP(H247,Charges!$T$6:$U$35,2,0)*C247,0)</f>
        <v>0</v>
      </c>
      <c r="K247" s="29">
        <f t="shared" si="148"/>
        <v>0</v>
      </c>
      <c r="L247" s="29">
        <f t="shared" si="149"/>
        <v>0</v>
      </c>
      <c r="M247" s="147">
        <f t="shared" ca="1" si="150"/>
        <v>0</v>
      </c>
      <c r="N247" s="148">
        <f ca="1">IF(AND(Option_SPW="Y",Z246&gt;=SPW_Start_Min_FV,H247&gt;=Lock_In_Period,Z246&gt;SPW_Amount_pa+IF(option="Single",1/5*pr,2*pr),H247&gt;=SPW_Start_Year,H247&lt;=SPW_Start_Year+SPW_Duration-1,F247=0,age+H247&gt;=Legal_Age),SPW_Amount_pa,0)+IFERROR(VLOOKUP(H247,Input!$B$68:$C$74,2,0),0)*(F247=0)*(Option_PW="Y")*(Option_SPW="N")*(age+H247&gt;=Legal_Age)</f>
        <v>0</v>
      </c>
      <c r="O247" s="148">
        <f t="shared" ca="1" si="176"/>
        <v>0</v>
      </c>
      <c r="P247" s="14">
        <f ca="1">(MAX(MAX(sa-CF246*Flag_UL_Type,105%*SUM($I$7:I247))-(AD246+L247-N247)*Flag_UL_Type,0)*B247)</f>
        <v>0</v>
      </c>
      <c r="Q247" s="213">
        <f t="shared" si="151"/>
        <v>0</v>
      </c>
      <c r="R247" s="14">
        <f t="shared" ca="1" si="152"/>
        <v>0</v>
      </c>
      <c r="S247" s="14">
        <f t="shared" ca="1" si="153"/>
        <v>0</v>
      </c>
      <c r="T247" s="14">
        <f>IFERROR(IF(WoP_Flag="Y",IF(fq=1,VLOOKUP(ppt*fq-H247,Charges!$AN$41:$AO$59,2,FALSE),IF(fq=2,VLOOKUP(ppt*fq-G247,Charges!$AP$41:$AQ$79,2,FALSE),VLOOKUP(ppt*fq-D247,Charges!$AR$41:$AS$279,2,FALSE)))*pr/fq,0),0)</f>
        <v>0</v>
      </c>
      <c r="U247" s="14">
        <f ca="1">IFERROR(((T247*(VLOOKUP(Input!$D$18+H247-1,Tab_Mort_Charge,IF(Gender_2="M",2,3),FALSE)*(1+_emr2)+_rpm2)/IF(Model_Type="LA_PQIS",1000/0.0833,(12*1000))))*Flag_Mort_Rider_Charge*(T247&gt;0),0)</f>
        <v>0</v>
      </c>
      <c r="V247" s="34">
        <f>ROUND(MIN(IF(H247&gt;=7,Charges!$C$12*(1+Charges!$C$14)^((H247-7+1)),VLOOKUP(H247,Charges!$B$7:$C$12,2,0))*pr,Charges!$C$13)*B247,Round)</f>
        <v>0</v>
      </c>
      <c r="W247" s="14">
        <f t="shared" ca="1" si="154"/>
        <v>0</v>
      </c>
      <c r="X247" s="14">
        <f t="shared" ca="1" si="155"/>
        <v>0</v>
      </c>
      <c r="Y247" s="213">
        <f t="shared" ca="1" si="177"/>
        <v>0</v>
      </c>
      <c r="Z247" s="14">
        <f t="shared" ca="1" si="156"/>
        <v>0</v>
      </c>
      <c r="AA247" s="14">
        <f>IF(AND($H247=pt,$F247=11),SUM($K$7:K247)*VLOOKUP(pt,ROC,2,FALSE),0)</f>
        <v>0</v>
      </c>
      <c r="AB247" s="14">
        <f>IF(AND($H247=pt,$F247=11),SUM($V$7:V247)*VLOOKUP(pt,ROC,2,FALSE),0)</f>
        <v>0</v>
      </c>
      <c r="AC247" s="14">
        <f>IF(AND($H247=pt,$F247=11),SUM($Q$7:Q247)*VLOOKUP(pt,ROC,2,FALSE),0)</f>
        <v>0</v>
      </c>
      <c r="AD247" s="14">
        <f t="shared" ca="1" si="178"/>
        <v>0</v>
      </c>
      <c r="AE247" s="14">
        <f ca="1">(MAX(sa-CF246*Flag_UL_Type,105%*SUM($I$7:I247),Z247)+AU247)*B247</f>
        <v>0</v>
      </c>
      <c r="AF247" s="136"/>
      <c r="AG247" s="18">
        <v>241</v>
      </c>
      <c r="AH247" s="30">
        <f t="shared" ca="1" si="157"/>
        <v>0</v>
      </c>
      <c r="AI247" s="58"/>
      <c r="AJ247" s="50">
        <f>IF(AND(Option_Sys_TopUp&gt;="Y",H247&gt;=sytp,H247&lt;=(dtp+sytp-1),F247=0,H247&lt;=ppt+1),atp,0)+IFERROR(VLOOKUP(H247,Input!$B$55:$C$61,2,0),0)*(F247=0)*(Option_TopUP="Y")*(Option_Sys_TopUp="N")*B247*(pt&gt;=H247+5)</f>
        <v>0</v>
      </c>
      <c r="AK247" s="50">
        <f t="shared" si="158"/>
        <v>0</v>
      </c>
      <c r="AL247" s="50">
        <f t="shared" si="179"/>
        <v>0</v>
      </c>
      <c r="AM247" s="50">
        <f t="shared" ca="1" si="159"/>
        <v>0</v>
      </c>
      <c r="AN247" s="50">
        <f>IF(B247=0,0,AT247*(_rpm1+(1+_emr1)*VLOOKUP(E247,Tab_Mort_Charge,IF(Input!$C$12="M",2,3),0))*(0.001*0.0833)*Flag_Mort_Rider_Charge*(AT247&gt;0))</f>
        <v>0</v>
      </c>
      <c r="AO247" s="50">
        <f t="shared" ca="1" si="180"/>
        <v>0</v>
      </c>
      <c r="AP247" s="50">
        <f t="shared" ca="1" si="187"/>
        <v>0</v>
      </c>
      <c r="AQ247" s="50">
        <f t="shared" ca="1" si="160"/>
        <v>0</v>
      </c>
      <c r="AR247" s="50">
        <f t="shared" ca="1" si="161"/>
        <v>0</v>
      </c>
      <c r="AS247" s="50">
        <f t="shared" si="162"/>
        <v>0</v>
      </c>
      <c r="AT247" s="50">
        <f ca="1">(MAX((MAX(AS247,105%*SUM($AJ$7:AJ247))-AM247*Flag_UL_Type),0)*B247)</f>
        <v>0</v>
      </c>
      <c r="AU247" s="50">
        <f ca="1">(MAX(AS247,AR247,105%*SUM($AJ$7:AJ247))*B247)</f>
        <v>0</v>
      </c>
      <c r="AV247" s="125"/>
      <c r="AW247" s="13"/>
      <c r="AX247" s="13"/>
      <c r="AY247" s="13"/>
      <c r="AZ247" s="13"/>
      <c r="BA247" s="13"/>
      <c r="BG247" s="51">
        <f t="shared" si="163"/>
        <v>0</v>
      </c>
      <c r="BH247" s="51">
        <f t="shared" si="164"/>
        <v>0</v>
      </c>
      <c r="BI247" s="51">
        <f t="shared" ca="1" si="165"/>
        <v>0</v>
      </c>
      <c r="BJ247" s="51">
        <f t="shared" ca="1" si="166"/>
        <v>0</v>
      </c>
      <c r="BK247" s="51">
        <f t="shared" si="167"/>
        <v>0</v>
      </c>
      <c r="BL247" s="51">
        <f t="shared" ca="1" si="168"/>
        <v>0</v>
      </c>
      <c r="BM247" s="51">
        <f t="shared" si="169"/>
        <v>0</v>
      </c>
      <c r="BN247" s="51">
        <f t="shared" si="170"/>
        <v>0</v>
      </c>
      <c r="BO247" s="51">
        <f t="shared" ca="1" si="171"/>
        <v>0</v>
      </c>
      <c r="BP247" s="51">
        <f t="shared" ca="1" si="172"/>
        <v>0</v>
      </c>
      <c r="BQ247" s="120"/>
      <c r="BR247" s="32"/>
      <c r="BS247" s="126"/>
      <c r="BT247" s="16"/>
      <c r="BU247" s="58"/>
      <c r="BW247" s="51">
        <f>VLOOKUP(H247,Charges!$AT$4:$AU$33,2,FALSE)*I247</f>
        <v>0</v>
      </c>
      <c r="BX247" s="51">
        <f t="shared" si="173"/>
        <v>0</v>
      </c>
      <c r="BY247" s="51">
        <f t="shared" si="181"/>
        <v>0</v>
      </c>
      <c r="BZ247" s="151"/>
      <c r="CA247" s="151"/>
      <c r="CB247" s="32"/>
      <c r="CC247" s="16">
        <f ca="1">SUM($N$7:$N247)</f>
        <v>0</v>
      </c>
      <c r="CD247" s="16">
        <f t="shared" ca="1" si="174"/>
        <v>0</v>
      </c>
      <c r="CE247" s="16">
        <f t="shared" ca="1" si="175"/>
        <v>0</v>
      </c>
      <c r="CF247" s="7">
        <f t="shared" ca="1" si="182"/>
        <v>0</v>
      </c>
    </row>
    <row r="248" spans="1:84" s="7" customFormat="1" x14ac:dyDescent="0.2">
      <c r="A248" s="149"/>
      <c r="B248" s="14">
        <f t="shared" si="144"/>
        <v>0</v>
      </c>
      <c r="C248" s="12">
        <f t="shared" si="145"/>
        <v>0</v>
      </c>
      <c r="D248" s="17">
        <f t="shared" si="183"/>
        <v>242</v>
      </c>
      <c r="E248" s="17">
        <f t="shared" ca="1" si="146"/>
        <v>80</v>
      </c>
      <c r="F248" s="12">
        <f t="shared" si="185"/>
        <v>1</v>
      </c>
      <c r="G248" s="12">
        <f t="shared" si="184"/>
        <v>41</v>
      </c>
      <c r="H248" s="17">
        <f t="shared" si="186"/>
        <v>21</v>
      </c>
      <c r="I248" s="29">
        <f t="shared" si="147"/>
        <v>0</v>
      </c>
      <c r="J248" s="211">
        <f>IFERROR(VLOOKUP(H248,Charges!$T$6:$U$35,2,0)*C248,0)</f>
        <v>0</v>
      </c>
      <c r="K248" s="29">
        <f t="shared" si="148"/>
        <v>0</v>
      </c>
      <c r="L248" s="29">
        <f t="shared" si="149"/>
        <v>0</v>
      </c>
      <c r="M248" s="147">
        <f t="shared" ca="1" si="150"/>
        <v>0</v>
      </c>
      <c r="N248" s="148">
        <f ca="1">IF(AND(Option_SPW="Y",Z247&gt;=SPW_Start_Min_FV,H248&gt;=Lock_In_Period,Z247&gt;SPW_Amount_pa+IF(option="Single",1/5*pr,2*pr),H248&gt;=SPW_Start_Year,H248&lt;=SPW_Start_Year+SPW_Duration-1,F248=0,age+H248&gt;=Legal_Age),SPW_Amount_pa,0)+IFERROR(VLOOKUP(H248,Input!$B$68:$C$74,2,0),0)*(F248=0)*(Option_PW="Y")*(Option_SPW="N")*(age+H248&gt;=Legal_Age)</f>
        <v>0</v>
      </c>
      <c r="O248" s="148">
        <f t="shared" ca="1" si="176"/>
        <v>0</v>
      </c>
      <c r="P248" s="14">
        <f ca="1">(MAX(MAX(sa-CF247*Flag_UL_Type,105%*SUM($I$7:I248))-(AD247+L248-N248)*Flag_UL_Type,0)*B248)</f>
        <v>0</v>
      </c>
      <c r="Q248" s="213">
        <f t="shared" si="151"/>
        <v>0</v>
      </c>
      <c r="R248" s="14">
        <f t="shared" ca="1" si="152"/>
        <v>0</v>
      </c>
      <c r="S248" s="14">
        <f t="shared" ca="1" si="153"/>
        <v>0</v>
      </c>
      <c r="T248" s="14">
        <f>IFERROR(IF(WoP_Flag="Y",IF(fq=1,VLOOKUP(ppt*fq-H248,Charges!$AN$41:$AO$59,2,FALSE),IF(fq=2,VLOOKUP(ppt*fq-G248,Charges!$AP$41:$AQ$79,2,FALSE),VLOOKUP(ppt*fq-D248,Charges!$AR$41:$AS$279,2,FALSE)))*pr/fq,0),0)</f>
        <v>0</v>
      </c>
      <c r="U248" s="14">
        <f ca="1">IFERROR(((T248*(VLOOKUP(Input!$D$18+H248-1,Tab_Mort_Charge,IF(Gender_2="M",2,3),FALSE)*(1+_emr2)+_rpm2)/IF(Model_Type="LA_PQIS",1000/0.0833,(12*1000))))*Flag_Mort_Rider_Charge*(T248&gt;0),0)</f>
        <v>0</v>
      </c>
      <c r="V248" s="34">
        <f>ROUND(MIN(IF(H248&gt;=7,Charges!$C$12*(1+Charges!$C$14)^((H248-7+1)),VLOOKUP(H248,Charges!$B$7:$C$12,2,0))*pr,Charges!$C$13)*B248,Round)</f>
        <v>0</v>
      </c>
      <c r="W248" s="14">
        <f t="shared" ca="1" si="154"/>
        <v>0</v>
      </c>
      <c r="X248" s="14">
        <f t="shared" ca="1" si="155"/>
        <v>0</v>
      </c>
      <c r="Y248" s="213">
        <f t="shared" ca="1" si="177"/>
        <v>0</v>
      </c>
      <c r="Z248" s="14">
        <f t="shared" ca="1" si="156"/>
        <v>0</v>
      </c>
      <c r="AA248" s="14">
        <f>IF(AND($H248=pt,$F248=11),SUM($K$7:K248)*VLOOKUP(pt,ROC,2,FALSE),0)</f>
        <v>0</v>
      </c>
      <c r="AB248" s="14">
        <f>IF(AND($H248=pt,$F248=11),SUM($V$7:V248)*VLOOKUP(pt,ROC,2,FALSE),0)</f>
        <v>0</v>
      </c>
      <c r="AC248" s="14">
        <f>IF(AND($H248=pt,$F248=11),SUM($Q$7:Q248)*VLOOKUP(pt,ROC,2,FALSE),0)</f>
        <v>0</v>
      </c>
      <c r="AD248" s="14">
        <f t="shared" ca="1" si="178"/>
        <v>0</v>
      </c>
      <c r="AE248" s="14">
        <f ca="1">(MAX(sa-CF247*Flag_UL_Type,105%*SUM($I$7:I248),Z248)+AU248)*B248</f>
        <v>0</v>
      </c>
      <c r="AF248" s="136"/>
      <c r="AG248" s="18">
        <v>242</v>
      </c>
      <c r="AH248" s="30">
        <f t="shared" ca="1" si="157"/>
        <v>0</v>
      </c>
      <c r="AI248" s="58"/>
      <c r="AJ248" s="50">
        <f>IF(AND(Option_Sys_TopUp&gt;="Y",H248&gt;=sytp,H248&lt;=(dtp+sytp-1),F248=0,H248&lt;=ppt+1),atp,0)+IFERROR(VLOOKUP(H248,Input!$B$55:$C$61,2,0),0)*(F248=0)*(Option_TopUP="Y")*(Option_Sys_TopUp="N")*B248*(pt&gt;=H248+5)</f>
        <v>0</v>
      </c>
      <c r="AK248" s="50">
        <f t="shared" si="158"/>
        <v>0</v>
      </c>
      <c r="AL248" s="50">
        <f t="shared" si="179"/>
        <v>0</v>
      </c>
      <c r="AM248" s="50">
        <f t="shared" ca="1" si="159"/>
        <v>0</v>
      </c>
      <c r="AN248" s="50">
        <f>IF(B248=0,0,AT248*(_rpm1+(1+_emr1)*VLOOKUP(E248,Tab_Mort_Charge,IF(Input!$C$12="M",2,3),0))*(0.001*0.0833)*Flag_Mort_Rider_Charge*(AT248&gt;0))</f>
        <v>0</v>
      </c>
      <c r="AO248" s="50">
        <f t="shared" ca="1" si="180"/>
        <v>0</v>
      </c>
      <c r="AP248" s="50">
        <f t="shared" ca="1" si="187"/>
        <v>0</v>
      </c>
      <c r="AQ248" s="50">
        <f t="shared" ca="1" si="160"/>
        <v>0</v>
      </c>
      <c r="AR248" s="50">
        <f t="shared" ca="1" si="161"/>
        <v>0</v>
      </c>
      <c r="AS248" s="50">
        <f t="shared" si="162"/>
        <v>0</v>
      </c>
      <c r="AT248" s="50">
        <f ca="1">(MAX((MAX(AS248,105%*SUM($AJ$7:AJ248))-AM248*Flag_UL_Type),0)*B248)</f>
        <v>0</v>
      </c>
      <c r="AU248" s="50">
        <f ca="1">(MAX(AS248,AR248,105%*SUM($AJ$7:AJ248))*B248)</f>
        <v>0</v>
      </c>
      <c r="AV248" s="125"/>
      <c r="AW248" s="13"/>
      <c r="AX248" s="13"/>
      <c r="AY248" s="13"/>
      <c r="AZ248" s="13"/>
      <c r="BA248" s="13"/>
      <c r="BG248" s="51">
        <f t="shared" si="163"/>
        <v>0</v>
      </c>
      <c r="BH248" s="51">
        <f t="shared" si="164"/>
        <v>0</v>
      </c>
      <c r="BI248" s="51">
        <f t="shared" ca="1" si="165"/>
        <v>0</v>
      </c>
      <c r="BJ248" s="51">
        <f t="shared" ca="1" si="166"/>
        <v>0</v>
      </c>
      <c r="BK248" s="51">
        <f t="shared" si="167"/>
        <v>0</v>
      </c>
      <c r="BL248" s="51">
        <f t="shared" ca="1" si="168"/>
        <v>0</v>
      </c>
      <c r="BM248" s="51">
        <f t="shared" si="169"/>
        <v>0</v>
      </c>
      <c r="BN248" s="51">
        <f t="shared" si="170"/>
        <v>0</v>
      </c>
      <c r="BO248" s="51">
        <f t="shared" ca="1" si="171"/>
        <v>0</v>
      </c>
      <c r="BP248" s="51">
        <f t="shared" ca="1" si="172"/>
        <v>0</v>
      </c>
      <c r="BQ248" s="120"/>
      <c r="BR248" s="32"/>
      <c r="BS248" s="126"/>
      <c r="BT248" s="16"/>
      <c r="BU248" s="58"/>
      <c r="BW248" s="51">
        <f>VLOOKUP(H248,Charges!$AT$4:$AU$33,2,FALSE)*I248</f>
        <v>0</v>
      </c>
      <c r="BX248" s="51">
        <f t="shared" si="173"/>
        <v>0</v>
      </c>
      <c r="BY248" s="51">
        <f t="shared" si="181"/>
        <v>0</v>
      </c>
      <c r="BZ248" s="151"/>
      <c r="CA248" s="151"/>
      <c r="CB248" s="32"/>
      <c r="CC248" s="16">
        <f ca="1">SUM($N$7:$N248)</f>
        <v>0</v>
      </c>
      <c r="CD248" s="16">
        <f t="shared" ca="1" si="174"/>
        <v>0</v>
      </c>
      <c r="CE248" s="16">
        <f t="shared" ca="1" si="175"/>
        <v>0</v>
      </c>
      <c r="CF248" s="7">
        <f t="shared" ca="1" si="182"/>
        <v>0</v>
      </c>
    </row>
    <row r="249" spans="1:84" s="7" customFormat="1" x14ac:dyDescent="0.2">
      <c r="A249" s="149"/>
      <c r="B249" s="14">
        <f t="shared" si="144"/>
        <v>0</v>
      </c>
      <c r="C249" s="12">
        <f t="shared" si="145"/>
        <v>0</v>
      </c>
      <c r="D249" s="17">
        <f t="shared" si="183"/>
        <v>243</v>
      </c>
      <c r="E249" s="17">
        <f t="shared" ca="1" si="146"/>
        <v>80</v>
      </c>
      <c r="F249" s="12">
        <f t="shared" si="185"/>
        <v>2</v>
      </c>
      <c r="G249" s="12">
        <f t="shared" si="184"/>
        <v>41</v>
      </c>
      <c r="H249" s="17">
        <f t="shared" si="186"/>
        <v>21</v>
      </c>
      <c r="I249" s="29">
        <f t="shared" si="147"/>
        <v>0</v>
      </c>
      <c r="J249" s="211">
        <f>IFERROR(VLOOKUP(H249,Charges!$T$6:$U$35,2,0)*C249,0)</f>
        <v>0</v>
      </c>
      <c r="K249" s="29">
        <f t="shared" si="148"/>
        <v>0</v>
      </c>
      <c r="L249" s="29">
        <f t="shared" si="149"/>
        <v>0</v>
      </c>
      <c r="M249" s="147">
        <f t="shared" ca="1" si="150"/>
        <v>0</v>
      </c>
      <c r="N249" s="148">
        <f ca="1">IF(AND(Option_SPW="Y",Z248&gt;=SPW_Start_Min_FV,H249&gt;=Lock_In_Period,Z248&gt;SPW_Amount_pa+IF(option="Single",1/5*pr,2*pr),H249&gt;=SPW_Start_Year,H249&lt;=SPW_Start_Year+SPW_Duration-1,F249=0,age+H249&gt;=Legal_Age),SPW_Amount_pa,0)+IFERROR(VLOOKUP(H249,Input!$B$68:$C$74,2,0),0)*(F249=0)*(Option_PW="Y")*(Option_SPW="N")*(age+H249&gt;=Legal_Age)</f>
        <v>0</v>
      </c>
      <c r="O249" s="148">
        <f t="shared" ca="1" si="176"/>
        <v>0</v>
      </c>
      <c r="P249" s="14">
        <f ca="1">(MAX(MAX(sa-CF248*Flag_UL_Type,105%*SUM($I$7:I249))-(AD248+L249-N249)*Flag_UL_Type,0)*B249)</f>
        <v>0</v>
      </c>
      <c r="Q249" s="213">
        <f t="shared" si="151"/>
        <v>0</v>
      </c>
      <c r="R249" s="14">
        <f t="shared" ca="1" si="152"/>
        <v>0</v>
      </c>
      <c r="S249" s="14">
        <f t="shared" ca="1" si="153"/>
        <v>0</v>
      </c>
      <c r="T249" s="14">
        <f>IFERROR(IF(WoP_Flag="Y",IF(fq=1,VLOOKUP(ppt*fq-H249,Charges!$AN$41:$AO$59,2,FALSE),IF(fq=2,VLOOKUP(ppt*fq-G249,Charges!$AP$41:$AQ$79,2,FALSE),VLOOKUP(ppt*fq-D249,Charges!$AR$41:$AS$279,2,FALSE)))*pr/fq,0),0)</f>
        <v>0</v>
      </c>
      <c r="U249" s="14">
        <f ca="1">IFERROR(((T249*(VLOOKUP(Input!$D$18+H249-1,Tab_Mort_Charge,IF(Gender_2="M",2,3),FALSE)*(1+_emr2)+_rpm2)/IF(Model_Type="LA_PQIS",1000/0.0833,(12*1000))))*Flag_Mort_Rider_Charge*(T249&gt;0),0)</f>
        <v>0</v>
      </c>
      <c r="V249" s="34">
        <f>ROUND(MIN(IF(H249&gt;=7,Charges!$C$12*(1+Charges!$C$14)^((H249-7+1)),VLOOKUP(H249,Charges!$B$7:$C$12,2,0))*pr,Charges!$C$13)*B249,Round)</f>
        <v>0</v>
      </c>
      <c r="W249" s="14">
        <f t="shared" ca="1" si="154"/>
        <v>0</v>
      </c>
      <c r="X249" s="14">
        <f t="shared" ca="1" si="155"/>
        <v>0</v>
      </c>
      <c r="Y249" s="213">
        <f t="shared" ca="1" si="177"/>
        <v>0</v>
      </c>
      <c r="Z249" s="14">
        <f t="shared" ca="1" si="156"/>
        <v>0</v>
      </c>
      <c r="AA249" s="14">
        <f>IF(AND($H249=pt,$F249=11),SUM($K$7:K249)*VLOOKUP(pt,ROC,2,FALSE),0)</f>
        <v>0</v>
      </c>
      <c r="AB249" s="14">
        <f>IF(AND($H249=pt,$F249=11),SUM($V$7:V249)*VLOOKUP(pt,ROC,2,FALSE),0)</f>
        <v>0</v>
      </c>
      <c r="AC249" s="14">
        <f>IF(AND($H249=pt,$F249=11),SUM($Q$7:Q249)*VLOOKUP(pt,ROC,2,FALSE),0)</f>
        <v>0</v>
      </c>
      <c r="AD249" s="14">
        <f t="shared" ca="1" si="178"/>
        <v>0</v>
      </c>
      <c r="AE249" s="14">
        <f ca="1">(MAX(sa-CF248*Flag_UL_Type,105%*SUM($I$7:I249),Z249)+AU249)*B249</f>
        <v>0</v>
      </c>
      <c r="AF249" s="136"/>
      <c r="AG249" s="18">
        <v>243</v>
      </c>
      <c r="AH249" s="30">
        <f t="shared" ca="1" si="157"/>
        <v>0</v>
      </c>
      <c r="AI249" s="58"/>
      <c r="AJ249" s="50">
        <f>IF(AND(Option_Sys_TopUp&gt;="Y",H249&gt;=sytp,H249&lt;=(dtp+sytp-1),F249=0,H249&lt;=ppt+1),atp,0)+IFERROR(VLOOKUP(H249,Input!$B$55:$C$61,2,0),0)*(F249=0)*(Option_TopUP="Y")*(Option_Sys_TopUp="N")*B249*(pt&gt;=H249+5)</f>
        <v>0</v>
      </c>
      <c r="AK249" s="50">
        <f t="shared" si="158"/>
        <v>0</v>
      </c>
      <c r="AL249" s="50">
        <f t="shared" si="179"/>
        <v>0</v>
      </c>
      <c r="AM249" s="50">
        <f t="shared" ca="1" si="159"/>
        <v>0</v>
      </c>
      <c r="AN249" s="50">
        <f>IF(B249=0,0,AT249*(_rpm1+(1+_emr1)*VLOOKUP(E249,Tab_Mort_Charge,IF(Input!$C$12="M",2,3),0))*(0.001*0.0833)*Flag_Mort_Rider_Charge*(AT249&gt;0))</f>
        <v>0</v>
      </c>
      <c r="AO249" s="50">
        <f t="shared" ca="1" si="180"/>
        <v>0</v>
      </c>
      <c r="AP249" s="50">
        <f t="shared" ca="1" si="187"/>
        <v>0</v>
      </c>
      <c r="AQ249" s="50">
        <f t="shared" ca="1" si="160"/>
        <v>0</v>
      </c>
      <c r="AR249" s="50">
        <f t="shared" ca="1" si="161"/>
        <v>0</v>
      </c>
      <c r="AS249" s="50">
        <f t="shared" si="162"/>
        <v>0</v>
      </c>
      <c r="AT249" s="50">
        <f ca="1">(MAX((MAX(AS249,105%*SUM($AJ$7:AJ249))-AM249*Flag_UL_Type),0)*B249)</f>
        <v>0</v>
      </c>
      <c r="AU249" s="50">
        <f ca="1">(MAX(AS249,AR249,105%*SUM($AJ$7:AJ249))*B249)</f>
        <v>0</v>
      </c>
      <c r="AV249" s="125"/>
      <c r="AW249" s="13"/>
      <c r="AX249" s="13"/>
      <c r="AY249" s="13"/>
      <c r="AZ249" s="13"/>
      <c r="BA249" s="13"/>
      <c r="BG249" s="51">
        <f t="shared" si="163"/>
        <v>0</v>
      </c>
      <c r="BH249" s="51">
        <f t="shared" si="164"/>
        <v>0</v>
      </c>
      <c r="BI249" s="51">
        <f t="shared" ca="1" si="165"/>
        <v>0</v>
      </c>
      <c r="BJ249" s="51">
        <f t="shared" ca="1" si="166"/>
        <v>0</v>
      </c>
      <c r="BK249" s="51">
        <f t="shared" si="167"/>
        <v>0</v>
      </c>
      <c r="BL249" s="51">
        <f t="shared" ca="1" si="168"/>
        <v>0</v>
      </c>
      <c r="BM249" s="51">
        <f t="shared" si="169"/>
        <v>0</v>
      </c>
      <c r="BN249" s="51">
        <f t="shared" si="170"/>
        <v>0</v>
      </c>
      <c r="BO249" s="51">
        <f t="shared" ca="1" si="171"/>
        <v>0</v>
      </c>
      <c r="BP249" s="51">
        <f t="shared" ca="1" si="172"/>
        <v>0</v>
      </c>
      <c r="BQ249" s="120"/>
      <c r="BR249" s="32"/>
      <c r="BS249" s="126"/>
      <c r="BT249" s="16"/>
      <c r="BU249" s="58"/>
      <c r="BW249" s="51">
        <f>VLOOKUP(H249,Charges!$AT$4:$AU$33,2,FALSE)*I249</f>
        <v>0</v>
      </c>
      <c r="BX249" s="51">
        <f t="shared" si="173"/>
        <v>0</v>
      </c>
      <c r="BY249" s="51">
        <f t="shared" si="181"/>
        <v>0</v>
      </c>
      <c r="BZ249" s="151"/>
      <c r="CA249" s="151"/>
      <c r="CB249" s="32"/>
      <c r="CC249" s="16">
        <f ca="1">SUM($N$7:$N249)</f>
        <v>0</v>
      </c>
      <c r="CD249" s="16">
        <f t="shared" ca="1" si="174"/>
        <v>0</v>
      </c>
      <c r="CE249" s="16">
        <f t="shared" ca="1" si="175"/>
        <v>0</v>
      </c>
      <c r="CF249" s="7">
        <f t="shared" ca="1" si="182"/>
        <v>0</v>
      </c>
    </row>
    <row r="250" spans="1:84" s="7" customFormat="1" x14ac:dyDescent="0.2">
      <c r="A250" s="149"/>
      <c r="B250" s="14">
        <f t="shared" si="144"/>
        <v>0</v>
      </c>
      <c r="C250" s="12">
        <f t="shared" si="145"/>
        <v>0</v>
      </c>
      <c r="D250" s="17">
        <f t="shared" si="183"/>
        <v>244</v>
      </c>
      <c r="E250" s="17">
        <f t="shared" ca="1" si="146"/>
        <v>80</v>
      </c>
      <c r="F250" s="12">
        <f t="shared" si="185"/>
        <v>3</v>
      </c>
      <c r="G250" s="12">
        <f t="shared" si="184"/>
        <v>41</v>
      </c>
      <c r="H250" s="17">
        <f t="shared" si="186"/>
        <v>21</v>
      </c>
      <c r="I250" s="29">
        <f t="shared" si="147"/>
        <v>0</v>
      </c>
      <c r="J250" s="211">
        <f>IFERROR(VLOOKUP(H250,Charges!$T$6:$U$35,2,0)*C250,0)</f>
        <v>0</v>
      </c>
      <c r="K250" s="29">
        <f t="shared" si="148"/>
        <v>0</v>
      </c>
      <c r="L250" s="29">
        <f t="shared" si="149"/>
        <v>0</v>
      </c>
      <c r="M250" s="147">
        <f t="shared" ca="1" si="150"/>
        <v>0</v>
      </c>
      <c r="N250" s="148">
        <f ca="1">IF(AND(Option_SPW="Y",Z249&gt;=SPW_Start_Min_FV,H250&gt;=Lock_In_Period,Z249&gt;SPW_Amount_pa+IF(option="Single",1/5*pr,2*pr),H250&gt;=SPW_Start_Year,H250&lt;=SPW_Start_Year+SPW_Duration-1,F250=0,age+H250&gt;=Legal_Age),SPW_Amount_pa,0)+IFERROR(VLOOKUP(H250,Input!$B$68:$C$74,2,0),0)*(F250=0)*(Option_PW="Y")*(Option_SPW="N")*(age+H250&gt;=Legal_Age)</f>
        <v>0</v>
      </c>
      <c r="O250" s="148">
        <f t="shared" ca="1" si="176"/>
        <v>0</v>
      </c>
      <c r="P250" s="14">
        <f ca="1">(MAX(MAX(sa-CF249*Flag_UL_Type,105%*SUM($I$7:I250))-(AD249+L250-N250)*Flag_UL_Type,0)*B250)</f>
        <v>0</v>
      </c>
      <c r="Q250" s="213">
        <f t="shared" si="151"/>
        <v>0</v>
      </c>
      <c r="R250" s="14">
        <f t="shared" ca="1" si="152"/>
        <v>0</v>
      </c>
      <c r="S250" s="14">
        <f t="shared" ca="1" si="153"/>
        <v>0</v>
      </c>
      <c r="T250" s="14">
        <f>IFERROR(IF(WoP_Flag="Y",IF(fq=1,VLOOKUP(ppt*fq-H250,Charges!$AN$41:$AO$59,2,FALSE),IF(fq=2,VLOOKUP(ppt*fq-G250,Charges!$AP$41:$AQ$79,2,FALSE),VLOOKUP(ppt*fq-D250,Charges!$AR$41:$AS$279,2,FALSE)))*pr/fq,0),0)</f>
        <v>0</v>
      </c>
      <c r="U250" s="14">
        <f ca="1">IFERROR(((T250*(VLOOKUP(Input!$D$18+H250-1,Tab_Mort_Charge,IF(Gender_2="M",2,3),FALSE)*(1+_emr2)+_rpm2)/IF(Model_Type="LA_PQIS",1000/0.0833,(12*1000))))*Flag_Mort_Rider_Charge*(T250&gt;0),0)</f>
        <v>0</v>
      </c>
      <c r="V250" s="34">
        <f>ROUND(MIN(IF(H250&gt;=7,Charges!$C$12*(1+Charges!$C$14)^((H250-7+1)),VLOOKUP(H250,Charges!$B$7:$C$12,2,0))*pr,Charges!$C$13)*B250,Round)</f>
        <v>0</v>
      </c>
      <c r="W250" s="14">
        <f t="shared" ca="1" si="154"/>
        <v>0</v>
      </c>
      <c r="X250" s="14">
        <f t="shared" ca="1" si="155"/>
        <v>0</v>
      </c>
      <c r="Y250" s="213">
        <f t="shared" ca="1" si="177"/>
        <v>0</v>
      </c>
      <c r="Z250" s="14">
        <f t="shared" ca="1" si="156"/>
        <v>0</v>
      </c>
      <c r="AA250" s="14">
        <f>IF(AND($H250=pt,$F250=11),SUM($K$7:K250)*VLOOKUP(pt,ROC,2,FALSE),0)</f>
        <v>0</v>
      </c>
      <c r="AB250" s="14">
        <f>IF(AND($H250=pt,$F250=11),SUM($V$7:V250)*VLOOKUP(pt,ROC,2,FALSE),0)</f>
        <v>0</v>
      </c>
      <c r="AC250" s="14">
        <f>IF(AND($H250=pt,$F250=11),SUM($Q$7:Q250)*VLOOKUP(pt,ROC,2,FALSE),0)</f>
        <v>0</v>
      </c>
      <c r="AD250" s="14">
        <f t="shared" ca="1" si="178"/>
        <v>0</v>
      </c>
      <c r="AE250" s="14">
        <f ca="1">(MAX(sa-CF249*Flag_UL_Type,105%*SUM($I$7:I250),Z250)+AU250)*B250</f>
        <v>0</v>
      </c>
      <c r="AF250" s="136"/>
      <c r="AG250" s="18">
        <v>244</v>
      </c>
      <c r="AH250" s="30">
        <f t="shared" ca="1" si="157"/>
        <v>0</v>
      </c>
      <c r="AI250" s="58"/>
      <c r="AJ250" s="50">
        <f>IF(AND(Option_Sys_TopUp&gt;="Y",H250&gt;=sytp,H250&lt;=(dtp+sytp-1),F250=0,H250&lt;=ppt+1),atp,0)+IFERROR(VLOOKUP(H250,Input!$B$55:$C$61,2,0),0)*(F250=0)*(Option_TopUP="Y")*(Option_Sys_TopUp="N")*B250*(pt&gt;=H250+5)</f>
        <v>0</v>
      </c>
      <c r="AK250" s="50">
        <f t="shared" si="158"/>
        <v>0</v>
      </c>
      <c r="AL250" s="50">
        <f t="shared" si="179"/>
        <v>0</v>
      </c>
      <c r="AM250" s="50">
        <f t="shared" ca="1" si="159"/>
        <v>0</v>
      </c>
      <c r="AN250" s="50">
        <f>IF(B250=0,0,AT250*(_rpm1+(1+_emr1)*VLOOKUP(E250,Tab_Mort_Charge,IF(Input!$C$12="M",2,3),0))*(0.001*0.0833)*Flag_Mort_Rider_Charge*(AT250&gt;0))</f>
        <v>0</v>
      </c>
      <c r="AO250" s="50">
        <f t="shared" ca="1" si="180"/>
        <v>0</v>
      </c>
      <c r="AP250" s="50">
        <f t="shared" ca="1" si="187"/>
        <v>0</v>
      </c>
      <c r="AQ250" s="50">
        <f t="shared" ca="1" si="160"/>
        <v>0</v>
      </c>
      <c r="AR250" s="50">
        <f t="shared" ca="1" si="161"/>
        <v>0</v>
      </c>
      <c r="AS250" s="50">
        <f t="shared" si="162"/>
        <v>0</v>
      </c>
      <c r="AT250" s="50">
        <f ca="1">(MAX((MAX(AS250,105%*SUM($AJ$7:AJ250))-AM250*Flag_UL_Type),0)*B250)</f>
        <v>0</v>
      </c>
      <c r="AU250" s="50">
        <f ca="1">(MAX(AS250,AR250,105%*SUM($AJ$7:AJ250))*B250)</f>
        <v>0</v>
      </c>
      <c r="AV250" s="125"/>
      <c r="AW250" s="13"/>
      <c r="AX250" s="13"/>
      <c r="AY250" s="13"/>
      <c r="AZ250" s="13"/>
      <c r="BA250" s="13"/>
      <c r="BG250" s="51">
        <f t="shared" si="163"/>
        <v>0</v>
      </c>
      <c r="BH250" s="51">
        <f t="shared" si="164"/>
        <v>0</v>
      </c>
      <c r="BI250" s="51">
        <f t="shared" ca="1" si="165"/>
        <v>0</v>
      </c>
      <c r="BJ250" s="51">
        <f t="shared" ca="1" si="166"/>
        <v>0</v>
      </c>
      <c r="BK250" s="51">
        <f t="shared" si="167"/>
        <v>0</v>
      </c>
      <c r="BL250" s="51">
        <f t="shared" ca="1" si="168"/>
        <v>0</v>
      </c>
      <c r="BM250" s="51">
        <f t="shared" si="169"/>
        <v>0</v>
      </c>
      <c r="BN250" s="51">
        <f t="shared" si="170"/>
        <v>0</v>
      </c>
      <c r="BO250" s="51">
        <f t="shared" ca="1" si="171"/>
        <v>0</v>
      </c>
      <c r="BP250" s="51">
        <f t="shared" ca="1" si="172"/>
        <v>0</v>
      </c>
      <c r="BQ250" s="120"/>
      <c r="BR250" s="32"/>
      <c r="BS250" s="126"/>
      <c r="BT250" s="16"/>
      <c r="BU250" s="58"/>
      <c r="BW250" s="51">
        <f>VLOOKUP(H250,Charges!$AT$4:$AU$33,2,FALSE)*I250</f>
        <v>0</v>
      </c>
      <c r="BX250" s="51">
        <f t="shared" si="173"/>
        <v>0</v>
      </c>
      <c r="BY250" s="51">
        <f t="shared" si="181"/>
        <v>0</v>
      </c>
      <c r="BZ250" s="151"/>
      <c r="CA250" s="151"/>
      <c r="CB250" s="32"/>
      <c r="CC250" s="16">
        <f ca="1">SUM($N$7:$N250)</f>
        <v>0</v>
      </c>
      <c r="CD250" s="16">
        <f t="shared" ca="1" si="174"/>
        <v>0</v>
      </c>
      <c r="CE250" s="16">
        <f t="shared" ca="1" si="175"/>
        <v>0</v>
      </c>
      <c r="CF250" s="7">
        <f t="shared" ca="1" si="182"/>
        <v>0</v>
      </c>
    </row>
    <row r="251" spans="1:84" s="7" customFormat="1" x14ac:dyDescent="0.2">
      <c r="A251" s="149"/>
      <c r="B251" s="14">
        <f t="shared" si="144"/>
        <v>0</v>
      </c>
      <c r="C251" s="12">
        <f t="shared" si="145"/>
        <v>0</v>
      </c>
      <c r="D251" s="17">
        <f t="shared" si="183"/>
        <v>245</v>
      </c>
      <c r="E251" s="17">
        <f t="shared" ca="1" si="146"/>
        <v>80</v>
      </c>
      <c r="F251" s="12">
        <f t="shared" si="185"/>
        <v>4</v>
      </c>
      <c r="G251" s="12">
        <f t="shared" si="184"/>
        <v>41</v>
      </c>
      <c r="H251" s="17">
        <f t="shared" si="186"/>
        <v>21</v>
      </c>
      <c r="I251" s="29">
        <f t="shared" si="147"/>
        <v>0</v>
      </c>
      <c r="J251" s="211">
        <f>IFERROR(VLOOKUP(H251,Charges!$T$6:$U$35,2,0)*C251,0)</f>
        <v>0</v>
      </c>
      <c r="K251" s="29">
        <f t="shared" si="148"/>
        <v>0</v>
      </c>
      <c r="L251" s="29">
        <f t="shared" si="149"/>
        <v>0</v>
      </c>
      <c r="M251" s="147">
        <f t="shared" ca="1" si="150"/>
        <v>0</v>
      </c>
      <c r="N251" s="148">
        <f ca="1">IF(AND(Option_SPW="Y",Z250&gt;=SPW_Start_Min_FV,H251&gt;=Lock_In_Period,Z250&gt;SPW_Amount_pa+IF(option="Single",1/5*pr,2*pr),H251&gt;=SPW_Start_Year,H251&lt;=SPW_Start_Year+SPW_Duration-1,F251=0,age+H251&gt;=Legal_Age),SPW_Amount_pa,0)+IFERROR(VLOOKUP(H251,Input!$B$68:$C$74,2,0),0)*(F251=0)*(Option_PW="Y")*(Option_SPW="N")*(age+H251&gt;=Legal_Age)</f>
        <v>0</v>
      </c>
      <c r="O251" s="148">
        <f t="shared" ca="1" si="176"/>
        <v>0</v>
      </c>
      <c r="P251" s="14">
        <f ca="1">(MAX(MAX(sa-CF250*Flag_UL_Type,105%*SUM($I$7:I251))-(AD250+L251-N251)*Flag_UL_Type,0)*B251)</f>
        <v>0</v>
      </c>
      <c r="Q251" s="213">
        <f t="shared" si="151"/>
        <v>0</v>
      </c>
      <c r="R251" s="14">
        <f t="shared" ca="1" si="152"/>
        <v>0</v>
      </c>
      <c r="S251" s="14">
        <f t="shared" ca="1" si="153"/>
        <v>0</v>
      </c>
      <c r="T251" s="14">
        <f>IFERROR(IF(WoP_Flag="Y",IF(fq=1,VLOOKUP(ppt*fq-H251,Charges!$AN$41:$AO$59,2,FALSE),IF(fq=2,VLOOKUP(ppt*fq-G251,Charges!$AP$41:$AQ$79,2,FALSE),VLOOKUP(ppt*fq-D251,Charges!$AR$41:$AS$279,2,FALSE)))*pr/fq,0),0)</f>
        <v>0</v>
      </c>
      <c r="U251" s="14">
        <f ca="1">IFERROR(((T251*(VLOOKUP(Input!$D$18+H251-1,Tab_Mort_Charge,IF(Gender_2="M",2,3),FALSE)*(1+_emr2)+_rpm2)/IF(Model_Type="LA_PQIS",1000/0.0833,(12*1000))))*Flag_Mort_Rider_Charge*(T251&gt;0),0)</f>
        <v>0</v>
      </c>
      <c r="V251" s="34">
        <f>ROUND(MIN(IF(H251&gt;=7,Charges!$C$12*(1+Charges!$C$14)^((H251-7+1)),VLOOKUP(H251,Charges!$B$7:$C$12,2,0))*pr,Charges!$C$13)*B251,Round)</f>
        <v>0</v>
      </c>
      <c r="W251" s="14">
        <f t="shared" ca="1" si="154"/>
        <v>0</v>
      </c>
      <c r="X251" s="14">
        <f t="shared" ca="1" si="155"/>
        <v>0</v>
      </c>
      <c r="Y251" s="213">
        <f t="shared" ca="1" si="177"/>
        <v>0</v>
      </c>
      <c r="Z251" s="14">
        <f t="shared" ca="1" si="156"/>
        <v>0</v>
      </c>
      <c r="AA251" s="14">
        <f>IF(AND($H251=pt,$F251=11),SUM($K$7:K251)*VLOOKUP(pt,ROC,2,FALSE),0)</f>
        <v>0</v>
      </c>
      <c r="AB251" s="14">
        <f>IF(AND($H251=pt,$F251=11),SUM($V$7:V251)*VLOOKUP(pt,ROC,2,FALSE),0)</f>
        <v>0</v>
      </c>
      <c r="AC251" s="14">
        <f>IF(AND($H251=pt,$F251=11),SUM($Q$7:Q251)*VLOOKUP(pt,ROC,2,FALSE),0)</f>
        <v>0</v>
      </c>
      <c r="AD251" s="14">
        <f t="shared" ca="1" si="178"/>
        <v>0</v>
      </c>
      <c r="AE251" s="14">
        <f ca="1">(MAX(sa-CF250*Flag_UL_Type,105%*SUM($I$7:I251),Z251)+AU251)*B251</f>
        <v>0</v>
      </c>
      <c r="AF251" s="136"/>
      <c r="AG251" s="18">
        <v>245</v>
      </c>
      <c r="AH251" s="30">
        <f t="shared" ca="1" si="157"/>
        <v>0</v>
      </c>
      <c r="AI251" s="58"/>
      <c r="AJ251" s="50">
        <f>IF(AND(Option_Sys_TopUp&gt;="Y",H251&gt;=sytp,H251&lt;=(dtp+sytp-1),F251=0,H251&lt;=ppt+1),atp,0)+IFERROR(VLOOKUP(H251,Input!$B$55:$C$61,2,0),0)*(F251=0)*(Option_TopUP="Y")*(Option_Sys_TopUp="N")*B251*(pt&gt;=H251+5)</f>
        <v>0</v>
      </c>
      <c r="AK251" s="50">
        <f t="shared" si="158"/>
        <v>0</v>
      </c>
      <c r="AL251" s="50">
        <f t="shared" si="179"/>
        <v>0</v>
      </c>
      <c r="AM251" s="50">
        <f t="shared" ca="1" si="159"/>
        <v>0</v>
      </c>
      <c r="AN251" s="50">
        <f>IF(B251=0,0,AT251*(_rpm1+(1+_emr1)*VLOOKUP(E251,Tab_Mort_Charge,IF(Input!$C$12="M",2,3),0))*(0.001*0.0833)*Flag_Mort_Rider_Charge*(AT251&gt;0))</f>
        <v>0</v>
      </c>
      <c r="AO251" s="50">
        <f t="shared" ca="1" si="180"/>
        <v>0</v>
      </c>
      <c r="AP251" s="50">
        <f t="shared" ca="1" si="187"/>
        <v>0</v>
      </c>
      <c r="AQ251" s="50">
        <f t="shared" ca="1" si="160"/>
        <v>0</v>
      </c>
      <c r="AR251" s="50">
        <f t="shared" ca="1" si="161"/>
        <v>0</v>
      </c>
      <c r="AS251" s="50">
        <f t="shared" si="162"/>
        <v>0</v>
      </c>
      <c r="AT251" s="50">
        <f ca="1">(MAX((MAX(AS251,105%*SUM($AJ$7:AJ251))-AM251*Flag_UL_Type),0)*B251)</f>
        <v>0</v>
      </c>
      <c r="AU251" s="50">
        <f ca="1">(MAX(AS251,AR251,105%*SUM($AJ$7:AJ251))*B251)</f>
        <v>0</v>
      </c>
      <c r="AV251" s="125"/>
      <c r="AW251" s="13"/>
      <c r="AX251" s="13"/>
      <c r="AY251" s="13"/>
      <c r="AZ251" s="13"/>
      <c r="BA251" s="13"/>
      <c r="BG251" s="51">
        <f t="shared" si="163"/>
        <v>0</v>
      </c>
      <c r="BH251" s="51">
        <f t="shared" si="164"/>
        <v>0</v>
      </c>
      <c r="BI251" s="51">
        <f t="shared" ca="1" si="165"/>
        <v>0</v>
      </c>
      <c r="BJ251" s="51">
        <f t="shared" ca="1" si="166"/>
        <v>0</v>
      </c>
      <c r="BK251" s="51">
        <f t="shared" si="167"/>
        <v>0</v>
      </c>
      <c r="BL251" s="51">
        <f t="shared" ca="1" si="168"/>
        <v>0</v>
      </c>
      <c r="BM251" s="51">
        <f t="shared" si="169"/>
        <v>0</v>
      </c>
      <c r="BN251" s="51">
        <f t="shared" si="170"/>
        <v>0</v>
      </c>
      <c r="BO251" s="51">
        <f t="shared" ca="1" si="171"/>
        <v>0</v>
      </c>
      <c r="BP251" s="51">
        <f t="shared" ca="1" si="172"/>
        <v>0</v>
      </c>
      <c r="BQ251" s="120"/>
      <c r="BR251" s="32"/>
      <c r="BS251" s="126"/>
      <c r="BT251" s="16"/>
      <c r="BU251" s="58"/>
      <c r="BW251" s="51">
        <f>VLOOKUP(H251,Charges!$AT$4:$AU$33,2,FALSE)*I251</f>
        <v>0</v>
      </c>
      <c r="BX251" s="51">
        <f t="shared" si="173"/>
        <v>0</v>
      </c>
      <c r="BY251" s="51">
        <f t="shared" si="181"/>
        <v>0</v>
      </c>
      <c r="BZ251" s="151"/>
      <c r="CA251" s="151"/>
      <c r="CB251" s="32"/>
      <c r="CC251" s="16">
        <f ca="1">SUM($N$7:$N251)</f>
        <v>0</v>
      </c>
      <c r="CD251" s="16">
        <f t="shared" ca="1" si="174"/>
        <v>0</v>
      </c>
      <c r="CE251" s="16">
        <f t="shared" ca="1" si="175"/>
        <v>0</v>
      </c>
      <c r="CF251" s="7">
        <f t="shared" ca="1" si="182"/>
        <v>0</v>
      </c>
    </row>
    <row r="252" spans="1:84" s="7" customFormat="1" x14ac:dyDescent="0.2">
      <c r="A252" s="149"/>
      <c r="B252" s="14">
        <f t="shared" si="144"/>
        <v>0</v>
      </c>
      <c r="C252" s="12">
        <f t="shared" si="145"/>
        <v>0</v>
      </c>
      <c r="D252" s="17">
        <f t="shared" si="183"/>
        <v>246</v>
      </c>
      <c r="E252" s="17">
        <f t="shared" ca="1" si="146"/>
        <v>80</v>
      </c>
      <c r="F252" s="12">
        <f t="shared" si="185"/>
        <v>5</v>
      </c>
      <c r="G252" s="12">
        <f t="shared" si="184"/>
        <v>41</v>
      </c>
      <c r="H252" s="17">
        <f t="shared" si="186"/>
        <v>21</v>
      </c>
      <c r="I252" s="29">
        <f t="shared" si="147"/>
        <v>0</v>
      </c>
      <c r="J252" s="211">
        <f>IFERROR(VLOOKUP(H252,Charges!$T$6:$U$35,2,0)*C252,0)</f>
        <v>0</v>
      </c>
      <c r="K252" s="29">
        <f t="shared" si="148"/>
        <v>0</v>
      </c>
      <c r="L252" s="29">
        <f t="shared" si="149"/>
        <v>0</v>
      </c>
      <c r="M252" s="147">
        <f t="shared" ca="1" si="150"/>
        <v>0</v>
      </c>
      <c r="N252" s="148">
        <f ca="1">IF(AND(Option_SPW="Y",Z251&gt;=SPW_Start_Min_FV,H252&gt;=Lock_In_Period,Z251&gt;SPW_Amount_pa+IF(option="Single",1/5*pr,2*pr),H252&gt;=SPW_Start_Year,H252&lt;=SPW_Start_Year+SPW_Duration-1,F252=0,age+H252&gt;=Legal_Age),SPW_Amount_pa,0)+IFERROR(VLOOKUP(H252,Input!$B$68:$C$74,2,0),0)*(F252=0)*(Option_PW="Y")*(Option_SPW="N")*(age+H252&gt;=Legal_Age)</f>
        <v>0</v>
      </c>
      <c r="O252" s="148">
        <f t="shared" ca="1" si="176"/>
        <v>0</v>
      </c>
      <c r="P252" s="14">
        <f ca="1">(MAX(MAX(sa-CF251*Flag_UL_Type,105%*SUM($I$7:I252))-(AD251+L252-N252)*Flag_UL_Type,0)*B252)</f>
        <v>0</v>
      </c>
      <c r="Q252" s="213">
        <f t="shared" si="151"/>
        <v>0</v>
      </c>
      <c r="R252" s="14">
        <f t="shared" ca="1" si="152"/>
        <v>0</v>
      </c>
      <c r="S252" s="14">
        <f t="shared" ca="1" si="153"/>
        <v>0</v>
      </c>
      <c r="T252" s="14">
        <f>IFERROR(IF(WoP_Flag="Y",IF(fq=1,VLOOKUP(ppt*fq-H252,Charges!$AN$41:$AO$59,2,FALSE),IF(fq=2,VLOOKUP(ppt*fq-G252,Charges!$AP$41:$AQ$79,2,FALSE),VLOOKUP(ppt*fq-D252,Charges!$AR$41:$AS$279,2,FALSE)))*pr/fq,0),0)</f>
        <v>0</v>
      </c>
      <c r="U252" s="14">
        <f ca="1">IFERROR(((T252*(VLOOKUP(Input!$D$18+H252-1,Tab_Mort_Charge,IF(Gender_2="M",2,3),FALSE)*(1+_emr2)+_rpm2)/IF(Model_Type="LA_PQIS",1000/0.0833,(12*1000))))*Flag_Mort_Rider_Charge*(T252&gt;0),0)</f>
        <v>0</v>
      </c>
      <c r="V252" s="34">
        <f>ROUND(MIN(IF(H252&gt;=7,Charges!$C$12*(1+Charges!$C$14)^((H252-7+1)),VLOOKUP(H252,Charges!$B$7:$C$12,2,0))*pr,Charges!$C$13)*B252,Round)</f>
        <v>0</v>
      </c>
      <c r="W252" s="14">
        <f t="shared" ca="1" si="154"/>
        <v>0</v>
      </c>
      <c r="X252" s="14">
        <f t="shared" ca="1" si="155"/>
        <v>0</v>
      </c>
      <c r="Y252" s="213">
        <f t="shared" ca="1" si="177"/>
        <v>0</v>
      </c>
      <c r="Z252" s="14">
        <f t="shared" ca="1" si="156"/>
        <v>0</v>
      </c>
      <c r="AA252" s="14">
        <f>IF(AND($H252=pt,$F252=11),SUM($K$7:K252)*VLOOKUP(pt,ROC,2,FALSE),0)</f>
        <v>0</v>
      </c>
      <c r="AB252" s="14">
        <f>IF(AND($H252=pt,$F252=11),SUM($V$7:V252)*VLOOKUP(pt,ROC,2,FALSE),0)</f>
        <v>0</v>
      </c>
      <c r="AC252" s="14">
        <f>IF(AND($H252=pt,$F252=11),SUM($Q$7:Q252)*VLOOKUP(pt,ROC,2,FALSE),0)</f>
        <v>0</v>
      </c>
      <c r="AD252" s="14">
        <f t="shared" ca="1" si="178"/>
        <v>0</v>
      </c>
      <c r="AE252" s="14">
        <f ca="1">(MAX(sa-CF251*Flag_UL_Type,105%*SUM($I$7:I252),Z252)+AU252)*B252</f>
        <v>0</v>
      </c>
      <c r="AF252" s="136"/>
      <c r="AG252" s="18">
        <v>246</v>
      </c>
      <c r="AH252" s="30">
        <f t="shared" ca="1" si="157"/>
        <v>0</v>
      </c>
      <c r="AI252" s="58"/>
      <c r="AJ252" s="50">
        <f>IF(AND(Option_Sys_TopUp&gt;="Y",H252&gt;=sytp,H252&lt;=(dtp+sytp-1),F252=0,H252&lt;=ppt+1),atp,0)+IFERROR(VLOOKUP(H252,Input!$B$55:$C$61,2,0),0)*(F252=0)*(Option_TopUP="Y")*(Option_Sys_TopUp="N")*B252*(pt&gt;=H252+5)</f>
        <v>0</v>
      </c>
      <c r="AK252" s="50">
        <f t="shared" si="158"/>
        <v>0</v>
      </c>
      <c r="AL252" s="50">
        <f t="shared" si="179"/>
        <v>0</v>
      </c>
      <c r="AM252" s="50">
        <f t="shared" ca="1" si="159"/>
        <v>0</v>
      </c>
      <c r="AN252" s="50">
        <f>IF(B252=0,0,AT252*(_rpm1+(1+_emr1)*VLOOKUP(E252,Tab_Mort_Charge,IF(Input!$C$12="M",2,3),0))*(0.001*0.0833)*Flag_Mort_Rider_Charge*(AT252&gt;0))</f>
        <v>0</v>
      </c>
      <c r="AO252" s="50">
        <f t="shared" ca="1" si="180"/>
        <v>0</v>
      </c>
      <c r="AP252" s="50">
        <f t="shared" ca="1" si="187"/>
        <v>0</v>
      </c>
      <c r="AQ252" s="50">
        <f t="shared" ca="1" si="160"/>
        <v>0</v>
      </c>
      <c r="AR252" s="50">
        <f t="shared" ca="1" si="161"/>
        <v>0</v>
      </c>
      <c r="AS252" s="50">
        <f t="shared" si="162"/>
        <v>0</v>
      </c>
      <c r="AT252" s="50">
        <f ca="1">(MAX((MAX(AS252,105%*SUM($AJ$7:AJ252))-AM252*Flag_UL_Type),0)*B252)</f>
        <v>0</v>
      </c>
      <c r="AU252" s="50">
        <f ca="1">(MAX(AS252,AR252,105%*SUM($AJ$7:AJ252))*B252)</f>
        <v>0</v>
      </c>
      <c r="AV252" s="125"/>
      <c r="AW252" s="13"/>
      <c r="AX252" s="13"/>
      <c r="AY252" s="13"/>
      <c r="AZ252" s="13"/>
      <c r="BA252" s="13"/>
      <c r="BG252" s="51">
        <f t="shared" si="163"/>
        <v>0</v>
      </c>
      <c r="BH252" s="51">
        <f t="shared" si="164"/>
        <v>0</v>
      </c>
      <c r="BI252" s="51">
        <f t="shared" ca="1" si="165"/>
        <v>0</v>
      </c>
      <c r="BJ252" s="51">
        <f t="shared" ca="1" si="166"/>
        <v>0</v>
      </c>
      <c r="BK252" s="51">
        <f t="shared" si="167"/>
        <v>0</v>
      </c>
      <c r="BL252" s="51">
        <f t="shared" ca="1" si="168"/>
        <v>0</v>
      </c>
      <c r="BM252" s="51">
        <f t="shared" si="169"/>
        <v>0</v>
      </c>
      <c r="BN252" s="51">
        <f t="shared" si="170"/>
        <v>0</v>
      </c>
      <c r="BO252" s="51">
        <f t="shared" ca="1" si="171"/>
        <v>0</v>
      </c>
      <c r="BP252" s="51">
        <f t="shared" ca="1" si="172"/>
        <v>0</v>
      </c>
      <c r="BQ252" s="120"/>
      <c r="BR252" s="32"/>
      <c r="BS252" s="126"/>
      <c r="BT252" s="16"/>
      <c r="BU252" s="58"/>
      <c r="BW252" s="51">
        <f>VLOOKUP(H252,Charges!$AT$4:$AU$33,2,FALSE)*I252</f>
        <v>0</v>
      </c>
      <c r="BX252" s="51">
        <f t="shared" si="173"/>
        <v>0</v>
      </c>
      <c r="BY252" s="51">
        <f t="shared" si="181"/>
        <v>0</v>
      </c>
      <c r="BZ252" s="151"/>
      <c r="CA252" s="151"/>
      <c r="CB252" s="32"/>
      <c r="CC252" s="16">
        <f ca="1">SUM($N$7:$N252)</f>
        <v>0</v>
      </c>
      <c r="CD252" s="16">
        <f t="shared" ca="1" si="174"/>
        <v>0</v>
      </c>
      <c r="CE252" s="16">
        <f t="shared" ca="1" si="175"/>
        <v>0</v>
      </c>
      <c r="CF252" s="7">
        <f t="shared" ca="1" si="182"/>
        <v>0</v>
      </c>
    </row>
    <row r="253" spans="1:84" s="7" customFormat="1" x14ac:dyDescent="0.2">
      <c r="A253" s="149"/>
      <c r="B253" s="14">
        <f t="shared" si="144"/>
        <v>0</v>
      </c>
      <c r="C253" s="12">
        <f t="shared" si="145"/>
        <v>0</v>
      </c>
      <c r="D253" s="17">
        <f t="shared" si="183"/>
        <v>247</v>
      </c>
      <c r="E253" s="17">
        <f t="shared" ca="1" si="146"/>
        <v>80</v>
      </c>
      <c r="F253" s="12">
        <f t="shared" si="185"/>
        <v>6</v>
      </c>
      <c r="G253" s="12">
        <f t="shared" si="184"/>
        <v>42</v>
      </c>
      <c r="H253" s="17">
        <f t="shared" si="186"/>
        <v>21</v>
      </c>
      <c r="I253" s="29">
        <f t="shared" si="147"/>
        <v>0</v>
      </c>
      <c r="J253" s="211">
        <f>IFERROR(VLOOKUP(H253,Charges!$T$6:$U$35,2,0)*C253,0)</f>
        <v>0</v>
      </c>
      <c r="K253" s="29">
        <f t="shared" si="148"/>
        <v>0</v>
      </c>
      <c r="L253" s="29">
        <f t="shared" si="149"/>
        <v>0</v>
      </c>
      <c r="M253" s="147">
        <f t="shared" ca="1" si="150"/>
        <v>0</v>
      </c>
      <c r="N253" s="148">
        <f ca="1">IF(AND(Option_SPW="Y",Z252&gt;=SPW_Start_Min_FV,H253&gt;=Lock_In_Period,Z252&gt;SPW_Amount_pa+IF(option="Single",1/5*pr,2*pr),H253&gt;=SPW_Start_Year,H253&lt;=SPW_Start_Year+SPW_Duration-1,F253=0,age+H253&gt;=Legal_Age),SPW_Amount_pa,0)+IFERROR(VLOOKUP(H253,Input!$B$68:$C$74,2,0),0)*(F253=0)*(Option_PW="Y")*(Option_SPW="N")*(age+H253&gt;=Legal_Age)</f>
        <v>0</v>
      </c>
      <c r="O253" s="148">
        <f t="shared" ca="1" si="176"/>
        <v>0</v>
      </c>
      <c r="P253" s="14">
        <f ca="1">(MAX(MAX(sa-CF252*Flag_UL_Type,105%*SUM($I$7:I253))-(AD252+L253-N253)*Flag_UL_Type,0)*B253)</f>
        <v>0</v>
      </c>
      <c r="Q253" s="213">
        <f t="shared" si="151"/>
        <v>0</v>
      </c>
      <c r="R253" s="14">
        <f t="shared" ca="1" si="152"/>
        <v>0</v>
      </c>
      <c r="S253" s="14">
        <f t="shared" ca="1" si="153"/>
        <v>0</v>
      </c>
      <c r="T253" s="14">
        <f>IFERROR(IF(WoP_Flag="Y",IF(fq=1,VLOOKUP(ppt*fq-H253,Charges!$AN$41:$AO$59,2,FALSE),IF(fq=2,VLOOKUP(ppt*fq-G253,Charges!$AP$41:$AQ$79,2,FALSE),VLOOKUP(ppt*fq-D253,Charges!$AR$41:$AS$279,2,FALSE)))*pr/fq,0),0)</f>
        <v>0</v>
      </c>
      <c r="U253" s="14">
        <f ca="1">IFERROR(((T253*(VLOOKUP(Input!$D$18+H253-1,Tab_Mort_Charge,IF(Gender_2="M",2,3),FALSE)*(1+_emr2)+_rpm2)/IF(Model_Type="LA_PQIS",1000/0.0833,(12*1000))))*Flag_Mort_Rider_Charge*(T253&gt;0),0)</f>
        <v>0</v>
      </c>
      <c r="V253" s="34">
        <f>ROUND(MIN(IF(H253&gt;=7,Charges!$C$12*(1+Charges!$C$14)^((H253-7+1)),VLOOKUP(H253,Charges!$B$7:$C$12,2,0))*pr,Charges!$C$13)*B253,Round)</f>
        <v>0</v>
      </c>
      <c r="W253" s="14">
        <f t="shared" ca="1" si="154"/>
        <v>0</v>
      </c>
      <c r="X253" s="14">
        <f t="shared" ca="1" si="155"/>
        <v>0</v>
      </c>
      <c r="Y253" s="213">
        <f t="shared" ca="1" si="177"/>
        <v>0</v>
      </c>
      <c r="Z253" s="14">
        <f t="shared" ca="1" si="156"/>
        <v>0</v>
      </c>
      <c r="AA253" s="14">
        <f>IF(AND($H253=pt,$F253=11),SUM($K$7:K253)*VLOOKUP(pt,ROC,2,FALSE),0)</f>
        <v>0</v>
      </c>
      <c r="AB253" s="14">
        <f>IF(AND($H253=pt,$F253=11),SUM($V$7:V253)*VLOOKUP(pt,ROC,2,FALSE),0)</f>
        <v>0</v>
      </c>
      <c r="AC253" s="14">
        <f>IF(AND($H253=pt,$F253=11),SUM($Q$7:Q253)*VLOOKUP(pt,ROC,2,FALSE),0)</f>
        <v>0</v>
      </c>
      <c r="AD253" s="14">
        <f t="shared" ca="1" si="178"/>
        <v>0</v>
      </c>
      <c r="AE253" s="14">
        <f ca="1">(MAX(sa-CF252*Flag_UL_Type,105%*SUM($I$7:I253),Z253)+AU253)*B253</f>
        <v>0</v>
      </c>
      <c r="AF253" s="136"/>
      <c r="AG253" s="18">
        <v>247</v>
      </c>
      <c r="AH253" s="30">
        <f t="shared" ca="1" si="157"/>
        <v>0</v>
      </c>
      <c r="AI253" s="58"/>
      <c r="AJ253" s="50">
        <f>IF(AND(Option_Sys_TopUp&gt;="Y",H253&gt;=sytp,H253&lt;=(dtp+sytp-1),F253=0,H253&lt;=ppt+1),atp,0)+IFERROR(VLOOKUP(H253,Input!$B$55:$C$61,2,0),0)*(F253=0)*(Option_TopUP="Y")*(Option_Sys_TopUp="N")*B253*(pt&gt;=H253+5)</f>
        <v>0</v>
      </c>
      <c r="AK253" s="50">
        <f t="shared" si="158"/>
        <v>0</v>
      </c>
      <c r="AL253" s="50">
        <f t="shared" si="179"/>
        <v>0</v>
      </c>
      <c r="AM253" s="50">
        <f t="shared" ca="1" si="159"/>
        <v>0</v>
      </c>
      <c r="AN253" s="50">
        <f>IF(B253=0,0,AT253*(_rpm1+(1+_emr1)*VLOOKUP(E253,Tab_Mort_Charge,IF(Input!$C$12="M",2,3),0))*(0.001*0.0833)*Flag_Mort_Rider_Charge*(AT253&gt;0))</f>
        <v>0</v>
      </c>
      <c r="AO253" s="50">
        <f t="shared" ca="1" si="180"/>
        <v>0</v>
      </c>
      <c r="AP253" s="50">
        <f t="shared" ca="1" si="187"/>
        <v>0</v>
      </c>
      <c r="AQ253" s="50">
        <f t="shared" ca="1" si="160"/>
        <v>0</v>
      </c>
      <c r="AR253" s="50">
        <f t="shared" ca="1" si="161"/>
        <v>0</v>
      </c>
      <c r="AS253" s="50">
        <f t="shared" si="162"/>
        <v>0</v>
      </c>
      <c r="AT253" s="50">
        <f ca="1">(MAX((MAX(AS253,105%*SUM($AJ$7:AJ253))-AM253*Flag_UL_Type),0)*B253)</f>
        <v>0</v>
      </c>
      <c r="AU253" s="50">
        <f ca="1">(MAX(AS253,AR253,105%*SUM($AJ$7:AJ253))*B253)</f>
        <v>0</v>
      </c>
      <c r="AV253" s="125"/>
      <c r="AW253" s="13"/>
      <c r="AX253" s="13"/>
      <c r="AY253" s="13"/>
      <c r="AZ253" s="13"/>
      <c r="BA253" s="13"/>
      <c r="BG253" s="51">
        <f t="shared" si="163"/>
        <v>0</v>
      </c>
      <c r="BH253" s="51">
        <f t="shared" si="164"/>
        <v>0</v>
      </c>
      <c r="BI253" s="51">
        <f t="shared" ca="1" si="165"/>
        <v>0</v>
      </c>
      <c r="BJ253" s="51">
        <f t="shared" ca="1" si="166"/>
        <v>0</v>
      </c>
      <c r="BK253" s="51">
        <f t="shared" si="167"/>
        <v>0</v>
      </c>
      <c r="BL253" s="51">
        <f t="shared" ca="1" si="168"/>
        <v>0</v>
      </c>
      <c r="BM253" s="51">
        <f t="shared" si="169"/>
        <v>0</v>
      </c>
      <c r="BN253" s="51">
        <f t="shared" si="170"/>
        <v>0</v>
      </c>
      <c r="BO253" s="51">
        <f t="shared" ca="1" si="171"/>
        <v>0</v>
      </c>
      <c r="BP253" s="51">
        <f t="shared" ca="1" si="172"/>
        <v>0</v>
      </c>
      <c r="BQ253" s="120"/>
      <c r="BR253" s="32"/>
      <c r="BS253" s="126"/>
      <c r="BT253" s="16"/>
      <c r="BU253" s="58"/>
      <c r="BW253" s="51">
        <f>VLOOKUP(H253,Charges!$AT$4:$AU$33,2,FALSE)*I253</f>
        <v>0</v>
      </c>
      <c r="BX253" s="51">
        <f t="shared" si="173"/>
        <v>0</v>
      </c>
      <c r="BY253" s="51">
        <f t="shared" si="181"/>
        <v>0</v>
      </c>
      <c r="BZ253" s="151"/>
      <c r="CA253" s="151"/>
      <c r="CB253" s="32"/>
      <c r="CC253" s="16">
        <f ca="1">SUM($N$7:$N253)</f>
        <v>0</v>
      </c>
      <c r="CD253" s="16">
        <f t="shared" ca="1" si="174"/>
        <v>0</v>
      </c>
      <c r="CE253" s="16">
        <f t="shared" ca="1" si="175"/>
        <v>0</v>
      </c>
      <c r="CF253" s="7">
        <f t="shared" ca="1" si="182"/>
        <v>0</v>
      </c>
    </row>
    <row r="254" spans="1:84" s="7" customFormat="1" x14ac:dyDescent="0.2">
      <c r="A254" s="149"/>
      <c r="B254" s="14">
        <f t="shared" si="144"/>
        <v>0</v>
      </c>
      <c r="C254" s="12">
        <f t="shared" si="145"/>
        <v>0</v>
      </c>
      <c r="D254" s="17">
        <f t="shared" si="183"/>
        <v>248</v>
      </c>
      <c r="E254" s="17">
        <f t="shared" ca="1" si="146"/>
        <v>80</v>
      </c>
      <c r="F254" s="12">
        <f t="shared" si="185"/>
        <v>7</v>
      </c>
      <c r="G254" s="12">
        <f t="shared" si="184"/>
        <v>42</v>
      </c>
      <c r="H254" s="17">
        <f t="shared" si="186"/>
        <v>21</v>
      </c>
      <c r="I254" s="29">
        <f t="shared" si="147"/>
        <v>0</v>
      </c>
      <c r="J254" s="211">
        <f>IFERROR(VLOOKUP(H254,Charges!$T$6:$U$35,2,0)*C254,0)</f>
        <v>0</v>
      </c>
      <c r="K254" s="29">
        <f t="shared" si="148"/>
        <v>0</v>
      </c>
      <c r="L254" s="29">
        <f t="shared" si="149"/>
        <v>0</v>
      </c>
      <c r="M254" s="147">
        <f t="shared" ca="1" si="150"/>
        <v>0</v>
      </c>
      <c r="N254" s="148">
        <f ca="1">IF(AND(Option_SPW="Y",Z253&gt;=SPW_Start_Min_FV,H254&gt;=Lock_In_Period,Z253&gt;SPW_Amount_pa+IF(option="Single",1/5*pr,2*pr),H254&gt;=SPW_Start_Year,H254&lt;=SPW_Start_Year+SPW_Duration-1,F254=0,age+H254&gt;=Legal_Age),SPW_Amount_pa,0)+IFERROR(VLOOKUP(H254,Input!$B$68:$C$74,2,0),0)*(F254=0)*(Option_PW="Y")*(Option_SPW="N")*(age+H254&gt;=Legal_Age)</f>
        <v>0</v>
      </c>
      <c r="O254" s="148">
        <f t="shared" ca="1" si="176"/>
        <v>0</v>
      </c>
      <c r="P254" s="14">
        <f ca="1">(MAX(MAX(sa-CF253*Flag_UL_Type,105%*SUM($I$7:I254))-(AD253+L254-N254)*Flag_UL_Type,0)*B254)</f>
        <v>0</v>
      </c>
      <c r="Q254" s="213">
        <f t="shared" si="151"/>
        <v>0</v>
      </c>
      <c r="R254" s="14">
        <f t="shared" ca="1" si="152"/>
        <v>0</v>
      </c>
      <c r="S254" s="14">
        <f t="shared" ca="1" si="153"/>
        <v>0</v>
      </c>
      <c r="T254" s="14">
        <f>IFERROR(IF(WoP_Flag="Y",IF(fq=1,VLOOKUP(ppt*fq-H254,Charges!$AN$41:$AO$59,2,FALSE),IF(fq=2,VLOOKUP(ppt*fq-G254,Charges!$AP$41:$AQ$79,2,FALSE),VLOOKUP(ppt*fq-D254,Charges!$AR$41:$AS$279,2,FALSE)))*pr/fq,0),0)</f>
        <v>0</v>
      </c>
      <c r="U254" s="14">
        <f ca="1">IFERROR(((T254*(VLOOKUP(Input!$D$18+H254-1,Tab_Mort_Charge,IF(Gender_2="M",2,3),FALSE)*(1+_emr2)+_rpm2)/IF(Model_Type="LA_PQIS",1000/0.0833,(12*1000))))*Flag_Mort_Rider_Charge*(T254&gt;0),0)</f>
        <v>0</v>
      </c>
      <c r="V254" s="34">
        <f>ROUND(MIN(IF(H254&gt;=7,Charges!$C$12*(1+Charges!$C$14)^((H254-7+1)),VLOOKUP(H254,Charges!$B$7:$C$12,2,0))*pr,Charges!$C$13)*B254,Round)</f>
        <v>0</v>
      </c>
      <c r="W254" s="14">
        <f t="shared" ca="1" si="154"/>
        <v>0</v>
      </c>
      <c r="X254" s="14">
        <f t="shared" ca="1" si="155"/>
        <v>0</v>
      </c>
      <c r="Y254" s="213">
        <f t="shared" ca="1" si="177"/>
        <v>0</v>
      </c>
      <c r="Z254" s="14">
        <f t="shared" ca="1" si="156"/>
        <v>0</v>
      </c>
      <c r="AA254" s="14">
        <f>IF(AND($H254=pt,$F254=11),SUM($K$7:K254)*VLOOKUP(pt,ROC,2,FALSE),0)</f>
        <v>0</v>
      </c>
      <c r="AB254" s="14">
        <f>IF(AND($H254=pt,$F254=11),SUM($V$7:V254)*VLOOKUP(pt,ROC,2,FALSE),0)</f>
        <v>0</v>
      </c>
      <c r="AC254" s="14">
        <f>IF(AND($H254=pt,$F254=11),SUM($Q$7:Q254)*VLOOKUP(pt,ROC,2,FALSE),0)</f>
        <v>0</v>
      </c>
      <c r="AD254" s="14">
        <f t="shared" ca="1" si="178"/>
        <v>0</v>
      </c>
      <c r="AE254" s="14">
        <f ca="1">(MAX(sa-CF253*Flag_UL_Type,105%*SUM($I$7:I254),Z254)+AU254)*B254</f>
        <v>0</v>
      </c>
      <c r="AF254" s="136"/>
      <c r="AG254" s="18">
        <v>248</v>
      </c>
      <c r="AH254" s="30">
        <f t="shared" ca="1" si="157"/>
        <v>0</v>
      </c>
      <c r="AI254" s="58"/>
      <c r="AJ254" s="50">
        <f>IF(AND(Option_Sys_TopUp&gt;="Y",H254&gt;=sytp,H254&lt;=(dtp+sytp-1),F254=0,H254&lt;=ppt+1),atp,0)+IFERROR(VLOOKUP(H254,Input!$B$55:$C$61,2,0),0)*(F254=0)*(Option_TopUP="Y")*(Option_Sys_TopUp="N")*B254*(pt&gt;=H254+5)</f>
        <v>0</v>
      </c>
      <c r="AK254" s="50">
        <f t="shared" si="158"/>
        <v>0</v>
      </c>
      <c r="AL254" s="50">
        <f t="shared" si="179"/>
        <v>0</v>
      </c>
      <c r="AM254" s="50">
        <f t="shared" ca="1" si="159"/>
        <v>0</v>
      </c>
      <c r="AN254" s="50">
        <f>IF(B254=0,0,AT254*(_rpm1+(1+_emr1)*VLOOKUP(E254,Tab_Mort_Charge,IF(Input!$C$12="M",2,3),0))*(0.001*0.0833)*Flag_Mort_Rider_Charge*(AT254&gt;0))</f>
        <v>0</v>
      </c>
      <c r="AO254" s="50">
        <f t="shared" ca="1" si="180"/>
        <v>0</v>
      </c>
      <c r="AP254" s="50">
        <f t="shared" ca="1" si="187"/>
        <v>0</v>
      </c>
      <c r="AQ254" s="50">
        <f t="shared" ca="1" si="160"/>
        <v>0</v>
      </c>
      <c r="AR254" s="50">
        <f t="shared" ca="1" si="161"/>
        <v>0</v>
      </c>
      <c r="AS254" s="50">
        <f t="shared" si="162"/>
        <v>0</v>
      </c>
      <c r="AT254" s="50">
        <f ca="1">(MAX((MAX(AS254,105%*SUM($AJ$7:AJ254))-AM254*Flag_UL_Type),0)*B254)</f>
        <v>0</v>
      </c>
      <c r="AU254" s="50">
        <f ca="1">(MAX(AS254,AR254,105%*SUM($AJ$7:AJ254))*B254)</f>
        <v>0</v>
      </c>
      <c r="AV254" s="125"/>
      <c r="AW254" s="13"/>
      <c r="AX254" s="13"/>
      <c r="AY254" s="13"/>
      <c r="AZ254" s="13"/>
      <c r="BA254" s="13"/>
      <c r="BG254" s="51">
        <f t="shared" si="163"/>
        <v>0</v>
      </c>
      <c r="BH254" s="51">
        <f t="shared" si="164"/>
        <v>0</v>
      </c>
      <c r="BI254" s="51">
        <f t="shared" ca="1" si="165"/>
        <v>0</v>
      </c>
      <c r="BJ254" s="51">
        <f t="shared" ca="1" si="166"/>
        <v>0</v>
      </c>
      <c r="BK254" s="51">
        <f t="shared" si="167"/>
        <v>0</v>
      </c>
      <c r="BL254" s="51">
        <f t="shared" ca="1" si="168"/>
        <v>0</v>
      </c>
      <c r="BM254" s="51">
        <f t="shared" si="169"/>
        <v>0</v>
      </c>
      <c r="BN254" s="51">
        <f t="shared" si="170"/>
        <v>0</v>
      </c>
      <c r="BO254" s="51">
        <f t="shared" ca="1" si="171"/>
        <v>0</v>
      </c>
      <c r="BP254" s="51">
        <f t="shared" ca="1" si="172"/>
        <v>0</v>
      </c>
      <c r="BQ254" s="120"/>
      <c r="BR254" s="32"/>
      <c r="BS254" s="126"/>
      <c r="BT254" s="16"/>
      <c r="BU254" s="58"/>
      <c r="BW254" s="51">
        <f>VLOOKUP(H254,Charges!$AT$4:$AU$33,2,FALSE)*I254</f>
        <v>0</v>
      </c>
      <c r="BX254" s="51">
        <f t="shared" si="173"/>
        <v>0</v>
      </c>
      <c r="BY254" s="51">
        <f t="shared" si="181"/>
        <v>0</v>
      </c>
      <c r="BZ254" s="151"/>
      <c r="CA254" s="151"/>
      <c r="CB254" s="32"/>
      <c r="CC254" s="16">
        <f ca="1">SUM($N$7:$N254)</f>
        <v>0</v>
      </c>
      <c r="CD254" s="16">
        <f t="shared" ca="1" si="174"/>
        <v>0</v>
      </c>
      <c r="CE254" s="16">
        <f t="shared" ca="1" si="175"/>
        <v>0</v>
      </c>
      <c r="CF254" s="7">
        <f t="shared" ca="1" si="182"/>
        <v>0</v>
      </c>
    </row>
    <row r="255" spans="1:84" s="7" customFormat="1" x14ac:dyDescent="0.2">
      <c r="A255" s="149"/>
      <c r="B255" s="14">
        <f t="shared" si="144"/>
        <v>0</v>
      </c>
      <c r="C255" s="12">
        <f t="shared" si="145"/>
        <v>0</v>
      </c>
      <c r="D255" s="17">
        <f t="shared" si="183"/>
        <v>249</v>
      </c>
      <c r="E255" s="17">
        <f t="shared" ca="1" si="146"/>
        <v>80</v>
      </c>
      <c r="F255" s="12">
        <f t="shared" si="185"/>
        <v>8</v>
      </c>
      <c r="G255" s="12">
        <f t="shared" si="184"/>
        <v>42</v>
      </c>
      <c r="H255" s="17">
        <f t="shared" si="186"/>
        <v>21</v>
      </c>
      <c r="I255" s="29">
        <f t="shared" si="147"/>
        <v>0</v>
      </c>
      <c r="J255" s="211">
        <f>IFERROR(VLOOKUP(H255,Charges!$T$6:$U$35,2,0)*C255,0)</f>
        <v>0</v>
      </c>
      <c r="K255" s="29">
        <f t="shared" si="148"/>
        <v>0</v>
      </c>
      <c r="L255" s="29">
        <f t="shared" si="149"/>
        <v>0</v>
      </c>
      <c r="M255" s="147">
        <f t="shared" ca="1" si="150"/>
        <v>0</v>
      </c>
      <c r="N255" s="148">
        <f ca="1">IF(AND(Option_SPW="Y",Z254&gt;=SPW_Start_Min_FV,H255&gt;=Lock_In_Period,Z254&gt;SPW_Amount_pa+IF(option="Single",1/5*pr,2*pr),H255&gt;=SPW_Start_Year,H255&lt;=SPW_Start_Year+SPW_Duration-1,F255=0,age+H255&gt;=Legal_Age),SPW_Amount_pa,0)+IFERROR(VLOOKUP(H255,Input!$B$68:$C$74,2,0),0)*(F255=0)*(Option_PW="Y")*(Option_SPW="N")*(age+H255&gt;=Legal_Age)</f>
        <v>0</v>
      </c>
      <c r="O255" s="148">
        <f t="shared" ca="1" si="176"/>
        <v>0</v>
      </c>
      <c r="P255" s="14">
        <f ca="1">(MAX(MAX(sa-CF254*Flag_UL_Type,105%*SUM($I$7:I255))-(AD254+L255-N255)*Flag_UL_Type,0)*B255)</f>
        <v>0</v>
      </c>
      <c r="Q255" s="213">
        <f t="shared" si="151"/>
        <v>0</v>
      </c>
      <c r="R255" s="14">
        <f t="shared" ca="1" si="152"/>
        <v>0</v>
      </c>
      <c r="S255" s="14">
        <f t="shared" ca="1" si="153"/>
        <v>0</v>
      </c>
      <c r="T255" s="14">
        <f>IFERROR(IF(WoP_Flag="Y",IF(fq=1,VLOOKUP(ppt*fq-H255,Charges!$AN$41:$AO$59,2,FALSE),IF(fq=2,VLOOKUP(ppt*fq-G255,Charges!$AP$41:$AQ$79,2,FALSE),VLOOKUP(ppt*fq-D255,Charges!$AR$41:$AS$279,2,FALSE)))*pr/fq,0),0)</f>
        <v>0</v>
      </c>
      <c r="U255" s="14">
        <f ca="1">IFERROR(((T255*(VLOOKUP(Input!$D$18+H255-1,Tab_Mort_Charge,IF(Gender_2="M",2,3),FALSE)*(1+_emr2)+_rpm2)/IF(Model_Type="LA_PQIS",1000/0.0833,(12*1000))))*Flag_Mort_Rider_Charge*(T255&gt;0),0)</f>
        <v>0</v>
      </c>
      <c r="V255" s="34">
        <f>ROUND(MIN(IF(H255&gt;=7,Charges!$C$12*(1+Charges!$C$14)^((H255-7+1)),VLOOKUP(H255,Charges!$B$7:$C$12,2,0))*pr,Charges!$C$13)*B255,Round)</f>
        <v>0</v>
      </c>
      <c r="W255" s="14">
        <f t="shared" ca="1" si="154"/>
        <v>0</v>
      </c>
      <c r="X255" s="14">
        <f t="shared" ca="1" si="155"/>
        <v>0</v>
      </c>
      <c r="Y255" s="213">
        <f t="shared" ca="1" si="177"/>
        <v>0</v>
      </c>
      <c r="Z255" s="14">
        <f t="shared" ca="1" si="156"/>
        <v>0</v>
      </c>
      <c r="AA255" s="14">
        <f>IF(AND($H255=pt,$F255=11),SUM($K$7:K255)*VLOOKUP(pt,ROC,2,FALSE),0)</f>
        <v>0</v>
      </c>
      <c r="AB255" s="14">
        <f>IF(AND($H255=pt,$F255=11),SUM($V$7:V255)*VLOOKUP(pt,ROC,2,FALSE),0)</f>
        <v>0</v>
      </c>
      <c r="AC255" s="14">
        <f>IF(AND($H255=pt,$F255=11),SUM($Q$7:Q255)*VLOOKUP(pt,ROC,2,FALSE),0)</f>
        <v>0</v>
      </c>
      <c r="AD255" s="14">
        <f t="shared" ca="1" si="178"/>
        <v>0</v>
      </c>
      <c r="AE255" s="14">
        <f ca="1">(MAX(sa-CF254*Flag_UL_Type,105%*SUM($I$7:I255),Z255)+AU255)*B255</f>
        <v>0</v>
      </c>
      <c r="AF255" s="136"/>
      <c r="AG255" s="18">
        <v>249</v>
      </c>
      <c r="AH255" s="30">
        <f t="shared" ca="1" si="157"/>
        <v>0</v>
      </c>
      <c r="AI255" s="58"/>
      <c r="AJ255" s="50">
        <f>IF(AND(Option_Sys_TopUp&gt;="Y",H255&gt;=sytp,H255&lt;=(dtp+sytp-1),F255=0,H255&lt;=ppt+1),atp,0)+IFERROR(VLOOKUP(H255,Input!$B$55:$C$61,2,0),0)*(F255=0)*(Option_TopUP="Y")*(Option_Sys_TopUp="N")*B255*(pt&gt;=H255+5)</f>
        <v>0</v>
      </c>
      <c r="AK255" s="50">
        <f t="shared" si="158"/>
        <v>0</v>
      </c>
      <c r="AL255" s="50">
        <f t="shared" si="179"/>
        <v>0</v>
      </c>
      <c r="AM255" s="50">
        <f t="shared" ca="1" si="159"/>
        <v>0</v>
      </c>
      <c r="AN255" s="50">
        <f>IF(B255=0,0,AT255*(_rpm1+(1+_emr1)*VLOOKUP(E255,Tab_Mort_Charge,IF(Input!$C$12="M",2,3),0))*(0.001*0.0833)*Flag_Mort_Rider_Charge*(AT255&gt;0))</f>
        <v>0</v>
      </c>
      <c r="AO255" s="50">
        <f t="shared" ca="1" si="180"/>
        <v>0</v>
      </c>
      <c r="AP255" s="50">
        <f t="shared" ca="1" si="187"/>
        <v>0</v>
      </c>
      <c r="AQ255" s="50">
        <f t="shared" ca="1" si="160"/>
        <v>0</v>
      </c>
      <c r="AR255" s="50">
        <f t="shared" ca="1" si="161"/>
        <v>0</v>
      </c>
      <c r="AS255" s="50">
        <f t="shared" si="162"/>
        <v>0</v>
      </c>
      <c r="AT255" s="50">
        <f ca="1">(MAX((MAX(AS255,105%*SUM($AJ$7:AJ255))-AM255*Flag_UL_Type),0)*B255)</f>
        <v>0</v>
      </c>
      <c r="AU255" s="50">
        <f ca="1">(MAX(AS255,AR255,105%*SUM($AJ$7:AJ255))*B255)</f>
        <v>0</v>
      </c>
      <c r="AV255" s="125"/>
      <c r="AW255" s="13"/>
      <c r="AX255" s="13"/>
      <c r="AY255" s="13"/>
      <c r="AZ255" s="13"/>
      <c r="BA255" s="13"/>
      <c r="BG255" s="51">
        <f t="shared" si="163"/>
        <v>0</v>
      </c>
      <c r="BH255" s="51">
        <f t="shared" si="164"/>
        <v>0</v>
      </c>
      <c r="BI255" s="51">
        <f t="shared" ca="1" si="165"/>
        <v>0</v>
      </c>
      <c r="BJ255" s="51">
        <f t="shared" ca="1" si="166"/>
        <v>0</v>
      </c>
      <c r="BK255" s="51">
        <f t="shared" si="167"/>
        <v>0</v>
      </c>
      <c r="BL255" s="51">
        <f t="shared" ca="1" si="168"/>
        <v>0</v>
      </c>
      <c r="BM255" s="51">
        <f t="shared" si="169"/>
        <v>0</v>
      </c>
      <c r="BN255" s="51">
        <f t="shared" si="170"/>
        <v>0</v>
      </c>
      <c r="BO255" s="51">
        <f t="shared" ca="1" si="171"/>
        <v>0</v>
      </c>
      <c r="BP255" s="51">
        <f t="shared" ca="1" si="172"/>
        <v>0</v>
      </c>
      <c r="BQ255" s="120"/>
      <c r="BR255" s="32"/>
      <c r="BS255" s="126"/>
      <c r="BT255" s="16"/>
      <c r="BU255" s="58"/>
      <c r="BW255" s="51">
        <f>VLOOKUP(H255,Charges!$AT$4:$AU$33,2,FALSE)*I255</f>
        <v>0</v>
      </c>
      <c r="BX255" s="51">
        <f t="shared" si="173"/>
        <v>0</v>
      </c>
      <c r="BY255" s="51">
        <f t="shared" si="181"/>
        <v>0</v>
      </c>
      <c r="BZ255" s="151"/>
      <c r="CA255" s="151"/>
      <c r="CB255" s="32"/>
      <c r="CC255" s="16">
        <f ca="1">SUM($N$7:$N255)</f>
        <v>0</v>
      </c>
      <c r="CD255" s="16">
        <f t="shared" ca="1" si="174"/>
        <v>0</v>
      </c>
      <c r="CE255" s="16">
        <f t="shared" ca="1" si="175"/>
        <v>0</v>
      </c>
      <c r="CF255" s="7">
        <f t="shared" ca="1" si="182"/>
        <v>0</v>
      </c>
    </row>
    <row r="256" spans="1:84" s="7" customFormat="1" x14ac:dyDescent="0.2">
      <c r="A256" s="149"/>
      <c r="B256" s="14">
        <f t="shared" si="144"/>
        <v>0</v>
      </c>
      <c r="C256" s="12">
        <f t="shared" si="145"/>
        <v>0</v>
      </c>
      <c r="D256" s="17">
        <f t="shared" si="183"/>
        <v>250</v>
      </c>
      <c r="E256" s="17">
        <f t="shared" ca="1" si="146"/>
        <v>80</v>
      </c>
      <c r="F256" s="12">
        <f t="shared" si="185"/>
        <v>9</v>
      </c>
      <c r="G256" s="12">
        <f t="shared" si="184"/>
        <v>42</v>
      </c>
      <c r="H256" s="17">
        <f t="shared" si="186"/>
        <v>21</v>
      </c>
      <c r="I256" s="29">
        <f t="shared" si="147"/>
        <v>0</v>
      </c>
      <c r="J256" s="211">
        <f>IFERROR(VLOOKUP(H256,Charges!$T$6:$U$35,2,0)*C256,0)</f>
        <v>0</v>
      </c>
      <c r="K256" s="29">
        <f t="shared" si="148"/>
        <v>0</v>
      </c>
      <c r="L256" s="29">
        <f t="shared" si="149"/>
        <v>0</v>
      </c>
      <c r="M256" s="147">
        <f t="shared" ca="1" si="150"/>
        <v>0</v>
      </c>
      <c r="N256" s="148">
        <f ca="1">IF(AND(Option_SPW="Y",Z255&gt;=SPW_Start_Min_FV,H256&gt;=Lock_In_Period,Z255&gt;SPW_Amount_pa+IF(option="Single",1/5*pr,2*pr),H256&gt;=SPW_Start_Year,H256&lt;=SPW_Start_Year+SPW_Duration-1,F256=0,age+H256&gt;=Legal_Age),SPW_Amount_pa,0)+IFERROR(VLOOKUP(H256,Input!$B$68:$C$74,2,0),0)*(F256=0)*(Option_PW="Y")*(Option_SPW="N")*(age+H256&gt;=Legal_Age)</f>
        <v>0</v>
      </c>
      <c r="O256" s="148">
        <f t="shared" ca="1" si="176"/>
        <v>0</v>
      </c>
      <c r="P256" s="14">
        <f ca="1">(MAX(MAX(sa-CF255*Flag_UL_Type,105%*SUM($I$7:I256))-(AD255+L256-N256)*Flag_UL_Type,0)*B256)</f>
        <v>0</v>
      </c>
      <c r="Q256" s="213">
        <f t="shared" si="151"/>
        <v>0</v>
      </c>
      <c r="R256" s="14">
        <f t="shared" ca="1" si="152"/>
        <v>0</v>
      </c>
      <c r="S256" s="14">
        <f t="shared" ca="1" si="153"/>
        <v>0</v>
      </c>
      <c r="T256" s="14">
        <f>IFERROR(IF(WoP_Flag="Y",IF(fq=1,VLOOKUP(ppt*fq-H256,Charges!$AN$41:$AO$59,2,FALSE),IF(fq=2,VLOOKUP(ppt*fq-G256,Charges!$AP$41:$AQ$79,2,FALSE),VLOOKUP(ppt*fq-D256,Charges!$AR$41:$AS$279,2,FALSE)))*pr/fq,0),0)</f>
        <v>0</v>
      </c>
      <c r="U256" s="14">
        <f ca="1">IFERROR(((T256*(VLOOKUP(Input!$D$18+H256-1,Tab_Mort_Charge,IF(Gender_2="M",2,3),FALSE)*(1+_emr2)+_rpm2)/IF(Model_Type="LA_PQIS",1000/0.0833,(12*1000))))*Flag_Mort_Rider_Charge*(T256&gt;0),0)</f>
        <v>0</v>
      </c>
      <c r="V256" s="34">
        <f>ROUND(MIN(IF(H256&gt;=7,Charges!$C$12*(1+Charges!$C$14)^((H256-7+1)),VLOOKUP(H256,Charges!$B$7:$C$12,2,0))*pr,Charges!$C$13)*B256,Round)</f>
        <v>0</v>
      </c>
      <c r="W256" s="14">
        <f t="shared" ca="1" si="154"/>
        <v>0</v>
      </c>
      <c r="X256" s="14">
        <f t="shared" ca="1" si="155"/>
        <v>0</v>
      </c>
      <c r="Y256" s="213">
        <f t="shared" ca="1" si="177"/>
        <v>0</v>
      </c>
      <c r="Z256" s="14">
        <f t="shared" ca="1" si="156"/>
        <v>0</v>
      </c>
      <c r="AA256" s="14">
        <f>IF(AND($H256=pt,$F256=11),SUM($K$7:K256)*VLOOKUP(pt,ROC,2,FALSE),0)</f>
        <v>0</v>
      </c>
      <c r="AB256" s="14">
        <f>IF(AND($H256=pt,$F256=11),SUM($V$7:V256)*VLOOKUP(pt,ROC,2,FALSE),0)</f>
        <v>0</v>
      </c>
      <c r="AC256" s="14">
        <f>IF(AND($H256=pt,$F256=11),SUM($Q$7:Q256)*VLOOKUP(pt,ROC,2,FALSE),0)</f>
        <v>0</v>
      </c>
      <c r="AD256" s="14">
        <f t="shared" ca="1" si="178"/>
        <v>0</v>
      </c>
      <c r="AE256" s="14">
        <f ca="1">(MAX(sa-CF255*Flag_UL_Type,105%*SUM($I$7:I256),Z256)+AU256)*B256</f>
        <v>0</v>
      </c>
      <c r="AF256" s="136"/>
      <c r="AG256" s="18">
        <v>250</v>
      </c>
      <c r="AH256" s="30">
        <f t="shared" ca="1" si="157"/>
        <v>0</v>
      </c>
      <c r="AI256" s="58"/>
      <c r="AJ256" s="50">
        <f>IF(AND(Option_Sys_TopUp&gt;="Y",H256&gt;=sytp,H256&lt;=(dtp+sytp-1),F256=0,H256&lt;=ppt+1),atp,0)+IFERROR(VLOOKUP(H256,Input!$B$55:$C$61,2,0),0)*(F256=0)*(Option_TopUP="Y")*(Option_Sys_TopUp="N")*B256*(pt&gt;=H256+5)</f>
        <v>0</v>
      </c>
      <c r="AK256" s="50">
        <f t="shared" si="158"/>
        <v>0</v>
      </c>
      <c r="AL256" s="50">
        <f t="shared" si="179"/>
        <v>0</v>
      </c>
      <c r="AM256" s="50">
        <f t="shared" ca="1" si="159"/>
        <v>0</v>
      </c>
      <c r="AN256" s="50">
        <f>IF(B256=0,0,AT256*(_rpm1+(1+_emr1)*VLOOKUP(E256,Tab_Mort_Charge,IF(Input!$C$12="M",2,3),0))*(0.001*0.0833)*Flag_Mort_Rider_Charge*(AT256&gt;0))</f>
        <v>0</v>
      </c>
      <c r="AO256" s="50">
        <f t="shared" ca="1" si="180"/>
        <v>0</v>
      </c>
      <c r="AP256" s="50">
        <f t="shared" ca="1" si="187"/>
        <v>0</v>
      </c>
      <c r="AQ256" s="50">
        <f t="shared" ca="1" si="160"/>
        <v>0</v>
      </c>
      <c r="AR256" s="50">
        <f t="shared" ca="1" si="161"/>
        <v>0</v>
      </c>
      <c r="AS256" s="50">
        <f t="shared" si="162"/>
        <v>0</v>
      </c>
      <c r="AT256" s="50">
        <f ca="1">(MAX((MAX(AS256,105%*SUM($AJ$7:AJ256))-AM256*Flag_UL_Type),0)*B256)</f>
        <v>0</v>
      </c>
      <c r="AU256" s="50">
        <f ca="1">(MAX(AS256,AR256,105%*SUM($AJ$7:AJ256))*B256)</f>
        <v>0</v>
      </c>
      <c r="AV256" s="125"/>
      <c r="AW256" s="13"/>
      <c r="AX256" s="13"/>
      <c r="AY256" s="13"/>
      <c r="AZ256" s="13"/>
      <c r="BA256" s="13"/>
      <c r="BG256" s="51">
        <f t="shared" si="163"/>
        <v>0</v>
      </c>
      <c r="BH256" s="51">
        <f t="shared" si="164"/>
        <v>0</v>
      </c>
      <c r="BI256" s="51">
        <f t="shared" ca="1" si="165"/>
        <v>0</v>
      </c>
      <c r="BJ256" s="51">
        <f t="shared" ca="1" si="166"/>
        <v>0</v>
      </c>
      <c r="BK256" s="51">
        <f t="shared" si="167"/>
        <v>0</v>
      </c>
      <c r="BL256" s="51">
        <f t="shared" ca="1" si="168"/>
        <v>0</v>
      </c>
      <c r="BM256" s="51">
        <f t="shared" si="169"/>
        <v>0</v>
      </c>
      <c r="BN256" s="51">
        <f t="shared" si="170"/>
        <v>0</v>
      </c>
      <c r="BO256" s="51">
        <f t="shared" ca="1" si="171"/>
        <v>0</v>
      </c>
      <c r="BP256" s="51">
        <f t="shared" ca="1" si="172"/>
        <v>0</v>
      </c>
      <c r="BQ256" s="120"/>
      <c r="BR256" s="32"/>
      <c r="BS256" s="126"/>
      <c r="BT256" s="16"/>
      <c r="BU256" s="58"/>
      <c r="BW256" s="51">
        <f>VLOOKUP(H256,Charges!$AT$4:$AU$33,2,FALSE)*I256</f>
        <v>0</v>
      </c>
      <c r="BX256" s="51">
        <f t="shared" si="173"/>
        <v>0</v>
      </c>
      <c r="BY256" s="51">
        <f t="shared" si="181"/>
        <v>0</v>
      </c>
      <c r="BZ256" s="151"/>
      <c r="CA256" s="151"/>
      <c r="CB256" s="32"/>
      <c r="CC256" s="16">
        <f ca="1">SUM($N$7:$N256)</f>
        <v>0</v>
      </c>
      <c r="CD256" s="16">
        <f t="shared" ca="1" si="174"/>
        <v>0</v>
      </c>
      <c r="CE256" s="16">
        <f t="shared" ca="1" si="175"/>
        <v>0</v>
      </c>
      <c r="CF256" s="7">
        <f t="shared" ca="1" si="182"/>
        <v>0</v>
      </c>
    </row>
    <row r="257" spans="1:84" s="7" customFormat="1" x14ac:dyDescent="0.2">
      <c r="A257" s="149"/>
      <c r="B257" s="14">
        <f t="shared" si="144"/>
        <v>0</v>
      </c>
      <c r="C257" s="12">
        <f t="shared" si="145"/>
        <v>0</v>
      </c>
      <c r="D257" s="17">
        <f t="shared" si="183"/>
        <v>251</v>
      </c>
      <c r="E257" s="17">
        <f t="shared" ca="1" si="146"/>
        <v>80</v>
      </c>
      <c r="F257" s="12">
        <f t="shared" si="185"/>
        <v>10</v>
      </c>
      <c r="G257" s="12">
        <f t="shared" si="184"/>
        <v>42</v>
      </c>
      <c r="H257" s="17">
        <f t="shared" si="186"/>
        <v>21</v>
      </c>
      <c r="I257" s="29">
        <f t="shared" si="147"/>
        <v>0</v>
      </c>
      <c r="J257" s="211">
        <f>IFERROR(VLOOKUP(H257,Charges!$T$6:$U$35,2,0)*C257,0)</f>
        <v>0</v>
      </c>
      <c r="K257" s="29">
        <f t="shared" si="148"/>
        <v>0</v>
      </c>
      <c r="L257" s="29">
        <f t="shared" si="149"/>
        <v>0</v>
      </c>
      <c r="M257" s="147">
        <f t="shared" ca="1" si="150"/>
        <v>0</v>
      </c>
      <c r="N257" s="148">
        <f ca="1">IF(AND(Option_SPW="Y",Z256&gt;=SPW_Start_Min_FV,H257&gt;=Lock_In_Period,Z256&gt;SPW_Amount_pa+IF(option="Single",1/5*pr,2*pr),H257&gt;=SPW_Start_Year,H257&lt;=SPW_Start_Year+SPW_Duration-1,F257=0,age+H257&gt;=Legal_Age),SPW_Amount_pa,0)+IFERROR(VLOOKUP(H257,Input!$B$68:$C$74,2,0),0)*(F257=0)*(Option_PW="Y")*(Option_SPW="N")*(age+H257&gt;=Legal_Age)</f>
        <v>0</v>
      </c>
      <c r="O257" s="148">
        <f t="shared" ca="1" si="176"/>
        <v>0</v>
      </c>
      <c r="P257" s="14">
        <f ca="1">(MAX(MAX(sa-CF256*Flag_UL_Type,105%*SUM($I$7:I257))-(AD256+L257-N257)*Flag_UL_Type,0)*B257)</f>
        <v>0</v>
      </c>
      <c r="Q257" s="213">
        <f t="shared" si="151"/>
        <v>0</v>
      </c>
      <c r="R257" s="14">
        <f t="shared" ca="1" si="152"/>
        <v>0</v>
      </c>
      <c r="S257" s="14">
        <f t="shared" ca="1" si="153"/>
        <v>0</v>
      </c>
      <c r="T257" s="14">
        <f>IFERROR(IF(WoP_Flag="Y",IF(fq=1,VLOOKUP(ppt*fq-H257,Charges!$AN$41:$AO$59,2,FALSE),IF(fq=2,VLOOKUP(ppt*fq-G257,Charges!$AP$41:$AQ$79,2,FALSE),VLOOKUP(ppt*fq-D257,Charges!$AR$41:$AS$279,2,FALSE)))*pr/fq,0),0)</f>
        <v>0</v>
      </c>
      <c r="U257" s="14">
        <f ca="1">IFERROR(((T257*(VLOOKUP(Input!$D$18+H257-1,Tab_Mort_Charge,IF(Gender_2="M",2,3),FALSE)*(1+_emr2)+_rpm2)/IF(Model_Type="LA_PQIS",1000/0.0833,(12*1000))))*Flag_Mort_Rider_Charge*(T257&gt;0),0)</f>
        <v>0</v>
      </c>
      <c r="V257" s="34">
        <f>ROUND(MIN(IF(H257&gt;=7,Charges!$C$12*(1+Charges!$C$14)^((H257-7+1)),VLOOKUP(H257,Charges!$B$7:$C$12,2,0))*pr,Charges!$C$13)*B257,Round)</f>
        <v>0</v>
      </c>
      <c r="W257" s="14">
        <f t="shared" ca="1" si="154"/>
        <v>0</v>
      </c>
      <c r="X257" s="14">
        <f t="shared" ca="1" si="155"/>
        <v>0</v>
      </c>
      <c r="Y257" s="213">
        <f t="shared" ca="1" si="177"/>
        <v>0</v>
      </c>
      <c r="Z257" s="14">
        <f t="shared" ca="1" si="156"/>
        <v>0</v>
      </c>
      <c r="AA257" s="14">
        <f>IF(AND($H257=pt,$F257=11),SUM($K$7:K257)*VLOOKUP(pt,ROC,2,FALSE),0)</f>
        <v>0</v>
      </c>
      <c r="AB257" s="14">
        <f>IF(AND($H257=pt,$F257=11),SUM($V$7:V257)*VLOOKUP(pt,ROC,2,FALSE),0)</f>
        <v>0</v>
      </c>
      <c r="AC257" s="14">
        <f>IF(AND($H257=pt,$F257=11),SUM($Q$7:Q257)*VLOOKUP(pt,ROC,2,FALSE),0)</f>
        <v>0</v>
      </c>
      <c r="AD257" s="14">
        <f t="shared" ca="1" si="178"/>
        <v>0</v>
      </c>
      <c r="AE257" s="14">
        <f ca="1">(MAX(sa-CF256*Flag_UL_Type,105%*SUM($I$7:I257),Z257)+AU257)*B257</f>
        <v>0</v>
      </c>
      <c r="AF257" s="136"/>
      <c r="AG257" s="18">
        <v>251</v>
      </c>
      <c r="AH257" s="30">
        <f t="shared" ca="1" si="157"/>
        <v>0</v>
      </c>
      <c r="AI257" s="58"/>
      <c r="AJ257" s="50">
        <f>IF(AND(Option_Sys_TopUp&gt;="Y",H257&gt;=sytp,H257&lt;=(dtp+sytp-1),F257=0,H257&lt;=ppt+1),atp,0)+IFERROR(VLOOKUP(H257,Input!$B$55:$C$61,2,0),0)*(F257=0)*(Option_TopUP="Y")*(Option_Sys_TopUp="N")*B257*(pt&gt;=H257+5)</f>
        <v>0</v>
      </c>
      <c r="AK257" s="50">
        <f t="shared" si="158"/>
        <v>0</v>
      </c>
      <c r="AL257" s="50">
        <f t="shared" si="179"/>
        <v>0</v>
      </c>
      <c r="AM257" s="50">
        <f t="shared" ca="1" si="159"/>
        <v>0</v>
      </c>
      <c r="AN257" s="50">
        <f>IF(B257=0,0,AT257*(_rpm1+(1+_emr1)*VLOOKUP(E257,Tab_Mort_Charge,IF(Input!$C$12="M",2,3),0))*(0.001*0.0833)*Flag_Mort_Rider_Charge*(AT257&gt;0))</f>
        <v>0</v>
      </c>
      <c r="AO257" s="50">
        <f t="shared" ca="1" si="180"/>
        <v>0</v>
      </c>
      <c r="AP257" s="50">
        <f t="shared" ca="1" si="187"/>
        <v>0</v>
      </c>
      <c r="AQ257" s="50">
        <f t="shared" ca="1" si="160"/>
        <v>0</v>
      </c>
      <c r="AR257" s="50">
        <f t="shared" ca="1" si="161"/>
        <v>0</v>
      </c>
      <c r="AS257" s="50">
        <f t="shared" si="162"/>
        <v>0</v>
      </c>
      <c r="AT257" s="50">
        <f ca="1">(MAX((MAX(AS257,105%*SUM($AJ$7:AJ257))-AM257*Flag_UL_Type),0)*B257)</f>
        <v>0</v>
      </c>
      <c r="AU257" s="50">
        <f ca="1">(MAX(AS257,AR257,105%*SUM($AJ$7:AJ257))*B257)</f>
        <v>0</v>
      </c>
      <c r="AV257" s="125"/>
      <c r="AW257" s="13"/>
      <c r="AX257" s="13"/>
      <c r="AY257" s="13"/>
      <c r="AZ257" s="13"/>
      <c r="BA257" s="13"/>
      <c r="BG257" s="51">
        <f t="shared" si="163"/>
        <v>0</v>
      </c>
      <c r="BH257" s="51">
        <f t="shared" si="164"/>
        <v>0</v>
      </c>
      <c r="BI257" s="51">
        <f t="shared" ca="1" si="165"/>
        <v>0</v>
      </c>
      <c r="BJ257" s="51">
        <f t="shared" ca="1" si="166"/>
        <v>0</v>
      </c>
      <c r="BK257" s="51">
        <f t="shared" si="167"/>
        <v>0</v>
      </c>
      <c r="BL257" s="51">
        <f t="shared" ca="1" si="168"/>
        <v>0</v>
      </c>
      <c r="BM257" s="51">
        <f t="shared" si="169"/>
        <v>0</v>
      </c>
      <c r="BN257" s="51">
        <f t="shared" si="170"/>
        <v>0</v>
      </c>
      <c r="BO257" s="51">
        <f t="shared" ca="1" si="171"/>
        <v>0</v>
      </c>
      <c r="BP257" s="51">
        <f t="shared" ca="1" si="172"/>
        <v>0</v>
      </c>
      <c r="BQ257" s="120"/>
      <c r="BR257" s="32"/>
      <c r="BS257" s="126"/>
      <c r="BT257" s="16"/>
      <c r="BU257" s="58"/>
      <c r="BW257" s="51">
        <f>VLOOKUP(H257,Charges!$AT$4:$AU$33,2,FALSE)*I257</f>
        <v>0</v>
      </c>
      <c r="BX257" s="51">
        <f t="shared" si="173"/>
        <v>0</v>
      </c>
      <c r="BY257" s="51">
        <f t="shared" si="181"/>
        <v>0</v>
      </c>
      <c r="BZ257" s="151"/>
      <c r="CA257" s="151"/>
      <c r="CB257" s="32"/>
      <c r="CC257" s="16">
        <f ca="1">SUM($N$7:$N257)</f>
        <v>0</v>
      </c>
      <c r="CD257" s="16">
        <f t="shared" ca="1" si="174"/>
        <v>0</v>
      </c>
      <c r="CE257" s="16">
        <f t="shared" ca="1" si="175"/>
        <v>0</v>
      </c>
      <c r="CF257" s="7">
        <f t="shared" ca="1" si="182"/>
        <v>0</v>
      </c>
    </row>
    <row r="258" spans="1:84" s="7" customFormat="1" x14ac:dyDescent="0.2">
      <c r="A258" s="149"/>
      <c r="B258" s="14">
        <f t="shared" si="144"/>
        <v>0</v>
      </c>
      <c r="C258" s="12">
        <f t="shared" si="145"/>
        <v>0</v>
      </c>
      <c r="D258" s="17">
        <f t="shared" si="183"/>
        <v>252</v>
      </c>
      <c r="E258" s="17">
        <f t="shared" ca="1" si="146"/>
        <v>80</v>
      </c>
      <c r="F258" s="12">
        <f t="shared" si="185"/>
        <v>11</v>
      </c>
      <c r="G258" s="12">
        <f t="shared" si="184"/>
        <v>42</v>
      </c>
      <c r="H258" s="17">
        <f t="shared" si="186"/>
        <v>21</v>
      </c>
      <c r="I258" s="29">
        <f t="shared" si="147"/>
        <v>0</v>
      </c>
      <c r="J258" s="211">
        <f>IFERROR(VLOOKUP(H258,Charges!$T$6:$U$35,2,0)*C258,0)</f>
        <v>0</v>
      </c>
      <c r="K258" s="29">
        <f t="shared" si="148"/>
        <v>0</v>
      </c>
      <c r="L258" s="29">
        <f t="shared" si="149"/>
        <v>0</v>
      </c>
      <c r="M258" s="147">
        <f t="shared" ca="1" si="150"/>
        <v>0</v>
      </c>
      <c r="N258" s="148">
        <f ca="1">IF(AND(Option_SPW="Y",Z257&gt;=SPW_Start_Min_FV,H258&gt;=Lock_In_Period,Z257&gt;SPW_Amount_pa+IF(option="Single",1/5*pr,2*pr),H258&gt;=SPW_Start_Year,H258&lt;=SPW_Start_Year+SPW_Duration-1,F258=0,age+H258&gt;=Legal_Age),SPW_Amount_pa,0)+IFERROR(VLOOKUP(H258,Input!$B$68:$C$74,2,0),0)*(F258=0)*(Option_PW="Y")*(Option_SPW="N")*(age+H258&gt;=Legal_Age)</f>
        <v>0</v>
      </c>
      <c r="O258" s="148">
        <f t="shared" ca="1" si="176"/>
        <v>0</v>
      </c>
      <c r="P258" s="14">
        <f ca="1">(MAX(MAX(sa-CF257*Flag_UL_Type,105%*SUM($I$7:I258))-(AD257+L258-N258)*Flag_UL_Type,0)*B258)</f>
        <v>0</v>
      </c>
      <c r="Q258" s="213">
        <f t="shared" si="151"/>
        <v>0</v>
      </c>
      <c r="R258" s="14">
        <f t="shared" ca="1" si="152"/>
        <v>0</v>
      </c>
      <c r="S258" s="14">
        <f t="shared" ca="1" si="153"/>
        <v>0</v>
      </c>
      <c r="T258" s="14">
        <f>IFERROR(IF(WoP_Flag="Y",IF(fq=1,VLOOKUP(ppt*fq-H258,Charges!$AN$41:$AO$59,2,FALSE),IF(fq=2,VLOOKUP(ppt*fq-G258,Charges!$AP$41:$AQ$79,2,FALSE),VLOOKUP(ppt*fq-D258,Charges!$AR$41:$AS$279,2,FALSE)))*pr/fq,0),0)</f>
        <v>0</v>
      </c>
      <c r="U258" s="14">
        <f ca="1">IFERROR(((T258*(VLOOKUP(Input!$D$18+H258-1,Tab_Mort_Charge,IF(Gender_2="M",2,3),FALSE)*(1+_emr2)+_rpm2)/IF(Model_Type="LA_PQIS",1000/0.0833,(12*1000))))*Flag_Mort_Rider_Charge*(T258&gt;0),0)</f>
        <v>0</v>
      </c>
      <c r="V258" s="34">
        <f>ROUND(MIN(IF(H258&gt;=7,Charges!$C$12*(1+Charges!$C$14)^((H258-7+1)),VLOOKUP(H258,Charges!$B$7:$C$12,2,0))*pr,Charges!$C$13)*B258,Round)</f>
        <v>0</v>
      </c>
      <c r="W258" s="14">
        <f t="shared" ca="1" si="154"/>
        <v>0</v>
      </c>
      <c r="X258" s="14">
        <f t="shared" ca="1" si="155"/>
        <v>0</v>
      </c>
      <c r="Y258" s="213">
        <f t="shared" ca="1" si="177"/>
        <v>0</v>
      </c>
      <c r="Z258" s="14">
        <f t="shared" ca="1" si="156"/>
        <v>0</v>
      </c>
      <c r="AA258" s="14">
        <f>IF(AND($H258=pt,$F258=11),SUM($K$7:K258)*VLOOKUP(pt,ROC,2,FALSE),0)</f>
        <v>0</v>
      </c>
      <c r="AB258" s="14">
        <f>IF(AND($H258=pt,$F258=11),SUM($V$7:V258)*VLOOKUP(pt,ROC,2,FALSE),0)</f>
        <v>0</v>
      </c>
      <c r="AC258" s="14">
        <f>IF(AND($H258=pt,$F258=11),SUM($Q$7:Q258)*VLOOKUP(pt,ROC,2,FALSE),0)</f>
        <v>0</v>
      </c>
      <c r="AD258" s="14">
        <f t="shared" ca="1" si="178"/>
        <v>0</v>
      </c>
      <c r="AE258" s="14">
        <f ca="1">(MAX(sa-CF257*Flag_UL_Type,105%*SUM($I$7:I258),Z258)+AU258)*B258</f>
        <v>0</v>
      </c>
      <c r="AF258" s="136"/>
      <c r="AG258" s="18">
        <v>252</v>
      </c>
      <c r="AH258" s="30">
        <f t="shared" ca="1" si="157"/>
        <v>0</v>
      </c>
      <c r="AI258" s="58"/>
      <c r="AJ258" s="50">
        <f>IF(AND(Option_Sys_TopUp&gt;="Y",H258&gt;=sytp,H258&lt;=(dtp+sytp-1),F258=0,H258&lt;=ppt+1),atp,0)+IFERROR(VLOOKUP(H258,Input!$B$55:$C$61,2,0),0)*(F258=0)*(Option_TopUP="Y")*(Option_Sys_TopUp="N")*B258*(pt&gt;=H258+5)</f>
        <v>0</v>
      </c>
      <c r="AK258" s="50">
        <f t="shared" si="158"/>
        <v>0</v>
      </c>
      <c r="AL258" s="50">
        <f t="shared" si="179"/>
        <v>0</v>
      </c>
      <c r="AM258" s="50">
        <f t="shared" ca="1" si="159"/>
        <v>0</v>
      </c>
      <c r="AN258" s="50">
        <f>IF(B258=0,0,AT258*(_rpm1+(1+_emr1)*VLOOKUP(E258,Tab_Mort_Charge,IF(Input!$C$12="M",2,3),0))*(0.001*0.0833)*Flag_Mort_Rider_Charge*(AT258&gt;0))</f>
        <v>0</v>
      </c>
      <c r="AO258" s="50">
        <f t="shared" ca="1" si="180"/>
        <v>0</v>
      </c>
      <c r="AP258" s="50">
        <f t="shared" ca="1" si="187"/>
        <v>0</v>
      </c>
      <c r="AQ258" s="50">
        <f t="shared" ca="1" si="160"/>
        <v>0</v>
      </c>
      <c r="AR258" s="50">
        <f t="shared" ca="1" si="161"/>
        <v>0</v>
      </c>
      <c r="AS258" s="50">
        <f t="shared" si="162"/>
        <v>0</v>
      </c>
      <c r="AT258" s="50">
        <f ca="1">(MAX((MAX(AS258,105%*SUM($AJ$7:AJ258))-AM258*Flag_UL_Type),0)*B258)</f>
        <v>0</v>
      </c>
      <c r="AU258" s="50">
        <f ca="1">(MAX(AS258,AR258,105%*SUM($AJ$7:AJ258))*B258)</f>
        <v>0</v>
      </c>
      <c r="AV258" s="125"/>
      <c r="AW258" s="13"/>
      <c r="AX258" s="13"/>
      <c r="AY258" s="13"/>
      <c r="AZ258" s="13"/>
      <c r="BA258" s="13"/>
      <c r="BG258" s="51">
        <f t="shared" si="163"/>
        <v>0</v>
      </c>
      <c r="BH258" s="51">
        <f t="shared" si="164"/>
        <v>0</v>
      </c>
      <c r="BI258" s="51">
        <f t="shared" ca="1" si="165"/>
        <v>0</v>
      </c>
      <c r="BJ258" s="51">
        <f t="shared" ca="1" si="166"/>
        <v>0</v>
      </c>
      <c r="BK258" s="51">
        <f t="shared" si="167"/>
        <v>0</v>
      </c>
      <c r="BL258" s="51">
        <f t="shared" ca="1" si="168"/>
        <v>0</v>
      </c>
      <c r="BM258" s="51">
        <f t="shared" si="169"/>
        <v>0</v>
      </c>
      <c r="BN258" s="51">
        <f t="shared" si="170"/>
        <v>0</v>
      </c>
      <c r="BO258" s="51">
        <f t="shared" ca="1" si="171"/>
        <v>0</v>
      </c>
      <c r="BP258" s="51">
        <f t="shared" ca="1" si="172"/>
        <v>0</v>
      </c>
      <c r="BQ258" s="120"/>
      <c r="BR258" s="32"/>
      <c r="BS258" s="126"/>
      <c r="BT258" s="16"/>
      <c r="BU258" s="58"/>
      <c r="BW258" s="51">
        <f>VLOOKUP(H258,Charges!$AT$4:$AU$33,2,FALSE)*I258</f>
        <v>0</v>
      </c>
      <c r="BX258" s="51">
        <f t="shared" si="173"/>
        <v>0</v>
      </c>
      <c r="BY258" s="51">
        <f t="shared" si="181"/>
        <v>0</v>
      </c>
      <c r="BZ258" s="151"/>
      <c r="CA258" s="151"/>
      <c r="CB258" s="32"/>
      <c r="CC258" s="16">
        <f ca="1">SUM($N$7:$N258)</f>
        <v>0</v>
      </c>
      <c r="CD258" s="16">
        <f t="shared" ca="1" si="174"/>
        <v>0</v>
      </c>
      <c r="CE258" s="16">
        <f t="shared" ca="1" si="175"/>
        <v>0</v>
      </c>
      <c r="CF258" s="7">
        <f t="shared" ca="1" si="182"/>
        <v>0</v>
      </c>
    </row>
    <row r="259" spans="1:84" s="7" customFormat="1" x14ac:dyDescent="0.2">
      <c r="A259" s="149"/>
      <c r="B259" s="14">
        <f t="shared" si="144"/>
        <v>0</v>
      </c>
      <c r="C259" s="12">
        <f t="shared" si="145"/>
        <v>0</v>
      </c>
      <c r="D259" s="17">
        <f t="shared" si="183"/>
        <v>253</v>
      </c>
      <c r="E259" s="17">
        <f t="shared" ca="1" si="146"/>
        <v>81</v>
      </c>
      <c r="F259" s="12">
        <f t="shared" si="185"/>
        <v>0</v>
      </c>
      <c r="G259" s="12">
        <f t="shared" si="184"/>
        <v>43</v>
      </c>
      <c r="H259" s="17">
        <f t="shared" si="186"/>
        <v>22</v>
      </c>
      <c r="I259" s="29">
        <f t="shared" si="147"/>
        <v>0</v>
      </c>
      <c r="J259" s="211">
        <f>IFERROR(VLOOKUP(H259,Charges!$T$6:$U$35,2,0)*C259,0)</f>
        <v>0</v>
      </c>
      <c r="K259" s="29">
        <f t="shared" si="148"/>
        <v>0</v>
      </c>
      <c r="L259" s="29">
        <f t="shared" si="149"/>
        <v>0</v>
      </c>
      <c r="M259" s="147">
        <f t="shared" ca="1" si="150"/>
        <v>0</v>
      </c>
      <c r="N259" s="148">
        <f ca="1">IF(AND(Option_SPW="Y",Z258&gt;=SPW_Start_Min_FV,H259&gt;=Lock_In_Period,Z258&gt;SPW_Amount_pa+IF(option="Single",1/5*pr,2*pr),H259&gt;=SPW_Start_Year,H259&lt;=SPW_Start_Year+SPW_Duration-1,F259=0,age+H259&gt;=Legal_Age),SPW_Amount_pa,0)+IFERROR(VLOOKUP(H259,Input!$B$68:$C$74,2,0),0)*(F259=0)*(Option_PW="Y")*(Option_SPW="N")*(age+H259&gt;=Legal_Age)</f>
        <v>0</v>
      </c>
      <c r="O259" s="148">
        <f t="shared" ca="1" si="176"/>
        <v>0</v>
      </c>
      <c r="P259" s="14">
        <f ca="1">(MAX(MAX(sa-CF258*Flag_UL_Type,105%*SUM($I$7:I259))-(AD258+L259-N259)*Flag_UL_Type,0)*B259)</f>
        <v>0</v>
      </c>
      <c r="Q259" s="213">
        <f t="shared" si="151"/>
        <v>0</v>
      </c>
      <c r="R259" s="14">
        <f t="shared" ca="1" si="152"/>
        <v>0</v>
      </c>
      <c r="S259" s="14">
        <f t="shared" ca="1" si="153"/>
        <v>0</v>
      </c>
      <c r="T259" s="14">
        <f>IFERROR(IF(WoP_Flag="Y",IF(fq=1,VLOOKUP(ppt*fq-H259,Charges!$AN$41:$AO$59,2,FALSE),IF(fq=2,VLOOKUP(ppt*fq-G259,Charges!$AP$41:$AQ$79,2,FALSE),VLOOKUP(ppt*fq-D259,Charges!$AR$41:$AS$279,2,FALSE)))*pr/fq,0),0)</f>
        <v>0</v>
      </c>
      <c r="U259" s="14">
        <f ca="1">IFERROR(((T259*(VLOOKUP(Input!$D$18+H259-1,Tab_Mort_Charge,IF(Gender_2="M",2,3),FALSE)*(1+_emr2)+_rpm2)/IF(Model_Type="LA_PQIS",1000/0.0833,(12*1000))))*Flag_Mort_Rider_Charge*(T259&gt;0),0)</f>
        <v>0</v>
      </c>
      <c r="V259" s="34">
        <f>ROUND(MIN(IF(H259&gt;=7,Charges!$C$12*(1+Charges!$C$14)^((H259-7+1)),VLOOKUP(H259,Charges!$B$7:$C$12,2,0))*pr,Charges!$C$13)*B259,Round)</f>
        <v>0</v>
      </c>
      <c r="W259" s="14">
        <f t="shared" ca="1" si="154"/>
        <v>0</v>
      </c>
      <c r="X259" s="14">
        <f t="shared" ca="1" si="155"/>
        <v>0</v>
      </c>
      <c r="Y259" s="213">
        <f t="shared" ca="1" si="177"/>
        <v>0</v>
      </c>
      <c r="Z259" s="14">
        <f t="shared" ca="1" si="156"/>
        <v>0</v>
      </c>
      <c r="AA259" s="14">
        <f>IF(AND($H259=pt,$F259=11),SUM($K$7:K259)*VLOOKUP(pt,ROC,2,FALSE),0)</f>
        <v>0</v>
      </c>
      <c r="AB259" s="14">
        <f>IF(AND($H259=pt,$F259=11),SUM($V$7:V259)*VLOOKUP(pt,ROC,2,FALSE),0)</f>
        <v>0</v>
      </c>
      <c r="AC259" s="14">
        <f>IF(AND($H259=pt,$F259=11),SUM($Q$7:Q259)*VLOOKUP(pt,ROC,2,FALSE),0)</f>
        <v>0</v>
      </c>
      <c r="AD259" s="14">
        <f t="shared" ca="1" si="178"/>
        <v>0</v>
      </c>
      <c r="AE259" s="14">
        <f ca="1">(MAX(sa-CF258*Flag_UL_Type,105%*SUM($I$7:I259),Z259)+AU259)*B259</f>
        <v>0</v>
      </c>
      <c r="AF259" s="136"/>
      <c r="AG259" s="18">
        <v>253</v>
      </c>
      <c r="AH259" s="30">
        <f t="shared" ca="1" si="157"/>
        <v>0</v>
      </c>
      <c r="AI259" s="58"/>
      <c r="AJ259" s="50">
        <f>IF(AND(Option_Sys_TopUp&gt;="Y",H259&gt;=sytp,H259&lt;=(dtp+sytp-1),F259=0,H259&lt;=ppt+1),atp,0)+IFERROR(VLOOKUP(H259,Input!$B$55:$C$61,2,0),0)*(F259=0)*(Option_TopUP="Y")*(Option_Sys_TopUp="N")*B259*(pt&gt;=H259+5)</f>
        <v>0</v>
      </c>
      <c r="AK259" s="50">
        <f t="shared" si="158"/>
        <v>0</v>
      </c>
      <c r="AL259" s="50">
        <f t="shared" si="179"/>
        <v>0</v>
      </c>
      <c r="AM259" s="50">
        <f t="shared" ca="1" si="159"/>
        <v>0</v>
      </c>
      <c r="AN259" s="50">
        <f>IF(B259=0,0,AT259*(_rpm1+(1+_emr1)*VLOOKUP(E259,Tab_Mort_Charge,IF(Input!$C$12="M",2,3),0))*(0.001*0.0833)*Flag_Mort_Rider_Charge*(AT259&gt;0))</f>
        <v>0</v>
      </c>
      <c r="AO259" s="50">
        <f t="shared" ca="1" si="180"/>
        <v>0</v>
      </c>
      <c r="AP259" s="50">
        <f t="shared" ca="1" si="187"/>
        <v>0</v>
      </c>
      <c r="AQ259" s="50">
        <f t="shared" ca="1" si="160"/>
        <v>0</v>
      </c>
      <c r="AR259" s="50">
        <f t="shared" ca="1" si="161"/>
        <v>0</v>
      </c>
      <c r="AS259" s="50">
        <f t="shared" si="162"/>
        <v>0</v>
      </c>
      <c r="AT259" s="50">
        <f ca="1">(MAX((MAX(AS259,105%*SUM($AJ$7:AJ259))-AM259*Flag_UL_Type),0)*B259)</f>
        <v>0</v>
      </c>
      <c r="AU259" s="50">
        <f ca="1">(MAX(AS259,AR259,105%*SUM($AJ$7:AJ259))*B259)</f>
        <v>0</v>
      </c>
      <c r="AV259" s="125"/>
      <c r="AW259" s="13"/>
      <c r="AX259" s="13"/>
      <c r="AY259" s="13"/>
      <c r="AZ259" s="13"/>
      <c r="BA259" s="13"/>
      <c r="BG259" s="51">
        <f t="shared" si="163"/>
        <v>0</v>
      </c>
      <c r="BH259" s="51">
        <f t="shared" si="164"/>
        <v>0</v>
      </c>
      <c r="BI259" s="51">
        <f t="shared" ca="1" si="165"/>
        <v>0</v>
      </c>
      <c r="BJ259" s="51">
        <f t="shared" ca="1" si="166"/>
        <v>0</v>
      </c>
      <c r="BK259" s="51">
        <f t="shared" si="167"/>
        <v>0</v>
      </c>
      <c r="BL259" s="51">
        <f t="shared" ca="1" si="168"/>
        <v>0</v>
      </c>
      <c r="BM259" s="51">
        <f t="shared" si="169"/>
        <v>0</v>
      </c>
      <c r="BN259" s="51">
        <f t="shared" si="170"/>
        <v>0</v>
      </c>
      <c r="BO259" s="51">
        <f t="shared" ca="1" si="171"/>
        <v>0</v>
      </c>
      <c r="BP259" s="51">
        <f t="shared" ca="1" si="172"/>
        <v>0</v>
      </c>
      <c r="BQ259" s="120"/>
      <c r="BR259" s="32"/>
      <c r="BS259" s="126"/>
      <c r="BT259" s="16"/>
      <c r="BU259" s="58"/>
      <c r="BW259" s="51">
        <f>VLOOKUP(H259,Charges!$AT$4:$AU$33,2,FALSE)*I259</f>
        <v>0</v>
      </c>
      <c r="BX259" s="51">
        <f t="shared" si="173"/>
        <v>0</v>
      </c>
      <c r="BY259" s="51">
        <f t="shared" si="181"/>
        <v>0</v>
      </c>
      <c r="BZ259" s="151"/>
      <c r="CA259" s="151"/>
      <c r="CB259" s="32"/>
      <c r="CC259" s="16">
        <f ca="1">SUM($N$7:$N259)</f>
        <v>0</v>
      </c>
      <c r="CD259" s="16">
        <f t="shared" ca="1" si="174"/>
        <v>0</v>
      </c>
      <c r="CE259" s="16">
        <f t="shared" ca="1" si="175"/>
        <v>0</v>
      </c>
      <c r="CF259" s="7">
        <f t="shared" ca="1" si="182"/>
        <v>0</v>
      </c>
    </row>
    <row r="260" spans="1:84" s="7" customFormat="1" x14ac:dyDescent="0.2">
      <c r="A260" s="149"/>
      <c r="B260" s="14">
        <f t="shared" si="144"/>
        <v>0</v>
      </c>
      <c r="C260" s="12">
        <f t="shared" si="145"/>
        <v>0</v>
      </c>
      <c r="D260" s="17">
        <f t="shared" si="183"/>
        <v>254</v>
      </c>
      <c r="E260" s="17">
        <f t="shared" ca="1" si="146"/>
        <v>81</v>
      </c>
      <c r="F260" s="12">
        <f t="shared" si="185"/>
        <v>1</v>
      </c>
      <c r="G260" s="12">
        <f t="shared" si="184"/>
        <v>43</v>
      </c>
      <c r="H260" s="17">
        <f t="shared" si="186"/>
        <v>22</v>
      </c>
      <c r="I260" s="29">
        <f t="shared" si="147"/>
        <v>0</v>
      </c>
      <c r="J260" s="211">
        <f>IFERROR(VLOOKUP(H260,Charges!$T$6:$U$35,2,0)*C260,0)</f>
        <v>0</v>
      </c>
      <c r="K260" s="29">
        <f t="shared" si="148"/>
        <v>0</v>
      </c>
      <c r="L260" s="29">
        <f t="shared" si="149"/>
        <v>0</v>
      </c>
      <c r="M260" s="147">
        <f t="shared" ca="1" si="150"/>
        <v>0</v>
      </c>
      <c r="N260" s="148">
        <f ca="1">IF(AND(Option_SPW="Y",Z259&gt;=SPW_Start_Min_FV,H260&gt;=Lock_In_Period,Z259&gt;SPW_Amount_pa+IF(option="Single",1/5*pr,2*pr),H260&gt;=SPW_Start_Year,H260&lt;=SPW_Start_Year+SPW_Duration-1,F260=0,age+H260&gt;=Legal_Age),SPW_Amount_pa,0)+IFERROR(VLOOKUP(H260,Input!$B$68:$C$74,2,0),0)*(F260=0)*(Option_PW="Y")*(Option_SPW="N")*(age+H260&gt;=Legal_Age)</f>
        <v>0</v>
      </c>
      <c r="O260" s="148">
        <f t="shared" ca="1" si="176"/>
        <v>0</v>
      </c>
      <c r="P260" s="14">
        <f ca="1">(MAX(MAX(sa-CF259*Flag_UL_Type,105%*SUM($I$7:I260))-(AD259+L260-N260)*Flag_UL_Type,0)*B260)</f>
        <v>0</v>
      </c>
      <c r="Q260" s="213">
        <f t="shared" si="151"/>
        <v>0</v>
      </c>
      <c r="R260" s="14">
        <f t="shared" ca="1" si="152"/>
        <v>0</v>
      </c>
      <c r="S260" s="14">
        <f t="shared" ca="1" si="153"/>
        <v>0</v>
      </c>
      <c r="T260" s="14">
        <f>IFERROR(IF(WoP_Flag="Y",IF(fq=1,VLOOKUP(ppt*fq-H260,Charges!$AN$41:$AO$59,2,FALSE),IF(fq=2,VLOOKUP(ppt*fq-G260,Charges!$AP$41:$AQ$79,2,FALSE),VLOOKUP(ppt*fq-D260,Charges!$AR$41:$AS$279,2,FALSE)))*pr/fq,0),0)</f>
        <v>0</v>
      </c>
      <c r="U260" s="14">
        <f ca="1">IFERROR(((T260*(VLOOKUP(Input!$D$18+H260-1,Tab_Mort_Charge,IF(Gender_2="M",2,3),FALSE)*(1+_emr2)+_rpm2)/IF(Model_Type="LA_PQIS",1000/0.0833,(12*1000))))*Flag_Mort_Rider_Charge*(T260&gt;0),0)</f>
        <v>0</v>
      </c>
      <c r="V260" s="34">
        <f>ROUND(MIN(IF(H260&gt;=7,Charges!$C$12*(1+Charges!$C$14)^((H260-7+1)),VLOOKUP(H260,Charges!$B$7:$C$12,2,0))*pr,Charges!$C$13)*B260,Round)</f>
        <v>0</v>
      </c>
      <c r="W260" s="14">
        <f t="shared" ca="1" si="154"/>
        <v>0</v>
      </c>
      <c r="X260" s="14">
        <f t="shared" ca="1" si="155"/>
        <v>0</v>
      </c>
      <c r="Y260" s="213">
        <f t="shared" ca="1" si="177"/>
        <v>0</v>
      </c>
      <c r="Z260" s="14">
        <f t="shared" ca="1" si="156"/>
        <v>0</v>
      </c>
      <c r="AA260" s="14">
        <f>IF(AND($H260=pt,$F260=11),SUM($K$7:K260)*VLOOKUP(pt,ROC,2,FALSE),0)</f>
        <v>0</v>
      </c>
      <c r="AB260" s="14">
        <f>IF(AND($H260=pt,$F260=11),SUM($V$7:V260)*VLOOKUP(pt,ROC,2,FALSE),0)</f>
        <v>0</v>
      </c>
      <c r="AC260" s="14">
        <f>IF(AND($H260=pt,$F260=11),SUM($Q$7:Q260)*VLOOKUP(pt,ROC,2,FALSE),0)</f>
        <v>0</v>
      </c>
      <c r="AD260" s="14">
        <f t="shared" ca="1" si="178"/>
        <v>0</v>
      </c>
      <c r="AE260" s="14">
        <f ca="1">(MAX(sa-CF259*Flag_UL_Type,105%*SUM($I$7:I260),Z260)+AU260)*B260</f>
        <v>0</v>
      </c>
      <c r="AF260" s="136"/>
      <c r="AG260" s="18">
        <v>254</v>
      </c>
      <c r="AH260" s="30">
        <f t="shared" ca="1" si="157"/>
        <v>0</v>
      </c>
      <c r="AI260" s="58"/>
      <c r="AJ260" s="50">
        <f>IF(AND(Option_Sys_TopUp&gt;="Y",H260&gt;=sytp,H260&lt;=(dtp+sytp-1),F260=0,H260&lt;=ppt+1),atp,0)+IFERROR(VLOOKUP(H260,Input!$B$55:$C$61,2,0),0)*(F260=0)*(Option_TopUP="Y")*(Option_Sys_TopUp="N")*B260*(pt&gt;=H260+5)</f>
        <v>0</v>
      </c>
      <c r="AK260" s="50">
        <f t="shared" si="158"/>
        <v>0</v>
      </c>
      <c r="AL260" s="50">
        <f t="shared" si="179"/>
        <v>0</v>
      </c>
      <c r="AM260" s="50">
        <f t="shared" ca="1" si="159"/>
        <v>0</v>
      </c>
      <c r="AN260" s="50">
        <f>IF(B260=0,0,AT260*(_rpm1+(1+_emr1)*VLOOKUP(E260,Tab_Mort_Charge,IF(Input!$C$12="M",2,3),0))*(0.001*0.0833)*Flag_Mort_Rider_Charge*(AT260&gt;0))</f>
        <v>0</v>
      </c>
      <c r="AO260" s="50">
        <f t="shared" ca="1" si="180"/>
        <v>0</v>
      </c>
      <c r="AP260" s="50">
        <f t="shared" ca="1" si="187"/>
        <v>0</v>
      </c>
      <c r="AQ260" s="50">
        <f t="shared" ca="1" si="160"/>
        <v>0</v>
      </c>
      <c r="AR260" s="50">
        <f t="shared" ca="1" si="161"/>
        <v>0</v>
      </c>
      <c r="AS260" s="50">
        <f t="shared" si="162"/>
        <v>0</v>
      </c>
      <c r="AT260" s="50">
        <f ca="1">(MAX((MAX(AS260,105%*SUM($AJ$7:AJ260))-AM260*Flag_UL_Type),0)*B260)</f>
        <v>0</v>
      </c>
      <c r="AU260" s="50">
        <f ca="1">(MAX(AS260,AR260,105%*SUM($AJ$7:AJ260))*B260)</f>
        <v>0</v>
      </c>
      <c r="AV260" s="125"/>
      <c r="AW260" s="13"/>
      <c r="AX260" s="13"/>
      <c r="AY260" s="13"/>
      <c r="AZ260" s="13"/>
      <c r="BA260" s="13"/>
      <c r="BG260" s="51">
        <f t="shared" si="163"/>
        <v>0</v>
      </c>
      <c r="BH260" s="51">
        <f t="shared" si="164"/>
        <v>0</v>
      </c>
      <c r="BI260" s="51">
        <f t="shared" ca="1" si="165"/>
        <v>0</v>
      </c>
      <c r="BJ260" s="51">
        <f t="shared" ca="1" si="166"/>
        <v>0</v>
      </c>
      <c r="BK260" s="51">
        <f t="shared" si="167"/>
        <v>0</v>
      </c>
      <c r="BL260" s="51">
        <f t="shared" ca="1" si="168"/>
        <v>0</v>
      </c>
      <c r="BM260" s="51">
        <f t="shared" si="169"/>
        <v>0</v>
      </c>
      <c r="BN260" s="51">
        <f t="shared" si="170"/>
        <v>0</v>
      </c>
      <c r="BO260" s="51">
        <f t="shared" ca="1" si="171"/>
        <v>0</v>
      </c>
      <c r="BP260" s="51">
        <f t="shared" ca="1" si="172"/>
        <v>0</v>
      </c>
      <c r="BQ260" s="120"/>
      <c r="BR260" s="32"/>
      <c r="BS260" s="126"/>
      <c r="BT260" s="16"/>
      <c r="BU260" s="58"/>
      <c r="BW260" s="51">
        <f>VLOOKUP(H260,Charges!$AT$4:$AU$33,2,FALSE)*I260</f>
        <v>0</v>
      </c>
      <c r="BX260" s="51">
        <f t="shared" si="173"/>
        <v>0</v>
      </c>
      <c r="BY260" s="51">
        <f t="shared" si="181"/>
        <v>0</v>
      </c>
      <c r="BZ260" s="151"/>
      <c r="CA260" s="151"/>
      <c r="CB260" s="32"/>
      <c r="CC260" s="16">
        <f ca="1">SUM($N$7:$N260)</f>
        <v>0</v>
      </c>
      <c r="CD260" s="16">
        <f t="shared" ca="1" si="174"/>
        <v>0</v>
      </c>
      <c r="CE260" s="16">
        <f t="shared" ca="1" si="175"/>
        <v>0</v>
      </c>
      <c r="CF260" s="7">
        <f t="shared" ca="1" si="182"/>
        <v>0</v>
      </c>
    </row>
    <row r="261" spans="1:84" s="7" customFormat="1" x14ac:dyDescent="0.2">
      <c r="A261" s="149"/>
      <c r="B261" s="14">
        <f t="shared" si="144"/>
        <v>0</v>
      </c>
      <c r="C261" s="12">
        <f t="shared" si="145"/>
        <v>0</v>
      </c>
      <c r="D261" s="17">
        <f t="shared" si="183"/>
        <v>255</v>
      </c>
      <c r="E261" s="17">
        <f t="shared" ca="1" si="146"/>
        <v>81</v>
      </c>
      <c r="F261" s="12">
        <f t="shared" si="185"/>
        <v>2</v>
      </c>
      <c r="G261" s="12">
        <f t="shared" si="184"/>
        <v>43</v>
      </c>
      <c r="H261" s="17">
        <f t="shared" si="186"/>
        <v>22</v>
      </c>
      <c r="I261" s="29">
        <f t="shared" si="147"/>
        <v>0</v>
      </c>
      <c r="J261" s="211">
        <f>IFERROR(VLOOKUP(H261,Charges!$T$6:$U$35,2,0)*C261,0)</f>
        <v>0</v>
      </c>
      <c r="K261" s="29">
        <f t="shared" si="148"/>
        <v>0</v>
      </c>
      <c r="L261" s="29">
        <f t="shared" si="149"/>
        <v>0</v>
      </c>
      <c r="M261" s="147">
        <f t="shared" ca="1" si="150"/>
        <v>0</v>
      </c>
      <c r="N261" s="148">
        <f ca="1">IF(AND(Option_SPW="Y",Z260&gt;=SPW_Start_Min_FV,H261&gt;=Lock_In_Period,Z260&gt;SPW_Amount_pa+IF(option="Single",1/5*pr,2*pr),H261&gt;=SPW_Start_Year,H261&lt;=SPW_Start_Year+SPW_Duration-1,F261=0,age+H261&gt;=Legal_Age),SPW_Amount_pa,0)+IFERROR(VLOOKUP(H261,Input!$B$68:$C$74,2,0),0)*(F261=0)*(Option_PW="Y")*(Option_SPW="N")*(age+H261&gt;=Legal_Age)</f>
        <v>0</v>
      </c>
      <c r="O261" s="148">
        <f t="shared" ca="1" si="176"/>
        <v>0</v>
      </c>
      <c r="P261" s="14">
        <f ca="1">(MAX(MAX(sa-CF260*Flag_UL_Type,105%*SUM($I$7:I261))-(AD260+L261-N261)*Flag_UL_Type,0)*B261)</f>
        <v>0</v>
      </c>
      <c r="Q261" s="213">
        <f t="shared" si="151"/>
        <v>0</v>
      </c>
      <c r="R261" s="14">
        <f t="shared" ca="1" si="152"/>
        <v>0</v>
      </c>
      <c r="S261" s="14">
        <f t="shared" ca="1" si="153"/>
        <v>0</v>
      </c>
      <c r="T261" s="14">
        <f>IFERROR(IF(WoP_Flag="Y",IF(fq=1,VLOOKUP(ppt*fq-H261,Charges!$AN$41:$AO$59,2,FALSE),IF(fq=2,VLOOKUP(ppt*fq-G261,Charges!$AP$41:$AQ$79,2,FALSE),VLOOKUP(ppt*fq-D261,Charges!$AR$41:$AS$279,2,FALSE)))*pr/fq,0),0)</f>
        <v>0</v>
      </c>
      <c r="U261" s="14">
        <f ca="1">IFERROR(((T261*(VLOOKUP(Input!$D$18+H261-1,Tab_Mort_Charge,IF(Gender_2="M",2,3),FALSE)*(1+_emr2)+_rpm2)/IF(Model_Type="LA_PQIS",1000/0.0833,(12*1000))))*Flag_Mort_Rider_Charge*(T261&gt;0),0)</f>
        <v>0</v>
      </c>
      <c r="V261" s="34">
        <f>ROUND(MIN(IF(H261&gt;=7,Charges!$C$12*(1+Charges!$C$14)^((H261-7+1)),VLOOKUP(H261,Charges!$B$7:$C$12,2,0))*pr,Charges!$C$13)*B261,Round)</f>
        <v>0</v>
      </c>
      <c r="W261" s="14">
        <f t="shared" ca="1" si="154"/>
        <v>0</v>
      </c>
      <c r="X261" s="14">
        <f t="shared" ca="1" si="155"/>
        <v>0</v>
      </c>
      <c r="Y261" s="213">
        <f t="shared" ca="1" si="177"/>
        <v>0</v>
      </c>
      <c r="Z261" s="14">
        <f t="shared" ca="1" si="156"/>
        <v>0</v>
      </c>
      <c r="AA261" s="14">
        <f>IF(AND($H261=pt,$F261=11),SUM($K$7:K261)*VLOOKUP(pt,ROC,2,FALSE),0)</f>
        <v>0</v>
      </c>
      <c r="AB261" s="14">
        <f>IF(AND($H261=pt,$F261=11),SUM($V$7:V261)*VLOOKUP(pt,ROC,2,FALSE),0)</f>
        <v>0</v>
      </c>
      <c r="AC261" s="14">
        <f>IF(AND($H261=pt,$F261=11),SUM($Q$7:Q261)*VLOOKUP(pt,ROC,2,FALSE),0)</f>
        <v>0</v>
      </c>
      <c r="AD261" s="14">
        <f t="shared" ca="1" si="178"/>
        <v>0</v>
      </c>
      <c r="AE261" s="14">
        <f ca="1">(MAX(sa-CF260*Flag_UL_Type,105%*SUM($I$7:I261),Z261)+AU261)*B261</f>
        <v>0</v>
      </c>
      <c r="AF261" s="136"/>
      <c r="AG261" s="18">
        <v>255</v>
      </c>
      <c r="AH261" s="30">
        <f t="shared" ca="1" si="157"/>
        <v>0</v>
      </c>
      <c r="AI261" s="58"/>
      <c r="AJ261" s="50">
        <f>IF(AND(Option_Sys_TopUp&gt;="Y",H261&gt;=sytp,H261&lt;=(dtp+sytp-1),F261=0,H261&lt;=ppt+1),atp,0)+IFERROR(VLOOKUP(H261,Input!$B$55:$C$61,2,0),0)*(F261=0)*(Option_TopUP="Y")*(Option_Sys_TopUp="N")*B261*(pt&gt;=H261+5)</f>
        <v>0</v>
      </c>
      <c r="AK261" s="50">
        <f t="shared" si="158"/>
        <v>0</v>
      </c>
      <c r="AL261" s="50">
        <f t="shared" si="179"/>
        <v>0</v>
      </c>
      <c r="AM261" s="50">
        <f t="shared" ca="1" si="159"/>
        <v>0</v>
      </c>
      <c r="AN261" s="50">
        <f>IF(B261=0,0,AT261*(_rpm1+(1+_emr1)*VLOOKUP(E261,Tab_Mort_Charge,IF(Input!$C$12="M",2,3),0))*(0.001*0.0833)*Flag_Mort_Rider_Charge*(AT261&gt;0))</f>
        <v>0</v>
      </c>
      <c r="AO261" s="50">
        <f t="shared" ca="1" si="180"/>
        <v>0</v>
      </c>
      <c r="AP261" s="50">
        <f t="shared" ca="1" si="187"/>
        <v>0</v>
      </c>
      <c r="AQ261" s="50">
        <f t="shared" ca="1" si="160"/>
        <v>0</v>
      </c>
      <c r="AR261" s="50">
        <f t="shared" ca="1" si="161"/>
        <v>0</v>
      </c>
      <c r="AS261" s="50">
        <f t="shared" si="162"/>
        <v>0</v>
      </c>
      <c r="AT261" s="50">
        <f ca="1">(MAX((MAX(AS261,105%*SUM($AJ$7:AJ261))-AM261*Flag_UL_Type),0)*B261)</f>
        <v>0</v>
      </c>
      <c r="AU261" s="50">
        <f ca="1">(MAX(AS261,AR261,105%*SUM($AJ$7:AJ261))*B261)</f>
        <v>0</v>
      </c>
      <c r="AV261" s="125"/>
      <c r="AW261" s="13"/>
      <c r="AX261" s="13"/>
      <c r="AY261" s="13"/>
      <c r="AZ261" s="13"/>
      <c r="BA261" s="13"/>
      <c r="BG261" s="51">
        <f t="shared" si="163"/>
        <v>0</v>
      </c>
      <c r="BH261" s="51">
        <f t="shared" si="164"/>
        <v>0</v>
      </c>
      <c r="BI261" s="51">
        <f t="shared" ca="1" si="165"/>
        <v>0</v>
      </c>
      <c r="BJ261" s="51">
        <f t="shared" ca="1" si="166"/>
        <v>0</v>
      </c>
      <c r="BK261" s="51">
        <f t="shared" si="167"/>
        <v>0</v>
      </c>
      <c r="BL261" s="51">
        <f t="shared" ca="1" si="168"/>
        <v>0</v>
      </c>
      <c r="BM261" s="51">
        <f t="shared" si="169"/>
        <v>0</v>
      </c>
      <c r="BN261" s="51">
        <f t="shared" si="170"/>
        <v>0</v>
      </c>
      <c r="BO261" s="51">
        <f t="shared" ca="1" si="171"/>
        <v>0</v>
      </c>
      <c r="BP261" s="51">
        <f t="shared" ca="1" si="172"/>
        <v>0</v>
      </c>
      <c r="BQ261" s="120"/>
      <c r="BR261" s="32"/>
      <c r="BS261" s="126"/>
      <c r="BT261" s="16"/>
      <c r="BU261" s="58"/>
      <c r="BW261" s="51">
        <f>VLOOKUP(H261,Charges!$AT$4:$AU$33,2,FALSE)*I261</f>
        <v>0</v>
      </c>
      <c r="BX261" s="51">
        <f t="shared" si="173"/>
        <v>0</v>
      </c>
      <c r="BY261" s="51">
        <f t="shared" si="181"/>
        <v>0</v>
      </c>
      <c r="BZ261" s="151"/>
      <c r="CA261" s="151"/>
      <c r="CB261" s="32"/>
      <c r="CC261" s="16">
        <f ca="1">SUM($N$7:$N261)</f>
        <v>0</v>
      </c>
      <c r="CD261" s="16">
        <f t="shared" ca="1" si="174"/>
        <v>0</v>
      </c>
      <c r="CE261" s="16">
        <f t="shared" ca="1" si="175"/>
        <v>0</v>
      </c>
      <c r="CF261" s="7">
        <f t="shared" ca="1" si="182"/>
        <v>0</v>
      </c>
    </row>
    <row r="262" spans="1:84" s="7" customFormat="1" x14ac:dyDescent="0.2">
      <c r="A262" s="149"/>
      <c r="B262" s="14">
        <f t="shared" si="144"/>
        <v>0</v>
      </c>
      <c r="C262" s="12">
        <f t="shared" si="145"/>
        <v>0</v>
      </c>
      <c r="D262" s="17">
        <f t="shared" si="183"/>
        <v>256</v>
      </c>
      <c r="E262" s="17">
        <f t="shared" ca="1" si="146"/>
        <v>81</v>
      </c>
      <c r="F262" s="12">
        <f t="shared" si="185"/>
        <v>3</v>
      </c>
      <c r="G262" s="12">
        <f t="shared" si="184"/>
        <v>43</v>
      </c>
      <c r="H262" s="17">
        <f t="shared" si="186"/>
        <v>22</v>
      </c>
      <c r="I262" s="29">
        <f t="shared" si="147"/>
        <v>0</v>
      </c>
      <c r="J262" s="211">
        <f>IFERROR(VLOOKUP(H262,Charges!$T$6:$U$35,2,0)*C262,0)</f>
        <v>0</v>
      </c>
      <c r="K262" s="29">
        <f t="shared" si="148"/>
        <v>0</v>
      </c>
      <c r="L262" s="29">
        <f t="shared" si="149"/>
        <v>0</v>
      </c>
      <c r="M262" s="147">
        <f t="shared" ca="1" si="150"/>
        <v>0</v>
      </c>
      <c r="N262" s="148">
        <f ca="1">IF(AND(Option_SPW="Y",Z261&gt;=SPW_Start_Min_FV,H262&gt;=Lock_In_Period,Z261&gt;SPW_Amount_pa+IF(option="Single",1/5*pr,2*pr),H262&gt;=SPW_Start_Year,H262&lt;=SPW_Start_Year+SPW_Duration-1,F262=0,age+H262&gt;=Legal_Age),SPW_Amount_pa,0)+IFERROR(VLOOKUP(H262,Input!$B$68:$C$74,2,0),0)*(F262=0)*(Option_PW="Y")*(Option_SPW="N")*(age+H262&gt;=Legal_Age)</f>
        <v>0</v>
      </c>
      <c r="O262" s="148">
        <f t="shared" ca="1" si="176"/>
        <v>0</v>
      </c>
      <c r="P262" s="14">
        <f ca="1">(MAX(MAX(sa-CF261*Flag_UL_Type,105%*SUM($I$7:I262))-(AD261+L262-N262)*Flag_UL_Type,0)*B262)</f>
        <v>0</v>
      </c>
      <c r="Q262" s="213">
        <f t="shared" si="151"/>
        <v>0</v>
      </c>
      <c r="R262" s="14">
        <f t="shared" ca="1" si="152"/>
        <v>0</v>
      </c>
      <c r="S262" s="14">
        <f t="shared" ca="1" si="153"/>
        <v>0</v>
      </c>
      <c r="T262" s="14">
        <f>IFERROR(IF(WoP_Flag="Y",IF(fq=1,VLOOKUP(ppt*fq-H262,Charges!$AN$41:$AO$59,2,FALSE),IF(fq=2,VLOOKUP(ppt*fq-G262,Charges!$AP$41:$AQ$79,2,FALSE),VLOOKUP(ppt*fq-D262,Charges!$AR$41:$AS$279,2,FALSE)))*pr/fq,0),0)</f>
        <v>0</v>
      </c>
      <c r="U262" s="14">
        <f ca="1">IFERROR(((T262*(VLOOKUP(Input!$D$18+H262-1,Tab_Mort_Charge,IF(Gender_2="M",2,3),FALSE)*(1+_emr2)+_rpm2)/IF(Model_Type="LA_PQIS",1000/0.0833,(12*1000))))*Flag_Mort_Rider_Charge*(T262&gt;0),0)</f>
        <v>0</v>
      </c>
      <c r="V262" s="34">
        <f>ROUND(MIN(IF(H262&gt;=7,Charges!$C$12*(1+Charges!$C$14)^((H262-7+1)),VLOOKUP(H262,Charges!$B$7:$C$12,2,0))*pr,Charges!$C$13)*B262,Round)</f>
        <v>0</v>
      </c>
      <c r="W262" s="14">
        <f t="shared" ca="1" si="154"/>
        <v>0</v>
      </c>
      <c r="X262" s="14">
        <f t="shared" ca="1" si="155"/>
        <v>0</v>
      </c>
      <c r="Y262" s="213">
        <f t="shared" ca="1" si="177"/>
        <v>0</v>
      </c>
      <c r="Z262" s="14">
        <f t="shared" ca="1" si="156"/>
        <v>0</v>
      </c>
      <c r="AA262" s="14">
        <f>IF(AND($H262=pt,$F262=11),SUM($K$7:K262)*VLOOKUP(pt,ROC,2,FALSE),0)</f>
        <v>0</v>
      </c>
      <c r="AB262" s="14">
        <f>IF(AND($H262=pt,$F262=11),SUM($V$7:V262)*VLOOKUP(pt,ROC,2,FALSE),0)</f>
        <v>0</v>
      </c>
      <c r="AC262" s="14">
        <f>IF(AND($H262=pt,$F262=11),SUM($Q$7:Q262)*VLOOKUP(pt,ROC,2,FALSE),0)</f>
        <v>0</v>
      </c>
      <c r="AD262" s="14">
        <f t="shared" ca="1" si="178"/>
        <v>0</v>
      </c>
      <c r="AE262" s="14">
        <f ca="1">(MAX(sa-CF261*Flag_UL_Type,105%*SUM($I$7:I262),Z262)+AU262)*B262</f>
        <v>0</v>
      </c>
      <c r="AF262" s="136"/>
      <c r="AG262" s="18">
        <v>256</v>
      </c>
      <c r="AH262" s="30">
        <f t="shared" ca="1" si="157"/>
        <v>0</v>
      </c>
      <c r="AI262" s="58"/>
      <c r="AJ262" s="50">
        <f>IF(AND(Option_Sys_TopUp&gt;="Y",H262&gt;=sytp,H262&lt;=(dtp+sytp-1),F262=0,H262&lt;=ppt+1),atp,0)+IFERROR(VLOOKUP(H262,Input!$B$55:$C$61,2,0),0)*(F262=0)*(Option_TopUP="Y")*(Option_Sys_TopUp="N")*B262*(pt&gt;=H262+5)</f>
        <v>0</v>
      </c>
      <c r="AK262" s="50">
        <f t="shared" si="158"/>
        <v>0</v>
      </c>
      <c r="AL262" s="50">
        <f t="shared" si="179"/>
        <v>0</v>
      </c>
      <c r="AM262" s="50">
        <f t="shared" ca="1" si="159"/>
        <v>0</v>
      </c>
      <c r="AN262" s="50">
        <f>IF(B262=0,0,AT262*(_rpm1+(1+_emr1)*VLOOKUP(E262,Tab_Mort_Charge,IF(Input!$C$12="M",2,3),0))*(0.001*0.0833)*Flag_Mort_Rider_Charge*(AT262&gt;0))</f>
        <v>0</v>
      </c>
      <c r="AO262" s="50">
        <f t="shared" ca="1" si="180"/>
        <v>0</v>
      </c>
      <c r="AP262" s="50">
        <f t="shared" ca="1" si="187"/>
        <v>0</v>
      </c>
      <c r="AQ262" s="50">
        <f t="shared" ca="1" si="160"/>
        <v>0</v>
      </c>
      <c r="AR262" s="50">
        <f t="shared" ca="1" si="161"/>
        <v>0</v>
      </c>
      <c r="AS262" s="50">
        <f t="shared" si="162"/>
        <v>0</v>
      </c>
      <c r="AT262" s="50">
        <f ca="1">(MAX((MAX(AS262,105%*SUM($AJ$7:AJ262))-AM262*Flag_UL_Type),0)*B262)</f>
        <v>0</v>
      </c>
      <c r="AU262" s="50">
        <f ca="1">(MAX(AS262,AR262,105%*SUM($AJ$7:AJ262))*B262)</f>
        <v>0</v>
      </c>
      <c r="AV262" s="125"/>
      <c r="AW262" s="13"/>
      <c r="AX262" s="13"/>
      <c r="AY262" s="13"/>
      <c r="AZ262" s="13"/>
      <c r="BA262" s="13"/>
      <c r="BG262" s="51">
        <f t="shared" si="163"/>
        <v>0</v>
      </c>
      <c r="BH262" s="51">
        <f t="shared" si="164"/>
        <v>0</v>
      </c>
      <c r="BI262" s="51">
        <f t="shared" ca="1" si="165"/>
        <v>0</v>
      </c>
      <c r="BJ262" s="51">
        <f t="shared" ca="1" si="166"/>
        <v>0</v>
      </c>
      <c r="BK262" s="51">
        <f t="shared" si="167"/>
        <v>0</v>
      </c>
      <c r="BL262" s="51">
        <f t="shared" ca="1" si="168"/>
        <v>0</v>
      </c>
      <c r="BM262" s="51">
        <f t="shared" si="169"/>
        <v>0</v>
      </c>
      <c r="BN262" s="51">
        <f t="shared" si="170"/>
        <v>0</v>
      </c>
      <c r="BO262" s="51">
        <f t="shared" ca="1" si="171"/>
        <v>0</v>
      </c>
      <c r="BP262" s="51">
        <f t="shared" ca="1" si="172"/>
        <v>0</v>
      </c>
      <c r="BQ262" s="120"/>
      <c r="BR262" s="32"/>
      <c r="BS262" s="126"/>
      <c r="BT262" s="16"/>
      <c r="BU262" s="58"/>
      <c r="BW262" s="51">
        <f>VLOOKUP(H262,Charges!$AT$4:$AU$33,2,FALSE)*I262</f>
        <v>0</v>
      </c>
      <c r="BX262" s="51">
        <f t="shared" si="173"/>
        <v>0</v>
      </c>
      <c r="BY262" s="51">
        <f t="shared" si="181"/>
        <v>0</v>
      </c>
      <c r="BZ262" s="151"/>
      <c r="CA262" s="151"/>
      <c r="CB262" s="32"/>
      <c r="CC262" s="16">
        <f ca="1">SUM($N$7:$N262)</f>
        <v>0</v>
      </c>
      <c r="CD262" s="16">
        <f t="shared" ca="1" si="174"/>
        <v>0</v>
      </c>
      <c r="CE262" s="16">
        <f t="shared" ca="1" si="175"/>
        <v>0</v>
      </c>
      <c r="CF262" s="7">
        <f t="shared" ca="1" si="182"/>
        <v>0</v>
      </c>
    </row>
    <row r="263" spans="1:84" s="7" customFormat="1" x14ac:dyDescent="0.2">
      <c r="A263" s="149"/>
      <c r="B263" s="14">
        <f t="shared" ref="B263:B326" si="188">IF(H263&lt;=pt,1,0)</f>
        <v>0</v>
      </c>
      <c r="C263" s="12">
        <f t="shared" ref="C263:C326" si="189">IF(H263&lt;=ppt,1,0)</f>
        <v>0</v>
      </c>
      <c r="D263" s="17">
        <f t="shared" si="183"/>
        <v>257</v>
      </c>
      <c r="E263" s="17">
        <f t="shared" ref="E263:E326" ca="1" si="190">(age+(H263-1))</f>
        <v>81</v>
      </c>
      <c r="F263" s="12">
        <f t="shared" si="185"/>
        <v>4</v>
      </c>
      <c r="G263" s="12">
        <f t="shared" si="184"/>
        <v>43</v>
      </c>
      <c r="H263" s="17">
        <f t="shared" si="186"/>
        <v>22</v>
      </c>
      <c r="I263" s="29">
        <f t="shared" ref="I263:I326" si="191">IF(AND(H263&lt;=pt,H263&lt;=ppt,F263=0,fq=1),pr,IF(AND(H263&lt;=pt,H263&lt;=ppt,fq=2,MOD(F263,6)=0),pr/fq,IF(AND(H263&lt;=pt,H263&lt;=ppt,fq=12),pr/fq,0)))</f>
        <v>0</v>
      </c>
      <c r="J263" s="211">
        <f>IFERROR(VLOOKUP(H263,Charges!$T$6:$U$35,2,0)*C263,0)</f>
        <v>0</v>
      </c>
      <c r="K263" s="29">
        <f t="shared" ref="K263:K326" si="192">ROUND((100%-J263)*I263,Round)</f>
        <v>0</v>
      </c>
      <c r="L263" s="29">
        <f t="shared" ref="L263:L326" si="193">(I263-(K263+BG263*IF(Model_Type="Pricing_Unit",1,0)))*C263</f>
        <v>0</v>
      </c>
      <c r="M263" s="147">
        <f t="shared" ref="M263:M326" ca="1" si="194">IF(AND(OR(Option_PW="Y",Option_SPW="Y"),H263&gt;Lock_In_Period,H263&lt;=pt,(W263-IF(option="Single",1/5*pr,2*pr))&gt;0,(age+H263)&gt;=Legal_Age),(W262+L263-IF(option="Single",1/5*pr,2*pr)),0)</f>
        <v>0</v>
      </c>
      <c r="N263" s="148">
        <f ca="1">IF(AND(Option_SPW="Y",Z262&gt;=SPW_Start_Min_FV,H263&gt;=Lock_In_Period,Z262&gt;SPW_Amount_pa+IF(option="Single",1/5*pr,2*pr),H263&gt;=SPW_Start_Year,H263&lt;=SPW_Start_Year+SPW_Duration-1,F263=0,age+H263&gt;=Legal_Age),SPW_Amount_pa,0)+IFERROR(VLOOKUP(H263,Input!$B$68:$C$74,2,0),0)*(F263=0)*(Option_PW="Y")*(Option_SPW="N")*(age+H263&gt;=Legal_Age)</f>
        <v>0</v>
      </c>
      <c r="O263" s="148">
        <f t="shared" ca="1" si="176"/>
        <v>0</v>
      </c>
      <c r="P263" s="14">
        <f ca="1">(MAX(MAX(sa-CF262*Flag_UL_Type,105%*SUM($I$7:I263))-(AD262+L263-N263)*Flag_UL_Type,0)*B263)</f>
        <v>0</v>
      </c>
      <c r="Q263" s="213">
        <f t="shared" ref="Q263:Q326" si="195">IF(B263=0,0,ROUND(P263*(_rpm1+(1+_emr1)*VLOOKUP(E263,Tab_Mort_Charge,IF(Gender="M",2,3),0))*Flag_Mort_Rider_Charge*(P263&gt;0),Round))*(0.001*IF(Model_Type="LA_PQIS",0.0833,(1/12)))</f>
        <v>0</v>
      </c>
      <c r="R263" s="14">
        <f t="shared" ref="R263:R326" ca="1" si="196">IF(AND(B263,ADB_Flag="Y",age&lt;=ADB_MAX_AGE,age&gt;=ADB_MIN_AGE,E263&lt;=age+pt),sa_adb,0)</f>
        <v>0</v>
      </c>
      <c r="S263" s="14">
        <f t="shared" ref="S263:S326" ca="1" si="197">ROUND((adb_rate*(1+adb_emr)+adb_rpm)*R263*(0.001*IF(Model_Type="LA_PQIS",0.0833,(1/12)))*Flag_Mort_Rider_Charge*IF(age+H263-1&lt;Max_Maturity_Age,1,0),Round)</f>
        <v>0</v>
      </c>
      <c r="T263" s="14">
        <f>IFERROR(IF(WoP_Flag="Y",IF(fq=1,VLOOKUP(ppt*fq-H263,Charges!$AN$41:$AO$59,2,FALSE),IF(fq=2,VLOOKUP(ppt*fq-G263,Charges!$AP$41:$AQ$79,2,FALSE),VLOOKUP(ppt*fq-D263,Charges!$AR$41:$AS$279,2,FALSE)))*pr/fq,0),0)</f>
        <v>0</v>
      </c>
      <c r="U263" s="14">
        <f ca="1">IFERROR(((T263*(VLOOKUP(Input!$D$18+H263-1,Tab_Mort_Charge,IF(Gender_2="M",2,3),FALSE)*(1+_emr2)+_rpm2)/IF(Model_Type="LA_PQIS",1000/0.0833,(12*1000))))*Flag_Mort_Rider_Charge*(T263&gt;0),0)</f>
        <v>0</v>
      </c>
      <c r="V263" s="34">
        <f>ROUND(MIN(IF(H263&gt;=7,Charges!$C$12*(1+Charges!$C$14)^((H263-7+1)),VLOOKUP(H263,Charges!$B$7:$C$12,2,0))*pr,Charges!$C$13)*B263,Round)</f>
        <v>0</v>
      </c>
      <c r="W263" s="14">
        <f t="shared" ref="W263:W326" ca="1" si="198">+(AD262+L263-(N263+Q263+S263+U263+V263+BG263*IF(Model_Type="La_PQIS",1,0)+BH263+BK263+BI263+BJ263+BM263*IF(Model_Type="La_PQIS",1,0)))*B263</f>
        <v>0</v>
      </c>
      <c r="X263" s="14">
        <f t="shared" ref="X263:X326" ca="1" si="199">W263*(1+$F$3)</f>
        <v>0</v>
      </c>
      <c r="Y263" s="213">
        <f t="shared" ca="1" si="177"/>
        <v>0</v>
      </c>
      <c r="Z263" s="14">
        <f t="shared" ref="Z263:Z326" ca="1" si="200">X263-(Y263+BL263)</f>
        <v>0</v>
      </c>
      <c r="AA263" s="14">
        <f>IF(AND($H263=pt,$F263=11),SUM($K$7:K263)*VLOOKUP(pt,ROC,2,FALSE),0)</f>
        <v>0</v>
      </c>
      <c r="AB263" s="14">
        <f>IF(AND($H263=pt,$F263=11),SUM($V$7:V263)*VLOOKUP(pt,ROC,2,FALSE),0)</f>
        <v>0</v>
      </c>
      <c r="AC263" s="14">
        <f>IF(AND($H263=pt,$F263=11),SUM($Q$7:Q263)*VLOOKUP(pt,ROC,2,FALSE),0)</f>
        <v>0</v>
      </c>
      <c r="AD263" s="14">
        <f t="shared" ca="1" si="178"/>
        <v>0</v>
      </c>
      <c r="AE263" s="14">
        <f ca="1">(MAX(sa-CF262*Flag_UL_Type,105%*SUM($I$7:I263),Z263)+AU263)*B263</f>
        <v>0</v>
      </c>
      <c r="AF263" s="136"/>
      <c r="AG263" s="18">
        <v>257</v>
      </c>
      <c r="AH263" s="30">
        <f t="shared" ref="AH263:AH326" ca="1" si="201">(I263+AJ263)-IF(AG263=pt*12+1,AD262,0)-IF(AG263=pt*12+1,AR262,0)-N263</f>
        <v>0</v>
      </c>
      <c r="AI263" s="58"/>
      <c r="AJ263" s="50">
        <f>IF(AND(Option_Sys_TopUp&gt;="Y",H263&gt;=sytp,H263&lt;=(dtp+sytp-1),F263=0,H263&lt;=ppt+1),atp,0)+IFERROR(VLOOKUP(H263,Input!$B$55:$C$61,2,0),0)*(F263=0)*(Option_TopUP="Y")*(Option_Sys_TopUp="N")*B263*(pt&gt;=H263+5)</f>
        <v>0</v>
      </c>
      <c r="AK263" s="50">
        <f t="shared" ref="AK263:AK326" si="202">ROUND(allctp*AJ263,0)</f>
        <v>0</v>
      </c>
      <c r="AL263" s="50">
        <f t="shared" si="179"/>
        <v>0</v>
      </c>
      <c r="AM263" s="50">
        <f t="shared" ref="AM263:AM326" ca="1" si="203">AR262+AL263</f>
        <v>0</v>
      </c>
      <c r="AN263" s="50">
        <f>IF(B263=0,0,AT263*(_rpm1+(1+_emr1)*VLOOKUP(E263,Tab_Mort_Charge,IF(Input!$C$12="M",2,3),0))*(0.001*0.0833)*Flag_Mort_Rider_Charge*(AT263&gt;0))</f>
        <v>0</v>
      </c>
      <c r="AO263" s="50">
        <f t="shared" ca="1" si="180"/>
        <v>0</v>
      </c>
      <c r="AP263" s="50">
        <f t="shared" ca="1" si="187"/>
        <v>0</v>
      </c>
      <c r="AQ263" s="50">
        <f t="shared" ref="AQ263:AQ326" ca="1" si="204">AP263*$Y$2</f>
        <v>0</v>
      </c>
      <c r="AR263" s="50">
        <f t="shared" ref="AR263:AR326" ca="1" si="205">AP263-(AQ263+BO263)</f>
        <v>0</v>
      </c>
      <c r="AS263" s="50">
        <f t="shared" ref="AS263:AS326" si="206">(AJ263*TOPUP_Cover_Level+AS262)*B263</f>
        <v>0</v>
      </c>
      <c r="AT263" s="50">
        <f ca="1">(MAX((MAX(AS263,105%*SUM($AJ$7:AJ263))-AM263*Flag_UL_Type),0)*B263)</f>
        <v>0</v>
      </c>
      <c r="AU263" s="50">
        <f ca="1">(MAX(AS263,AR263,105%*SUM($AJ$7:AJ263))*B263)</f>
        <v>0</v>
      </c>
      <c r="AV263" s="125"/>
      <c r="AW263" s="13"/>
      <c r="AX263" s="13"/>
      <c r="AY263" s="13"/>
      <c r="AZ263" s="13"/>
      <c r="BA263" s="13"/>
      <c r="BG263" s="51">
        <f t="shared" ref="BG263:BG326" si="207">ROUND(K263*Service_Tax_Rate*Flag_Service_Tax,Round)+ROUND(K263*Cess1_Rate*Flag_Service_Tax,Round)+ROUND(K263*Cess2_Rate*Flag_Service_Tax,Round)</f>
        <v>0</v>
      </c>
      <c r="BH263" s="51">
        <f t="shared" ref="BH263:BH326" si="208">ROUND(Q263*Service_Tax_Rate*Flag_Service_Tax,Round)+ROUND(Q263*Cess1_Rate*Flag_Service_Tax,Round)+ROUND(Q263*Cess2_Rate*Flag_Service_Tax,Round)</f>
        <v>0</v>
      </c>
      <c r="BI263" s="51">
        <f t="shared" ref="BI263:BI326" ca="1" si="209">ROUND(S263*Service_Tax_Rate*Flag_Service_Tax,Round)+ROUND(S263*Cess1_Rate*Flag_Service_Tax,Round)+ROUND(S263*Cess2_Rate*Flag_Service_Tax,Round)</f>
        <v>0</v>
      </c>
      <c r="BJ263" s="51">
        <f t="shared" ref="BJ263:BJ326" ca="1" si="210">ROUND(U263*Service_Tax_Rate*Flag_Service_Tax,Round)+ROUND(U263*Cess1_Rate*Flag_Service_Tax,Round)+ROUND(U263*Cess2_Rate*Flag_Service_Tax,Round)</f>
        <v>0</v>
      </c>
      <c r="BK263" s="51">
        <f t="shared" ref="BK263:BK326" si="211">ROUND(V263*Service_Tax_Rate*Flag_Service_Tax,Round)+ROUND(V263*Cess1_Rate*Flag_Service_Tax,Round)+ROUND(V263*Cess2_Rate*Flag_Service_Tax,Round)</f>
        <v>0</v>
      </c>
      <c r="BL263" s="51">
        <f t="shared" ref="BL263:BL326" ca="1" si="212">Y263*Service_Tax_Rate*Flag_Service_Tax+Y263*Cess1_Rate*Flag_Service_Tax+Y263*Cess2_Rate*Flag_Service_Tax</f>
        <v>0</v>
      </c>
      <c r="BM263" s="51">
        <f t="shared" ref="BM263:BM326" si="213">ROUND(AK263*Service_Tax_Rate*Flag_Service_Tax,Round)+ROUND(AK263*Cess1_Rate*Flag_Service_Tax,Round)+ROUND(AK263*Cess2_Rate*Flag_Service_Tax,Round)</f>
        <v>0</v>
      </c>
      <c r="BN263" s="51">
        <f t="shared" ref="BN263:BN326" si="214">ROUND(AN263*Service_Tax_Rate*Flag_Service_Tax,Round)+ROUND(AN263*Cess1_Rate*Flag_Service_Tax,Round)+ROUND(AN263*Cess2_Rate*Flag_Service_Tax,Round)</f>
        <v>0</v>
      </c>
      <c r="BO263" s="51">
        <f t="shared" ref="BO263:BO326" ca="1" si="215">AQ263*Service_Tax_Rate*Flag_Service_Tax+AQ263*Cess1_Rate*Flag_Service_Tax+AQ263*Cess2_Rate*Flag_Service_Tax</f>
        <v>0</v>
      </c>
      <c r="BP263" s="51">
        <f t="shared" ref="BP263:BP326" ca="1" si="216">SUM(BG263:BO263)</f>
        <v>0</v>
      </c>
      <c r="BQ263" s="120"/>
      <c r="BR263" s="32"/>
      <c r="BS263" s="126"/>
      <c r="BT263" s="16"/>
      <c r="BU263" s="58"/>
      <c r="BW263" s="51">
        <f>VLOOKUP(H263,Charges!$AT$4:$AU$33,2,FALSE)*I263</f>
        <v>0</v>
      </c>
      <c r="BX263" s="51">
        <f t="shared" ref="BX263:BX326" si="217">AJ263*Commission_TOPUP</f>
        <v>0</v>
      </c>
      <c r="BY263" s="51">
        <f t="shared" si="181"/>
        <v>0</v>
      </c>
      <c r="BZ263" s="151"/>
      <c r="CA263" s="151"/>
      <c r="CB263" s="32"/>
      <c r="CC263" s="16">
        <f ca="1">SUM($N$7:$N263)</f>
        <v>0</v>
      </c>
      <c r="CD263" s="16">
        <f t="shared" ref="CD263:CD326" ca="1" si="218">IF(AND((B263=1)*(H263&gt;Lock_In_Period)),CC263-INDEX($CC$7:$CC$367,D263-24,1),0)*(E263&lt;60)</f>
        <v>0</v>
      </c>
      <c r="CE263" s="16">
        <f t="shared" ref="CE263:CE326" ca="1" si="219">(B263=1)*(H263&gt;Lock_In_Period)*(E263&gt;=60)*IFERROR((CC263-INDEX($CC$7:$CC$367,D263-24,1)),0)</f>
        <v>0</v>
      </c>
      <c r="CF263" s="7">
        <f t="shared" ca="1" si="182"/>
        <v>0</v>
      </c>
    </row>
    <row r="264" spans="1:84" s="7" customFormat="1" x14ac:dyDescent="0.2">
      <c r="A264" s="149"/>
      <c r="B264" s="14">
        <f t="shared" si="188"/>
        <v>0</v>
      </c>
      <c r="C264" s="12">
        <f t="shared" si="189"/>
        <v>0</v>
      </c>
      <c r="D264" s="17">
        <f t="shared" si="183"/>
        <v>258</v>
      </c>
      <c r="E264" s="17">
        <f t="shared" ca="1" si="190"/>
        <v>81</v>
      </c>
      <c r="F264" s="12">
        <f t="shared" si="185"/>
        <v>5</v>
      </c>
      <c r="G264" s="12">
        <f t="shared" si="184"/>
        <v>43</v>
      </c>
      <c r="H264" s="17">
        <f t="shared" si="186"/>
        <v>22</v>
      </c>
      <c r="I264" s="29">
        <f t="shared" si="191"/>
        <v>0</v>
      </c>
      <c r="J264" s="211">
        <f>IFERROR(VLOOKUP(H264,Charges!$T$6:$U$35,2,0)*C264,0)</f>
        <v>0</v>
      </c>
      <c r="K264" s="29">
        <f t="shared" si="192"/>
        <v>0</v>
      </c>
      <c r="L264" s="29">
        <f t="shared" si="193"/>
        <v>0</v>
      </c>
      <c r="M264" s="147">
        <f t="shared" ca="1" si="194"/>
        <v>0</v>
      </c>
      <c r="N264" s="148">
        <f ca="1">IF(AND(Option_SPW="Y",Z263&gt;=SPW_Start_Min_FV,H264&gt;=Lock_In_Period,Z263&gt;SPW_Amount_pa+IF(option="Single",1/5*pr,2*pr),H264&gt;=SPW_Start_Year,H264&lt;=SPW_Start_Year+SPW_Duration-1,F264=0,age+H264&gt;=Legal_Age),SPW_Amount_pa,0)+IFERROR(VLOOKUP(H264,Input!$B$68:$C$74,2,0),0)*(F264=0)*(Option_PW="Y")*(Option_SPW="N")*(age+H264&gt;=Legal_Age)</f>
        <v>0</v>
      </c>
      <c r="O264" s="148">
        <f t="shared" ref="O264:O327" ca="1" si="220">IF(N264&lt;=M264,0,1)</f>
        <v>0</v>
      </c>
      <c r="P264" s="14">
        <f ca="1">(MAX(MAX(sa-CF263*Flag_UL_Type,105%*SUM($I$7:I264))-(AD263+L264-N264)*Flag_UL_Type,0)*B264)</f>
        <v>0</v>
      </c>
      <c r="Q264" s="213">
        <f t="shared" si="195"/>
        <v>0</v>
      </c>
      <c r="R264" s="14">
        <f t="shared" ca="1" si="196"/>
        <v>0</v>
      </c>
      <c r="S264" s="14">
        <f t="shared" ca="1" si="197"/>
        <v>0</v>
      </c>
      <c r="T264" s="14">
        <f>IFERROR(IF(WoP_Flag="Y",IF(fq=1,VLOOKUP(ppt*fq-H264,Charges!$AN$41:$AO$59,2,FALSE),IF(fq=2,VLOOKUP(ppt*fq-G264,Charges!$AP$41:$AQ$79,2,FALSE),VLOOKUP(ppt*fq-D264,Charges!$AR$41:$AS$279,2,FALSE)))*pr/fq,0),0)</f>
        <v>0</v>
      </c>
      <c r="U264" s="14">
        <f ca="1">IFERROR(((T264*(VLOOKUP(Input!$D$18+H264-1,Tab_Mort_Charge,IF(Gender_2="M",2,3),FALSE)*(1+_emr2)+_rpm2)/IF(Model_Type="LA_PQIS",1000/0.0833,(12*1000))))*Flag_Mort_Rider_Charge*(T264&gt;0),0)</f>
        <v>0</v>
      </c>
      <c r="V264" s="34">
        <f>ROUND(MIN(IF(H264&gt;=7,Charges!$C$12*(1+Charges!$C$14)^((H264-7+1)),VLOOKUP(H264,Charges!$B$7:$C$12,2,0))*pr,Charges!$C$13)*B264,Round)</f>
        <v>0</v>
      </c>
      <c r="W264" s="14">
        <f t="shared" ca="1" si="198"/>
        <v>0</v>
      </c>
      <c r="X264" s="14">
        <f t="shared" ca="1" si="199"/>
        <v>0</v>
      </c>
      <c r="Y264" s="213">
        <f t="shared" ref="Y264:Y327" ca="1" si="221">X264*$Y$2</f>
        <v>0</v>
      </c>
      <c r="Z264" s="14">
        <f t="shared" ca="1" si="200"/>
        <v>0</v>
      </c>
      <c r="AA264" s="14">
        <f>IF(AND($H264=pt,$F264=11),SUM($K$7:K264)*VLOOKUP(pt,ROC,2,FALSE),0)</f>
        <v>0</v>
      </c>
      <c r="AB264" s="14">
        <f>IF(AND($H264=pt,$F264=11),SUM($V$7:V264)*VLOOKUP(pt,ROC,2,FALSE),0)</f>
        <v>0</v>
      </c>
      <c r="AC264" s="14">
        <f>IF(AND($H264=pt,$F264=11),SUM($Q$7:Q264)*VLOOKUP(pt,ROC,2,FALSE),0)</f>
        <v>0</v>
      </c>
      <c r="AD264" s="14">
        <f t="shared" ref="AD264:AD327" ca="1" si="222">Z264+AA264+AB264+AC264</f>
        <v>0</v>
      </c>
      <c r="AE264" s="14">
        <f ca="1">(MAX(sa-CF263*Flag_UL_Type,105%*SUM($I$7:I264),Z264)+AU264)*B264</f>
        <v>0</v>
      </c>
      <c r="AF264" s="136"/>
      <c r="AG264" s="18">
        <v>258</v>
      </c>
      <c r="AH264" s="30">
        <f t="shared" ca="1" si="201"/>
        <v>0</v>
      </c>
      <c r="AI264" s="58"/>
      <c r="AJ264" s="50">
        <f>IF(AND(Option_Sys_TopUp&gt;="Y",H264&gt;=sytp,H264&lt;=(dtp+sytp-1),F264=0,H264&lt;=ppt+1),atp,0)+IFERROR(VLOOKUP(H264,Input!$B$55:$C$61,2,0),0)*(F264=0)*(Option_TopUP="Y")*(Option_Sys_TopUp="N")*B264*(pt&gt;=H264+5)</f>
        <v>0</v>
      </c>
      <c r="AK264" s="50">
        <f t="shared" si="202"/>
        <v>0</v>
      </c>
      <c r="AL264" s="50">
        <f t="shared" ref="AL264:AL327" si="223">AJ264-(AK264+BM264*0)</f>
        <v>0</v>
      </c>
      <c r="AM264" s="50">
        <f t="shared" ca="1" si="203"/>
        <v>0</v>
      </c>
      <c r="AN264" s="50">
        <f>IF(B264=0,0,AT264*(_rpm1+(1+_emr1)*VLOOKUP(E264,Tab_Mort_Charge,IF(Input!$C$12="M",2,3),0))*(0.001*0.0833)*Flag_Mort_Rider_Charge*(AT264&gt;0))</f>
        <v>0</v>
      </c>
      <c r="AO264" s="50">
        <f t="shared" ref="AO264:AO327" ca="1" si="224">AM264-AN264-BM264*1-BN264*1</f>
        <v>0</v>
      </c>
      <c r="AP264" s="50">
        <f t="shared" ca="1" si="187"/>
        <v>0</v>
      </c>
      <c r="AQ264" s="50">
        <f t="shared" ca="1" si="204"/>
        <v>0</v>
      </c>
      <c r="AR264" s="50">
        <f t="shared" ca="1" si="205"/>
        <v>0</v>
      </c>
      <c r="AS264" s="50">
        <f t="shared" si="206"/>
        <v>0</v>
      </c>
      <c r="AT264" s="50">
        <f ca="1">(MAX((MAX(AS264,105%*SUM($AJ$7:AJ264))-AM264*Flag_UL_Type),0)*B264)</f>
        <v>0</v>
      </c>
      <c r="AU264" s="50">
        <f ca="1">(MAX(AS264,AR264,105%*SUM($AJ$7:AJ264))*B264)</f>
        <v>0</v>
      </c>
      <c r="AV264" s="125"/>
      <c r="AW264" s="13"/>
      <c r="AX264" s="13"/>
      <c r="AY264" s="13"/>
      <c r="AZ264" s="13"/>
      <c r="BA264" s="13"/>
      <c r="BG264" s="51">
        <f t="shared" si="207"/>
        <v>0</v>
      </c>
      <c r="BH264" s="51">
        <f t="shared" si="208"/>
        <v>0</v>
      </c>
      <c r="BI264" s="51">
        <f t="shared" ca="1" si="209"/>
        <v>0</v>
      </c>
      <c r="BJ264" s="51">
        <f t="shared" ca="1" si="210"/>
        <v>0</v>
      </c>
      <c r="BK264" s="51">
        <f t="shared" si="211"/>
        <v>0</v>
      </c>
      <c r="BL264" s="51">
        <f t="shared" ca="1" si="212"/>
        <v>0</v>
      </c>
      <c r="BM264" s="51">
        <f t="shared" si="213"/>
        <v>0</v>
      </c>
      <c r="BN264" s="51">
        <f t="shared" si="214"/>
        <v>0</v>
      </c>
      <c r="BO264" s="51">
        <f t="shared" ca="1" si="215"/>
        <v>0</v>
      </c>
      <c r="BP264" s="51">
        <f t="shared" ca="1" si="216"/>
        <v>0</v>
      </c>
      <c r="BQ264" s="120"/>
      <c r="BR264" s="32"/>
      <c r="BS264" s="126"/>
      <c r="BT264" s="16"/>
      <c r="BU264" s="58"/>
      <c r="BW264" s="51">
        <f>VLOOKUP(H264,Charges!$AT$4:$AU$33,2,FALSE)*I264</f>
        <v>0</v>
      </c>
      <c r="BX264" s="51">
        <f t="shared" si="217"/>
        <v>0</v>
      </c>
      <c r="BY264" s="51">
        <f t="shared" ref="BY264:BY327" si="225">SUM(BW264:BX264)</f>
        <v>0</v>
      </c>
      <c r="BZ264" s="151"/>
      <c r="CA264" s="151"/>
      <c r="CB264" s="32"/>
      <c r="CC264" s="16">
        <f ca="1">SUM($N$7:$N264)</f>
        <v>0</v>
      </c>
      <c r="CD264" s="16">
        <f t="shared" ca="1" si="218"/>
        <v>0</v>
      </c>
      <c r="CE264" s="16">
        <f t="shared" ca="1" si="219"/>
        <v>0</v>
      </c>
      <c r="CF264" s="7">
        <f t="shared" ref="CF264:CF327" ca="1" si="226">IF(E264&lt;60,CD264,CE264)</f>
        <v>0</v>
      </c>
    </row>
    <row r="265" spans="1:84" s="7" customFormat="1" x14ac:dyDescent="0.2">
      <c r="A265" s="149"/>
      <c r="B265" s="14">
        <f t="shared" si="188"/>
        <v>0</v>
      </c>
      <c r="C265" s="12">
        <f t="shared" si="189"/>
        <v>0</v>
      </c>
      <c r="D265" s="17">
        <f t="shared" ref="D265:D328" si="227">D264+1</f>
        <v>259</v>
      </c>
      <c r="E265" s="17">
        <f t="shared" ca="1" si="190"/>
        <v>81</v>
      </c>
      <c r="F265" s="12">
        <f t="shared" si="185"/>
        <v>6</v>
      </c>
      <c r="G265" s="12">
        <f t="shared" si="184"/>
        <v>44</v>
      </c>
      <c r="H265" s="17">
        <f t="shared" si="186"/>
        <v>22</v>
      </c>
      <c r="I265" s="29">
        <f t="shared" si="191"/>
        <v>0</v>
      </c>
      <c r="J265" s="211">
        <f>IFERROR(VLOOKUP(H265,Charges!$T$6:$U$35,2,0)*C265,0)</f>
        <v>0</v>
      </c>
      <c r="K265" s="29">
        <f t="shared" si="192"/>
        <v>0</v>
      </c>
      <c r="L265" s="29">
        <f t="shared" si="193"/>
        <v>0</v>
      </c>
      <c r="M265" s="147">
        <f t="shared" ca="1" si="194"/>
        <v>0</v>
      </c>
      <c r="N265" s="148">
        <f ca="1">IF(AND(Option_SPW="Y",Z264&gt;=SPW_Start_Min_FV,H265&gt;=Lock_In_Period,Z264&gt;SPW_Amount_pa+IF(option="Single",1/5*pr,2*pr),H265&gt;=SPW_Start_Year,H265&lt;=SPW_Start_Year+SPW_Duration-1,F265=0,age+H265&gt;=Legal_Age),SPW_Amount_pa,0)+IFERROR(VLOOKUP(H265,Input!$B$68:$C$74,2,0),0)*(F265=0)*(Option_PW="Y")*(Option_SPW="N")*(age+H265&gt;=Legal_Age)</f>
        <v>0</v>
      </c>
      <c r="O265" s="148">
        <f t="shared" ca="1" si="220"/>
        <v>0</v>
      </c>
      <c r="P265" s="14">
        <f ca="1">(MAX(MAX(sa-CF264*Flag_UL_Type,105%*SUM($I$7:I265))-(AD264+L265-N265)*Flag_UL_Type,0)*B265)</f>
        <v>0</v>
      </c>
      <c r="Q265" s="213">
        <f t="shared" si="195"/>
        <v>0</v>
      </c>
      <c r="R265" s="14">
        <f t="shared" ca="1" si="196"/>
        <v>0</v>
      </c>
      <c r="S265" s="14">
        <f t="shared" ca="1" si="197"/>
        <v>0</v>
      </c>
      <c r="T265" s="14">
        <f>IFERROR(IF(WoP_Flag="Y",IF(fq=1,VLOOKUP(ppt*fq-H265,Charges!$AN$41:$AO$59,2,FALSE),IF(fq=2,VLOOKUP(ppt*fq-G265,Charges!$AP$41:$AQ$79,2,FALSE),VLOOKUP(ppt*fq-D265,Charges!$AR$41:$AS$279,2,FALSE)))*pr/fq,0),0)</f>
        <v>0</v>
      </c>
      <c r="U265" s="14">
        <f ca="1">IFERROR(((T265*(VLOOKUP(Input!$D$18+H265-1,Tab_Mort_Charge,IF(Gender_2="M",2,3),FALSE)*(1+_emr2)+_rpm2)/IF(Model_Type="LA_PQIS",1000/0.0833,(12*1000))))*Flag_Mort_Rider_Charge*(T265&gt;0),0)</f>
        <v>0</v>
      </c>
      <c r="V265" s="34">
        <f>ROUND(MIN(IF(H265&gt;=7,Charges!$C$12*(1+Charges!$C$14)^((H265-7+1)),VLOOKUP(H265,Charges!$B$7:$C$12,2,0))*pr,Charges!$C$13)*B265,Round)</f>
        <v>0</v>
      </c>
      <c r="W265" s="14">
        <f t="shared" ca="1" si="198"/>
        <v>0</v>
      </c>
      <c r="X265" s="14">
        <f t="shared" ca="1" si="199"/>
        <v>0</v>
      </c>
      <c r="Y265" s="213">
        <f t="shared" ca="1" si="221"/>
        <v>0</v>
      </c>
      <c r="Z265" s="14">
        <f t="shared" ca="1" si="200"/>
        <v>0</v>
      </c>
      <c r="AA265" s="14">
        <f>IF(AND($H265=pt,$F265=11),SUM($K$7:K265)*VLOOKUP(pt,ROC,2,FALSE),0)</f>
        <v>0</v>
      </c>
      <c r="AB265" s="14">
        <f>IF(AND($H265=pt,$F265=11),SUM($V$7:V265)*VLOOKUP(pt,ROC,2,FALSE),0)</f>
        <v>0</v>
      </c>
      <c r="AC265" s="14">
        <f>IF(AND($H265=pt,$F265=11),SUM($Q$7:Q265)*VLOOKUP(pt,ROC,2,FALSE),0)</f>
        <v>0</v>
      </c>
      <c r="AD265" s="14">
        <f t="shared" ca="1" si="222"/>
        <v>0</v>
      </c>
      <c r="AE265" s="14">
        <f ca="1">(MAX(sa-CF264*Flag_UL_Type,105%*SUM($I$7:I265),Z265)+AU265)*B265</f>
        <v>0</v>
      </c>
      <c r="AF265" s="136"/>
      <c r="AG265" s="18">
        <v>259</v>
      </c>
      <c r="AH265" s="30">
        <f t="shared" ca="1" si="201"/>
        <v>0</v>
      </c>
      <c r="AI265" s="58"/>
      <c r="AJ265" s="50">
        <f>IF(AND(Option_Sys_TopUp&gt;="Y",H265&gt;=sytp,H265&lt;=(dtp+sytp-1),F265=0,H265&lt;=ppt+1),atp,0)+IFERROR(VLOOKUP(H265,Input!$B$55:$C$61,2,0),0)*(F265=0)*(Option_TopUP="Y")*(Option_Sys_TopUp="N")*B265*(pt&gt;=H265+5)</f>
        <v>0</v>
      </c>
      <c r="AK265" s="50">
        <f t="shared" si="202"/>
        <v>0</v>
      </c>
      <c r="AL265" s="50">
        <f t="shared" si="223"/>
        <v>0</v>
      </c>
      <c r="AM265" s="50">
        <f t="shared" ca="1" si="203"/>
        <v>0</v>
      </c>
      <c r="AN265" s="50">
        <f>IF(B265=0,0,AT265*(_rpm1+(1+_emr1)*VLOOKUP(E265,Tab_Mort_Charge,IF(Input!$C$12="M",2,3),0))*(0.001*0.0833)*Flag_Mort_Rider_Charge*(AT265&gt;0))</f>
        <v>0</v>
      </c>
      <c r="AO265" s="50">
        <f t="shared" ca="1" si="224"/>
        <v>0</v>
      </c>
      <c r="AP265" s="50">
        <f t="shared" ca="1" si="187"/>
        <v>0</v>
      </c>
      <c r="AQ265" s="50">
        <f t="shared" ca="1" si="204"/>
        <v>0</v>
      </c>
      <c r="AR265" s="50">
        <f t="shared" ca="1" si="205"/>
        <v>0</v>
      </c>
      <c r="AS265" s="50">
        <f t="shared" si="206"/>
        <v>0</v>
      </c>
      <c r="AT265" s="50">
        <f ca="1">(MAX((MAX(AS265,105%*SUM($AJ$7:AJ265))-AM265*Flag_UL_Type),0)*B265)</f>
        <v>0</v>
      </c>
      <c r="AU265" s="50">
        <f ca="1">(MAX(AS265,AR265,105%*SUM($AJ$7:AJ265))*B265)</f>
        <v>0</v>
      </c>
      <c r="AV265" s="125"/>
      <c r="AW265" s="13"/>
      <c r="AX265" s="13"/>
      <c r="AY265" s="13"/>
      <c r="AZ265" s="13"/>
      <c r="BA265" s="13"/>
      <c r="BG265" s="51">
        <f t="shared" si="207"/>
        <v>0</v>
      </c>
      <c r="BH265" s="51">
        <f t="shared" si="208"/>
        <v>0</v>
      </c>
      <c r="BI265" s="51">
        <f t="shared" ca="1" si="209"/>
        <v>0</v>
      </c>
      <c r="BJ265" s="51">
        <f t="shared" ca="1" si="210"/>
        <v>0</v>
      </c>
      <c r="BK265" s="51">
        <f t="shared" si="211"/>
        <v>0</v>
      </c>
      <c r="BL265" s="51">
        <f t="shared" ca="1" si="212"/>
        <v>0</v>
      </c>
      <c r="BM265" s="51">
        <f t="shared" si="213"/>
        <v>0</v>
      </c>
      <c r="BN265" s="51">
        <f t="shared" si="214"/>
        <v>0</v>
      </c>
      <c r="BO265" s="51">
        <f t="shared" ca="1" si="215"/>
        <v>0</v>
      </c>
      <c r="BP265" s="51">
        <f t="shared" ca="1" si="216"/>
        <v>0</v>
      </c>
      <c r="BQ265" s="120"/>
      <c r="BR265" s="32"/>
      <c r="BS265" s="126"/>
      <c r="BT265" s="16"/>
      <c r="BU265" s="58"/>
      <c r="BW265" s="51">
        <f>VLOOKUP(H265,Charges!$AT$4:$AU$33,2,FALSE)*I265</f>
        <v>0</v>
      </c>
      <c r="BX265" s="51">
        <f t="shared" si="217"/>
        <v>0</v>
      </c>
      <c r="BY265" s="51">
        <f t="shared" si="225"/>
        <v>0</v>
      </c>
      <c r="BZ265" s="151"/>
      <c r="CA265" s="151"/>
      <c r="CB265" s="32"/>
      <c r="CC265" s="16">
        <f ca="1">SUM($N$7:$N265)</f>
        <v>0</v>
      </c>
      <c r="CD265" s="16">
        <f t="shared" ca="1" si="218"/>
        <v>0</v>
      </c>
      <c r="CE265" s="16">
        <f t="shared" ca="1" si="219"/>
        <v>0</v>
      </c>
      <c r="CF265" s="7">
        <f t="shared" ca="1" si="226"/>
        <v>0</v>
      </c>
    </row>
    <row r="266" spans="1:84" s="7" customFormat="1" x14ac:dyDescent="0.2">
      <c r="A266" s="149"/>
      <c r="B266" s="14">
        <f t="shared" si="188"/>
        <v>0</v>
      </c>
      <c r="C266" s="12">
        <f t="shared" si="189"/>
        <v>0</v>
      </c>
      <c r="D266" s="17">
        <f t="shared" si="227"/>
        <v>260</v>
      </c>
      <c r="E266" s="17">
        <f t="shared" ca="1" si="190"/>
        <v>81</v>
      </c>
      <c r="F266" s="12">
        <f t="shared" si="185"/>
        <v>7</v>
      </c>
      <c r="G266" s="12">
        <f t="shared" si="184"/>
        <v>44</v>
      </c>
      <c r="H266" s="17">
        <f t="shared" si="186"/>
        <v>22</v>
      </c>
      <c r="I266" s="29">
        <f t="shared" si="191"/>
        <v>0</v>
      </c>
      <c r="J266" s="211">
        <f>IFERROR(VLOOKUP(H266,Charges!$T$6:$U$35,2,0)*C266,0)</f>
        <v>0</v>
      </c>
      <c r="K266" s="29">
        <f t="shared" si="192"/>
        <v>0</v>
      </c>
      <c r="L266" s="29">
        <f t="shared" si="193"/>
        <v>0</v>
      </c>
      <c r="M266" s="147">
        <f t="shared" ca="1" si="194"/>
        <v>0</v>
      </c>
      <c r="N266" s="148">
        <f ca="1">IF(AND(Option_SPW="Y",Z265&gt;=SPW_Start_Min_FV,H266&gt;=Lock_In_Period,Z265&gt;SPW_Amount_pa+IF(option="Single",1/5*pr,2*pr),H266&gt;=SPW_Start_Year,H266&lt;=SPW_Start_Year+SPW_Duration-1,F266=0,age+H266&gt;=Legal_Age),SPW_Amount_pa,0)+IFERROR(VLOOKUP(H266,Input!$B$68:$C$74,2,0),0)*(F266=0)*(Option_PW="Y")*(Option_SPW="N")*(age+H266&gt;=Legal_Age)</f>
        <v>0</v>
      </c>
      <c r="O266" s="148">
        <f t="shared" ca="1" si="220"/>
        <v>0</v>
      </c>
      <c r="P266" s="14">
        <f ca="1">(MAX(MAX(sa-CF265*Flag_UL_Type,105%*SUM($I$7:I266))-(AD265+L266-N266)*Flag_UL_Type,0)*B266)</f>
        <v>0</v>
      </c>
      <c r="Q266" s="213">
        <f t="shared" si="195"/>
        <v>0</v>
      </c>
      <c r="R266" s="14">
        <f t="shared" ca="1" si="196"/>
        <v>0</v>
      </c>
      <c r="S266" s="14">
        <f t="shared" ca="1" si="197"/>
        <v>0</v>
      </c>
      <c r="T266" s="14">
        <f>IFERROR(IF(WoP_Flag="Y",IF(fq=1,VLOOKUP(ppt*fq-H266,Charges!$AN$41:$AO$59,2,FALSE),IF(fq=2,VLOOKUP(ppt*fq-G266,Charges!$AP$41:$AQ$79,2,FALSE),VLOOKUP(ppt*fq-D266,Charges!$AR$41:$AS$279,2,FALSE)))*pr/fq,0),0)</f>
        <v>0</v>
      </c>
      <c r="U266" s="14">
        <f ca="1">IFERROR(((T266*(VLOOKUP(Input!$D$18+H266-1,Tab_Mort_Charge,IF(Gender_2="M",2,3),FALSE)*(1+_emr2)+_rpm2)/IF(Model_Type="LA_PQIS",1000/0.0833,(12*1000))))*Flag_Mort_Rider_Charge*(T266&gt;0),0)</f>
        <v>0</v>
      </c>
      <c r="V266" s="34">
        <f>ROUND(MIN(IF(H266&gt;=7,Charges!$C$12*(1+Charges!$C$14)^((H266-7+1)),VLOOKUP(H266,Charges!$B$7:$C$12,2,0))*pr,Charges!$C$13)*B266,Round)</f>
        <v>0</v>
      </c>
      <c r="W266" s="14">
        <f t="shared" ca="1" si="198"/>
        <v>0</v>
      </c>
      <c r="X266" s="14">
        <f t="shared" ca="1" si="199"/>
        <v>0</v>
      </c>
      <c r="Y266" s="213">
        <f t="shared" ca="1" si="221"/>
        <v>0</v>
      </c>
      <c r="Z266" s="14">
        <f t="shared" ca="1" si="200"/>
        <v>0</v>
      </c>
      <c r="AA266" s="14">
        <f>IF(AND($H266=pt,$F266=11),SUM($K$7:K266)*VLOOKUP(pt,ROC,2,FALSE),0)</f>
        <v>0</v>
      </c>
      <c r="AB266" s="14">
        <f>IF(AND($H266=pt,$F266=11),SUM($V$7:V266)*VLOOKUP(pt,ROC,2,FALSE),0)</f>
        <v>0</v>
      </c>
      <c r="AC266" s="14">
        <f>IF(AND($H266=pt,$F266=11),SUM($Q$7:Q266)*VLOOKUP(pt,ROC,2,FALSE),0)</f>
        <v>0</v>
      </c>
      <c r="AD266" s="14">
        <f t="shared" ca="1" si="222"/>
        <v>0</v>
      </c>
      <c r="AE266" s="14">
        <f ca="1">(MAX(sa-CF265*Flag_UL_Type,105%*SUM($I$7:I266),Z266)+AU266)*B266</f>
        <v>0</v>
      </c>
      <c r="AF266" s="136"/>
      <c r="AG266" s="18">
        <v>260</v>
      </c>
      <c r="AH266" s="30">
        <f t="shared" ca="1" si="201"/>
        <v>0</v>
      </c>
      <c r="AI266" s="58"/>
      <c r="AJ266" s="50">
        <f>IF(AND(Option_Sys_TopUp&gt;="Y",H266&gt;=sytp,H266&lt;=(dtp+sytp-1),F266=0,H266&lt;=ppt+1),atp,0)+IFERROR(VLOOKUP(H266,Input!$B$55:$C$61,2,0),0)*(F266=0)*(Option_TopUP="Y")*(Option_Sys_TopUp="N")*B266*(pt&gt;=H266+5)</f>
        <v>0</v>
      </c>
      <c r="AK266" s="50">
        <f t="shared" si="202"/>
        <v>0</v>
      </c>
      <c r="AL266" s="50">
        <f t="shared" si="223"/>
        <v>0</v>
      </c>
      <c r="AM266" s="50">
        <f t="shared" ca="1" si="203"/>
        <v>0</v>
      </c>
      <c r="AN266" s="50">
        <f>IF(B266=0,0,AT266*(_rpm1+(1+_emr1)*VLOOKUP(E266,Tab_Mort_Charge,IF(Input!$C$12="M",2,3),0))*(0.001*0.0833)*Flag_Mort_Rider_Charge*(AT266&gt;0))</f>
        <v>0</v>
      </c>
      <c r="AO266" s="50">
        <f t="shared" ca="1" si="224"/>
        <v>0</v>
      </c>
      <c r="AP266" s="50">
        <f t="shared" ca="1" si="187"/>
        <v>0</v>
      </c>
      <c r="AQ266" s="50">
        <f t="shared" ca="1" si="204"/>
        <v>0</v>
      </c>
      <c r="AR266" s="50">
        <f t="shared" ca="1" si="205"/>
        <v>0</v>
      </c>
      <c r="AS266" s="50">
        <f t="shared" si="206"/>
        <v>0</v>
      </c>
      <c r="AT266" s="50">
        <f ca="1">(MAX((MAX(AS266,105%*SUM($AJ$7:AJ266))-AM266*Flag_UL_Type),0)*B266)</f>
        <v>0</v>
      </c>
      <c r="AU266" s="50">
        <f ca="1">(MAX(AS266,AR266,105%*SUM($AJ$7:AJ266))*B266)</f>
        <v>0</v>
      </c>
      <c r="AV266" s="125"/>
      <c r="AW266" s="13"/>
      <c r="AX266" s="13"/>
      <c r="AY266" s="13"/>
      <c r="AZ266" s="13"/>
      <c r="BA266" s="13"/>
      <c r="BG266" s="51">
        <f t="shared" si="207"/>
        <v>0</v>
      </c>
      <c r="BH266" s="51">
        <f t="shared" si="208"/>
        <v>0</v>
      </c>
      <c r="BI266" s="51">
        <f t="shared" ca="1" si="209"/>
        <v>0</v>
      </c>
      <c r="BJ266" s="51">
        <f t="shared" ca="1" si="210"/>
        <v>0</v>
      </c>
      <c r="BK266" s="51">
        <f t="shared" si="211"/>
        <v>0</v>
      </c>
      <c r="BL266" s="51">
        <f t="shared" ca="1" si="212"/>
        <v>0</v>
      </c>
      <c r="BM266" s="51">
        <f t="shared" si="213"/>
        <v>0</v>
      </c>
      <c r="BN266" s="51">
        <f t="shared" si="214"/>
        <v>0</v>
      </c>
      <c r="BO266" s="51">
        <f t="shared" ca="1" si="215"/>
        <v>0</v>
      </c>
      <c r="BP266" s="51">
        <f t="shared" ca="1" si="216"/>
        <v>0</v>
      </c>
      <c r="BQ266" s="120"/>
      <c r="BR266" s="32"/>
      <c r="BS266" s="126"/>
      <c r="BT266" s="16"/>
      <c r="BU266" s="58"/>
      <c r="BW266" s="51">
        <f>VLOOKUP(H266,Charges!$AT$4:$AU$33,2,FALSE)*I266</f>
        <v>0</v>
      </c>
      <c r="BX266" s="51">
        <f t="shared" si="217"/>
        <v>0</v>
      </c>
      <c r="BY266" s="51">
        <f t="shared" si="225"/>
        <v>0</v>
      </c>
      <c r="BZ266" s="151"/>
      <c r="CA266" s="151"/>
      <c r="CB266" s="32"/>
      <c r="CC266" s="16">
        <f ca="1">SUM($N$7:$N266)</f>
        <v>0</v>
      </c>
      <c r="CD266" s="16">
        <f t="shared" ca="1" si="218"/>
        <v>0</v>
      </c>
      <c r="CE266" s="16">
        <f t="shared" ca="1" si="219"/>
        <v>0</v>
      </c>
      <c r="CF266" s="7">
        <f t="shared" ca="1" si="226"/>
        <v>0</v>
      </c>
    </row>
    <row r="267" spans="1:84" s="7" customFormat="1" x14ac:dyDescent="0.2">
      <c r="A267" s="149"/>
      <c r="B267" s="14">
        <f t="shared" si="188"/>
        <v>0</v>
      </c>
      <c r="C267" s="12">
        <f t="shared" si="189"/>
        <v>0</v>
      </c>
      <c r="D267" s="17">
        <f t="shared" si="227"/>
        <v>261</v>
      </c>
      <c r="E267" s="17">
        <f t="shared" ca="1" si="190"/>
        <v>81</v>
      </c>
      <c r="F267" s="12">
        <f t="shared" si="185"/>
        <v>8</v>
      </c>
      <c r="G267" s="12">
        <f t="shared" si="184"/>
        <v>44</v>
      </c>
      <c r="H267" s="17">
        <f t="shared" si="186"/>
        <v>22</v>
      </c>
      <c r="I267" s="29">
        <f t="shared" si="191"/>
        <v>0</v>
      </c>
      <c r="J267" s="211">
        <f>IFERROR(VLOOKUP(H267,Charges!$T$6:$U$35,2,0)*C267,0)</f>
        <v>0</v>
      </c>
      <c r="K267" s="29">
        <f t="shared" si="192"/>
        <v>0</v>
      </c>
      <c r="L267" s="29">
        <f t="shared" si="193"/>
        <v>0</v>
      </c>
      <c r="M267" s="147">
        <f t="shared" ca="1" si="194"/>
        <v>0</v>
      </c>
      <c r="N267" s="148">
        <f ca="1">IF(AND(Option_SPW="Y",Z266&gt;=SPW_Start_Min_FV,H267&gt;=Lock_In_Period,Z266&gt;SPW_Amount_pa+IF(option="Single",1/5*pr,2*pr),H267&gt;=SPW_Start_Year,H267&lt;=SPW_Start_Year+SPW_Duration-1,F267=0,age+H267&gt;=Legal_Age),SPW_Amount_pa,0)+IFERROR(VLOOKUP(H267,Input!$B$68:$C$74,2,0),0)*(F267=0)*(Option_PW="Y")*(Option_SPW="N")*(age+H267&gt;=Legal_Age)</f>
        <v>0</v>
      </c>
      <c r="O267" s="148">
        <f t="shared" ca="1" si="220"/>
        <v>0</v>
      </c>
      <c r="P267" s="14">
        <f ca="1">(MAX(MAX(sa-CF266*Flag_UL_Type,105%*SUM($I$7:I267))-(AD266+L267-N267)*Flag_UL_Type,0)*B267)</f>
        <v>0</v>
      </c>
      <c r="Q267" s="213">
        <f t="shared" si="195"/>
        <v>0</v>
      </c>
      <c r="R267" s="14">
        <f t="shared" ca="1" si="196"/>
        <v>0</v>
      </c>
      <c r="S267" s="14">
        <f t="shared" ca="1" si="197"/>
        <v>0</v>
      </c>
      <c r="T267" s="14">
        <f>IFERROR(IF(WoP_Flag="Y",IF(fq=1,VLOOKUP(ppt*fq-H267,Charges!$AN$41:$AO$59,2,FALSE),IF(fq=2,VLOOKUP(ppt*fq-G267,Charges!$AP$41:$AQ$79,2,FALSE),VLOOKUP(ppt*fq-D267,Charges!$AR$41:$AS$279,2,FALSE)))*pr/fq,0),0)</f>
        <v>0</v>
      </c>
      <c r="U267" s="14">
        <f ca="1">IFERROR(((T267*(VLOOKUP(Input!$D$18+H267-1,Tab_Mort_Charge,IF(Gender_2="M",2,3),FALSE)*(1+_emr2)+_rpm2)/IF(Model_Type="LA_PQIS",1000/0.0833,(12*1000))))*Flag_Mort_Rider_Charge*(T267&gt;0),0)</f>
        <v>0</v>
      </c>
      <c r="V267" s="34">
        <f>ROUND(MIN(IF(H267&gt;=7,Charges!$C$12*(1+Charges!$C$14)^((H267-7+1)),VLOOKUP(H267,Charges!$B$7:$C$12,2,0))*pr,Charges!$C$13)*B267,Round)</f>
        <v>0</v>
      </c>
      <c r="W267" s="14">
        <f t="shared" ca="1" si="198"/>
        <v>0</v>
      </c>
      <c r="X267" s="14">
        <f t="shared" ca="1" si="199"/>
        <v>0</v>
      </c>
      <c r="Y267" s="213">
        <f t="shared" ca="1" si="221"/>
        <v>0</v>
      </c>
      <c r="Z267" s="14">
        <f t="shared" ca="1" si="200"/>
        <v>0</v>
      </c>
      <c r="AA267" s="14">
        <f>IF(AND($H267=pt,$F267=11),SUM($K$7:K267)*VLOOKUP(pt,ROC,2,FALSE),0)</f>
        <v>0</v>
      </c>
      <c r="AB267" s="14">
        <f>IF(AND($H267=pt,$F267=11),SUM($V$7:V267)*VLOOKUP(pt,ROC,2,FALSE),0)</f>
        <v>0</v>
      </c>
      <c r="AC267" s="14">
        <f>IF(AND($H267=pt,$F267=11),SUM($Q$7:Q267)*VLOOKUP(pt,ROC,2,FALSE),0)</f>
        <v>0</v>
      </c>
      <c r="AD267" s="14">
        <f t="shared" ca="1" si="222"/>
        <v>0</v>
      </c>
      <c r="AE267" s="14">
        <f ca="1">(MAX(sa-CF266*Flag_UL_Type,105%*SUM($I$7:I267),Z267)+AU267)*B267</f>
        <v>0</v>
      </c>
      <c r="AF267" s="136"/>
      <c r="AG267" s="18">
        <v>261</v>
      </c>
      <c r="AH267" s="30">
        <f t="shared" ca="1" si="201"/>
        <v>0</v>
      </c>
      <c r="AI267" s="58"/>
      <c r="AJ267" s="50">
        <f>IF(AND(Option_Sys_TopUp&gt;="Y",H267&gt;=sytp,H267&lt;=(dtp+sytp-1),F267=0,H267&lt;=ppt+1),atp,0)+IFERROR(VLOOKUP(H267,Input!$B$55:$C$61,2,0),0)*(F267=0)*(Option_TopUP="Y")*(Option_Sys_TopUp="N")*B267*(pt&gt;=H267+5)</f>
        <v>0</v>
      </c>
      <c r="AK267" s="50">
        <f t="shared" si="202"/>
        <v>0</v>
      </c>
      <c r="AL267" s="50">
        <f t="shared" si="223"/>
        <v>0</v>
      </c>
      <c r="AM267" s="50">
        <f t="shared" ca="1" si="203"/>
        <v>0</v>
      </c>
      <c r="AN267" s="50">
        <f>IF(B267=0,0,AT267*(_rpm1+(1+_emr1)*VLOOKUP(E267,Tab_Mort_Charge,IF(Input!$C$12="M",2,3),0))*(0.001*0.0833)*Flag_Mort_Rider_Charge*(AT267&gt;0))</f>
        <v>0</v>
      </c>
      <c r="AO267" s="50">
        <f t="shared" ca="1" si="224"/>
        <v>0</v>
      </c>
      <c r="AP267" s="50">
        <f t="shared" ca="1" si="187"/>
        <v>0</v>
      </c>
      <c r="AQ267" s="50">
        <f t="shared" ca="1" si="204"/>
        <v>0</v>
      </c>
      <c r="AR267" s="50">
        <f t="shared" ca="1" si="205"/>
        <v>0</v>
      </c>
      <c r="AS267" s="50">
        <f t="shared" si="206"/>
        <v>0</v>
      </c>
      <c r="AT267" s="50">
        <f ca="1">(MAX((MAX(AS267,105%*SUM($AJ$7:AJ267))-AM267*Flag_UL_Type),0)*B267)</f>
        <v>0</v>
      </c>
      <c r="AU267" s="50">
        <f ca="1">(MAX(AS267,AR267,105%*SUM($AJ$7:AJ267))*B267)</f>
        <v>0</v>
      </c>
      <c r="AV267" s="125"/>
      <c r="AW267" s="13"/>
      <c r="AX267" s="13"/>
      <c r="AY267" s="13"/>
      <c r="AZ267" s="13"/>
      <c r="BA267" s="13"/>
      <c r="BG267" s="51">
        <f t="shared" si="207"/>
        <v>0</v>
      </c>
      <c r="BH267" s="51">
        <f t="shared" si="208"/>
        <v>0</v>
      </c>
      <c r="BI267" s="51">
        <f t="shared" ca="1" si="209"/>
        <v>0</v>
      </c>
      <c r="BJ267" s="51">
        <f t="shared" ca="1" si="210"/>
        <v>0</v>
      </c>
      <c r="BK267" s="51">
        <f t="shared" si="211"/>
        <v>0</v>
      </c>
      <c r="BL267" s="51">
        <f t="shared" ca="1" si="212"/>
        <v>0</v>
      </c>
      <c r="BM267" s="51">
        <f t="shared" si="213"/>
        <v>0</v>
      </c>
      <c r="BN267" s="51">
        <f t="shared" si="214"/>
        <v>0</v>
      </c>
      <c r="BO267" s="51">
        <f t="shared" ca="1" si="215"/>
        <v>0</v>
      </c>
      <c r="BP267" s="51">
        <f t="shared" ca="1" si="216"/>
        <v>0</v>
      </c>
      <c r="BQ267" s="120"/>
      <c r="BR267" s="32"/>
      <c r="BS267" s="126"/>
      <c r="BT267" s="16"/>
      <c r="BU267" s="58"/>
      <c r="BW267" s="51">
        <f>VLOOKUP(H267,Charges!$AT$4:$AU$33,2,FALSE)*I267</f>
        <v>0</v>
      </c>
      <c r="BX267" s="51">
        <f t="shared" si="217"/>
        <v>0</v>
      </c>
      <c r="BY267" s="51">
        <f t="shared" si="225"/>
        <v>0</v>
      </c>
      <c r="BZ267" s="151"/>
      <c r="CA267" s="151"/>
      <c r="CB267" s="32"/>
      <c r="CC267" s="16">
        <f ca="1">SUM($N$7:$N267)</f>
        <v>0</v>
      </c>
      <c r="CD267" s="16">
        <f t="shared" ca="1" si="218"/>
        <v>0</v>
      </c>
      <c r="CE267" s="16">
        <f t="shared" ca="1" si="219"/>
        <v>0</v>
      </c>
      <c r="CF267" s="7">
        <f t="shared" ca="1" si="226"/>
        <v>0</v>
      </c>
    </row>
    <row r="268" spans="1:84" s="7" customFormat="1" x14ac:dyDescent="0.2">
      <c r="A268" s="149"/>
      <c r="B268" s="14">
        <f t="shared" si="188"/>
        <v>0</v>
      </c>
      <c r="C268" s="12">
        <f t="shared" si="189"/>
        <v>0</v>
      </c>
      <c r="D268" s="17">
        <f t="shared" si="227"/>
        <v>262</v>
      </c>
      <c r="E268" s="17">
        <f t="shared" ca="1" si="190"/>
        <v>81</v>
      </c>
      <c r="F268" s="12">
        <f t="shared" si="185"/>
        <v>9</v>
      </c>
      <c r="G268" s="12">
        <f t="shared" si="184"/>
        <v>44</v>
      </c>
      <c r="H268" s="17">
        <f t="shared" si="186"/>
        <v>22</v>
      </c>
      <c r="I268" s="29">
        <f t="shared" si="191"/>
        <v>0</v>
      </c>
      <c r="J268" s="211">
        <f>IFERROR(VLOOKUP(H268,Charges!$T$6:$U$35,2,0)*C268,0)</f>
        <v>0</v>
      </c>
      <c r="K268" s="29">
        <f t="shared" si="192"/>
        <v>0</v>
      </c>
      <c r="L268" s="29">
        <f t="shared" si="193"/>
        <v>0</v>
      </c>
      <c r="M268" s="147">
        <f t="shared" ca="1" si="194"/>
        <v>0</v>
      </c>
      <c r="N268" s="148">
        <f ca="1">IF(AND(Option_SPW="Y",Z267&gt;=SPW_Start_Min_FV,H268&gt;=Lock_In_Period,Z267&gt;SPW_Amount_pa+IF(option="Single",1/5*pr,2*pr),H268&gt;=SPW_Start_Year,H268&lt;=SPW_Start_Year+SPW_Duration-1,F268=0,age+H268&gt;=Legal_Age),SPW_Amount_pa,0)+IFERROR(VLOOKUP(H268,Input!$B$68:$C$74,2,0),0)*(F268=0)*(Option_PW="Y")*(Option_SPW="N")*(age+H268&gt;=Legal_Age)</f>
        <v>0</v>
      </c>
      <c r="O268" s="148">
        <f t="shared" ca="1" si="220"/>
        <v>0</v>
      </c>
      <c r="P268" s="14">
        <f ca="1">(MAX(MAX(sa-CF267*Flag_UL_Type,105%*SUM($I$7:I268))-(AD267+L268-N268)*Flag_UL_Type,0)*B268)</f>
        <v>0</v>
      </c>
      <c r="Q268" s="213">
        <f t="shared" si="195"/>
        <v>0</v>
      </c>
      <c r="R268" s="14">
        <f t="shared" ca="1" si="196"/>
        <v>0</v>
      </c>
      <c r="S268" s="14">
        <f t="shared" ca="1" si="197"/>
        <v>0</v>
      </c>
      <c r="T268" s="14">
        <f>IFERROR(IF(WoP_Flag="Y",IF(fq=1,VLOOKUP(ppt*fq-H268,Charges!$AN$41:$AO$59,2,FALSE),IF(fq=2,VLOOKUP(ppt*fq-G268,Charges!$AP$41:$AQ$79,2,FALSE),VLOOKUP(ppt*fq-D268,Charges!$AR$41:$AS$279,2,FALSE)))*pr/fq,0),0)</f>
        <v>0</v>
      </c>
      <c r="U268" s="14">
        <f ca="1">IFERROR(((T268*(VLOOKUP(Input!$D$18+H268-1,Tab_Mort_Charge,IF(Gender_2="M",2,3),FALSE)*(1+_emr2)+_rpm2)/IF(Model_Type="LA_PQIS",1000/0.0833,(12*1000))))*Flag_Mort_Rider_Charge*(T268&gt;0),0)</f>
        <v>0</v>
      </c>
      <c r="V268" s="34">
        <f>ROUND(MIN(IF(H268&gt;=7,Charges!$C$12*(1+Charges!$C$14)^((H268-7+1)),VLOOKUP(H268,Charges!$B$7:$C$12,2,0))*pr,Charges!$C$13)*B268,Round)</f>
        <v>0</v>
      </c>
      <c r="W268" s="14">
        <f t="shared" ca="1" si="198"/>
        <v>0</v>
      </c>
      <c r="X268" s="14">
        <f t="shared" ca="1" si="199"/>
        <v>0</v>
      </c>
      <c r="Y268" s="213">
        <f t="shared" ca="1" si="221"/>
        <v>0</v>
      </c>
      <c r="Z268" s="14">
        <f t="shared" ca="1" si="200"/>
        <v>0</v>
      </c>
      <c r="AA268" s="14">
        <f>IF(AND($H268=pt,$F268=11),SUM($K$7:K268)*VLOOKUP(pt,ROC,2,FALSE),0)</f>
        <v>0</v>
      </c>
      <c r="AB268" s="14">
        <f>IF(AND($H268=pt,$F268=11),SUM($V$7:V268)*VLOOKUP(pt,ROC,2,FALSE),0)</f>
        <v>0</v>
      </c>
      <c r="AC268" s="14">
        <f>IF(AND($H268=pt,$F268=11),SUM($Q$7:Q268)*VLOOKUP(pt,ROC,2,FALSE),0)</f>
        <v>0</v>
      </c>
      <c r="AD268" s="14">
        <f t="shared" ca="1" si="222"/>
        <v>0</v>
      </c>
      <c r="AE268" s="14">
        <f ca="1">(MAX(sa-CF267*Flag_UL_Type,105%*SUM($I$7:I268),Z268)+AU268)*B268</f>
        <v>0</v>
      </c>
      <c r="AF268" s="136"/>
      <c r="AG268" s="18">
        <v>262</v>
      </c>
      <c r="AH268" s="30">
        <f t="shared" ca="1" si="201"/>
        <v>0</v>
      </c>
      <c r="AI268" s="58"/>
      <c r="AJ268" s="50">
        <f>IF(AND(Option_Sys_TopUp&gt;="Y",H268&gt;=sytp,H268&lt;=(dtp+sytp-1),F268=0,H268&lt;=ppt+1),atp,0)+IFERROR(VLOOKUP(H268,Input!$B$55:$C$61,2,0),0)*(F268=0)*(Option_TopUP="Y")*(Option_Sys_TopUp="N")*B268*(pt&gt;=H268+5)</f>
        <v>0</v>
      </c>
      <c r="AK268" s="50">
        <f t="shared" si="202"/>
        <v>0</v>
      </c>
      <c r="AL268" s="50">
        <f t="shared" si="223"/>
        <v>0</v>
      </c>
      <c r="AM268" s="50">
        <f t="shared" ca="1" si="203"/>
        <v>0</v>
      </c>
      <c r="AN268" s="50">
        <f>IF(B268=0,0,AT268*(_rpm1+(1+_emr1)*VLOOKUP(E268,Tab_Mort_Charge,IF(Input!$C$12="M",2,3),0))*(0.001*0.0833)*Flag_Mort_Rider_Charge*(AT268&gt;0))</f>
        <v>0</v>
      </c>
      <c r="AO268" s="50">
        <f t="shared" ca="1" si="224"/>
        <v>0</v>
      </c>
      <c r="AP268" s="50">
        <f t="shared" ca="1" si="187"/>
        <v>0</v>
      </c>
      <c r="AQ268" s="50">
        <f t="shared" ca="1" si="204"/>
        <v>0</v>
      </c>
      <c r="AR268" s="50">
        <f t="shared" ca="1" si="205"/>
        <v>0</v>
      </c>
      <c r="AS268" s="50">
        <f t="shared" si="206"/>
        <v>0</v>
      </c>
      <c r="AT268" s="50">
        <f ca="1">(MAX((MAX(AS268,105%*SUM($AJ$7:AJ268))-AM268*Flag_UL_Type),0)*B268)</f>
        <v>0</v>
      </c>
      <c r="AU268" s="50">
        <f ca="1">(MAX(AS268,AR268,105%*SUM($AJ$7:AJ268))*B268)</f>
        <v>0</v>
      </c>
      <c r="AV268" s="125"/>
      <c r="AW268" s="13"/>
      <c r="AX268" s="13"/>
      <c r="AY268" s="13"/>
      <c r="AZ268" s="13"/>
      <c r="BA268" s="13"/>
      <c r="BG268" s="51">
        <f t="shared" si="207"/>
        <v>0</v>
      </c>
      <c r="BH268" s="51">
        <f t="shared" si="208"/>
        <v>0</v>
      </c>
      <c r="BI268" s="51">
        <f t="shared" ca="1" si="209"/>
        <v>0</v>
      </c>
      <c r="BJ268" s="51">
        <f t="shared" ca="1" si="210"/>
        <v>0</v>
      </c>
      <c r="BK268" s="51">
        <f t="shared" si="211"/>
        <v>0</v>
      </c>
      <c r="BL268" s="51">
        <f t="shared" ca="1" si="212"/>
        <v>0</v>
      </c>
      <c r="BM268" s="51">
        <f t="shared" si="213"/>
        <v>0</v>
      </c>
      <c r="BN268" s="51">
        <f t="shared" si="214"/>
        <v>0</v>
      </c>
      <c r="BO268" s="51">
        <f t="shared" ca="1" si="215"/>
        <v>0</v>
      </c>
      <c r="BP268" s="51">
        <f t="shared" ca="1" si="216"/>
        <v>0</v>
      </c>
      <c r="BQ268" s="120"/>
      <c r="BR268" s="32"/>
      <c r="BS268" s="126"/>
      <c r="BT268" s="16"/>
      <c r="BU268" s="58"/>
      <c r="BW268" s="51">
        <f>VLOOKUP(H268,Charges!$AT$4:$AU$33,2,FALSE)*I268</f>
        <v>0</v>
      </c>
      <c r="BX268" s="51">
        <f t="shared" si="217"/>
        <v>0</v>
      </c>
      <c r="BY268" s="51">
        <f t="shared" si="225"/>
        <v>0</v>
      </c>
      <c r="BZ268" s="151"/>
      <c r="CA268" s="151"/>
      <c r="CB268" s="32"/>
      <c r="CC268" s="16">
        <f ca="1">SUM($N$7:$N268)</f>
        <v>0</v>
      </c>
      <c r="CD268" s="16">
        <f t="shared" ca="1" si="218"/>
        <v>0</v>
      </c>
      <c r="CE268" s="16">
        <f t="shared" ca="1" si="219"/>
        <v>0</v>
      </c>
      <c r="CF268" s="7">
        <f t="shared" ca="1" si="226"/>
        <v>0</v>
      </c>
    </row>
    <row r="269" spans="1:84" s="7" customFormat="1" x14ac:dyDescent="0.2">
      <c r="A269" s="149"/>
      <c r="B269" s="14">
        <f t="shared" si="188"/>
        <v>0</v>
      </c>
      <c r="C269" s="12">
        <f t="shared" si="189"/>
        <v>0</v>
      </c>
      <c r="D269" s="17">
        <f t="shared" si="227"/>
        <v>263</v>
      </c>
      <c r="E269" s="17">
        <f t="shared" ca="1" si="190"/>
        <v>81</v>
      </c>
      <c r="F269" s="12">
        <f t="shared" si="185"/>
        <v>10</v>
      </c>
      <c r="G269" s="12">
        <f t="shared" si="184"/>
        <v>44</v>
      </c>
      <c r="H269" s="17">
        <f t="shared" si="186"/>
        <v>22</v>
      </c>
      <c r="I269" s="29">
        <f t="shared" si="191"/>
        <v>0</v>
      </c>
      <c r="J269" s="211">
        <f>IFERROR(VLOOKUP(H269,Charges!$T$6:$U$35,2,0)*C269,0)</f>
        <v>0</v>
      </c>
      <c r="K269" s="29">
        <f t="shared" si="192"/>
        <v>0</v>
      </c>
      <c r="L269" s="29">
        <f t="shared" si="193"/>
        <v>0</v>
      </c>
      <c r="M269" s="147">
        <f t="shared" ca="1" si="194"/>
        <v>0</v>
      </c>
      <c r="N269" s="148">
        <f ca="1">IF(AND(Option_SPW="Y",Z268&gt;=SPW_Start_Min_FV,H269&gt;=Lock_In_Period,Z268&gt;SPW_Amount_pa+IF(option="Single",1/5*pr,2*pr),H269&gt;=SPW_Start_Year,H269&lt;=SPW_Start_Year+SPW_Duration-1,F269=0,age+H269&gt;=Legal_Age),SPW_Amount_pa,0)+IFERROR(VLOOKUP(H269,Input!$B$68:$C$74,2,0),0)*(F269=0)*(Option_PW="Y")*(Option_SPW="N")*(age+H269&gt;=Legal_Age)</f>
        <v>0</v>
      </c>
      <c r="O269" s="148">
        <f t="shared" ca="1" si="220"/>
        <v>0</v>
      </c>
      <c r="P269" s="14">
        <f ca="1">(MAX(MAX(sa-CF268*Flag_UL_Type,105%*SUM($I$7:I269))-(AD268+L269-N269)*Flag_UL_Type,0)*B269)</f>
        <v>0</v>
      </c>
      <c r="Q269" s="213">
        <f t="shared" si="195"/>
        <v>0</v>
      </c>
      <c r="R269" s="14">
        <f t="shared" ca="1" si="196"/>
        <v>0</v>
      </c>
      <c r="S269" s="14">
        <f t="shared" ca="1" si="197"/>
        <v>0</v>
      </c>
      <c r="T269" s="14">
        <f>IFERROR(IF(WoP_Flag="Y",IF(fq=1,VLOOKUP(ppt*fq-H269,Charges!$AN$41:$AO$59,2,FALSE),IF(fq=2,VLOOKUP(ppt*fq-G269,Charges!$AP$41:$AQ$79,2,FALSE),VLOOKUP(ppt*fq-D269,Charges!$AR$41:$AS$279,2,FALSE)))*pr/fq,0),0)</f>
        <v>0</v>
      </c>
      <c r="U269" s="14">
        <f ca="1">IFERROR(((T269*(VLOOKUP(Input!$D$18+H269-1,Tab_Mort_Charge,IF(Gender_2="M",2,3),FALSE)*(1+_emr2)+_rpm2)/IF(Model_Type="LA_PQIS",1000/0.0833,(12*1000))))*Flag_Mort_Rider_Charge*(T269&gt;0),0)</f>
        <v>0</v>
      </c>
      <c r="V269" s="34">
        <f>ROUND(MIN(IF(H269&gt;=7,Charges!$C$12*(1+Charges!$C$14)^((H269-7+1)),VLOOKUP(H269,Charges!$B$7:$C$12,2,0))*pr,Charges!$C$13)*B269,Round)</f>
        <v>0</v>
      </c>
      <c r="W269" s="14">
        <f t="shared" ca="1" si="198"/>
        <v>0</v>
      </c>
      <c r="X269" s="14">
        <f t="shared" ca="1" si="199"/>
        <v>0</v>
      </c>
      <c r="Y269" s="213">
        <f t="shared" ca="1" si="221"/>
        <v>0</v>
      </c>
      <c r="Z269" s="14">
        <f t="shared" ca="1" si="200"/>
        <v>0</v>
      </c>
      <c r="AA269" s="14">
        <f>IF(AND($H269=pt,$F269=11),SUM($K$7:K269)*VLOOKUP(pt,ROC,2,FALSE),0)</f>
        <v>0</v>
      </c>
      <c r="AB269" s="14">
        <f>IF(AND($H269=pt,$F269=11),SUM($V$7:V269)*VLOOKUP(pt,ROC,2,FALSE),0)</f>
        <v>0</v>
      </c>
      <c r="AC269" s="14">
        <f>IF(AND($H269=pt,$F269=11),SUM($Q$7:Q269)*VLOOKUP(pt,ROC,2,FALSE),0)</f>
        <v>0</v>
      </c>
      <c r="AD269" s="14">
        <f t="shared" ca="1" si="222"/>
        <v>0</v>
      </c>
      <c r="AE269" s="14">
        <f ca="1">(MAX(sa-CF268*Flag_UL_Type,105%*SUM($I$7:I269),Z269)+AU269)*B269</f>
        <v>0</v>
      </c>
      <c r="AF269" s="136"/>
      <c r="AG269" s="18">
        <v>263</v>
      </c>
      <c r="AH269" s="30">
        <f t="shared" ca="1" si="201"/>
        <v>0</v>
      </c>
      <c r="AI269" s="58"/>
      <c r="AJ269" s="50">
        <f>IF(AND(Option_Sys_TopUp&gt;="Y",H269&gt;=sytp,H269&lt;=(dtp+sytp-1),F269=0,H269&lt;=ppt+1),atp,0)+IFERROR(VLOOKUP(H269,Input!$B$55:$C$61,2,0),0)*(F269=0)*(Option_TopUP="Y")*(Option_Sys_TopUp="N")*B269*(pt&gt;=H269+5)</f>
        <v>0</v>
      </c>
      <c r="AK269" s="50">
        <f t="shared" si="202"/>
        <v>0</v>
      </c>
      <c r="AL269" s="50">
        <f t="shared" si="223"/>
        <v>0</v>
      </c>
      <c r="AM269" s="50">
        <f t="shared" ca="1" si="203"/>
        <v>0</v>
      </c>
      <c r="AN269" s="50">
        <f>IF(B269=0,0,AT269*(_rpm1+(1+_emr1)*VLOOKUP(E269,Tab_Mort_Charge,IF(Input!$C$12="M",2,3),0))*(0.001*0.0833)*Flag_Mort_Rider_Charge*(AT269&gt;0))</f>
        <v>0</v>
      </c>
      <c r="AO269" s="50">
        <f t="shared" ca="1" si="224"/>
        <v>0</v>
      </c>
      <c r="AP269" s="50">
        <f t="shared" ca="1" si="187"/>
        <v>0</v>
      </c>
      <c r="AQ269" s="50">
        <f t="shared" ca="1" si="204"/>
        <v>0</v>
      </c>
      <c r="AR269" s="50">
        <f t="shared" ca="1" si="205"/>
        <v>0</v>
      </c>
      <c r="AS269" s="50">
        <f t="shared" si="206"/>
        <v>0</v>
      </c>
      <c r="AT269" s="50">
        <f ca="1">(MAX((MAX(AS269,105%*SUM($AJ$7:AJ269))-AM269*Flag_UL_Type),0)*B269)</f>
        <v>0</v>
      </c>
      <c r="AU269" s="50">
        <f ca="1">(MAX(AS269,AR269,105%*SUM($AJ$7:AJ269))*B269)</f>
        <v>0</v>
      </c>
      <c r="AV269" s="125"/>
      <c r="AW269" s="13"/>
      <c r="AX269" s="13"/>
      <c r="AY269" s="13"/>
      <c r="AZ269" s="13"/>
      <c r="BA269" s="13"/>
      <c r="BG269" s="51">
        <f t="shared" si="207"/>
        <v>0</v>
      </c>
      <c r="BH269" s="51">
        <f t="shared" si="208"/>
        <v>0</v>
      </c>
      <c r="BI269" s="51">
        <f t="shared" ca="1" si="209"/>
        <v>0</v>
      </c>
      <c r="BJ269" s="51">
        <f t="shared" ca="1" si="210"/>
        <v>0</v>
      </c>
      <c r="BK269" s="51">
        <f t="shared" si="211"/>
        <v>0</v>
      </c>
      <c r="BL269" s="51">
        <f t="shared" ca="1" si="212"/>
        <v>0</v>
      </c>
      <c r="BM269" s="51">
        <f t="shared" si="213"/>
        <v>0</v>
      </c>
      <c r="BN269" s="51">
        <f t="shared" si="214"/>
        <v>0</v>
      </c>
      <c r="BO269" s="51">
        <f t="shared" ca="1" si="215"/>
        <v>0</v>
      </c>
      <c r="BP269" s="51">
        <f t="shared" ca="1" si="216"/>
        <v>0</v>
      </c>
      <c r="BQ269" s="120"/>
      <c r="BR269" s="32"/>
      <c r="BS269" s="126"/>
      <c r="BT269" s="16"/>
      <c r="BU269" s="58"/>
      <c r="BW269" s="51">
        <f>VLOOKUP(H269,Charges!$AT$4:$AU$33,2,FALSE)*I269</f>
        <v>0</v>
      </c>
      <c r="BX269" s="51">
        <f t="shared" si="217"/>
        <v>0</v>
      </c>
      <c r="BY269" s="51">
        <f t="shared" si="225"/>
        <v>0</v>
      </c>
      <c r="BZ269" s="151"/>
      <c r="CA269" s="151"/>
      <c r="CB269" s="32"/>
      <c r="CC269" s="16">
        <f ca="1">SUM($N$7:$N269)</f>
        <v>0</v>
      </c>
      <c r="CD269" s="16">
        <f t="shared" ca="1" si="218"/>
        <v>0</v>
      </c>
      <c r="CE269" s="16">
        <f t="shared" ca="1" si="219"/>
        <v>0</v>
      </c>
      <c r="CF269" s="7">
        <f t="shared" ca="1" si="226"/>
        <v>0</v>
      </c>
    </row>
    <row r="270" spans="1:84" s="7" customFormat="1" x14ac:dyDescent="0.2">
      <c r="A270" s="149"/>
      <c r="B270" s="14">
        <f t="shared" si="188"/>
        <v>0</v>
      </c>
      <c r="C270" s="12">
        <f t="shared" si="189"/>
        <v>0</v>
      </c>
      <c r="D270" s="17">
        <f t="shared" si="227"/>
        <v>264</v>
      </c>
      <c r="E270" s="17">
        <f t="shared" ca="1" si="190"/>
        <v>81</v>
      </c>
      <c r="F270" s="12">
        <f t="shared" si="185"/>
        <v>11</v>
      </c>
      <c r="G270" s="12">
        <f t="shared" ref="G270:G333" si="228">G264+1</f>
        <v>44</v>
      </c>
      <c r="H270" s="17">
        <f t="shared" si="186"/>
        <v>22</v>
      </c>
      <c r="I270" s="29">
        <f t="shared" si="191"/>
        <v>0</v>
      </c>
      <c r="J270" s="211">
        <f>IFERROR(VLOOKUP(H270,Charges!$T$6:$U$35,2,0)*C270,0)</f>
        <v>0</v>
      </c>
      <c r="K270" s="29">
        <f t="shared" si="192"/>
        <v>0</v>
      </c>
      <c r="L270" s="29">
        <f t="shared" si="193"/>
        <v>0</v>
      </c>
      <c r="M270" s="147">
        <f t="shared" ca="1" si="194"/>
        <v>0</v>
      </c>
      <c r="N270" s="148">
        <f ca="1">IF(AND(Option_SPW="Y",Z269&gt;=SPW_Start_Min_FV,H270&gt;=Lock_In_Period,Z269&gt;SPW_Amount_pa+IF(option="Single",1/5*pr,2*pr),H270&gt;=SPW_Start_Year,H270&lt;=SPW_Start_Year+SPW_Duration-1,F270=0,age+H270&gt;=Legal_Age),SPW_Amount_pa,0)+IFERROR(VLOOKUP(H270,Input!$B$68:$C$74,2,0),0)*(F270=0)*(Option_PW="Y")*(Option_SPW="N")*(age+H270&gt;=Legal_Age)</f>
        <v>0</v>
      </c>
      <c r="O270" s="148">
        <f t="shared" ca="1" si="220"/>
        <v>0</v>
      </c>
      <c r="P270" s="14">
        <f ca="1">(MAX(MAX(sa-CF269*Flag_UL_Type,105%*SUM($I$7:I270))-(AD269+L270-N270)*Flag_UL_Type,0)*B270)</f>
        <v>0</v>
      </c>
      <c r="Q270" s="213">
        <f t="shared" si="195"/>
        <v>0</v>
      </c>
      <c r="R270" s="14">
        <f t="shared" ca="1" si="196"/>
        <v>0</v>
      </c>
      <c r="S270" s="14">
        <f t="shared" ca="1" si="197"/>
        <v>0</v>
      </c>
      <c r="T270" s="14">
        <f>IFERROR(IF(WoP_Flag="Y",IF(fq=1,VLOOKUP(ppt*fq-H270,Charges!$AN$41:$AO$59,2,FALSE),IF(fq=2,VLOOKUP(ppt*fq-G270,Charges!$AP$41:$AQ$79,2,FALSE),VLOOKUP(ppt*fq-D270,Charges!$AR$41:$AS$279,2,FALSE)))*pr/fq,0),0)</f>
        <v>0</v>
      </c>
      <c r="U270" s="14">
        <f ca="1">IFERROR(((T270*(VLOOKUP(Input!$D$18+H270-1,Tab_Mort_Charge,IF(Gender_2="M",2,3),FALSE)*(1+_emr2)+_rpm2)/IF(Model_Type="LA_PQIS",1000/0.0833,(12*1000))))*Flag_Mort_Rider_Charge*(T270&gt;0),0)</f>
        <v>0</v>
      </c>
      <c r="V270" s="34">
        <f>ROUND(MIN(IF(H270&gt;=7,Charges!$C$12*(1+Charges!$C$14)^((H270-7+1)),VLOOKUP(H270,Charges!$B$7:$C$12,2,0))*pr,Charges!$C$13)*B270,Round)</f>
        <v>0</v>
      </c>
      <c r="W270" s="14">
        <f t="shared" ca="1" si="198"/>
        <v>0</v>
      </c>
      <c r="X270" s="14">
        <f t="shared" ca="1" si="199"/>
        <v>0</v>
      </c>
      <c r="Y270" s="213">
        <f t="shared" ca="1" si="221"/>
        <v>0</v>
      </c>
      <c r="Z270" s="14">
        <f t="shared" ca="1" si="200"/>
        <v>0</v>
      </c>
      <c r="AA270" s="14">
        <f>IF(AND($H270=pt,$F270=11),SUM($K$7:K270)*VLOOKUP(pt,ROC,2,FALSE),0)</f>
        <v>0</v>
      </c>
      <c r="AB270" s="14">
        <f>IF(AND($H270=pt,$F270=11),SUM($V$7:V270)*VLOOKUP(pt,ROC,2,FALSE),0)</f>
        <v>0</v>
      </c>
      <c r="AC270" s="14">
        <f>IF(AND($H270=pt,$F270=11),SUM($Q$7:Q270)*VLOOKUP(pt,ROC,2,FALSE),0)</f>
        <v>0</v>
      </c>
      <c r="AD270" s="14">
        <f t="shared" ca="1" si="222"/>
        <v>0</v>
      </c>
      <c r="AE270" s="14">
        <f ca="1">(MAX(sa-CF269*Flag_UL_Type,105%*SUM($I$7:I270),Z270)+AU270)*B270</f>
        <v>0</v>
      </c>
      <c r="AF270" s="136"/>
      <c r="AG270" s="18">
        <v>264</v>
      </c>
      <c r="AH270" s="30">
        <f t="shared" ca="1" si="201"/>
        <v>0</v>
      </c>
      <c r="AI270" s="58"/>
      <c r="AJ270" s="50">
        <f>IF(AND(Option_Sys_TopUp&gt;="Y",H270&gt;=sytp,H270&lt;=(dtp+sytp-1),F270=0,H270&lt;=ppt+1),atp,0)+IFERROR(VLOOKUP(H270,Input!$B$55:$C$61,2,0),0)*(F270=0)*(Option_TopUP="Y")*(Option_Sys_TopUp="N")*B270*(pt&gt;=H270+5)</f>
        <v>0</v>
      </c>
      <c r="AK270" s="50">
        <f t="shared" si="202"/>
        <v>0</v>
      </c>
      <c r="AL270" s="50">
        <f t="shared" si="223"/>
        <v>0</v>
      </c>
      <c r="AM270" s="50">
        <f t="shared" ca="1" si="203"/>
        <v>0</v>
      </c>
      <c r="AN270" s="50">
        <f>IF(B270=0,0,AT270*(_rpm1+(1+_emr1)*VLOOKUP(E270,Tab_Mort_Charge,IF(Input!$C$12="M",2,3),0))*(0.001*0.0833)*Flag_Mort_Rider_Charge*(AT270&gt;0))</f>
        <v>0</v>
      </c>
      <c r="AO270" s="50">
        <f t="shared" ca="1" si="224"/>
        <v>0</v>
      </c>
      <c r="AP270" s="50">
        <f t="shared" ca="1" si="187"/>
        <v>0</v>
      </c>
      <c r="AQ270" s="50">
        <f t="shared" ca="1" si="204"/>
        <v>0</v>
      </c>
      <c r="AR270" s="50">
        <f t="shared" ca="1" si="205"/>
        <v>0</v>
      </c>
      <c r="AS270" s="50">
        <f t="shared" si="206"/>
        <v>0</v>
      </c>
      <c r="AT270" s="50">
        <f ca="1">(MAX((MAX(AS270,105%*SUM($AJ$7:AJ270))-AM270*Flag_UL_Type),0)*B270)</f>
        <v>0</v>
      </c>
      <c r="AU270" s="50">
        <f ca="1">(MAX(AS270,AR270,105%*SUM($AJ$7:AJ270))*B270)</f>
        <v>0</v>
      </c>
      <c r="AV270" s="125"/>
      <c r="AW270" s="13"/>
      <c r="AX270" s="13"/>
      <c r="AY270" s="13"/>
      <c r="AZ270" s="13"/>
      <c r="BA270" s="13"/>
      <c r="BG270" s="51">
        <f t="shared" si="207"/>
        <v>0</v>
      </c>
      <c r="BH270" s="51">
        <f t="shared" si="208"/>
        <v>0</v>
      </c>
      <c r="BI270" s="51">
        <f t="shared" ca="1" si="209"/>
        <v>0</v>
      </c>
      <c r="BJ270" s="51">
        <f t="shared" ca="1" si="210"/>
        <v>0</v>
      </c>
      <c r="BK270" s="51">
        <f t="shared" si="211"/>
        <v>0</v>
      </c>
      <c r="BL270" s="51">
        <f t="shared" ca="1" si="212"/>
        <v>0</v>
      </c>
      <c r="BM270" s="51">
        <f t="shared" si="213"/>
        <v>0</v>
      </c>
      <c r="BN270" s="51">
        <f t="shared" si="214"/>
        <v>0</v>
      </c>
      <c r="BO270" s="51">
        <f t="shared" ca="1" si="215"/>
        <v>0</v>
      </c>
      <c r="BP270" s="51">
        <f t="shared" ca="1" si="216"/>
        <v>0</v>
      </c>
      <c r="BQ270" s="120"/>
      <c r="BR270" s="32"/>
      <c r="BS270" s="126"/>
      <c r="BT270" s="16"/>
      <c r="BU270" s="58"/>
      <c r="BW270" s="51">
        <f>VLOOKUP(H270,Charges!$AT$4:$AU$33,2,FALSE)*I270</f>
        <v>0</v>
      </c>
      <c r="BX270" s="51">
        <f t="shared" si="217"/>
        <v>0</v>
      </c>
      <c r="BY270" s="51">
        <f t="shared" si="225"/>
        <v>0</v>
      </c>
      <c r="BZ270" s="151"/>
      <c r="CA270" s="151"/>
      <c r="CB270" s="32"/>
      <c r="CC270" s="16">
        <f ca="1">SUM($N$7:$N270)</f>
        <v>0</v>
      </c>
      <c r="CD270" s="16">
        <f t="shared" ca="1" si="218"/>
        <v>0</v>
      </c>
      <c r="CE270" s="16">
        <f t="shared" ca="1" si="219"/>
        <v>0</v>
      </c>
      <c r="CF270" s="7">
        <f t="shared" ca="1" si="226"/>
        <v>0</v>
      </c>
    </row>
    <row r="271" spans="1:84" s="7" customFormat="1" x14ac:dyDescent="0.2">
      <c r="A271" s="149"/>
      <c r="B271" s="14">
        <f t="shared" si="188"/>
        <v>0</v>
      </c>
      <c r="C271" s="12">
        <f t="shared" si="189"/>
        <v>0</v>
      </c>
      <c r="D271" s="17">
        <f t="shared" si="227"/>
        <v>265</v>
      </c>
      <c r="E271" s="17">
        <f t="shared" ca="1" si="190"/>
        <v>82</v>
      </c>
      <c r="F271" s="12">
        <f t="shared" si="185"/>
        <v>0</v>
      </c>
      <c r="G271" s="12">
        <f t="shared" si="228"/>
        <v>45</v>
      </c>
      <c r="H271" s="17">
        <f t="shared" si="186"/>
        <v>23</v>
      </c>
      <c r="I271" s="29">
        <f t="shared" si="191"/>
        <v>0</v>
      </c>
      <c r="J271" s="211">
        <f>IFERROR(VLOOKUP(H271,Charges!$T$6:$U$35,2,0)*C271,0)</f>
        <v>0</v>
      </c>
      <c r="K271" s="29">
        <f t="shared" si="192"/>
        <v>0</v>
      </c>
      <c r="L271" s="29">
        <f t="shared" si="193"/>
        <v>0</v>
      </c>
      <c r="M271" s="147">
        <f t="shared" ca="1" si="194"/>
        <v>0</v>
      </c>
      <c r="N271" s="148">
        <f ca="1">IF(AND(Option_SPW="Y",Z270&gt;=SPW_Start_Min_FV,H271&gt;=Lock_In_Period,Z270&gt;SPW_Amount_pa+IF(option="Single",1/5*pr,2*pr),H271&gt;=SPW_Start_Year,H271&lt;=SPW_Start_Year+SPW_Duration-1,F271=0,age+H271&gt;=Legal_Age),SPW_Amount_pa,0)+IFERROR(VLOOKUP(H271,Input!$B$68:$C$74,2,0),0)*(F271=0)*(Option_PW="Y")*(Option_SPW="N")*(age+H271&gt;=Legal_Age)</f>
        <v>0</v>
      </c>
      <c r="O271" s="148">
        <f t="shared" ca="1" si="220"/>
        <v>0</v>
      </c>
      <c r="P271" s="14">
        <f ca="1">(MAX(MAX(sa-CF270*Flag_UL_Type,105%*SUM($I$7:I271))-(AD270+L271-N271)*Flag_UL_Type,0)*B271)</f>
        <v>0</v>
      </c>
      <c r="Q271" s="213">
        <f t="shared" si="195"/>
        <v>0</v>
      </c>
      <c r="R271" s="14">
        <f t="shared" ca="1" si="196"/>
        <v>0</v>
      </c>
      <c r="S271" s="14">
        <f t="shared" ca="1" si="197"/>
        <v>0</v>
      </c>
      <c r="T271" s="14">
        <f>IFERROR(IF(WoP_Flag="Y",IF(fq=1,VLOOKUP(ppt*fq-H271,Charges!$AN$41:$AO$59,2,FALSE),IF(fq=2,VLOOKUP(ppt*fq-G271,Charges!$AP$41:$AQ$79,2,FALSE),VLOOKUP(ppt*fq-D271,Charges!$AR$41:$AS$279,2,FALSE)))*pr/fq,0),0)</f>
        <v>0</v>
      </c>
      <c r="U271" s="14">
        <f ca="1">IFERROR(((T271*(VLOOKUP(Input!$D$18+H271-1,Tab_Mort_Charge,IF(Gender_2="M",2,3),FALSE)*(1+_emr2)+_rpm2)/IF(Model_Type="LA_PQIS",1000/0.0833,(12*1000))))*Flag_Mort_Rider_Charge*(T271&gt;0),0)</f>
        <v>0</v>
      </c>
      <c r="V271" s="34">
        <f>ROUND(MIN(IF(H271&gt;=7,Charges!$C$12*(1+Charges!$C$14)^((H271-7+1)),VLOOKUP(H271,Charges!$B$7:$C$12,2,0))*pr,Charges!$C$13)*B271,Round)</f>
        <v>0</v>
      </c>
      <c r="W271" s="14">
        <f t="shared" ca="1" si="198"/>
        <v>0</v>
      </c>
      <c r="X271" s="14">
        <f t="shared" ca="1" si="199"/>
        <v>0</v>
      </c>
      <c r="Y271" s="213">
        <f t="shared" ca="1" si="221"/>
        <v>0</v>
      </c>
      <c r="Z271" s="14">
        <f t="shared" ca="1" si="200"/>
        <v>0</v>
      </c>
      <c r="AA271" s="14">
        <f>IF(AND($H271=pt,$F271=11),SUM($K$7:K271)*VLOOKUP(pt,ROC,2,FALSE),0)</f>
        <v>0</v>
      </c>
      <c r="AB271" s="14">
        <f>IF(AND($H271=pt,$F271=11),SUM($V$7:V271)*VLOOKUP(pt,ROC,2,FALSE),0)</f>
        <v>0</v>
      </c>
      <c r="AC271" s="14">
        <f>IF(AND($H271=pt,$F271=11),SUM($Q$7:Q271)*VLOOKUP(pt,ROC,2,FALSE),0)</f>
        <v>0</v>
      </c>
      <c r="AD271" s="14">
        <f t="shared" ca="1" si="222"/>
        <v>0</v>
      </c>
      <c r="AE271" s="14">
        <f ca="1">(MAX(sa-CF270*Flag_UL_Type,105%*SUM($I$7:I271),Z271)+AU271)*B271</f>
        <v>0</v>
      </c>
      <c r="AF271" s="136"/>
      <c r="AG271" s="18">
        <v>265</v>
      </c>
      <c r="AH271" s="30">
        <f t="shared" ca="1" si="201"/>
        <v>0</v>
      </c>
      <c r="AI271" s="58"/>
      <c r="AJ271" s="50">
        <f>IF(AND(Option_Sys_TopUp&gt;="Y",H271&gt;=sytp,H271&lt;=(dtp+sytp-1),F271=0,H271&lt;=ppt+1),atp,0)+IFERROR(VLOOKUP(H271,Input!$B$55:$C$61,2,0),0)*(F271=0)*(Option_TopUP="Y")*(Option_Sys_TopUp="N")*B271*(pt&gt;=H271+5)</f>
        <v>0</v>
      </c>
      <c r="AK271" s="50">
        <f t="shared" si="202"/>
        <v>0</v>
      </c>
      <c r="AL271" s="50">
        <f t="shared" si="223"/>
        <v>0</v>
      </c>
      <c r="AM271" s="50">
        <f t="shared" ca="1" si="203"/>
        <v>0</v>
      </c>
      <c r="AN271" s="50">
        <f>IF(B271=0,0,AT271*(_rpm1+(1+_emr1)*VLOOKUP(E271,Tab_Mort_Charge,IF(Input!$C$12="M",2,3),0))*(0.001*0.0833)*Flag_Mort_Rider_Charge*(AT271&gt;0))</f>
        <v>0</v>
      </c>
      <c r="AO271" s="50">
        <f t="shared" ca="1" si="224"/>
        <v>0</v>
      </c>
      <c r="AP271" s="50">
        <f t="shared" ca="1" si="187"/>
        <v>0</v>
      </c>
      <c r="AQ271" s="50">
        <f t="shared" ca="1" si="204"/>
        <v>0</v>
      </c>
      <c r="AR271" s="50">
        <f t="shared" ca="1" si="205"/>
        <v>0</v>
      </c>
      <c r="AS271" s="50">
        <f t="shared" si="206"/>
        <v>0</v>
      </c>
      <c r="AT271" s="50">
        <f ca="1">(MAX((MAX(AS271,105%*SUM($AJ$7:AJ271))-AM271*Flag_UL_Type),0)*B271)</f>
        <v>0</v>
      </c>
      <c r="AU271" s="50">
        <f ca="1">(MAX(AS271,AR271,105%*SUM($AJ$7:AJ271))*B271)</f>
        <v>0</v>
      </c>
      <c r="AV271" s="125"/>
      <c r="AW271" s="13"/>
      <c r="AX271" s="13"/>
      <c r="AY271" s="13"/>
      <c r="AZ271" s="13"/>
      <c r="BA271" s="13"/>
      <c r="BG271" s="51">
        <f t="shared" si="207"/>
        <v>0</v>
      </c>
      <c r="BH271" s="51">
        <f t="shared" si="208"/>
        <v>0</v>
      </c>
      <c r="BI271" s="51">
        <f t="shared" ca="1" si="209"/>
        <v>0</v>
      </c>
      <c r="BJ271" s="51">
        <f t="shared" ca="1" si="210"/>
        <v>0</v>
      </c>
      <c r="BK271" s="51">
        <f t="shared" si="211"/>
        <v>0</v>
      </c>
      <c r="BL271" s="51">
        <f t="shared" ca="1" si="212"/>
        <v>0</v>
      </c>
      <c r="BM271" s="51">
        <f t="shared" si="213"/>
        <v>0</v>
      </c>
      <c r="BN271" s="51">
        <f t="shared" si="214"/>
        <v>0</v>
      </c>
      <c r="BO271" s="51">
        <f t="shared" ca="1" si="215"/>
        <v>0</v>
      </c>
      <c r="BP271" s="51">
        <f t="shared" ca="1" si="216"/>
        <v>0</v>
      </c>
      <c r="BQ271" s="120"/>
      <c r="BR271" s="32"/>
      <c r="BS271" s="126"/>
      <c r="BT271" s="16"/>
      <c r="BU271" s="58"/>
      <c r="BW271" s="51">
        <f>VLOOKUP(H271,Charges!$AT$4:$AU$33,2,FALSE)*I271</f>
        <v>0</v>
      </c>
      <c r="BX271" s="51">
        <f t="shared" si="217"/>
        <v>0</v>
      </c>
      <c r="BY271" s="51">
        <f t="shared" si="225"/>
        <v>0</v>
      </c>
      <c r="BZ271" s="151"/>
      <c r="CA271" s="151"/>
      <c r="CB271" s="32"/>
      <c r="CC271" s="16">
        <f ca="1">SUM($N$7:$N271)</f>
        <v>0</v>
      </c>
      <c r="CD271" s="16">
        <f t="shared" ca="1" si="218"/>
        <v>0</v>
      </c>
      <c r="CE271" s="16">
        <f t="shared" ca="1" si="219"/>
        <v>0</v>
      </c>
      <c r="CF271" s="7">
        <f t="shared" ca="1" si="226"/>
        <v>0</v>
      </c>
    </row>
    <row r="272" spans="1:84" s="7" customFormat="1" x14ac:dyDescent="0.2">
      <c r="A272" s="149"/>
      <c r="B272" s="14">
        <f t="shared" si="188"/>
        <v>0</v>
      </c>
      <c r="C272" s="12">
        <f t="shared" si="189"/>
        <v>0</v>
      </c>
      <c r="D272" s="17">
        <f t="shared" si="227"/>
        <v>266</v>
      </c>
      <c r="E272" s="17">
        <f t="shared" ca="1" si="190"/>
        <v>82</v>
      </c>
      <c r="F272" s="12">
        <f t="shared" si="185"/>
        <v>1</v>
      </c>
      <c r="G272" s="12">
        <f t="shared" si="228"/>
        <v>45</v>
      </c>
      <c r="H272" s="17">
        <f t="shared" si="186"/>
        <v>23</v>
      </c>
      <c r="I272" s="29">
        <f t="shared" si="191"/>
        <v>0</v>
      </c>
      <c r="J272" s="211">
        <f>IFERROR(VLOOKUP(H272,Charges!$T$6:$U$35,2,0)*C272,0)</f>
        <v>0</v>
      </c>
      <c r="K272" s="29">
        <f t="shared" si="192"/>
        <v>0</v>
      </c>
      <c r="L272" s="29">
        <f t="shared" si="193"/>
        <v>0</v>
      </c>
      <c r="M272" s="147">
        <f t="shared" ca="1" si="194"/>
        <v>0</v>
      </c>
      <c r="N272" s="148">
        <f ca="1">IF(AND(Option_SPW="Y",Z271&gt;=SPW_Start_Min_FV,H272&gt;=Lock_In_Period,Z271&gt;SPW_Amount_pa+IF(option="Single",1/5*pr,2*pr),H272&gt;=SPW_Start_Year,H272&lt;=SPW_Start_Year+SPW_Duration-1,F272=0,age+H272&gt;=Legal_Age),SPW_Amount_pa,0)+IFERROR(VLOOKUP(H272,Input!$B$68:$C$74,2,0),0)*(F272=0)*(Option_PW="Y")*(Option_SPW="N")*(age+H272&gt;=Legal_Age)</f>
        <v>0</v>
      </c>
      <c r="O272" s="148">
        <f t="shared" ca="1" si="220"/>
        <v>0</v>
      </c>
      <c r="P272" s="14">
        <f ca="1">(MAX(MAX(sa-CF271*Flag_UL_Type,105%*SUM($I$7:I272))-(AD271+L272-N272)*Flag_UL_Type,0)*B272)</f>
        <v>0</v>
      </c>
      <c r="Q272" s="213">
        <f t="shared" si="195"/>
        <v>0</v>
      </c>
      <c r="R272" s="14">
        <f t="shared" ca="1" si="196"/>
        <v>0</v>
      </c>
      <c r="S272" s="14">
        <f t="shared" ca="1" si="197"/>
        <v>0</v>
      </c>
      <c r="T272" s="14">
        <f>IFERROR(IF(WoP_Flag="Y",IF(fq=1,VLOOKUP(ppt*fq-H272,Charges!$AN$41:$AO$59,2,FALSE),IF(fq=2,VLOOKUP(ppt*fq-G272,Charges!$AP$41:$AQ$79,2,FALSE),VLOOKUP(ppt*fq-D272,Charges!$AR$41:$AS$279,2,FALSE)))*pr/fq,0),0)</f>
        <v>0</v>
      </c>
      <c r="U272" s="14">
        <f ca="1">IFERROR(((T272*(VLOOKUP(Input!$D$18+H272-1,Tab_Mort_Charge,IF(Gender_2="M",2,3),FALSE)*(1+_emr2)+_rpm2)/IF(Model_Type="LA_PQIS",1000/0.0833,(12*1000))))*Flag_Mort_Rider_Charge*(T272&gt;0),0)</f>
        <v>0</v>
      </c>
      <c r="V272" s="34">
        <f>ROUND(MIN(IF(H272&gt;=7,Charges!$C$12*(1+Charges!$C$14)^((H272-7+1)),VLOOKUP(H272,Charges!$B$7:$C$12,2,0))*pr,Charges!$C$13)*B272,Round)</f>
        <v>0</v>
      </c>
      <c r="W272" s="14">
        <f t="shared" ca="1" si="198"/>
        <v>0</v>
      </c>
      <c r="X272" s="14">
        <f t="shared" ca="1" si="199"/>
        <v>0</v>
      </c>
      <c r="Y272" s="213">
        <f t="shared" ca="1" si="221"/>
        <v>0</v>
      </c>
      <c r="Z272" s="14">
        <f t="shared" ca="1" si="200"/>
        <v>0</v>
      </c>
      <c r="AA272" s="14">
        <f>IF(AND($H272=pt,$F272=11),SUM($K$7:K272)*VLOOKUP(pt,ROC,2,FALSE),0)</f>
        <v>0</v>
      </c>
      <c r="AB272" s="14">
        <f>IF(AND($H272=pt,$F272=11),SUM($V$7:V272)*VLOOKUP(pt,ROC,2,FALSE),0)</f>
        <v>0</v>
      </c>
      <c r="AC272" s="14">
        <f>IF(AND($H272=pt,$F272=11),SUM($Q$7:Q272)*VLOOKUP(pt,ROC,2,FALSE),0)</f>
        <v>0</v>
      </c>
      <c r="AD272" s="14">
        <f t="shared" ca="1" si="222"/>
        <v>0</v>
      </c>
      <c r="AE272" s="14">
        <f ca="1">(MAX(sa-CF271*Flag_UL_Type,105%*SUM($I$7:I272),Z272)+AU272)*B272</f>
        <v>0</v>
      </c>
      <c r="AF272" s="136"/>
      <c r="AG272" s="18">
        <v>266</v>
      </c>
      <c r="AH272" s="30">
        <f t="shared" ca="1" si="201"/>
        <v>0</v>
      </c>
      <c r="AI272" s="58"/>
      <c r="AJ272" s="50">
        <f>IF(AND(Option_Sys_TopUp&gt;="Y",H272&gt;=sytp,H272&lt;=(dtp+sytp-1),F272=0,H272&lt;=ppt+1),atp,0)+IFERROR(VLOOKUP(H272,Input!$B$55:$C$61,2,0),0)*(F272=0)*(Option_TopUP="Y")*(Option_Sys_TopUp="N")*B272*(pt&gt;=H272+5)</f>
        <v>0</v>
      </c>
      <c r="AK272" s="50">
        <f t="shared" si="202"/>
        <v>0</v>
      </c>
      <c r="AL272" s="50">
        <f t="shared" si="223"/>
        <v>0</v>
      </c>
      <c r="AM272" s="50">
        <f t="shared" ca="1" si="203"/>
        <v>0</v>
      </c>
      <c r="AN272" s="50">
        <f>IF(B272=0,0,AT272*(_rpm1+(1+_emr1)*VLOOKUP(E272,Tab_Mort_Charge,IF(Input!$C$12="M",2,3),0))*(0.001*0.0833)*Flag_Mort_Rider_Charge*(AT272&gt;0))</f>
        <v>0</v>
      </c>
      <c r="AO272" s="50">
        <f t="shared" ca="1" si="224"/>
        <v>0</v>
      </c>
      <c r="AP272" s="50">
        <f t="shared" ca="1" si="187"/>
        <v>0</v>
      </c>
      <c r="AQ272" s="50">
        <f t="shared" ca="1" si="204"/>
        <v>0</v>
      </c>
      <c r="AR272" s="50">
        <f t="shared" ca="1" si="205"/>
        <v>0</v>
      </c>
      <c r="AS272" s="50">
        <f t="shared" si="206"/>
        <v>0</v>
      </c>
      <c r="AT272" s="50">
        <f ca="1">(MAX((MAX(AS272,105%*SUM($AJ$7:AJ272))-AM272*Flag_UL_Type),0)*B272)</f>
        <v>0</v>
      </c>
      <c r="AU272" s="50">
        <f ca="1">(MAX(AS272,AR272,105%*SUM($AJ$7:AJ272))*B272)</f>
        <v>0</v>
      </c>
      <c r="AV272" s="125"/>
      <c r="AW272" s="13"/>
      <c r="AX272" s="13"/>
      <c r="AY272" s="13"/>
      <c r="AZ272" s="13"/>
      <c r="BA272" s="13"/>
      <c r="BG272" s="51">
        <f t="shared" si="207"/>
        <v>0</v>
      </c>
      <c r="BH272" s="51">
        <f t="shared" si="208"/>
        <v>0</v>
      </c>
      <c r="BI272" s="51">
        <f t="shared" ca="1" si="209"/>
        <v>0</v>
      </c>
      <c r="BJ272" s="51">
        <f t="shared" ca="1" si="210"/>
        <v>0</v>
      </c>
      <c r="BK272" s="51">
        <f t="shared" si="211"/>
        <v>0</v>
      </c>
      <c r="BL272" s="51">
        <f t="shared" ca="1" si="212"/>
        <v>0</v>
      </c>
      <c r="BM272" s="51">
        <f t="shared" si="213"/>
        <v>0</v>
      </c>
      <c r="BN272" s="51">
        <f t="shared" si="214"/>
        <v>0</v>
      </c>
      <c r="BO272" s="51">
        <f t="shared" ca="1" si="215"/>
        <v>0</v>
      </c>
      <c r="BP272" s="51">
        <f t="shared" ca="1" si="216"/>
        <v>0</v>
      </c>
      <c r="BQ272" s="120"/>
      <c r="BR272" s="32"/>
      <c r="BS272" s="126"/>
      <c r="BT272" s="16"/>
      <c r="BU272" s="58"/>
      <c r="BW272" s="51">
        <f>VLOOKUP(H272,Charges!$AT$4:$AU$33,2,FALSE)*I272</f>
        <v>0</v>
      </c>
      <c r="BX272" s="51">
        <f t="shared" si="217"/>
        <v>0</v>
      </c>
      <c r="BY272" s="51">
        <f t="shared" si="225"/>
        <v>0</v>
      </c>
      <c r="BZ272" s="151"/>
      <c r="CA272" s="151"/>
      <c r="CB272" s="32"/>
      <c r="CC272" s="16">
        <f ca="1">SUM($N$7:$N272)</f>
        <v>0</v>
      </c>
      <c r="CD272" s="16">
        <f t="shared" ca="1" si="218"/>
        <v>0</v>
      </c>
      <c r="CE272" s="16">
        <f t="shared" ca="1" si="219"/>
        <v>0</v>
      </c>
      <c r="CF272" s="7">
        <f t="shared" ca="1" si="226"/>
        <v>0</v>
      </c>
    </row>
    <row r="273" spans="1:84" s="7" customFormat="1" x14ac:dyDescent="0.2">
      <c r="A273" s="149"/>
      <c r="B273" s="14">
        <f t="shared" si="188"/>
        <v>0</v>
      </c>
      <c r="C273" s="12">
        <f t="shared" si="189"/>
        <v>0</v>
      </c>
      <c r="D273" s="17">
        <f t="shared" si="227"/>
        <v>267</v>
      </c>
      <c r="E273" s="17">
        <f t="shared" ca="1" si="190"/>
        <v>82</v>
      </c>
      <c r="F273" s="12">
        <f t="shared" si="185"/>
        <v>2</v>
      </c>
      <c r="G273" s="12">
        <f t="shared" si="228"/>
        <v>45</v>
      </c>
      <c r="H273" s="17">
        <f t="shared" si="186"/>
        <v>23</v>
      </c>
      <c r="I273" s="29">
        <f t="shared" si="191"/>
        <v>0</v>
      </c>
      <c r="J273" s="211">
        <f>IFERROR(VLOOKUP(H273,Charges!$T$6:$U$35,2,0)*C273,0)</f>
        <v>0</v>
      </c>
      <c r="K273" s="29">
        <f t="shared" si="192"/>
        <v>0</v>
      </c>
      <c r="L273" s="29">
        <f t="shared" si="193"/>
        <v>0</v>
      </c>
      <c r="M273" s="147">
        <f t="shared" ca="1" si="194"/>
        <v>0</v>
      </c>
      <c r="N273" s="148">
        <f ca="1">IF(AND(Option_SPW="Y",Z272&gt;=SPW_Start_Min_FV,H273&gt;=Lock_In_Period,Z272&gt;SPW_Amount_pa+IF(option="Single",1/5*pr,2*pr),H273&gt;=SPW_Start_Year,H273&lt;=SPW_Start_Year+SPW_Duration-1,F273=0,age+H273&gt;=Legal_Age),SPW_Amount_pa,0)+IFERROR(VLOOKUP(H273,Input!$B$68:$C$74,2,0),0)*(F273=0)*(Option_PW="Y")*(Option_SPW="N")*(age+H273&gt;=Legal_Age)</f>
        <v>0</v>
      </c>
      <c r="O273" s="148">
        <f t="shared" ca="1" si="220"/>
        <v>0</v>
      </c>
      <c r="P273" s="14">
        <f ca="1">(MAX(MAX(sa-CF272*Flag_UL_Type,105%*SUM($I$7:I273))-(AD272+L273-N273)*Flag_UL_Type,0)*B273)</f>
        <v>0</v>
      </c>
      <c r="Q273" s="213">
        <f t="shared" si="195"/>
        <v>0</v>
      </c>
      <c r="R273" s="14">
        <f t="shared" ca="1" si="196"/>
        <v>0</v>
      </c>
      <c r="S273" s="14">
        <f t="shared" ca="1" si="197"/>
        <v>0</v>
      </c>
      <c r="T273" s="14">
        <f>IFERROR(IF(WoP_Flag="Y",IF(fq=1,VLOOKUP(ppt*fq-H273,Charges!$AN$41:$AO$59,2,FALSE),IF(fq=2,VLOOKUP(ppt*fq-G273,Charges!$AP$41:$AQ$79,2,FALSE),VLOOKUP(ppt*fq-D273,Charges!$AR$41:$AS$279,2,FALSE)))*pr/fq,0),0)</f>
        <v>0</v>
      </c>
      <c r="U273" s="14">
        <f ca="1">IFERROR(((T273*(VLOOKUP(Input!$D$18+H273-1,Tab_Mort_Charge,IF(Gender_2="M",2,3),FALSE)*(1+_emr2)+_rpm2)/IF(Model_Type="LA_PQIS",1000/0.0833,(12*1000))))*Flag_Mort_Rider_Charge*(T273&gt;0),0)</f>
        <v>0</v>
      </c>
      <c r="V273" s="34">
        <f>ROUND(MIN(IF(H273&gt;=7,Charges!$C$12*(1+Charges!$C$14)^((H273-7+1)),VLOOKUP(H273,Charges!$B$7:$C$12,2,0))*pr,Charges!$C$13)*B273,Round)</f>
        <v>0</v>
      </c>
      <c r="W273" s="14">
        <f t="shared" ca="1" si="198"/>
        <v>0</v>
      </c>
      <c r="X273" s="14">
        <f t="shared" ca="1" si="199"/>
        <v>0</v>
      </c>
      <c r="Y273" s="213">
        <f t="shared" ca="1" si="221"/>
        <v>0</v>
      </c>
      <c r="Z273" s="14">
        <f t="shared" ca="1" si="200"/>
        <v>0</v>
      </c>
      <c r="AA273" s="14">
        <f>IF(AND($H273=pt,$F273=11),SUM($K$7:K273)*VLOOKUP(pt,ROC,2,FALSE),0)</f>
        <v>0</v>
      </c>
      <c r="AB273" s="14">
        <f>IF(AND($H273=pt,$F273=11),SUM($V$7:V273)*VLOOKUP(pt,ROC,2,FALSE),0)</f>
        <v>0</v>
      </c>
      <c r="AC273" s="14">
        <f>IF(AND($H273=pt,$F273=11),SUM($Q$7:Q273)*VLOOKUP(pt,ROC,2,FALSE),0)</f>
        <v>0</v>
      </c>
      <c r="AD273" s="14">
        <f t="shared" ca="1" si="222"/>
        <v>0</v>
      </c>
      <c r="AE273" s="14">
        <f ca="1">(MAX(sa-CF272*Flag_UL_Type,105%*SUM($I$7:I273),Z273)+AU273)*B273</f>
        <v>0</v>
      </c>
      <c r="AF273" s="136"/>
      <c r="AG273" s="18">
        <v>267</v>
      </c>
      <c r="AH273" s="30">
        <f t="shared" ca="1" si="201"/>
        <v>0</v>
      </c>
      <c r="AI273" s="58"/>
      <c r="AJ273" s="50">
        <f>IF(AND(Option_Sys_TopUp&gt;="Y",H273&gt;=sytp,H273&lt;=(dtp+sytp-1),F273=0,H273&lt;=ppt+1),atp,0)+IFERROR(VLOOKUP(H273,Input!$B$55:$C$61,2,0),0)*(F273=0)*(Option_TopUP="Y")*(Option_Sys_TopUp="N")*B273*(pt&gt;=H273+5)</f>
        <v>0</v>
      </c>
      <c r="AK273" s="50">
        <f t="shared" si="202"/>
        <v>0</v>
      </c>
      <c r="AL273" s="50">
        <f t="shared" si="223"/>
        <v>0</v>
      </c>
      <c r="AM273" s="50">
        <f t="shared" ca="1" si="203"/>
        <v>0</v>
      </c>
      <c r="AN273" s="50">
        <f>IF(B273=0,0,AT273*(_rpm1+(1+_emr1)*VLOOKUP(E273,Tab_Mort_Charge,IF(Input!$C$12="M",2,3),0))*(0.001*0.0833)*Flag_Mort_Rider_Charge*(AT273&gt;0))</f>
        <v>0</v>
      </c>
      <c r="AO273" s="50">
        <f t="shared" ca="1" si="224"/>
        <v>0</v>
      </c>
      <c r="AP273" s="50">
        <f t="shared" ca="1" si="187"/>
        <v>0</v>
      </c>
      <c r="AQ273" s="50">
        <f t="shared" ca="1" si="204"/>
        <v>0</v>
      </c>
      <c r="AR273" s="50">
        <f t="shared" ca="1" si="205"/>
        <v>0</v>
      </c>
      <c r="AS273" s="50">
        <f t="shared" si="206"/>
        <v>0</v>
      </c>
      <c r="AT273" s="50">
        <f ca="1">(MAX((MAX(AS273,105%*SUM($AJ$7:AJ273))-AM273*Flag_UL_Type),0)*B273)</f>
        <v>0</v>
      </c>
      <c r="AU273" s="50">
        <f ca="1">(MAX(AS273,AR273,105%*SUM($AJ$7:AJ273))*B273)</f>
        <v>0</v>
      </c>
      <c r="AV273" s="125"/>
      <c r="AW273" s="13"/>
      <c r="AX273" s="13"/>
      <c r="AY273" s="13"/>
      <c r="AZ273" s="13"/>
      <c r="BA273" s="13"/>
      <c r="BG273" s="51">
        <f t="shared" si="207"/>
        <v>0</v>
      </c>
      <c r="BH273" s="51">
        <f t="shared" si="208"/>
        <v>0</v>
      </c>
      <c r="BI273" s="51">
        <f t="shared" ca="1" si="209"/>
        <v>0</v>
      </c>
      <c r="BJ273" s="51">
        <f t="shared" ca="1" si="210"/>
        <v>0</v>
      </c>
      <c r="BK273" s="51">
        <f t="shared" si="211"/>
        <v>0</v>
      </c>
      <c r="BL273" s="51">
        <f t="shared" ca="1" si="212"/>
        <v>0</v>
      </c>
      <c r="BM273" s="51">
        <f t="shared" si="213"/>
        <v>0</v>
      </c>
      <c r="BN273" s="51">
        <f t="shared" si="214"/>
        <v>0</v>
      </c>
      <c r="BO273" s="51">
        <f t="shared" ca="1" si="215"/>
        <v>0</v>
      </c>
      <c r="BP273" s="51">
        <f t="shared" ca="1" si="216"/>
        <v>0</v>
      </c>
      <c r="BQ273" s="120"/>
      <c r="BR273" s="32"/>
      <c r="BS273" s="126"/>
      <c r="BT273" s="16"/>
      <c r="BU273" s="58"/>
      <c r="BW273" s="51">
        <f>VLOOKUP(H273,Charges!$AT$4:$AU$33,2,FALSE)*I273</f>
        <v>0</v>
      </c>
      <c r="BX273" s="51">
        <f t="shared" si="217"/>
        <v>0</v>
      </c>
      <c r="BY273" s="51">
        <f t="shared" si="225"/>
        <v>0</v>
      </c>
      <c r="BZ273" s="151"/>
      <c r="CA273" s="151"/>
      <c r="CB273" s="32"/>
      <c r="CC273" s="16">
        <f ca="1">SUM($N$7:$N273)</f>
        <v>0</v>
      </c>
      <c r="CD273" s="16">
        <f t="shared" ca="1" si="218"/>
        <v>0</v>
      </c>
      <c r="CE273" s="16">
        <f t="shared" ca="1" si="219"/>
        <v>0</v>
      </c>
      <c r="CF273" s="7">
        <f t="shared" ca="1" si="226"/>
        <v>0</v>
      </c>
    </row>
    <row r="274" spans="1:84" s="7" customFormat="1" x14ac:dyDescent="0.2">
      <c r="A274" s="149"/>
      <c r="B274" s="14">
        <f t="shared" si="188"/>
        <v>0</v>
      </c>
      <c r="C274" s="12">
        <f t="shared" si="189"/>
        <v>0</v>
      </c>
      <c r="D274" s="17">
        <f t="shared" si="227"/>
        <v>268</v>
      </c>
      <c r="E274" s="17">
        <f t="shared" ca="1" si="190"/>
        <v>82</v>
      </c>
      <c r="F274" s="12">
        <f t="shared" si="185"/>
        <v>3</v>
      </c>
      <c r="G274" s="12">
        <f t="shared" si="228"/>
        <v>45</v>
      </c>
      <c r="H274" s="17">
        <f t="shared" si="186"/>
        <v>23</v>
      </c>
      <c r="I274" s="29">
        <f t="shared" si="191"/>
        <v>0</v>
      </c>
      <c r="J274" s="211">
        <f>IFERROR(VLOOKUP(H274,Charges!$T$6:$U$35,2,0)*C274,0)</f>
        <v>0</v>
      </c>
      <c r="K274" s="29">
        <f t="shared" si="192"/>
        <v>0</v>
      </c>
      <c r="L274" s="29">
        <f t="shared" si="193"/>
        <v>0</v>
      </c>
      <c r="M274" s="147">
        <f t="shared" ca="1" si="194"/>
        <v>0</v>
      </c>
      <c r="N274" s="148">
        <f ca="1">IF(AND(Option_SPW="Y",Z273&gt;=SPW_Start_Min_FV,H274&gt;=Lock_In_Period,Z273&gt;SPW_Amount_pa+IF(option="Single",1/5*pr,2*pr),H274&gt;=SPW_Start_Year,H274&lt;=SPW_Start_Year+SPW_Duration-1,F274=0,age+H274&gt;=Legal_Age),SPW_Amount_pa,0)+IFERROR(VLOOKUP(H274,Input!$B$68:$C$74,2,0),0)*(F274=0)*(Option_PW="Y")*(Option_SPW="N")*(age+H274&gt;=Legal_Age)</f>
        <v>0</v>
      </c>
      <c r="O274" s="148">
        <f t="shared" ca="1" si="220"/>
        <v>0</v>
      </c>
      <c r="P274" s="14">
        <f ca="1">(MAX(MAX(sa-CF273*Flag_UL_Type,105%*SUM($I$7:I274))-(AD273+L274-N274)*Flag_UL_Type,0)*B274)</f>
        <v>0</v>
      </c>
      <c r="Q274" s="213">
        <f t="shared" si="195"/>
        <v>0</v>
      </c>
      <c r="R274" s="14">
        <f t="shared" ca="1" si="196"/>
        <v>0</v>
      </c>
      <c r="S274" s="14">
        <f t="shared" ca="1" si="197"/>
        <v>0</v>
      </c>
      <c r="T274" s="14">
        <f>IFERROR(IF(WoP_Flag="Y",IF(fq=1,VLOOKUP(ppt*fq-H274,Charges!$AN$41:$AO$59,2,FALSE),IF(fq=2,VLOOKUP(ppt*fq-G274,Charges!$AP$41:$AQ$79,2,FALSE),VLOOKUP(ppt*fq-D274,Charges!$AR$41:$AS$279,2,FALSE)))*pr/fq,0),0)</f>
        <v>0</v>
      </c>
      <c r="U274" s="14">
        <f ca="1">IFERROR(((T274*(VLOOKUP(Input!$D$18+H274-1,Tab_Mort_Charge,IF(Gender_2="M",2,3),FALSE)*(1+_emr2)+_rpm2)/IF(Model_Type="LA_PQIS",1000/0.0833,(12*1000))))*Flag_Mort_Rider_Charge*(T274&gt;0),0)</f>
        <v>0</v>
      </c>
      <c r="V274" s="34">
        <f>ROUND(MIN(IF(H274&gt;=7,Charges!$C$12*(1+Charges!$C$14)^((H274-7+1)),VLOOKUP(H274,Charges!$B$7:$C$12,2,0))*pr,Charges!$C$13)*B274,Round)</f>
        <v>0</v>
      </c>
      <c r="W274" s="14">
        <f t="shared" ca="1" si="198"/>
        <v>0</v>
      </c>
      <c r="X274" s="14">
        <f t="shared" ca="1" si="199"/>
        <v>0</v>
      </c>
      <c r="Y274" s="213">
        <f t="shared" ca="1" si="221"/>
        <v>0</v>
      </c>
      <c r="Z274" s="14">
        <f t="shared" ca="1" si="200"/>
        <v>0</v>
      </c>
      <c r="AA274" s="14">
        <f>IF(AND($H274=pt,$F274=11),SUM($K$7:K274)*VLOOKUP(pt,ROC,2,FALSE),0)</f>
        <v>0</v>
      </c>
      <c r="AB274" s="14">
        <f>IF(AND($H274=pt,$F274=11),SUM($V$7:V274)*VLOOKUP(pt,ROC,2,FALSE),0)</f>
        <v>0</v>
      </c>
      <c r="AC274" s="14">
        <f>IF(AND($H274=pt,$F274=11),SUM($Q$7:Q274)*VLOOKUP(pt,ROC,2,FALSE),0)</f>
        <v>0</v>
      </c>
      <c r="AD274" s="14">
        <f t="shared" ca="1" si="222"/>
        <v>0</v>
      </c>
      <c r="AE274" s="14">
        <f ca="1">(MAX(sa-CF273*Flag_UL_Type,105%*SUM($I$7:I274),Z274)+AU274)*B274</f>
        <v>0</v>
      </c>
      <c r="AF274" s="136"/>
      <c r="AG274" s="18">
        <v>268</v>
      </c>
      <c r="AH274" s="30">
        <f t="shared" ca="1" si="201"/>
        <v>0</v>
      </c>
      <c r="AI274" s="58"/>
      <c r="AJ274" s="50">
        <f>IF(AND(Option_Sys_TopUp&gt;="Y",H274&gt;=sytp,H274&lt;=(dtp+sytp-1),F274=0,H274&lt;=ppt+1),atp,0)+IFERROR(VLOOKUP(H274,Input!$B$55:$C$61,2,0),0)*(F274=0)*(Option_TopUP="Y")*(Option_Sys_TopUp="N")*B274*(pt&gt;=H274+5)</f>
        <v>0</v>
      </c>
      <c r="AK274" s="50">
        <f t="shared" si="202"/>
        <v>0</v>
      </c>
      <c r="AL274" s="50">
        <f t="shared" si="223"/>
        <v>0</v>
      </c>
      <c r="AM274" s="50">
        <f t="shared" ca="1" si="203"/>
        <v>0</v>
      </c>
      <c r="AN274" s="50">
        <f>IF(B274=0,0,AT274*(_rpm1+(1+_emr1)*VLOOKUP(E274,Tab_Mort_Charge,IF(Input!$C$12="M",2,3),0))*(0.001*0.0833)*Flag_Mort_Rider_Charge*(AT274&gt;0))</f>
        <v>0</v>
      </c>
      <c r="AO274" s="50">
        <f t="shared" ca="1" si="224"/>
        <v>0</v>
      </c>
      <c r="AP274" s="50">
        <f t="shared" ca="1" si="187"/>
        <v>0</v>
      </c>
      <c r="AQ274" s="50">
        <f t="shared" ca="1" si="204"/>
        <v>0</v>
      </c>
      <c r="AR274" s="50">
        <f t="shared" ca="1" si="205"/>
        <v>0</v>
      </c>
      <c r="AS274" s="50">
        <f t="shared" si="206"/>
        <v>0</v>
      </c>
      <c r="AT274" s="50">
        <f ca="1">(MAX((MAX(AS274,105%*SUM($AJ$7:AJ274))-AM274*Flag_UL_Type),0)*B274)</f>
        <v>0</v>
      </c>
      <c r="AU274" s="50">
        <f ca="1">(MAX(AS274,AR274,105%*SUM($AJ$7:AJ274))*B274)</f>
        <v>0</v>
      </c>
      <c r="AV274" s="125"/>
      <c r="AW274" s="13"/>
      <c r="AX274" s="13"/>
      <c r="AY274" s="13"/>
      <c r="AZ274" s="13"/>
      <c r="BA274" s="13"/>
      <c r="BG274" s="51">
        <f t="shared" si="207"/>
        <v>0</v>
      </c>
      <c r="BH274" s="51">
        <f t="shared" si="208"/>
        <v>0</v>
      </c>
      <c r="BI274" s="51">
        <f t="shared" ca="1" si="209"/>
        <v>0</v>
      </c>
      <c r="BJ274" s="51">
        <f t="shared" ca="1" si="210"/>
        <v>0</v>
      </c>
      <c r="BK274" s="51">
        <f t="shared" si="211"/>
        <v>0</v>
      </c>
      <c r="BL274" s="51">
        <f t="shared" ca="1" si="212"/>
        <v>0</v>
      </c>
      <c r="BM274" s="51">
        <f t="shared" si="213"/>
        <v>0</v>
      </c>
      <c r="BN274" s="51">
        <f t="shared" si="214"/>
        <v>0</v>
      </c>
      <c r="BO274" s="51">
        <f t="shared" ca="1" si="215"/>
        <v>0</v>
      </c>
      <c r="BP274" s="51">
        <f t="shared" ca="1" si="216"/>
        <v>0</v>
      </c>
      <c r="BQ274" s="120"/>
      <c r="BR274" s="32"/>
      <c r="BS274" s="126"/>
      <c r="BT274" s="16"/>
      <c r="BU274" s="58"/>
      <c r="BW274" s="51">
        <f>VLOOKUP(H274,Charges!$AT$4:$AU$33,2,FALSE)*I274</f>
        <v>0</v>
      </c>
      <c r="BX274" s="51">
        <f t="shared" si="217"/>
        <v>0</v>
      </c>
      <c r="BY274" s="51">
        <f t="shared" si="225"/>
        <v>0</v>
      </c>
      <c r="BZ274" s="151"/>
      <c r="CA274" s="151"/>
      <c r="CB274" s="32"/>
      <c r="CC274" s="16">
        <f ca="1">SUM($N$7:$N274)</f>
        <v>0</v>
      </c>
      <c r="CD274" s="16">
        <f t="shared" ca="1" si="218"/>
        <v>0</v>
      </c>
      <c r="CE274" s="16">
        <f t="shared" ca="1" si="219"/>
        <v>0</v>
      </c>
      <c r="CF274" s="7">
        <f t="shared" ca="1" si="226"/>
        <v>0</v>
      </c>
    </row>
    <row r="275" spans="1:84" s="7" customFormat="1" x14ac:dyDescent="0.2">
      <c r="A275" s="149"/>
      <c r="B275" s="14">
        <f t="shared" si="188"/>
        <v>0</v>
      </c>
      <c r="C275" s="12">
        <f t="shared" si="189"/>
        <v>0</v>
      </c>
      <c r="D275" s="17">
        <f t="shared" si="227"/>
        <v>269</v>
      </c>
      <c r="E275" s="17">
        <f t="shared" ca="1" si="190"/>
        <v>82</v>
      </c>
      <c r="F275" s="12">
        <f t="shared" si="185"/>
        <v>4</v>
      </c>
      <c r="G275" s="12">
        <f t="shared" si="228"/>
        <v>45</v>
      </c>
      <c r="H275" s="17">
        <f t="shared" si="186"/>
        <v>23</v>
      </c>
      <c r="I275" s="29">
        <f t="shared" si="191"/>
        <v>0</v>
      </c>
      <c r="J275" s="211">
        <f>IFERROR(VLOOKUP(H275,Charges!$T$6:$U$35,2,0)*C275,0)</f>
        <v>0</v>
      </c>
      <c r="K275" s="29">
        <f t="shared" si="192"/>
        <v>0</v>
      </c>
      <c r="L275" s="29">
        <f t="shared" si="193"/>
        <v>0</v>
      </c>
      <c r="M275" s="147">
        <f t="shared" ca="1" si="194"/>
        <v>0</v>
      </c>
      <c r="N275" s="148">
        <f ca="1">IF(AND(Option_SPW="Y",Z274&gt;=SPW_Start_Min_FV,H275&gt;=Lock_In_Period,Z274&gt;SPW_Amount_pa+IF(option="Single",1/5*pr,2*pr),H275&gt;=SPW_Start_Year,H275&lt;=SPW_Start_Year+SPW_Duration-1,F275=0,age+H275&gt;=Legal_Age),SPW_Amount_pa,0)+IFERROR(VLOOKUP(H275,Input!$B$68:$C$74,2,0),0)*(F275=0)*(Option_PW="Y")*(Option_SPW="N")*(age+H275&gt;=Legal_Age)</f>
        <v>0</v>
      </c>
      <c r="O275" s="148">
        <f t="shared" ca="1" si="220"/>
        <v>0</v>
      </c>
      <c r="P275" s="14">
        <f ca="1">(MAX(MAX(sa-CF274*Flag_UL_Type,105%*SUM($I$7:I275))-(AD274+L275-N275)*Flag_UL_Type,0)*B275)</f>
        <v>0</v>
      </c>
      <c r="Q275" s="213">
        <f t="shared" si="195"/>
        <v>0</v>
      </c>
      <c r="R275" s="14">
        <f t="shared" ca="1" si="196"/>
        <v>0</v>
      </c>
      <c r="S275" s="14">
        <f t="shared" ca="1" si="197"/>
        <v>0</v>
      </c>
      <c r="T275" s="14">
        <f>IFERROR(IF(WoP_Flag="Y",IF(fq=1,VLOOKUP(ppt*fq-H275,Charges!$AN$41:$AO$59,2,FALSE),IF(fq=2,VLOOKUP(ppt*fq-G275,Charges!$AP$41:$AQ$79,2,FALSE),VLOOKUP(ppt*fq-D275,Charges!$AR$41:$AS$279,2,FALSE)))*pr/fq,0),0)</f>
        <v>0</v>
      </c>
      <c r="U275" s="14">
        <f ca="1">IFERROR(((T275*(VLOOKUP(Input!$D$18+H275-1,Tab_Mort_Charge,IF(Gender_2="M",2,3),FALSE)*(1+_emr2)+_rpm2)/IF(Model_Type="LA_PQIS",1000/0.0833,(12*1000))))*Flag_Mort_Rider_Charge*(T275&gt;0),0)</f>
        <v>0</v>
      </c>
      <c r="V275" s="34">
        <f>ROUND(MIN(IF(H275&gt;=7,Charges!$C$12*(1+Charges!$C$14)^((H275-7+1)),VLOOKUP(H275,Charges!$B$7:$C$12,2,0))*pr,Charges!$C$13)*B275,Round)</f>
        <v>0</v>
      </c>
      <c r="W275" s="14">
        <f t="shared" ca="1" si="198"/>
        <v>0</v>
      </c>
      <c r="X275" s="14">
        <f t="shared" ca="1" si="199"/>
        <v>0</v>
      </c>
      <c r="Y275" s="213">
        <f t="shared" ca="1" si="221"/>
        <v>0</v>
      </c>
      <c r="Z275" s="14">
        <f t="shared" ca="1" si="200"/>
        <v>0</v>
      </c>
      <c r="AA275" s="14">
        <f>IF(AND($H275=pt,$F275=11),SUM($K$7:K275)*VLOOKUP(pt,ROC,2,FALSE),0)</f>
        <v>0</v>
      </c>
      <c r="AB275" s="14">
        <f>IF(AND($H275=pt,$F275=11),SUM($V$7:V275)*VLOOKUP(pt,ROC,2,FALSE),0)</f>
        <v>0</v>
      </c>
      <c r="AC275" s="14">
        <f>IF(AND($H275=pt,$F275=11),SUM($Q$7:Q275)*VLOOKUP(pt,ROC,2,FALSE),0)</f>
        <v>0</v>
      </c>
      <c r="AD275" s="14">
        <f t="shared" ca="1" si="222"/>
        <v>0</v>
      </c>
      <c r="AE275" s="14">
        <f ca="1">(MAX(sa-CF274*Flag_UL_Type,105%*SUM($I$7:I275),Z275)+AU275)*B275</f>
        <v>0</v>
      </c>
      <c r="AF275" s="136"/>
      <c r="AG275" s="18">
        <v>269</v>
      </c>
      <c r="AH275" s="30">
        <f t="shared" ca="1" si="201"/>
        <v>0</v>
      </c>
      <c r="AI275" s="58"/>
      <c r="AJ275" s="50">
        <f>IF(AND(Option_Sys_TopUp&gt;="Y",H275&gt;=sytp,H275&lt;=(dtp+sytp-1),F275=0,H275&lt;=ppt+1),atp,0)+IFERROR(VLOOKUP(H275,Input!$B$55:$C$61,2,0),0)*(F275=0)*(Option_TopUP="Y")*(Option_Sys_TopUp="N")*B275*(pt&gt;=H275+5)</f>
        <v>0</v>
      </c>
      <c r="AK275" s="50">
        <f t="shared" si="202"/>
        <v>0</v>
      </c>
      <c r="AL275" s="50">
        <f t="shared" si="223"/>
        <v>0</v>
      </c>
      <c r="AM275" s="50">
        <f t="shared" ca="1" si="203"/>
        <v>0</v>
      </c>
      <c r="AN275" s="50">
        <f>IF(B275=0,0,AT275*(_rpm1+(1+_emr1)*VLOOKUP(E275,Tab_Mort_Charge,IF(Input!$C$12="M",2,3),0))*(0.001*0.0833)*Flag_Mort_Rider_Charge*(AT275&gt;0))</f>
        <v>0</v>
      </c>
      <c r="AO275" s="50">
        <f t="shared" ca="1" si="224"/>
        <v>0</v>
      </c>
      <c r="AP275" s="50">
        <f t="shared" ca="1" si="187"/>
        <v>0</v>
      </c>
      <c r="AQ275" s="50">
        <f t="shared" ca="1" si="204"/>
        <v>0</v>
      </c>
      <c r="AR275" s="50">
        <f t="shared" ca="1" si="205"/>
        <v>0</v>
      </c>
      <c r="AS275" s="50">
        <f t="shared" si="206"/>
        <v>0</v>
      </c>
      <c r="AT275" s="50">
        <f ca="1">(MAX((MAX(AS275,105%*SUM($AJ$7:AJ275))-AM275*Flag_UL_Type),0)*B275)</f>
        <v>0</v>
      </c>
      <c r="AU275" s="50">
        <f ca="1">(MAX(AS275,AR275,105%*SUM($AJ$7:AJ275))*B275)</f>
        <v>0</v>
      </c>
      <c r="AV275" s="125"/>
      <c r="AW275" s="13"/>
      <c r="AX275" s="13"/>
      <c r="AY275" s="13"/>
      <c r="AZ275" s="13"/>
      <c r="BA275" s="13"/>
      <c r="BG275" s="51">
        <f t="shared" si="207"/>
        <v>0</v>
      </c>
      <c r="BH275" s="51">
        <f t="shared" si="208"/>
        <v>0</v>
      </c>
      <c r="BI275" s="51">
        <f t="shared" ca="1" si="209"/>
        <v>0</v>
      </c>
      <c r="BJ275" s="51">
        <f t="shared" ca="1" si="210"/>
        <v>0</v>
      </c>
      <c r="BK275" s="51">
        <f t="shared" si="211"/>
        <v>0</v>
      </c>
      <c r="BL275" s="51">
        <f t="shared" ca="1" si="212"/>
        <v>0</v>
      </c>
      <c r="BM275" s="51">
        <f t="shared" si="213"/>
        <v>0</v>
      </c>
      <c r="BN275" s="51">
        <f t="shared" si="214"/>
        <v>0</v>
      </c>
      <c r="BO275" s="51">
        <f t="shared" ca="1" si="215"/>
        <v>0</v>
      </c>
      <c r="BP275" s="51">
        <f t="shared" ca="1" si="216"/>
        <v>0</v>
      </c>
      <c r="BQ275" s="120"/>
      <c r="BR275" s="32"/>
      <c r="BS275" s="126"/>
      <c r="BT275" s="16"/>
      <c r="BU275" s="58"/>
      <c r="BW275" s="51">
        <f>VLOOKUP(H275,Charges!$AT$4:$AU$33,2,FALSE)*I275</f>
        <v>0</v>
      </c>
      <c r="BX275" s="51">
        <f t="shared" si="217"/>
        <v>0</v>
      </c>
      <c r="BY275" s="51">
        <f t="shared" si="225"/>
        <v>0</v>
      </c>
      <c r="BZ275" s="151"/>
      <c r="CA275" s="151"/>
      <c r="CB275" s="32"/>
      <c r="CC275" s="16">
        <f ca="1">SUM($N$7:$N275)</f>
        <v>0</v>
      </c>
      <c r="CD275" s="16">
        <f t="shared" ca="1" si="218"/>
        <v>0</v>
      </c>
      <c r="CE275" s="16">
        <f t="shared" ca="1" si="219"/>
        <v>0</v>
      </c>
      <c r="CF275" s="7">
        <f t="shared" ca="1" si="226"/>
        <v>0</v>
      </c>
    </row>
    <row r="276" spans="1:84" s="7" customFormat="1" x14ac:dyDescent="0.2">
      <c r="A276" s="149"/>
      <c r="B276" s="14">
        <f t="shared" si="188"/>
        <v>0</v>
      </c>
      <c r="C276" s="12">
        <f t="shared" si="189"/>
        <v>0</v>
      </c>
      <c r="D276" s="17">
        <f t="shared" si="227"/>
        <v>270</v>
      </c>
      <c r="E276" s="17">
        <f t="shared" ca="1" si="190"/>
        <v>82</v>
      </c>
      <c r="F276" s="12">
        <f t="shared" ref="F276:F339" si="229">F264</f>
        <v>5</v>
      </c>
      <c r="G276" s="12">
        <f t="shared" si="228"/>
        <v>45</v>
      </c>
      <c r="H276" s="17">
        <f t="shared" ref="H276:H339" si="230">+H264+1</f>
        <v>23</v>
      </c>
      <c r="I276" s="29">
        <f t="shared" si="191"/>
        <v>0</v>
      </c>
      <c r="J276" s="211">
        <f>IFERROR(VLOOKUP(H276,Charges!$T$6:$U$35,2,0)*C276,0)</f>
        <v>0</v>
      </c>
      <c r="K276" s="29">
        <f t="shared" si="192"/>
        <v>0</v>
      </c>
      <c r="L276" s="29">
        <f t="shared" si="193"/>
        <v>0</v>
      </c>
      <c r="M276" s="147">
        <f t="shared" ca="1" si="194"/>
        <v>0</v>
      </c>
      <c r="N276" s="148">
        <f ca="1">IF(AND(Option_SPW="Y",Z275&gt;=SPW_Start_Min_FV,H276&gt;=Lock_In_Period,Z275&gt;SPW_Amount_pa+IF(option="Single",1/5*pr,2*pr),H276&gt;=SPW_Start_Year,H276&lt;=SPW_Start_Year+SPW_Duration-1,F276=0,age+H276&gt;=Legal_Age),SPW_Amount_pa,0)+IFERROR(VLOOKUP(H276,Input!$B$68:$C$74,2,0),0)*(F276=0)*(Option_PW="Y")*(Option_SPW="N")*(age+H276&gt;=Legal_Age)</f>
        <v>0</v>
      </c>
      <c r="O276" s="148">
        <f t="shared" ca="1" si="220"/>
        <v>0</v>
      </c>
      <c r="P276" s="14">
        <f ca="1">(MAX(MAX(sa-CF275*Flag_UL_Type,105%*SUM($I$7:I276))-(AD275+L276-N276)*Flag_UL_Type,0)*B276)</f>
        <v>0</v>
      </c>
      <c r="Q276" s="213">
        <f t="shared" si="195"/>
        <v>0</v>
      </c>
      <c r="R276" s="14">
        <f t="shared" ca="1" si="196"/>
        <v>0</v>
      </c>
      <c r="S276" s="14">
        <f t="shared" ca="1" si="197"/>
        <v>0</v>
      </c>
      <c r="T276" s="14">
        <f>IFERROR(IF(WoP_Flag="Y",IF(fq=1,VLOOKUP(ppt*fq-H276,Charges!$AN$41:$AO$59,2,FALSE),IF(fq=2,VLOOKUP(ppt*fq-G276,Charges!$AP$41:$AQ$79,2,FALSE),VLOOKUP(ppt*fq-D276,Charges!$AR$41:$AS$279,2,FALSE)))*pr/fq,0),0)</f>
        <v>0</v>
      </c>
      <c r="U276" s="14">
        <f ca="1">IFERROR(((T276*(VLOOKUP(Input!$D$18+H276-1,Tab_Mort_Charge,IF(Gender_2="M",2,3),FALSE)*(1+_emr2)+_rpm2)/IF(Model_Type="LA_PQIS",1000/0.0833,(12*1000))))*Flag_Mort_Rider_Charge*(T276&gt;0),0)</f>
        <v>0</v>
      </c>
      <c r="V276" s="34">
        <f>ROUND(MIN(IF(H276&gt;=7,Charges!$C$12*(1+Charges!$C$14)^((H276-7+1)),VLOOKUP(H276,Charges!$B$7:$C$12,2,0))*pr,Charges!$C$13)*B276,Round)</f>
        <v>0</v>
      </c>
      <c r="W276" s="14">
        <f t="shared" ca="1" si="198"/>
        <v>0</v>
      </c>
      <c r="X276" s="14">
        <f t="shared" ca="1" si="199"/>
        <v>0</v>
      </c>
      <c r="Y276" s="213">
        <f t="shared" ca="1" si="221"/>
        <v>0</v>
      </c>
      <c r="Z276" s="14">
        <f t="shared" ca="1" si="200"/>
        <v>0</v>
      </c>
      <c r="AA276" s="14">
        <f>IF(AND($H276=pt,$F276=11),SUM($K$7:K276)*VLOOKUP(pt,ROC,2,FALSE),0)</f>
        <v>0</v>
      </c>
      <c r="AB276" s="14">
        <f>IF(AND($H276=pt,$F276=11),SUM($V$7:V276)*VLOOKUP(pt,ROC,2,FALSE),0)</f>
        <v>0</v>
      </c>
      <c r="AC276" s="14">
        <f>IF(AND($H276=pt,$F276=11),SUM($Q$7:Q276)*VLOOKUP(pt,ROC,2,FALSE),0)</f>
        <v>0</v>
      </c>
      <c r="AD276" s="14">
        <f t="shared" ca="1" si="222"/>
        <v>0</v>
      </c>
      <c r="AE276" s="14">
        <f ca="1">(MAX(sa-CF275*Flag_UL_Type,105%*SUM($I$7:I276),Z276)+AU276)*B276</f>
        <v>0</v>
      </c>
      <c r="AF276" s="136"/>
      <c r="AG276" s="18">
        <v>270</v>
      </c>
      <c r="AH276" s="30">
        <f t="shared" ca="1" si="201"/>
        <v>0</v>
      </c>
      <c r="AI276" s="58"/>
      <c r="AJ276" s="50">
        <f>IF(AND(Option_Sys_TopUp&gt;="Y",H276&gt;=sytp,H276&lt;=(dtp+sytp-1),F276=0,H276&lt;=ppt+1),atp,0)+IFERROR(VLOOKUP(H276,Input!$B$55:$C$61,2,0),0)*(F276=0)*(Option_TopUP="Y")*(Option_Sys_TopUp="N")*B276*(pt&gt;=H276+5)</f>
        <v>0</v>
      </c>
      <c r="AK276" s="50">
        <f t="shared" si="202"/>
        <v>0</v>
      </c>
      <c r="AL276" s="50">
        <f t="shared" si="223"/>
        <v>0</v>
      </c>
      <c r="AM276" s="50">
        <f t="shared" ca="1" si="203"/>
        <v>0</v>
      </c>
      <c r="AN276" s="50">
        <f>IF(B276=0,0,AT276*(_rpm1+(1+_emr1)*VLOOKUP(E276,Tab_Mort_Charge,IF(Input!$C$12="M",2,3),0))*(0.001*0.0833)*Flag_Mort_Rider_Charge*(AT276&gt;0))</f>
        <v>0</v>
      </c>
      <c r="AO276" s="50">
        <f t="shared" ca="1" si="224"/>
        <v>0</v>
      </c>
      <c r="AP276" s="50">
        <f t="shared" ca="1" si="187"/>
        <v>0</v>
      </c>
      <c r="AQ276" s="50">
        <f t="shared" ca="1" si="204"/>
        <v>0</v>
      </c>
      <c r="AR276" s="50">
        <f t="shared" ca="1" si="205"/>
        <v>0</v>
      </c>
      <c r="AS276" s="50">
        <f t="shared" si="206"/>
        <v>0</v>
      </c>
      <c r="AT276" s="50">
        <f ca="1">(MAX((MAX(AS276,105%*SUM($AJ$7:AJ276))-AM276*Flag_UL_Type),0)*B276)</f>
        <v>0</v>
      </c>
      <c r="AU276" s="50">
        <f ca="1">(MAX(AS276,AR276,105%*SUM($AJ$7:AJ276))*B276)</f>
        <v>0</v>
      </c>
      <c r="AV276" s="125"/>
      <c r="AW276" s="13"/>
      <c r="AX276" s="13"/>
      <c r="AY276" s="13"/>
      <c r="AZ276" s="13"/>
      <c r="BA276" s="13"/>
      <c r="BG276" s="51">
        <f t="shared" si="207"/>
        <v>0</v>
      </c>
      <c r="BH276" s="51">
        <f t="shared" si="208"/>
        <v>0</v>
      </c>
      <c r="BI276" s="51">
        <f t="shared" ca="1" si="209"/>
        <v>0</v>
      </c>
      <c r="BJ276" s="51">
        <f t="shared" ca="1" si="210"/>
        <v>0</v>
      </c>
      <c r="BK276" s="51">
        <f t="shared" si="211"/>
        <v>0</v>
      </c>
      <c r="BL276" s="51">
        <f t="shared" ca="1" si="212"/>
        <v>0</v>
      </c>
      <c r="BM276" s="51">
        <f t="shared" si="213"/>
        <v>0</v>
      </c>
      <c r="BN276" s="51">
        <f t="shared" si="214"/>
        <v>0</v>
      </c>
      <c r="BO276" s="51">
        <f t="shared" ca="1" si="215"/>
        <v>0</v>
      </c>
      <c r="BP276" s="51">
        <f t="shared" ca="1" si="216"/>
        <v>0</v>
      </c>
      <c r="BQ276" s="120"/>
      <c r="BR276" s="32"/>
      <c r="BS276" s="126"/>
      <c r="BT276" s="16"/>
      <c r="BU276" s="58"/>
      <c r="BW276" s="51">
        <f>VLOOKUP(H276,Charges!$AT$4:$AU$33,2,FALSE)*I276</f>
        <v>0</v>
      </c>
      <c r="BX276" s="51">
        <f t="shared" si="217"/>
        <v>0</v>
      </c>
      <c r="BY276" s="51">
        <f t="shared" si="225"/>
        <v>0</v>
      </c>
      <c r="BZ276" s="151"/>
      <c r="CA276" s="151"/>
      <c r="CB276" s="32"/>
      <c r="CC276" s="16">
        <f ca="1">SUM($N$7:$N276)</f>
        <v>0</v>
      </c>
      <c r="CD276" s="16">
        <f t="shared" ca="1" si="218"/>
        <v>0</v>
      </c>
      <c r="CE276" s="16">
        <f t="shared" ca="1" si="219"/>
        <v>0</v>
      </c>
      <c r="CF276" s="7">
        <f t="shared" ca="1" si="226"/>
        <v>0</v>
      </c>
    </row>
    <row r="277" spans="1:84" s="7" customFormat="1" x14ac:dyDescent="0.2">
      <c r="A277" s="149"/>
      <c r="B277" s="14">
        <f t="shared" si="188"/>
        <v>0</v>
      </c>
      <c r="C277" s="12">
        <f t="shared" si="189"/>
        <v>0</v>
      </c>
      <c r="D277" s="17">
        <f t="shared" si="227"/>
        <v>271</v>
      </c>
      <c r="E277" s="17">
        <f t="shared" ca="1" si="190"/>
        <v>82</v>
      </c>
      <c r="F277" s="12">
        <f t="shared" si="229"/>
        <v>6</v>
      </c>
      <c r="G277" s="12">
        <f t="shared" si="228"/>
        <v>46</v>
      </c>
      <c r="H277" s="17">
        <f t="shared" si="230"/>
        <v>23</v>
      </c>
      <c r="I277" s="29">
        <f t="shared" si="191"/>
        <v>0</v>
      </c>
      <c r="J277" s="211">
        <f>IFERROR(VLOOKUP(H277,Charges!$T$6:$U$35,2,0)*C277,0)</f>
        <v>0</v>
      </c>
      <c r="K277" s="29">
        <f t="shared" si="192"/>
        <v>0</v>
      </c>
      <c r="L277" s="29">
        <f t="shared" si="193"/>
        <v>0</v>
      </c>
      <c r="M277" s="147">
        <f t="shared" ca="1" si="194"/>
        <v>0</v>
      </c>
      <c r="N277" s="148">
        <f ca="1">IF(AND(Option_SPW="Y",Z276&gt;=SPW_Start_Min_FV,H277&gt;=Lock_In_Period,Z276&gt;SPW_Amount_pa+IF(option="Single",1/5*pr,2*pr),H277&gt;=SPW_Start_Year,H277&lt;=SPW_Start_Year+SPW_Duration-1,F277=0,age+H277&gt;=Legal_Age),SPW_Amount_pa,0)+IFERROR(VLOOKUP(H277,Input!$B$68:$C$74,2,0),0)*(F277=0)*(Option_PW="Y")*(Option_SPW="N")*(age+H277&gt;=Legal_Age)</f>
        <v>0</v>
      </c>
      <c r="O277" s="148">
        <f t="shared" ca="1" si="220"/>
        <v>0</v>
      </c>
      <c r="P277" s="14">
        <f ca="1">(MAX(MAX(sa-CF276*Flag_UL_Type,105%*SUM($I$7:I277))-(AD276+L277-N277)*Flag_UL_Type,0)*B277)</f>
        <v>0</v>
      </c>
      <c r="Q277" s="213">
        <f t="shared" si="195"/>
        <v>0</v>
      </c>
      <c r="R277" s="14">
        <f t="shared" ca="1" si="196"/>
        <v>0</v>
      </c>
      <c r="S277" s="14">
        <f t="shared" ca="1" si="197"/>
        <v>0</v>
      </c>
      <c r="T277" s="14">
        <f>IFERROR(IF(WoP_Flag="Y",IF(fq=1,VLOOKUP(ppt*fq-H277,Charges!$AN$41:$AO$59,2,FALSE),IF(fq=2,VLOOKUP(ppt*fq-G277,Charges!$AP$41:$AQ$79,2,FALSE),VLOOKUP(ppt*fq-D277,Charges!$AR$41:$AS$279,2,FALSE)))*pr/fq,0),0)</f>
        <v>0</v>
      </c>
      <c r="U277" s="14">
        <f ca="1">IFERROR(((T277*(VLOOKUP(Input!$D$18+H277-1,Tab_Mort_Charge,IF(Gender_2="M",2,3),FALSE)*(1+_emr2)+_rpm2)/IF(Model_Type="LA_PQIS",1000/0.0833,(12*1000))))*Flag_Mort_Rider_Charge*(T277&gt;0),0)</f>
        <v>0</v>
      </c>
      <c r="V277" s="34">
        <f>ROUND(MIN(IF(H277&gt;=7,Charges!$C$12*(1+Charges!$C$14)^((H277-7+1)),VLOOKUP(H277,Charges!$B$7:$C$12,2,0))*pr,Charges!$C$13)*B277,Round)</f>
        <v>0</v>
      </c>
      <c r="W277" s="14">
        <f t="shared" ca="1" si="198"/>
        <v>0</v>
      </c>
      <c r="X277" s="14">
        <f t="shared" ca="1" si="199"/>
        <v>0</v>
      </c>
      <c r="Y277" s="213">
        <f t="shared" ca="1" si="221"/>
        <v>0</v>
      </c>
      <c r="Z277" s="14">
        <f t="shared" ca="1" si="200"/>
        <v>0</v>
      </c>
      <c r="AA277" s="14">
        <f>IF(AND($H277=pt,$F277=11),SUM($K$7:K277)*VLOOKUP(pt,ROC,2,FALSE),0)</f>
        <v>0</v>
      </c>
      <c r="AB277" s="14">
        <f>IF(AND($H277=pt,$F277=11),SUM($V$7:V277)*VLOOKUP(pt,ROC,2,FALSE),0)</f>
        <v>0</v>
      </c>
      <c r="AC277" s="14">
        <f>IF(AND($H277=pt,$F277=11),SUM($Q$7:Q277)*VLOOKUP(pt,ROC,2,FALSE),0)</f>
        <v>0</v>
      </c>
      <c r="AD277" s="14">
        <f t="shared" ca="1" si="222"/>
        <v>0</v>
      </c>
      <c r="AE277" s="14">
        <f ca="1">(MAX(sa-CF276*Flag_UL_Type,105%*SUM($I$7:I277),Z277)+AU277)*B277</f>
        <v>0</v>
      </c>
      <c r="AF277" s="136"/>
      <c r="AG277" s="18">
        <v>271</v>
      </c>
      <c r="AH277" s="30">
        <f t="shared" ca="1" si="201"/>
        <v>0</v>
      </c>
      <c r="AI277" s="58"/>
      <c r="AJ277" s="50">
        <f>IF(AND(Option_Sys_TopUp&gt;="Y",H277&gt;=sytp,H277&lt;=(dtp+sytp-1),F277=0,H277&lt;=ppt+1),atp,0)+IFERROR(VLOOKUP(H277,Input!$B$55:$C$61,2,0),0)*(F277=0)*(Option_TopUP="Y")*(Option_Sys_TopUp="N")*B277*(pt&gt;=H277+5)</f>
        <v>0</v>
      </c>
      <c r="AK277" s="50">
        <f t="shared" si="202"/>
        <v>0</v>
      </c>
      <c r="AL277" s="50">
        <f t="shared" si="223"/>
        <v>0</v>
      </c>
      <c r="AM277" s="50">
        <f t="shared" ca="1" si="203"/>
        <v>0</v>
      </c>
      <c r="AN277" s="50">
        <f>IF(B277=0,0,AT277*(_rpm1+(1+_emr1)*VLOOKUP(E277,Tab_Mort_Charge,IF(Input!$C$12="M",2,3),0))*(0.001*0.0833)*Flag_Mort_Rider_Charge*(AT277&gt;0))</f>
        <v>0</v>
      </c>
      <c r="AO277" s="50">
        <f t="shared" ca="1" si="224"/>
        <v>0</v>
      </c>
      <c r="AP277" s="50">
        <f t="shared" ca="1" si="187"/>
        <v>0</v>
      </c>
      <c r="AQ277" s="50">
        <f t="shared" ca="1" si="204"/>
        <v>0</v>
      </c>
      <c r="AR277" s="50">
        <f t="shared" ca="1" si="205"/>
        <v>0</v>
      </c>
      <c r="AS277" s="50">
        <f t="shared" si="206"/>
        <v>0</v>
      </c>
      <c r="AT277" s="50">
        <f ca="1">(MAX((MAX(AS277,105%*SUM($AJ$7:AJ277))-AM277*Flag_UL_Type),0)*B277)</f>
        <v>0</v>
      </c>
      <c r="AU277" s="50">
        <f ca="1">(MAX(AS277,AR277,105%*SUM($AJ$7:AJ277))*B277)</f>
        <v>0</v>
      </c>
      <c r="AV277" s="125"/>
      <c r="AW277" s="13"/>
      <c r="AX277" s="13"/>
      <c r="AY277" s="13"/>
      <c r="AZ277" s="13"/>
      <c r="BA277" s="13"/>
      <c r="BG277" s="51">
        <f t="shared" si="207"/>
        <v>0</v>
      </c>
      <c r="BH277" s="51">
        <f t="shared" si="208"/>
        <v>0</v>
      </c>
      <c r="BI277" s="51">
        <f t="shared" ca="1" si="209"/>
        <v>0</v>
      </c>
      <c r="BJ277" s="51">
        <f t="shared" ca="1" si="210"/>
        <v>0</v>
      </c>
      <c r="BK277" s="51">
        <f t="shared" si="211"/>
        <v>0</v>
      </c>
      <c r="BL277" s="51">
        <f t="shared" ca="1" si="212"/>
        <v>0</v>
      </c>
      <c r="BM277" s="51">
        <f t="shared" si="213"/>
        <v>0</v>
      </c>
      <c r="BN277" s="51">
        <f t="shared" si="214"/>
        <v>0</v>
      </c>
      <c r="BO277" s="51">
        <f t="shared" ca="1" si="215"/>
        <v>0</v>
      </c>
      <c r="BP277" s="51">
        <f t="shared" ca="1" si="216"/>
        <v>0</v>
      </c>
      <c r="BQ277" s="120"/>
      <c r="BR277" s="32"/>
      <c r="BS277" s="126"/>
      <c r="BT277" s="16"/>
      <c r="BU277" s="58"/>
      <c r="BW277" s="51">
        <f>VLOOKUP(H277,Charges!$AT$4:$AU$33,2,FALSE)*I277</f>
        <v>0</v>
      </c>
      <c r="BX277" s="51">
        <f t="shared" si="217"/>
        <v>0</v>
      </c>
      <c r="BY277" s="51">
        <f t="shared" si="225"/>
        <v>0</v>
      </c>
      <c r="BZ277" s="151"/>
      <c r="CA277" s="151"/>
      <c r="CB277" s="32"/>
      <c r="CC277" s="16">
        <f ca="1">SUM($N$7:$N277)</f>
        <v>0</v>
      </c>
      <c r="CD277" s="16">
        <f t="shared" ca="1" si="218"/>
        <v>0</v>
      </c>
      <c r="CE277" s="16">
        <f t="shared" ca="1" si="219"/>
        <v>0</v>
      </c>
      <c r="CF277" s="7">
        <f t="shared" ca="1" si="226"/>
        <v>0</v>
      </c>
    </row>
    <row r="278" spans="1:84" s="7" customFormat="1" x14ac:dyDescent="0.2">
      <c r="A278" s="149"/>
      <c r="B278" s="14">
        <f t="shared" si="188"/>
        <v>0</v>
      </c>
      <c r="C278" s="12">
        <f t="shared" si="189"/>
        <v>0</v>
      </c>
      <c r="D278" s="17">
        <f t="shared" si="227"/>
        <v>272</v>
      </c>
      <c r="E278" s="17">
        <f t="shared" ca="1" si="190"/>
        <v>82</v>
      </c>
      <c r="F278" s="12">
        <f t="shared" si="229"/>
        <v>7</v>
      </c>
      <c r="G278" s="12">
        <f t="shared" si="228"/>
        <v>46</v>
      </c>
      <c r="H278" s="17">
        <f t="shared" si="230"/>
        <v>23</v>
      </c>
      <c r="I278" s="29">
        <f t="shared" si="191"/>
        <v>0</v>
      </c>
      <c r="J278" s="211">
        <f>IFERROR(VLOOKUP(H278,Charges!$T$6:$U$35,2,0)*C278,0)</f>
        <v>0</v>
      </c>
      <c r="K278" s="29">
        <f t="shared" si="192"/>
        <v>0</v>
      </c>
      <c r="L278" s="29">
        <f t="shared" si="193"/>
        <v>0</v>
      </c>
      <c r="M278" s="147">
        <f t="shared" ca="1" si="194"/>
        <v>0</v>
      </c>
      <c r="N278" s="148">
        <f ca="1">IF(AND(Option_SPW="Y",Z277&gt;=SPW_Start_Min_FV,H278&gt;=Lock_In_Period,Z277&gt;SPW_Amount_pa+IF(option="Single",1/5*pr,2*pr),H278&gt;=SPW_Start_Year,H278&lt;=SPW_Start_Year+SPW_Duration-1,F278=0,age+H278&gt;=Legal_Age),SPW_Amount_pa,0)+IFERROR(VLOOKUP(H278,Input!$B$68:$C$74,2,0),0)*(F278=0)*(Option_PW="Y")*(Option_SPW="N")*(age+H278&gt;=Legal_Age)</f>
        <v>0</v>
      </c>
      <c r="O278" s="148">
        <f t="shared" ca="1" si="220"/>
        <v>0</v>
      </c>
      <c r="P278" s="14">
        <f ca="1">(MAX(MAX(sa-CF277*Flag_UL_Type,105%*SUM($I$7:I278))-(AD277+L278-N278)*Flag_UL_Type,0)*B278)</f>
        <v>0</v>
      </c>
      <c r="Q278" s="213">
        <f t="shared" si="195"/>
        <v>0</v>
      </c>
      <c r="R278" s="14">
        <f t="shared" ca="1" si="196"/>
        <v>0</v>
      </c>
      <c r="S278" s="14">
        <f t="shared" ca="1" si="197"/>
        <v>0</v>
      </c>
      <c r="T278" s="14">
        <f>IFERROR(IF(WoP_Flag="Y",IF(fq=1,VLOOKUP(ppt*fq-H278,Charges!$AN$41:$AO$59,2,FALSE),IF(fq=2,VLOOKUP(ppt*fq-G278,Charges!$AP$41:$AQ$79,2,FALSE),VLOOKUP(ppt*fq-D278,Charges!$AR$41:$AS$279,2,FALSE)))*pr/fq,0),0)</f>
        <v>0</v>
      </c>
      <c r="U278" s="14">
        <f ca="1">IFERROR(((T278*(VLOOKUP(Input!$D$18+H278-1,Tab_Mort_Charge,IF(Gender_2="M",2,3),FALSE)*(1+_emr2)+_rpm2)/IF(Model_Type="LA_PQIS",1000/0.0833,(12*1000))))*Flag_Mort_Rider_Charge*(T278&gt;0),0)</f>
        <v>0</v>
      </c>
      <c r="V278" s="34">
        <f>ROUND(MIN(IF(H278&gt;=7,Charges!$C$12*(1+Charges!$C$14)^((H278-7+1)),VLOOKUP(H278,Charges!$B$7:$C$12,2,0))*pr,Charges!$C$13)*B278,Round)</f>
        <v>0</v>
      </c>
      <c r="W278" s="14">
        <f t="shared" ca="1" si="198"/>
        <v>0</v>
      </c>
      <c r="X278" s="14">
        <f t="shared" ca="1" si="199"/>
        <v>0</v>
      </c>
      <c r="Y278" s="213">
        <f t="shared" ca="1" si="221"/>
        <v>0</v>
      </c>
      <c r="Z278" s="14">
        <f t="shared" ca="1" si="200"/>
        <v>0</v>
      </c>
      <c r="AA278" s="14">
        <f>IF(AND($H278=pt,$F278=11),SUM($K$7:K278)*VLOOKUP(pt,ROC,2,FALSE),0)</f>
        <v>0</v>
      </c>
      <c r="AB278" s="14">
        <f>IF(AND($H278=pt,$F278=11),SUM($V$7:V278)*VLOOKUP(pt,ROC,2,FALSE),0)</f>
        <v>0</v>
      </c>
      <c r="AC278" s="14">
        <f>IF(AND($H278=pt,$F278=11),SUM($Q$7:Q278)*VLOOKUP(pt,ROC,2,FALSE),0)</f>
        <v>0</v>
      </c>
      <c r="AD278" s="14">
        <f t="shared" ca="1" si="222"/>
        <v>0</v>
      </c>
      <c r="AE278" s="14">
        <f ca="1">(MAX(sa-CF277*Flag_UL_Type,105%*SUM($I$7:I278),Z278)+AU278)*B278</f>
        <v>0</v>
      </c>
      <c r="AF278" s="136"/>
      <c r="AG278" s="18">
        <v>272</v>
      </c>
      <c r="AH278" s="30">
        <f t="shared" ca="1" si="201"/>
        <v>0</v>
      </c>
      <c r="AI278" s="58"/>
      <c r="AJ278" s="50">
        <f>IF(AND(Option_Sys_TopUp&gt;="Y",H278&gt;=sytp,H278&lt;=(dtp+sytp-1),F278=0,H278&lt;=ppt+1),atp,0)+IFERROR(VLOOKUP(H278,Input!$B$55:$C$61,2,0),0)*(F278=0)*(Option_TopUP="Y")*(Option_Sys_TopUp="N")*B278*(pt&gt;=H278+5)</f>
        <v>0</v>
      </c>
      <c r="AK278" s="50">
        <f t="shared" si="202"/>
        <v>0</v>
      </c>
      <c r="AL278" s="50">
        <f t="shared" si="223"/>
        <v>0</v>
      </c>
      <c r="AM278" s="50">
        <f t="shared" ca="1" si="203"/>
        <v>0</v>
      </c>
      <c r="AN278" s="50">
        <f>IF(B278=0,0,AT278*(_rpm1+(1+_emr1)*VLOOKUP(E278,Tab_Mort_Charge,IF(Input!$C$12="M",2,3),0))*(0.001*0.0833)*Flag_Mort_Rider_Charge*(AT278&gt;0))</f>
        <v>0</v>
      </c>
      <c r="AO278" s="50">
        <f t="shared" ca="1" si="224"/>
        <v>0</v>
      </c>
      <c r="AP278" s="50">
        <f t="shared" ca="1" si="187"/>
        <v>0</v>
      </c>
      <c r="AQ278" s="50">
        <f t="shared" ca="1" si="204"/>
        <v>0</v>
      </c>
      <c r="AR278" s="50">
        <f t="shared" ca="1" si="205"/>
        <v>0</v>
      </c>
      <c r="AS278" s="50">
        <f t="shared" si="206"/>
        <v>0</v>
      </c>
      <c r="AT278" s="50">
        <f ca="1">(MAX((MAX(AS278,105%*SUM($AJ$7:AJ278))-AM278*Flag_UL_Type),0)*B278)</f>
        <v>0</v>
      </c>
      <c r="AU278" s="50">
        <f ca="1">(MAX(AS278,AR278,105%*SUM($AJ$7:AJ278))*B278)</f>
        <v>0</v>
      </c>
      <c r="AV278" s="125"/>
      <c r="AW278" s="13"/>
      <c r="AX278" s="13"/>
      <c r="AY278" s="13"/>
      <c r="AZ278" s="13"/>
      <c r="BA278" s="13"/>
      <c r="BG278" s="51">
        <f t="shared" si="207"/>
        <v>0</v>
      </c>
      <c r="BH278" s="51">
        <f t="shared" si="208"/>
        <v>0</v>
      </c>
      <c r="BI278" s="51">
        <f t="shared" ca="1" si="209"/>
        <v>0</v>
      </c>
      <c r="BJ278" s="51">
        <f t="shared" ca="1" si="210"/>
        <v>0</v>
      </c>
      <c r="BK278" s="51">
        <f t="shared" si="211"/>
        <v>0</v>
      </c>
      <c r="BL278" s="51">
        <f t="shared" ca="1" si="212"/>
        <v>0</v>
      </c>
      <c r="BM278" s="51">
        <f t="shared" si="213"/>
        <v>0</v>
      </c>
      <c r="BN278" s="51">
        <f t="shared" si="214"/>
        <v>0</v>
      </c>
      <c r="BO278" s="51">
        <f t="shared" ca="1" si="215"/>
        <v>0</v>
      </c>
      <c r="BP278" s="51">
        <f t="shared" ca="1" si="216"/>
        <v>0</v>
      </c>
      <c r="BQ278" s="120"/>
      <c r="BR278" s="32"/>
      <c r="BS278" s="126"/>
      <c r="BT278" s="16"/>
      <c r="BU278" s="58"/>
      <c r="BW278" s="51">
        <f>VLOOKUP(H278,Charges!$AT$4:$AU$33,2,FALSE)*I278</f>
        <v>0</v>
      </c>
      <c r="BX278" s="51">
        <f t="shared" si="217"/>
        <v>0</v>
      </c>
      <c r="BY278" s="51">
        <f t="shared" si="225"/>
        <v>0</v>
      </c>
      <c r="BZ278" s="151"/>
      <c r="CA278" s="151"/>
      <c r="CB278" s="32"/>
      <c r="CC278" s="16">
        <f ca="1">SUM($N$7:$N278)</f>
        <v>0</v>
      </c>
      <c r="CD278" s="16">
        <f t="shared" ca="1" si="218"/>
        <v>0</v>
      </c>
      <c r="CE278" s="16">
        <f t="shared" ca="1" si="219"/>
        <v>0</v>
      </c>
      <c r="CF278" s="7">
        <f t="shared" ca="1" si="226"/>
        <v>0</v>
      </c>
    </row>
    <row r="279" spans="1:84" s="7" customFormat="1" x14ac:dyDescent="0.2">
      <c r="A279" s="149"/>
      <c r="B279" s="14">
        <f t="shared" si="188"/>
        <v>0</v>
      </c>
      <c r="C279" s="12">
        <f t="shared" si="189"/>
        <v>0</v>
      </c>
      <c r="D279" s="17">
        <f t="shared" si="227"/>
        <v>273</v>
      </c>
      <c r="E279" s="17">
        <f t="shared" ca="1" si="190"/>
        <v>82</v>
      </c>
      <c r="F279" s="12">
        <f t="shared" si="229"/>
        <v>8</v>
      </c>
      <c r="G279" s="12">
        <f t="shared" si="228"/>
        <v>46</v>
      </c>
      <c r="H279" s="17">
        <f t="shared" si="230"/>
        <v>23</v>
      </c>
      <c r="I279" s="29">
        <f t="shared" si="191"/>
        <v>0</v>
      </c>
      <c r="J279" s="211">
        <f>IFERROR(VLOOKUP(H279,Charges!$T$6:$U$35,2,0)*C279,0)</f>
        <v>0</v>
      </c>
      <c r="K279" s="29">
        <f t="shared" si="192"/>
        <v>0</v>
      </c>
      <c r="L279" s="29">
        <f t="shared" si="193"/>
        <v>0</v>
      </c>
      <c r="M279" s="147">
        <f t="shared" ca="1" si="194"/>
        <v>0</v>
      </c>
      <c r="N279" s="148">
        <f ca="1">IF(AND(Option_SPW="Y",Z278&gt;=SPW_Start_Min_FV,H279&gt;=Lock_In_Period,Z278&gt;SPW_Amount_pa+IF(option="Single",1/5*pr,2*pr),H279&gt;=SPW_Start_Year,H279&lt;=SPW_Start_Year+SPW_Duration-1,F279=0,age+H279&gt;=Legal_Age),SPW_Amount_pa,0)+IFERROR(VLOOKUP(H279,Input!$B$68:$C$74,2,0),0)*(F279=0)*(Option_PW="Y")*(Option_SPW="N")*(age+H279&gt;=Legal_Age)</f>
        <v>0</v>
      </c>
      <c r="O279" s="148">
        <f t="shared" ca="1" si="220"/>
        <v>0</v>
      </c>
      <c r="P279" s="14">
        <f ca="1">(MAX(MAX(sa-CF278*Flag_UL_Type,105%*SUM($I$7:I279))-(AD278+L279-N279)*Flag_UL_Type,0)*B279)</f>
        <v>0</v>
      </c>
      <c r="Q279" s="213">
        <f t="shared" si="195"/>
        <v>0</v>
      </c>
      <c r="R279" s="14">
        <f t="shared" ca="1" si="196"/>
        <v>0</v>
      </c>
      <c r="S279" s="14">
        <f t="shared" ca="1" si="197"/>
        <v>0</v>
      </c>
      <c r="T279" s="14">
        <f>IFERROR(IF(WoP_Flag="Y",IF(fq=1,VLOOKUP(ppt*fq-H279,Charges!$AN$41:$AO$59,2,FALSE),IF(fq=2,VLOOKUP(ppt*fq-G279,Charges!$AP$41:$AQ$79,2,FALSE),VLOOKUP(ppt*fq-D279,Charges!$AR$41:$AS$279,2,FALSE)))*pr/fq,0),0)</f>
        <v>0</v>
      </c>
      <c r="U279" s="14">
        <f ca="1">IFERROR(((T279*(VLOOKUP(Input!$D$18+H279-1,Tab_Mort_Charge,IF(Gender_2="M",2,3),FALSE)*(1+_emr2)+_rpm2)/IF(Model_Type="LA_PQIS",1000/0.0833,(12*1000))))*Flag_Mort_Rider_Charge*(T279&gt;0),0)</f>
        <v>0</v>
      </c>
      <c r="V279" s="34">
        <f>ROUND(MIN(IF(H279&gt;=7,Charges!$C$12*(1+Charges!$C$14)^((H279-7+1)),VLOOKUP(H279,Charges!$B$7:$C$12,2,0))*pr,Charges!$C$13)*B279,Round)</f>
        <v>0</v>
      </c>
      <c r="W279" s="14">
        <f t="shared" ca="1" si="198"/>
        <v>0</v>
      </c>
      <c r="X279" s="14">
        <f t="shared" ca="1" si="199"/>
        <v>0</v>
      </c>
      <c r="Y279" s="213">
        <f t="shared" ca="1" si="221"/>
        <v>0</v>
      </c>
      <c r="Z279" s="14">
        <f t="shared" ca="1" si="200"/>
        <v>0</v>
      </c>
      <c r="AA279" s="14">
        <f>IF(AND($H279=pt,$F279=11),SUM($K$7:K279)*VLOOKUP(pt,ROC,2,FALSE),0)</f>
        <v>0</v>
      </c>
      <c r="AB279" s="14">
        <f>IF(AND($H279=pt,$F279=11),SUM($V$7:V279)*VLOOKUP(pt,ROC,2,FALSE),0)</f>
        <v>0</v>
      </c>
      <c r="AC279" s="14">
        <f>IF(AND($H279=pt,$F279=11),SUM($Q$7:Q279)*VLOOKUP(pt,ROC,2,FALSE),0)</f>
        <v>0</v>
      </c>
      <c r="AD279" s="14">
        <f t="shared" ca="1" si="222"/>
        <v>0</v>
      </c>
      <c r="AE279" s="14">
        <f ca="1">(MAX(sa-CF278*Flag_UL_Type,105%*SUM($I$7:I279),Z279)+AU279)*B279</f>
        <v>0</v>
      </c>
      <c r="AF279" s="136"/>
      <c r="AG279" s="18">
        <v>273</v>
      </c>
      <c r="AH279" s="30">
        <f t="shared" ca="1" si="201"/>
        <v>0</v>
      </c>
      <c r="AI279" s="58"/>
      <c r="AJ279" s="50">
        <f>IF(AND(Option_Sys_TopUp&gt;="Y",H279&gt;=sytp,H279&lt;=(dtp+sytp-1),F279=0,H279&lt;=ppt+1),atp,0)+IFERROR(VLOOKUP(H279,Input!$B$55:$C$61,2,0),0)*(F279=0)*(Option_TopUP="Y")*(Option_Sys_TopUp="N")*B279*(pt&gt;=H279+5)</f>
        <v>0</v>
      </c>
      <c r="AK279" s="50">
        <f t="shared" si="202"/>
        <v>0</v>
      </c>
      <c r="AL279" s="50">
        <f t="shared" si="223"/>
        <v>0</v>
      </c>
      <c r="AM279" s="50">
        <f t="shared" ca="1" si="203"/>
        <v>0</v>
      </c>
      <c r="AN279" s="50">
        <f>IF(B279=0,0,AT279*(_rpm1+(1+_emr1)*VLOOKUP(E279,Tab_Mort_Charge,IF(Input!$C$12="M",2,3),0))*(0.001*0.0833)*Flag_Mort_Rider_Charge*(AT279&gt;0))</f>
        <v>0</v>
      </c>
      <c r="AO279" s="50">
        <f t="shared" ca="1" si="224"/>
        <v>0</v>
      </c>
      <c r="AP279" s="50">
        <f t="shared" ca="1" si="187"/>
        <v>0</v>
      </c>
      <c r="AQ279" s="50">
        <f t="shared" ca="1" si="204"/>
        <v>0</v>
      </c>
      <c r="AR279" s="50">
        <f t="shared" ca="1" si="205"/>
        <v>0</v>
      </c>
      <c r="AS279" s="50">
        <f t="shared" si="206"/>
        <v>0</v>
      </c>
      <c r="AT279" s="50">
        <f ca="1">(MAX((MAX(AS279,105%*SUM($AJ$7:AJ279))-AM279*Flag_UL_Type),0)*B279)</f>
        <v>0</v>
      </c>
      <c r="AU279" s="50">
        <f ca="1">(MAX(AS279,AR279,105%*SUM($AJ$7:AJ279))*B279)</f>
        <v>0</v>
      </c>
      <c r="AV279" s="125"/>
      <c r="AW279" s="13"/>
      <c r="AX279" s="13"/>
      <c r="AY279" s="13"/>
      <c r="AZ279" s="13"/>
      <c r="BA279" s="13"/>
      <c r="BG279" s="51">
        <f t="shared" si="207"/>
        <v>0</v>
      </c>
      <c r="BH279" s="51">
        <f t="shared" si="208"/>
        <v>0</v>
      </c>
      <c r="BI279" s="51">
        <f t="shared" ca="1" si="209"/>
        <v>0</v>
      </c>
      <c r="BJ279" s="51">
        <f t="shared" ca="1" si="210"/>
        <v>0</v>
      </c>
      <c r="BK279" s="51">
        <f t="shared" si="211"/>
        <v>0</v>
      </c>
      <c r="BL279" s="51">
        <f t="shared" ca="1" si="212"/>
        <v>0</v>
      </c>
      <c r="BM279" s="51">
        <f t="shared" si="213"/>
        <v>0</v>
      </c>
      <c r="BN279" s="51">
        <f t="shared" si="214"/>
        <v>0</v>
      </c>
      <c r="BO279" s="51">
        <f t="shared" ca="1" si="215"/>
        <v>0</v>
      </c>
      <c r="BP279" s="51">
        <f t="shared" ca="1" si="216"/>
        <v>0</v>
      </c>
      <c r="BQ279" s="120"/>
      <c r="BR279" s="32"/>
      <c r="BS279" s="126"/>
      <c r="BT279" s="16"/>
      <c r="BU279" s="58"/>
      <c r="BW279" s="51">
        <f>VLOOKUP(H279,Charges!$AT$4:$AU$33,2,FALSE)*I279</f>
        <v>0</v>
      </c>
      <c r="BX279" s="51">
        <f t="shared" si="217"/>
        <v>0</v>
      </c>
      <c r="BY279" s="51">
        <f t="shared" si="225"/>
        <v>0</v>
      </c>
      <c r="BZ279" s="151"/>
      <c r="CA279" s="151"/>
      <c r="CB279" s="32"/>
      <c r="CC279" s="16">
        <f ca="1">SUM($N$7:$N279)</f>
        <v>0</v>
      </c>
      <c r="CD279" s="16">
        <f t="shared" ca="1" si="218"/>
        <v>0</v>
      </c>
      <c r="CE279" s="16">
        <f t="shared" ca="1" si="219"/>
        <v>0</v>
      </c>
      <c r="CF279" s="7">
        <f t="shared" ca="1" si="226"/>
        <v>0</v>
      </c>
    </row>
    <row r="280" spans="1:84" s="7" customFormat="1" x14ac:dyDescent="0.2">
      <c r="A280" s="149"/>
      <c r="B280" s="14">
        <f t="shared" si="188"/>
        <v>0</v>
      </c>
      <c r="C280" s="12">
        <f t="shared" si="189"/>
        <v>0</v>
      </c>
      <c r="D280" s="17">
        <f t="shared" si="227"/>
        <v>274</v>
      </c>
      <c r="E280" s="17">
        <f t="shared" ca="1" si="190"/>
        <v>82</v>
      </c>
      <c r="F280" s="12">
        <f t="shared" si="229"/>
        <v>9</v>
      </c>
      <c r="G280" s="12">
        <f t="shared" si="228"/>
        <v>46</v>
      </c>
      <c r="H280" s="17">
        <f t="shared" si="230"/>
        <v>23</v>
      </c>
      <c r="I280" s="29">
        <f t="shared" si="191"/>
        <v>0</v>
      </c>
      <c r="J280" s="211">
        <f>IFERROR(VLOOKUP(H280,Charges!$T$6:$U$35,2,0)*C280,0)</f>
        <v>0</v>
      </c>
      <c r="K280" s="29">
        <f t="shared" si="192"/>
        <v>0</v>
      </c>
      <c r="L280" s="29">
        <f t="shared" si="193"/>
        <v>0</v>
      </c>
      <c r="M280" s="147">
        <f t="shared" ca="1" si="194"/>
        <v>0</v>
      </c>
      <c r="N280" s="148">
        <f ca="1">IF(AND(Option_SPW="Y",Z279&gt;=SPW_Start_Min_FV,H280&gt;=Lock_In_Period,Z279&gt;SPW_Amount_pa+IF(option="Single",1/5*pr,2*pr),H280&gt;=SPW_Start_Year,H280&lt;=SPW_Start_Year+SPW_Duration-1,F280=0,age+H280&gt;=Legal_Age),SPW_Amount_pa,0)+IFERROR(VLOOKUP(H280,Input!$B$68:$C$74,2,0),0)*(F280=0)*(Option_PW="Y")*(Option_SPW="N")*(age+H280&gt;=Legal_Age)</f>
        <v>0</v>
      </c>
      <c r="O280" s="148">
        <f t="shared" ca="1" si="220"/>
        <v>0</v>
      </c>
      <c r="P280" s="14">
        <f ca="1">(MAX(MAX(sa-CF279*Flag_UL_Type,105%*SUM($I$7:I280))-(AD279+L280-N280)*Flag_UL_Type,0)*B280)</f>
        <v>0</v>
      </c>
      <c r="Q280" s="213">
        <f t="shared" si="195"/>
        <v>0</v>
      </c>
      <c r="R280" s="14">
        <f t="shared" ca="1" si="196"/>
        <v>0</v>
      </c>
      <c r="S280" s="14">
        <f t="shared" ca="1" si="197"/>
        <v>0</v>
      </c>
      <c r="T280" s="14">
        <f>IFERROR(IF(WoP_Flag="Y",IF(fq=1,VLOOKUP(ppt*fq-H280,Charges!$AN$41:$AO$59,2,FALSE),IF(fq=2,VLOOKUP(ppt*fq-G280,Charges!$AP$41:$AQ$79,2,FALSE),VLOOKUP(ppt*fq-D280,Charges!$AR$41:$AS$279,2,FALSE)))*pr/fq,0),0)</f>
        <v>0</v>
      </c>
      <c r="U280" s="14">
        <f ca="1">IFERROR(((T280*(VLOOKUP(Input!$D$18+H280-1,Tab_Mort_Charge,IF(Gender_2="M",2,3),FALSE)*(1+_emr2)+_rpm2)/IF(Model_Type="LA_PQIS",1000/0.0833,(12*1000))))*Flag_Mort_Rider_Charge*(T280&gt;0),0)</f>
        <v>0</v>
      </c>
      <c r="V280" s="34">
        <f>ROUND(MIN(IF(H280&gt;=7,Charges!$C$12*(1+Charges!$C$14)^((H280-7+1)),VLOOKUP(H280,Charges!$B$7:$C$12,2,0))*pr,Charges!$C$13)*B280,Round)</f>
        <v>0</v>
      </c>
      <c r="W280" s="14">
        <f t="shared" ca="1" si="198"/>
        <v>0</v>
      </c>
      <c r="X280" s="14">
        <f t="shared" ca="1" si="199"/>
        <v>0</v>
      </c>
      <c r="Y280" s="213">
        <f t="shared" ca="1" si="221"/>
        <v>0</v>
      </c>
      <c r="Z280" s="14">
        <f t="shared" ca="1" si="200"/>
        <v>0</v>
      </c>
      <c r="AA280" s="14">
        <f>IF(AND($H280=pt,$F280=11),SUM($K$7:K280)*VLOOKUP(pt,ROC,2,FALSE),0)</f>
        <v>0</v>
      </c>
      <c r="AB280" s="14">
        <f>IF(AND($H280=pt,$F280=11),SUM($V$7:V280)*VLOOKUP(pt,ROC,2,FALSE),0)</f>
        <v>0</v>
      </c>
      <c r="AC280" s="14">
        <f>IF(AND($H280=pt,$F280=11),SUM($Q$7:Q280)*VLOOKUP(pt,ROC,2,FALSE),0)</f>
        <v>0</v>
      </c>
      <c r="AD280" s="14">
        <f t="shared" ca="1" si="222"/>
        <v>0</v>
      </c>
      <c r="AE280" s="14">
        <f ca="1">(MAX(sa-CF279*Flag_UL_Type,105%*SUM($I$7:I280),Z280)+AU280)*B280</f>
        <v>0</v>
      </c>
      <c r="AF280" s="136"/>
      <c r="AG280" s="18">
        <v>274</v>
      </c>
      <c r="AH280" s="30">
        <f t="shared" ca="1" si="201"/>
        <v>0</v>
      </c>
      <c r="AI280" s="58"/>
      <c r="AJ280" s="50">
        <f>IF(AND(Option_Sys_TopUp&gt;="Y",H280&gt;=sytp,H280&lt;=(dtp+sytp-1),F280=0,H280&lt;=ppt+1),atp,0)+IFERROR(VLOOKUP(H280,Input!$B$55:$C$61,2,0),0)*(F280=0)*(Option_TopUP="Y")*(Option_Sys_TopUp="N")*B280*(pt&gt;=H280+5)</f>
        <v>0</v>
      </c>
      <c r="AK280" s="50">
        <f t="shared" si="202"/>
        <v>0</v>
      </c>
      <c r="AL280" s="50">
        <f t="shared" si="223"/>
        <v>0</v>
      </c>
      <c r="AM280" s="50">
        <f t="shared" ca="1" si="203"/>
        <v>0</v>
      </c>
      <c r="AN280" s="50">
        <f>IF(B280=0,0,AT280*(_rpm1+(1+_emr1)*VLOOKUP(E280,Tab_Mort_Charge,IF(Input!$C$12="M",2,3),0))*(0.001*0.0833)*Flag_Mort_Rider_Charge*(AT280&gt;0))</f>
        <v>0</v>
      </c>
      <c r="AO280" s="50">
        <f t="shared" ca="1" si="224"/>
        <v>0</v>
      </c>
      <c r="AP280" s="50">
        <f t="shared" ca="1" si="187"/>
        <v>0</v>
      </c>
      <c r="AQ280" s="50">
        <f t="shared" ca="1" si="204"/>
        <v>0</v>
      </c>
      <c r="AR280" s="50">
        <f t="shared" ca="1" si="205"/>
        <v>0</v>
      </c>
      <c r="AS280" s="50">
        <f t="shared" si="206"/>
        <v>0</v>
      </c>
      <c r="AT280" s="50">
        <f ca="1">(MAX((MAX(AS280,105%*SUM($AJ$7:AJ280))-AM280*Flag_UL_Type),0)*B280)</f>
        <v>0</v>
      </c>
      <c r="AU280" s="50">
        <f ca="1">(MAX(AS280,AR280,105%*SUM($AJ$7:AJ280))*B280)</f>
        <v>0</v>
      </c>
      <c r="AV280" s="125"/>
      <c r="AW280" s="13"/>
      <c r="AX280" s="13"/>
      <c r="AY280" s="13"/>
      <c r="AZ280" s="13"/>
      <c r="BA280" s="13"/>
      <c r="BG280" s="51">
        <f t="shared" si="207"/>
        <v>0</v>
      </c>
      <c r="BH280" s="51">
        <f t="shared" si="208"/>
        <v>0</v>
      </c>
      <c r="BI280" s="51">
        <f t="shared" ca="1" si="209"/>
        <v>0</v>
      </c>
      <c r="BJ280" s="51">
        <f t="shared" ca="1" si="210"/>
        <v>0</v>
      </c>
      <c r="BK280" s="51">
        <f t="shared" si="211"/>
        <v>0</v>
      </c>
      <c r="BL280" s="51">
        <f t="shared" ca="1" si="212"/>
        <v>0</v>
      </c>
      <c r="BM280" s="51">
        <f t="shared" si="213"/>
        <v>0</v>
      </c>
      <c r="BN280" s="51">
        <f t="shared" si="214"/>
        <v>0</v>
      </c>
      <c r="BO280" s="51">
        <f t="shared" ca="1" si="215"/>
        <v>0</v>
      </c>
      <c r="BP280" s="51">
        <f t="shared" ca="1" si="216"/>
        <v>0</v>
      </c>
      <c r="BQ280" s="120"/>
      <c r="BR280" s="32"/>
      <c r="BS280" s="126"/>
      <c r="BT280" s="16"/>
      <c r="BU280" s="58"/>
      <c r="BW280" s="51">
        <f>VLOOKUP(H280,Charges!$AT$4:$AU$33,2,FALSE)*I280</f>
        <v>0</v>
      </c>
      <c r="BX280" s="51">
        <f t="shared" si="217"/>
        <v>0</v>
      </c>
      <c r="BY280" s="51">
        <f t="shared" si="225"/>
        <v>0</v>
      </c>
      <c r="BZ280" s="151"/>
      <c r="CA280" s="151"/>
      <c r="CB280" s="32"/>
      <c r="CC280" s="16">
        <f ca="1">SUM($N$7:$N280)</f>
        <v>0</v>
      </c>
      <c r="CD280" s="16">
        <f t="shared" ca="1" si="218"/>
        <v>0</v>
      </c>
      <c r="CE280" s="16">
        <f t="shared" ca="1" si="219"/>
        <v>0</v>
      </c>
      <c r="CF280" s="7">
        <f t="shared" ca="1" si="226"/>
        <v>0</v>
      </c>
    </row>
    <row r="281" spans="1:84" s="7" customFormat="1" x14ac:dyDescent="0.2">
      <c r="A281" s="149"/>
      <c r="B281" s="14">
        <f t="shared" si="188"/>
        <v>0</v>
      </c>
      <c r="C281" s="12">
        <f t="shared" si="189"/>
        <v>0</v>
      </c>
      <c r="D281" s="17">
        <f t="shared" si="227"/>
        <v>275</v>
      </c>
      <c r="E281" s="17">
        <f t="shared" ca="1" si="190"/>
        <v>82</v>
      </c>
      <c r="F281" s="12">
        <f t="shared" si="229"/>
        <v>10</v>
      </c>
      <c r="G281" s="12">
        <f t="shared" si="228"/>
        <v>46</v>
      </c>
      <c r="H281" s="17">
        <f t="shared" si="230"/>
        <v>23</v>
      </c>
      <c r="I281" s="29">
        <f t="shared" si="191"/>
        <v>0</v>
      </c>
      <c r="J281" s="211">
        <f>IFERROR(VLOOKUP(H281,Charges!$T$6:$U$35,2,0)*C281,0)</f>
        <v>0</v>
      </c>
      <c r="K281" s="29">
        <f t="shared" si="192"/>
        <v>0</v>
      </c>
      <c r="L281" s="29">
        <f t="shared" si="193"/>
        <v>0</v>
      </c>
      <c r="M281" s="147">
        <f t="shared" ca="1" si="194"/>
        <v>0</v>
      </c>
      <c r="N281" s="148">
        <f ca="1">IF(AND(Option_SPW="Y",Z280&gt;=SPW_Start_Min_FV,H281&gt;=Lock_In_Period,Z280&gt;SPW_Amount_pa+IF(option="Single",1/5*pr,2*pr),H281&gt;=SPW_Start_Year,H281&lt;=SPW_Start_Year+SPW_Duration-1,F281=0,age+H281&gt;=Legal_Age),SPW_Amount_pa,0)+IFERROR(VLOOKUP(H281,Input!$B$68:$C$74,2,0),0)*(F281=0)*(Option_PW="Y")*(Option_SPW="N")*(age+H281&gt;=Legal_Age)</f>
        <v>0</v>
      </c>
      <c r="O281" s="148">
        <f t="shared" ca="1" si="220"/>
        <v>0</v>
      </c>
      <c r="P281" s="14">
        <f ca="1">(MAX(MAX(sa-CF280*Flag_UL_Type,105%*SUM($I$7:I281))-(AD280+L281-N281)*Flag_UL_Type,0)*B281)</f>
        <v>0</v>
      </c>
      <c r="Q281" s="213">
        <f t="shared" si="195"/>
        <v>0</v>
      </c>
      <c r="R281" s="14">
        <f t="shared" ca="1" si="196"/>
        <v>0</v>
      </c>
      <c r="S281" s="14">
        <f t="shared" ca="1" si="197"/>
        <v>0</v>
      </c>
      <c r="T281" s="14">
        <f>IFERROR(IF(WoP_Flag="Y",IF(fq=1,VLOOKUP(ppt*fq-H281,Charges!$AN$41:$AO$59,2,FALSE),IF(fq=2,VLOOKUP(ppt*fq-G281,Charges!$AP$41:$AQ$79,2,FALSE),VLOOKUP(ppt*fq-D281,Charges!$AR$41:$AS$279,2,FALSE)))*pr/fq,0),0)</f>
        <v>0</v>
      </c>
      <c r="U281" s="14">
        <f ca="1">IFERROR(((T281*(VLOOKUP(Input!$D$18+H281-1,Tab_Mort_Charge,IF(Gender_2="M",2,3),FALSE)*(1+_emr2)+_rpm2)/IF(Model_Type="LA_PQIS",1000/0.0833,(12*1000))))*Flag_Mort_Rider_Charge*(T281&gt;0),0)</f>
        <v>0</v>
      </c>
      <c r="V281" s="34">
        <f>ROUND(MIN(IF(H281&gt;=7,Charges!$C$12*(1+Charges!$C$14)^((H281-7+1)),VLOOKUP(H281,Charges!$B$7:$C$12,2,0))*pr,Charges!$C$13)*B281,Round)</f>
        <v>0</v>
      </c>
      <c r="W281" s="14">
        <f t="shared" ca="1" si="198"/>
        <v>0</v>
      </c>
      <c r="X281" s="14">
        <f t="shared" ca="1" si="199"/>
        <v>0</v>
      </c>
      <c r="Y281" s="213">
        <f t="shared" ca="1" si="221"/>
        <v>0</v>
      </c>
      <c r="Z281" s="14">
        <f t="shared" ca="1" si="200"/>
        <v>0</v>
      </c>
      <c r="AA281" s="14">
        <f>IF(AND($H281=pt,$F281=11),SUM($K$7:K281)*VLOOKUP(pt,ROC,2,FALSE),0)</f>
        <v>0</v>
      </c>
      <c r="AB281" s="14">
        <f>IF(AND($H281=pt,$F281=11),SUM($V$7:V281)*VLOOKUP(pt,ROC,2,FALSE),0)</f>
        <v>0</v>
      </c>
      <c r="AC281" s="14">
        <f>IF(AND($H281=pt,$F281=11),SUM($Q$7:Q281)*VLOOKUP(pt,ROC,2,FALSE),0)</f>
        <v>0</v>
      </c>
      <c r="AD281" s="14">
        <f t="shared" ca="1" si="222"/>
        <v>0</v>
      </c>
      <c r="AE281" s="14">
        <f ca="1">(MAX(sa-CF280*Flag_UL_Type,105%*SUM($I$7:I281),Z281)+AU281)*B281</f>
        <v>0</v>
      </c>
      <c r="AF281" s="136"/>
      <c r="AG281" s="18">
        <v>275</v>
      </c>
      <c r="AH281" s="30">
        <f t="shared" ca="1" si="201"/>
        <v>0</v>
      </c>
      <c r="AI281" s="58"/>
      <c r="AJ281" s="50">
        <f>IF(AND(Option_Sys_TopUp&gt;="Y",H281&gt;=sytp,H281&lt;=(dtp+sytp-1),F281=0,H281&lt;=ppt+1),atp,0)+IFERROR(VLOOKUP(H281,Input!$B$55:$C$61,2,0),0)*(F281=0)*(Option_TopUP="Y")*(Option_Sys_TopUp="N")*B281*(pt&gt;=H281+5)</f>
        <v>0</v>
      </c>
      <c r="AK281" s="50">
        <f t="shared" si="202"/>
        <v>0</v>
      </c>
      <c r="AL281" s="50">
        <f t="shared" si="223"/>
        <v>0</v>
      </c>
      <c r="AM281" s="50">
        <f t="shared" ca="1" si="203"/>
        <v>0</v>
      </c>
      <c r="AN281" s="50">
        <f>IF(B281=0,0,AT281*(_rpm1+(1+_emr1)*VLOOKUP(E281,Tab_Mort_Charge,IF(Input!$C$12="M",2,3),0))*(0.001*0.0833)*Flag_Mort_Rider_Charge*(AT281&gt;0))</f>
        <v>0</v>
      </c>
      <c r="AO281" s="50">
        <f t="shared" ca="1" si="224"/>
        <v>0</v>
      </c>
      <c r="AP281" s="50">
        <f t="shared" ca="1" si="187"/>
        <v>0</v>
      </c>
      <c r="AQ281" s="50">
        <f t="shared" ca="1" si="204"/>
        <v>0</v>
      </c>
      <c r="AR281" s="50">
        <f t="shared" ca="1" si="205"/>
        <v>0</v>
      </c>
      <c r="AS281" s="50">
        <f t="shared" si="206"/>
        <v>0</v>
      </c>
      <c r="AT281" s="50">
        <f ca="1">(MAX((MAX(AS281,105%*SUM($AJ$7:AJ281))-AM281*Flag_UL_Type),0)*B281)</f>
        <v>0</v>
      </c>
      <c r="AU281" s="50">
        <f ca="1">(MAX(AS281,AR281,105%*SUM($AJ$7:AJ281))*B281)</f>
        <v>0</v>
      </c>
      <c r="AV281" s="125"/>
      <c r="AW281" s="13"/>
      <c r="AX281" s="13"/>
      <c r="AY281" s="13"/>
      <c r="AZ281" s="13"/>
      <c r="BA281" s="13"/>
      <c r="BG281" s="51">
        <f t="shared" si="207"/>
        <v>0</v>
      </c>
      <c r="BH281" s="51">
        <f t="shared" si="208"/>
        <v>0</v>
      </c>
      <c r="BI281" s="51">
        <f t="shared" ca="1" si="209"/>
        <v>0</v>
      </c>
      <c r="BJ281" s="51">
        <f t="shared" ca="1" si="210"/>
        <v>0</v>
      </c>
      <c r="BK281" s="51">
        <f t="shared" si="211"/>
        <v>0</v>
      </c>
      <c r="BL281" s="51">
        <f t="shared" ca="1" si="212"/>
        <v>0</v>
      </c>
      <c r="BM281" s="51">
        <f t="shared" si="213"/>
        <v>0</v>
      </c>
      <c r="BN281" s="51">
        <f t="shared" si="214"/>
        <v>0</v>
      </c>
      <c r="BO281" s="51">
        <f t="shared" ca="1" si="215"/>
        <v>0</v>
      </c>
      <c r="BP281" s="51">
        <f t="shared" ca="1" si="216"/>
        <v>0</v>
      </c>
      <c r="BQ281" s="120"/>
      <c r="BR281" s="32"/>
      <c r="BS281" s="126"/>
      <c r="BT281" s="16"/>
      <c r="BU281" s="58"/>
      <c r="BW281" s="51">
        <f>VLOOKUP(H281,Charges!$AT$4:$AU$33,2,FALSE)*I281</f>
        <v>0</v>
      </c>
      <c r="BX281" s="51">
        <f t="shared" si="217"/>
        <v>0</v>
      </c>
      <c r="BY281" s="51">
        <f t="shared" si="225"/>
        <v>0</v>
      </c>
      <c r="BZ281" s="151"/>
      <c r="CA281" s="151"/>
      <c r="CB281" s="32"/>
      <c r="CC281" s="16">
        <f ca="1">SUM($N$7:$N281)</f>
        <v>0</v>
      </c>
      <c r="CD281" s="16">
        <f t="shared" ca="1" si="218"/>
        <v>0</v>
      </c>
      <c r="CE281" s="16">
        <f t="shared" ca="1" si="219"/>
        <v>0</v>
      </c>
      <c r="CF281" s="7">
        <f t="shared" ca="1" si="226"/>
        <v>0</v>
      </c>
    </row>
    <row r="282" spans="1:84" s="7" customFormat="1" x14ac:dyDescent="0.2">
      <c r="A282" s="149"/>
      <c r="B282" s="14">
        <f t="shared" si="188"/>
        <v>0</v>
      </c>
      <c r="C282" s="12">
        <f t="shared" si="189"/>
        <v>0</v>
      </c>
      <c r="D282" s="17">
        <f t="shared" si="227"/>
        <v>276</v>
      </c>
      <c r="E282" s="17">
        <f t="shared" ca="1" si="190"/>
        <v>82</v>
      </c>
      <c r="F282" s="12">
        <f t="shared" si="229"/>
        <v>11</v>
      </c>
      <c r="G282" s="12">
        <f t="shared" si="228"/>
        <v>46</v>
      </c>
      <c r="H282" s="17">
        <f t="shared" si="230"/>
        <v>23</v>
      </c>
      <c r="I282" s="29">
        <f t="shared" si="191"/>
        <v>0</v>
      </c>
      <c r="J282" s="211">
        <f>IFERROR(VLOOKUP(H282,Charges!$T$6:$U$35,2,0)*C282,0)</f>
        <v>0</v>
      </c>
      <c r="K282" s="29">
        <f t="shared" si="192"/>
        <v>0</v>
      </c>
      <c r="L282" s="29">
        <f t="shared" si="193"/>
        <v>0</v>
      </c>
      <c r="M282" s="147">
        <f t="shared" ca="1" si="194"/>
        <v>0</v>
      </c>
      <c r="N282" s="148">
        <f ca="1">IF(AND(Option_SPW="Y",Z281&gt;=SPW_Start_Min_FV,H282&gt;=Lock_In_Period,Z281&gt;SPW_Amount_pa+IF(option="Single",1/5*pr,2*pr),H282&gt;=SPW_Start_Year,H282&lt;=SPW_Start_Year+SPW_Duration-1,F282=0,age+H282&gt;=Legal_Age),SPW_Amount_pa,0)+IFERROR(VLOOKUP(H282,Input!$B$68:$C$74,2,0),0)*(F282=0)*(Option_PW="Y")*(Option_SPW="N")*(age+H282&gt;=Legal_Age)</f>
        <v>0</v>
      </c>
      <c r="O282" s="148">
        <f t="shared" ca="1" si="220"/>
        <v>0</v>
      </c>
      <c r="P282" s="14">
        <f ca="1">(MAX(MAX(sa-CF281*Flag_UL_Type,105%*SUM($I$7:I282))-(AD281+L282-N282)*Flag_UL_Type,0)*B282)</f>
        <v>0</v>
      </c>
      <c r="Q282" s="213">
        <f t="shared" si="195"/>
        <v>0</v>
      </c>
      <c r="R282" s="14">
        <f t="shared" ca="1" si="196"/>
        <v>0</v>
      </c>
      <c r="S282" s="14">
        <f t="shared" ca="1" si="197"/>
        <v>0</v>
      </c>
      <c r="T282" s="14">
        <f>IFERROR(IF(WoP_Flag="Y",IF(fq=1,VLOOKUP(ppt*fq-H282,Charges!$AN$41:$AO$59,2,FALSE),IF(fq=2,VLOOKUP(ppt*fq-G282,Charges!$AP$41:$AQ$79,2,FALSE),VLOOKUP(ppt*fq-D282,Charges!$AR$41:$AS$279,2,FALSE)))*pr/fq,0),0)</f>
        <v>0</v>
      </c>
      <c r="U282" s="14">
        <f ca="1">IFERROR(((T282*(VLOOKUP(Input!$D$18+H282-1,Tab_Mort_Charge,IF(Gender_2="M",2,3),FALSE)*(1+_emr2)+_rpm2)/IF(Model_Type="LA_PQIS",1000/0.0833,(12*1000))))*Flag_Mort_Rider_Charge*(T282&gt;0),0)</f>
        <v>0</v>
      </c>
      <c r="V282" s="34">
        <f>ROUND(MIN(IF(H282&gt;=7,Charges!$C$12*(1+Charges!$C$14)^((H282-7+1)),VLOOKUP(H282,Charges!$B$7:$C$12,2,0))*pr,Charges!$C$13)*B282,Round)</f>
        <v>0</v>
      </c>
      <c r="W282" s="14">
        <f t="shared" ca="1" si="198"/>
        <v>0</v>
      </c>
      <c r="X282" s="14">
        <f t="shared" ca="1" si="199"/>
        <v>0</v>
      </c>
      <c r="Y282" s="213">
        <f t="shared" ca="1" si="221"/>
        <v>0</v>
      </c>
      <c r="Z282" s="14">
        <f t="shared" ca="1" si="200"/>
        <v>0</v>
      </c>
      <c r="AA282" s="14">
        <f>IF(AND($H282=pt,$F282=11),SUM($K$7:K282)*VLOOKUP(pt,ROC,2,FALSE),0)</f>
        <v>0</v>
      </c>
      <c r="AB282" s="14">
        <f>IF(AND($H282=pt,$F282=11),SUM($V$7:V282)*VLOOKUP(pt,ROC,2,FALSE),0)</f>
        <v>0</v>
      </c>
      <c r="AC282" s="14">
        <f>IF(AND($H282=pt,$F282=11),SUM($Q$7:Q282)*VLOOKUP(pt,ROC,2,FALSE),0)</f>
        <v>0</v>
      </c>
      <c r="AD282" s="14">
        <f t="shared" ca="1" si="222"/>
        <v>0</v>
      </c>
      <c r="AE282" s="14">
        <f ca="1">(MAX(sa-CF281*Flag_UL_Type,105%*SUM($I$7:I282),Z282)+AU282)*B282</f>
        <v>0</v>
      </c>
      <c r="AF282" s="136"/>
      <c r="AG282" s="18">
        <v>276</v>
      </c>
      <c r="AH282" s="30">
        <f t="shared" ca="1" si="201"/>
        <v>0</v>
      </c>
      <c r="AI282" s="58"/>
      <c r="AJ282" s="50">
        <f>IF(AND(Option_Sys_TopUp&gt;="Y",H282&gt;=sytp,H282&lt;=(dtp+sytp-1),F282=0,H282&lt;=ppt+1),atp,0)+IFERROR(VLOOKUP(H282,Input!$B$55:$C$61,2,0),0)*(F282=0)*(Option_TopUP="Y")*(Option_Sys_TopUp="N")*B282*(pt&gt;=H282+5)</f>
        <v>0</v>
      </c>
      <c r="AK282" s="50">
        <f t="shared" si="202"/>
        <v>0</v>
      </c>
      <c r="AL282" s="50">
        <f t="shared" si="223"/>
        <v>0</v>
      </c>
      <c r="AM282" s="50">
        <f t="shared" ca="1" si="203"/>
        <v>0</v>
      </c>
      <c r="AN282" s="50">
        <f>IF(B282=0,0,AT282*(_rpm1+(1+_emr1)*VLOOKUP(E282,Tab_Mort_Charge,IF(Input!$C$12="M",2,3),0))*(0.001*0.0833)*Flag_Mort_Rider_Charge*(AT282&gt;0))</f>
        <v>0</v>
      </c>
      <c r="AO282" s="50">
        <f t="shared" ca="1" si="224"/>
        <v>0</v>
      </c>
      <c r="AP282" s="50">
        <f t="shared" ca="1" si="187"/>
        <v>0</v>
      </c>
      <c r="AQ282" s="50">
        <f t="shared" ca="1" si="204"/>
        <v>0</v>
      </c>
      <c r="AR282" s="50">
        <f t="shared" ca="1" si="205"/>
        <v>0</v>
      </c>
      <c r="AS282" s="50">
        <f t="shared" si="206"/>
        <v>0</v>
      </c>
      <c r="AT282" s="50">
        <f ca="1">(MAX((MAX(AS282,105%*SUM($AJ$7:AJ282))-AM282*Flag_UL_Type),0)*B282)</f>
        <v>0</v>
      </c>
      <c r="AU282" s="50">
        <f ca="1">(MAX(AS282,AR282,105%*SUM($AJ$7:AJ282))*B282)</f>
        <v>0</v>
      </c>
      <c r="AV282" s="125"/>
      <c r="AW282" s="13"/>
      <c r="AX282" s="13"/>
      <c r="AY282" s="13"/>
      <c r="AZ282" s="13"/>
      <c r="BA282" s="13"/>
      <c r="BG282" s="51">
        <f t="shared" si="207"/>
        <v>0</v>
      </c>
      <c r="BH282" s="51">
        <f t="shared" si="208"/>
        <v>0</v>
      </c>
      <c r="BI282" s="51">
        <f t="shared" ca="1" si="209"/>
        <v>0</v>
      </c>
      <c r="BJ282" s="51">
        <f t="shared" ca="1" si="210"/>
        <v>0</v>
      </c>
      <c r="BK282" s="51">
        <f t="shared" si="211"/>
        <v>0</v>
      </c>
      <c r="BL282" s="51">
        <f t="shared" ca="1" si="212"/>
        <v>0</v>
      </c>
      <c r="BM282" s="51">
        <f t="shared" si="213"/>
        <v>0</v>
      </c>
      <c r="BN282" s="51">
        <f t="shared" si="214"/>
        <v>0</v>
      </c>
      <c r="BO282" s="51">
        <f t="shared" ca="1" si="215"/>
        <v>0</v>
      </c>
      <c r="BP282" s="51">
        <f t="shared" ca="1" si="216"/>
        <v>0</v>
      </c>
      <c r="BQ282" s="120"/>
      <c r="BR282" s="32"/>
      <c r="BS282" s="126"/>
      <c r="BT282" s="16"/>
      <c r="BU282" s="58"/>
      <c r="BW282" s="51">
        <f>VLOOKUP(H282,Charges!$AT$4:$AU$33,2,FALSE)*I282</f>
        <v>0</v>
      </c>
      <c r="BX282" s="51">
        <f t="shared" si="217"/>
        <v>0</v>
      </c>
      <c r="BY282" s="51">
        <f t="shared" si="225"/>
        <v>0</v>
      </c>
      <c r="BZ282" s="151"/>
      <c r="CA282" s="151"/>
      <c r="CB282" s="32"/>
      <c r="CC282" s="16">
        <f ca="1">SUM($N$7:$N282)</f>
        <v>0</v>
      </c>
      <c r="CD282" s="16">
        <f t="shared" ca="1" si="218"/>
        <v>0</v>
      </c>
      <c r="CE282" s="16">
        <f t="shared" ca="1" si="219"/>
        <v>0</v>
      </c>
      <c r="CF282" s="7">
        <f t="shared" ca="1" si="226"/>
        <v>0</v>
      </c>
    </row>
    <row r="283" spans="1:84" s="7" customFormat="1" x14ac:dyDescent="0.2">
      <c r="A283" s="149"/>
      <c r="B283" s="14">
        <f t="shared" si="188"/>
        <v>0</v>
      </c>
      <c r="C283" s="12">
        <f t="shared" si="189"/>
        <v>0</v>
      </c>
      <c r="D283" s="17">
        <f t="shared" si="227"/>
        <v>277</v>
      </c>
      <c r="E283" s="17">
        <f t="shared" ca="1" si="190"/>
        <v>83</v>
      </c>
      <c r="F283" s="12">
        <f t="shared" si="229"/>
        <v>0</v>
      </c>
      <c r="G283" s="12">
        <f t="shared" si="228"/>
        <v>47</v>
      </c>
      <c r="H283" s="17">
        <f t="shared" si="230"/>
        <v>24</v>
      </c>
      <c r="I283" s="29">
        <f t="shared" si="191"/>
        <v>0</v>
      </c>
      <c r="J283" s="211">
        <f>IFERROR(VLOOKUP(H283,Charges!$T$6:$U$35,2,0)*C283,0)</f>
        <v>0</v>
      </c>
      <c r="K283" s="29">
        <f t="shared" si="192"/>
        <v>0</v>
      </c>
      <c r="L283" s="29">
        <f t="shared" si="193"/>
        <v>0</v>
      </c>
      <c r="M283" s="147">
        <f t="shared" ca="1" si="194"/>
        <v>0</v>
      </c>
      <c r="N283" s="148">
        <f ca="1">IF(AND(Option_SPW="Y",Z282&gt;=SPW_Start_Min_FV,H283&gt;=Lock_In_Period,Z282&gt;SPW_Amount_pa+IF(option="Single",1/5*pr,2*pr),H283&gt;=SPW_Start_Year,H283&lt;=SPW_Start_Year+SPW_Duration-1,F283=0,age+H283&gt;=Legal_Age),SPW_Amount_pa,0)+IFERROR(VLOOKUP(H283,Input!$B$68:$C$74,2,0),0)*(F283=0)*(Option_PW="Y")*(Option_SPW="N")*(age+H283&gt;=Legal_Age)</f>
        <v>0</v>
      </c>
      <c r="O283" s="148">
        <f t="shared" ca="1" si="220"/>
        <v>0</v>
      </c>
      <c r="P283" s="14">
        <f ca="1">(MAX(MAX(sa-CF282*Flag_UL_Type,105%*SUM($I$7:I283))-(AD282+L283-N283)*Flag_UL_Type,0)*B283)</f>
        <v>0</v>
      </c>
      <c r="Q283" s="213">
        <f t="shared" si="195"/>
        <v>0</v>
      </c>
      <c r="R283" s="14">
        <f t="shared" ca="1" si="196"/>
        <v>0</v>
      </c>
      <c r="S283" s="14">
        <f t="shared" ca="1" si="197"/>
        <v>0</v>
      </c>
      <c r="T283" s="14">
        <f>IFERROR(IF(WoP_Flag="Y",IF(fq=1,VLOOKUP(ppt*fq-H283,Charges!$AN$41:$AO$59,2,FALSE),IF(fq=2,VLOOKUP(ppt*fq-G283,Charges!$AP$41:$AQ$79,2,FALSE),VLOOKUP(ppt*fq-D283,Charges!$AR$41:$AS$279,2,FALSE)))*pr/fq,0),0)</f>
        <v>0</v>
      </c>
      <c r="U283" s="14">
        <f ca="1">IFERROR(((T283*(VLOOKUP(Input!$D$18+H283-1,Tab_Mort_Charge,IF(Gender_2="M",2,3),FALSE)*(1+_emr2)+_rpm2)/IF(Model_Type="LA_PQIS",1000/0.0833,(12*1000))))*Flag_Mort_Rider_Charge*(T283&gt;0),0)</f>
        <v>0</v>
      </c>
      <c r="V283" s="34">
        <f>ROUND(MIN(IF(H283&gt;=7,Charges!$C$12*(1+Charges!$C$14)^((H283-7+1)),VLOOKUP(H283,Charges!$B$7:$C$12,2,0))*pr,Charges!$C$13)*B283,Round)</f>
        <v>0</v>
      </c>
      <c r="W283" s="14">
        <f t="shared" ca="1" si="198"/>
        <v>0</v>
      </c>
      <c r="X283" s="14">
        <f t="shared" ca="1" si="199"/>
        <v>0</v>
      </c>
      <c r="Y283" s="213">
        <f t="shared" ca="1" si="221"/>
        <v>0</v>
      </c>
      <c r="Z283" s="14">
        <f t="shared" ca="1" si="200"/>
        <v>0</v>
      </c>
      <c r="AA283" s="14">
        <f>IF(AND($H283=pt,$F283=11),SUM($K$7:K283)*VLOOKUP(pt,ROC,2,FALSE),0)</f>
        <v>0</v>
      </c>
      <c r="AB283" s="14">
        <f>IF(AND($H283=pt,$F283=11),SUM($V$7:V283)*VLOOKUP(pt,ROC,2,FALSE),0)</f>
        <v>0</v>
      </c>
      <c r="AC283" s="14">
        <f>IF(AND($H283=pt,$F283=11),SUM($Q$7:Q283)*VLOOKUP(pt,ROC,2,FALSE),0)</f>
        <v>0</v>
      </c>
      <c r="AD283" s="14">
        <f t="shared" ca="1" si="222"/>
        <v>0</v>
      </c>
      <c r="AE283" s="14">
        <f ca="1">(MAX(sa-CF282*Flag_UL_Type,105%*SUM($I$7:I283),Z283)+AU283)*B283</f>
        <v>0</v>
      </c>
      <c r="AF283" s="136"/>
      <c r="AG283" s="18">
        <v>277</v>
      </c>
      <c r="AH283" s="30">
        <f t="shared" ca="1" si="201"/>
        <v>0</v>
      </c>
      <c r="AI283" s="58"/>
      <c r="AJ283" s="50">
        <f>IF(AND(Option_Sys_TopUp&gt;="Y",H283&gt;=sytp,H283&lt;=(dtp+sytp-1),F283=0,H283&lt;=ppt+1),atp,0)+IFERROR(VLOOKUP(H283,Input!$B$55:$C$61,2,0),0)*(F283=0)*(Option_TopUP="Y")*(Option_Sys_TopUp="N")*B283*(pt&gt;=H283+5)</f>
        <v>0</v>
      </c>
      <c r="AK283" s="50">
        <f t="shared" si="202"/>
        <v>0</v>
      </c>
      <c r="AL283" s="50">
        <f t="shared" si="223"/>
        <v>0</v>
      </c>
      <c r="AM283" s="50">
        <f t="shared" ca="1" si="203"/>
        <v>0</v>
      </c>
      <c r="AN283" s="50">
        <f>IF(B283=0,0,AT283*(_rpm1+(1+_emr1)*VLOOKUP(E283,Tab_Mort_Charge,IF(Input!$C$12="M",2,3),0))*(0.001*0.0833)*Flag_Mort_Rider_Charge*(AT283&gt;0))</f>
        <v>0</v>
      </c>
      <c r="AO283" s="50">
        <f t="shared" ca="1" si="224"/>
        <v>0</v>
      </c>
      <c r="AP283" s="50">
        <f t="shared" ca="1" si="187"/>
        <v>0</v>
      </c>
      <c r="AQ283" s="50">
        <f t="shared" ca="1" si="204"/>
        <v>0</v>
      </c>
      <c r="AR283" s="50">
        <f t="shared" ca="1" si="205"/>
        <v>0</v>
      </c>
      <c r="AS283" s="50">
        <f t="shared" si="206"/>
        <v>0</v>
      </c>
      <c r="AT283" s="50">
        <f ca="1">(MAX((MAX(AS283,105%*SUM($AJ$7:AJ283))-AM283*Flag_UL_Type),0)*B283)</f>
        <v>0</v>
      </c>
      <c r="AU283" s="50">
        <f ca="1">(MAX(AS283,AR283,105%*SUM($AJ$7:AJ283))*B283)</f>
        <v>0</v>
      </c>
      <c r="AV283" s="125"/>
      <c r="AW283" s="13"/>
      <c r="AX283" s="13"/>
      <c r="AY283" s="13"/>
      <c r="AZ283" s="13"/>
      <c r="BA283" s="13"/>
      <c r="BG283" s="51">
        <f t="shared" si="207"/>
        <v>0</v>
      </c>
      <c r="BH283" s="51">
        <f t="shared" si="208"/>
        <v>0</v>
      </c>
      <c r="BI283" s="51">
        <f t="shared" ca="1" si="209"/>
        <v>0</v>
      </c>
      <c r="BJ283" s="51">
        <f t="shared" ca="1" si="210"/>
        <v>0</v>
      </c>
      <c r="BK283" s="51">
        <f t="shared" si="211"/>
        <v>0</v>
      </c>
      <c r="BL283" s="51">
        <f t="shared" ca="1" si="212"/>
        <v>0</v>
      </c>
      <c r="BM283" s="51">
        <f t="shared" si="213"/>
        <v>0</v>
      </c>
      <c r="BN283" s="51">
        <f t="shared" si="214"/>
        <v>0</v>
      </c>
      <c r="BO283" s="51">
        <f t="shared" ca="1" si="215"/>
        <v>0</v>
      </c>
      <c r="BP283" s="51">
        <f t="shared" ca="1" si="216"/>
        <v>0</v>
      </c>
      <c r="BQ283" s="120"/>
      <c r="BR283" s="32"/>
      <c r="BS283" s="126"/>
      <c r="BT283" s="16"/>
      <c r="BU283" s="58"/>
      <c r="BW283" s="51">
        <f>VLOOKUP(H283,Charges!$AT$4:$AU$33,2,FALSE)*I283</f>
        <v>0</v>
      </c>
      <c r="BX283" s="51">
        <f t="shared" si="217"/>
        <v>0</v>
      </c>
      <c r="BY283" s="51">
        <f t="shared" si="225"/>
        <v>0</v>
      </c>
      <c r="BZ283" s="151"/>
      <c r="CA283" s="151"/>
      <c r="CB283" s="32"/>
      <c r="CC283" s="16">
        <f ca="1">SUM($N$7:$N283)</f>
        <v>0</v>
      </c>
      <c r="CD283" s="16">
        <f t="shared" ca="1" si="218"/>
        <v>0</v>
      </c>
      <c r="CE283" s="16">
        <f t="shared" ca="1" si="219"/>
        <v>0</v>
      </c>
      <c r="CF283" s="7">
        <f t="shared" ca="1" si="226"/>
        <v>0</v>
      </c>
    </row>
    <row r="284" spans="1:84" s="7" customFormat="1" x14ac:dyDescent="0.2">
      <c r="A284" s="149"/>
      <c r="B284" s="14">
        <f t="shared" si="188"/>
        <v>0</v>
      </c>
      <c r="C284" s="12">
        <f t="shared" si="189"/>
        <v>0</v>
      </c>
      <c r="D284" s="17">
        <f t="shared" si="227"/>
        <v>278</v>
      </c>
      <c r="E284" s="17">
        <f t="shared" ca="1" si="190"/>
        <v>83</v>
      </c>
      <c r="F284" s="12">
        <f t="shared" si="229"/>
        <v>1</v>
      </c>
      <c r="G284" s="12">
        <f t="shared" si="228"/>
        <v>47</v>
      </c>
      <c r="H284" s="17">
        <f t="shared" si="230"/>
        <v>24</v>
      </c>
      <c r="I284" s="29">
        <f t="shared" si="191"/>
        <v>0</v>
      </c>
      <c r="J284" s="211">
        <f>IFERROR(VLOOKUP(H284,Charges!$T$6:$U$35,2,0)*C284,0)</f>
        <v>0</v>
      </c>
      <c r="K284" s="29">
        <f t="shared" si="192"/>
        <v>0</v>
      </c>
      <c r="L284" s="29">
        <f t="shared" si="193"/>
        <v>0</v>
      </c>
      <c r="M284" s="147">
        <f t="shared" ca="1" si="194"/>
        <v>0</v>
      </c>
      <c r="N284" s="148">
        <f ca="1">IF(AND(Option_SPW="Y",Z283&gt;=SPW_Start_Min_FV,H284&gt;=Lock_In_Period,Z283&gt;SPW_Amount_pa+IF(option="Single",1/5*pr,2*pr),H284&gt;=SPW_Start_Year,H284&lt;=SPW_Start_Year+SPW_Duration-1,F284=0,age+H284&gt;=Legal_Age),SPW_Amount_pa,0)+IFERROR(VLOOKUP(H284,Input!$B$68:$C$74,2,0),0)*(F284=0)*(Option_PW="Y")*(Option_SPW="N")*(age+H284&gt;=Legal_Age)</f>
        <v>0</v>
      </c>
      <c r="O284" s="148">
        <f t="shared" ca="1" si="220"/>
        <v>0</v>
      </c>
      <c r="P284" s="14">
        <f ca="1">(MAX(MAX(sa-CF283*Flag_UL_Type,105%*SUM($I$7:I284))-(AD283+L284-N284)*Flag_UL_Type,0)*B284)</f>
        <v>0</v>
      </c>
      <c r="Q284" s="213">
        <f t="shared" si="195"/>
        <v>0</v>
      </c>
      <c r="R284" s="14">
        <f t="shared" ca="1" si="196"/>
        <v>0</v>
      </c>
      <c r="S284" s="14">
        <f t="shared" ca="1" si="197"/>
        <v>0</v>
      </c>
      <c r="T284" s="14">
        <f>IFERROR(IF(WoP_Flag="Y",IF(fq=1,VLOOKUP(ppt*fq-H284,Charges!$AN$41:$AO$59,2,FALSE),IF(fq=2,VLOOKUP(ppt*fq-G284,Charges!$AP$41:$AQ$79,2,FALSE),VLOOKUP(ppt*fq-D284,Charges!$AR$41:$AS$279,2,FALSE)))*pr/fq,0),0)</f>
        <v>0</v>
      </c>
      <c r="U284" s="14">
        <f ca="1">IFERROR(((T284*(VLOOKUP(Input!$D$18+H284-1,Tab_Mort_Charge,IF(Gender_2="M",2,3),FALSE)*(1+_emr2)+_rpm2)/IF(Model_Type="LA_PQIS",1000/0.0833,(12*1000))))*Flag_Mort_Rider_Charge*(T284&gt;0),0)</f>
        <v>0</v>
      </c>
      <c r="V284" s="34">
        <f>ROUND(MIN(IF(H284&gt;=7,Charges!$C$12*(1+Charges!$C$14)^((H284-7+1)),VLOOKUP(H284,Charges!$B$7:$C$12,2,0))*pr,Charges!$C$13)*B284,Round)</f>
        <v>0</v>
      </c>
      <c r="W284" s="14">
        <f t="shared" ca="1" si="198"/>
        <v>0</v>
      </c>
      <c r="X284" s="14">
        <f t="shared" ca="1" si="199"/>
        <v>0</v>
      </c>
      <c r="Y284" s="213">
        <f t="shared" ca="1" si="221"/>
        <v>0</v>
      </c>
      <c r="Z284" s="14">
        <f t="shared" ca="1" si="200"/>
        <v>0</v>
      </c>
      <c r="AA284" s="14">
        <f>IF(AND($H284=pt,$F284=11),SUM($K$7:K284)*VLOOKUP(pt,ROC,2,FALSE),0)</f>
        <v>0</v>
      </c>
      <c r="AB284" s="14">
        <f>IF(AND($H284=pt,$F284=11),SUM($V$7:V284)*VLOOKUP(pt,ROC,2,FALSE),0)</f>
        <v>0</v>
      </c>
      <c r="AC284" s="14">
        <f>IF(AND($H284=pt,$F284=11),SUM($Q$7:Q284)*VLOOKUP(pt,ROC,2,FALSE),0)</f>
        <v>0</v>
      </c>
      <c r="AD284" s="14">
        <f t="shared" ca="1" si="222"/>
        <v>0</v>
      </c>
      <c r="AE284" s="14">
        <f ca="1">(MAX(sa-CF283*Flag_UL_Type,105%*SUM($I$7:I284),Z284)+AU284)*B284</f>
        <v>0</v>
      </c>
      <c r="AF284" s="136"/>
      <c r="AG284" s="18">
        <v>278</v>
      </c>
      <c r="AH284" s="30">
        <f t="shared" ca="1" si="201"/>
        <v>0</v>
      </c>
      <c r="AI284" s="58"/>
      <c r="AJ284" s="50">
        <f>IF(AND(Option_Sys_TopUp&gt;="Y",H284&gt;=sytp,H284&lt;=(dtp+sytp-1),F284=0,H284&lt;=ppt+1),atp,0)+IFERROR(VLOOKUP(H284,Input!$B$55:$C$61,2,0),0)*(F284=0)*(Option_TopUP="Y")*(Option_Sys_TopUp="N")*B284*(pt&gt;=H284+5)</f>
        <v>0</v>
      </c>
      <c r="AK284" s="50">
        <f t="shared" si="202"/>
        <v>0</v>
      </c>
      <c r="AL284" s="50">
        <f t="shared" si="223"/>
        <v>0</v>
      </c>
      <c r="AM284" s="50">
        <f t="shared" ca="1" si="203"/>
        <v>0</v>
      </c>
      <c r="AN284" s="50">
        <f>IF(B284=0,0,AT284*(_rpm1+(1+_emr1)*VLOOKUP(E284,Tab_Mort_Charge,IF(Input!$C$12="M",2,3),0))*(0.001*0.0833)*Flag_Mort_Rider_Charge*(AT284&gt;0))</f>
        <v>0</v>
      </c>
      <c r="AO284" s="50">
        <f t="shared" ca="1" si="224"/>
        <v>0</v>
      </c>
      <c r="AP284" s="50">
        <f t="shared" ref="AP284:AP347" ca="1" si="231">AO284*(1+$F$3)*B284</f>
        <v>0</v>
      </c>
      <c r="AQ284" s="50">
        <f t="shared" ca="1" si="204"/>
        <v>0</v>
      </c>
      <c r="AR284" s="50">
        <f t="shared" ca="1" si="205"/>
        <v>0</v>
      </c>
      <c r="AS284" s="50">
        <f t="shared" si="206"/>
        <v>0</v>
      </c>
      <c r="AT284" s="50">
        <f ca="1">(MAX((MAX(AS284,105%*SUM($AJ$7:AJ284))-AM284*Flag_UL_Type),0)*B284)</f>
        <v>0</v>
      </c>
      <c r="AU284" s="50">
        <f ca="1">(MAX(AS284,AR284,105%*SUM($AJ$7:AJ284))*B284)</f>
        <v>0</v>
      </c>
      <c r="AV284" s="125"/>
      <c r="AW284" s="13"/>
      <c r="AX284" s="13"/>
      <c r="AY284" s="13"/>
      <c r="AZ284" s="13"/>
      <c r="BA284" s="13"/>
      <c r="BG284" s="51">
        <f t="shared" si="207"/>
        <v>0</v>
      </c>
      <c r="BH284" s="51">
        <f t="shared" si="208"/>
        <v>0</v>
      </c>
      <c r="BI284" s="51">
        <f t="shared" ca="1" si="209"/>
        <v>0</v>
      </c>
      <c r="BJ284" s="51">
        <f t="shared" ca="1" si="210"/>
        <v>0</v>
      </c>
      <c r="BK284" s="51">
        <f t="shared" si="211"/>
        <v>0</v>
      </c>
      <c r="BL284" s="51">
        <f t="shared" ca="1" si="212"/>
        <v>0</v>
      </c>
      <c r="BM284" s="51">
        <f t="shared" si="213"/>
        <v>0</v>
      </c>
      <c r="BN284" s="51">
        <f t="shared" si="214"/>
        <v>0</v>
      </c>
      <c r="BO284" s="51">
        <f t="shared" ca="1" si="215"/>
        <v>0</v>
      </c>
      <c r="BP284" s="51">
        <f t="shared" ca="1" si="216"/>
        <v>0</v>
      </c>
      <c r="BQ284" s="120"/>
      <c r="BR284" s="32"/>
      <c r="BS284" s="126"/>
      <c r="BT284" s="16"/>
      <c r="BU284" s="58"/>
      <c r="BW284" s="51">
        <f>VLOOKUP(H284,Charges!$AT$4:$AU$33,2,FALSE)*I284</f>
        <v>0</v>
      </c>
      <c r="BX284" s="51">
        <f t="shared" si="217"/>
        <v>0</v>
      </c>
      <c r="BY284" s="51">
        <f t="shared" si="225"/>
        <v>0</v>
      </c>
      <c r="BZ284" s="151"/>
      <c r="CA284" s="151"/>
      <c r="CB284" s="32"/>
      <c r="CC284" s="16">
        <f ca="1">SUM($N$7:$N284)</f>
        <v>0</v>
      </c>
      <c r="CD284" s="16">
        <f t="shared" ca="1" si="218"/>
        <v>0</v>
      </c>
      <c r="CE284" s="16">
        <f t="shared" ca="1" si="219"/>
        <v>0</v>
      </c>
      <c r="CF284" s="7">
        <f t="shared" ca="1" si="226"/>
        <v>0</v>
      </c>
    </row>
    <row r="285" spans="1:84" s="7" customFormat="1" x14ac:dyDescent="0.2">
      <c r="A285" s="149"/>
      <c r="B285" s="14">
        <f t="shared" si="188"/>
        <v>0</v>
      </c>
      <c r="C285" s="12">
        <f t="shared" si="189"/>
        <v>0</v>
      </c>
      <c r="D285" s="17">
        <f t="shared" si="227"/>
        <v>279</v>
      </c>
      <c r="E285" s="17">
        <f t="shared" ca="1" si="190"/>
        <v>83</v>
      </c>
      <c r="F285" s="12">
        <f t="shared" si="229"/>
        <v>2</v>
      </c>
      <c r="G285" s="12">
        <f t="shared" si="228"/>
        <v>47</v>
      </c>
      <c r="H285" s="17">
        <f t="shared" si="230"/>
        <v>24</v>
      </c>
      <c r="I285" s="29">
        <f t="shared" si="191"/>
        <v>0</v>
      </c>
      <c r="J285" s="211">
        <f>IFERROR(VLOOKUP(H285,Charges!$T$6:$U$35,2,0)*C285,0)</f>
        <v>0</v>
      </c>
      <c r="K285" s="29">
        <f t="shared" si="192"/>
        <v>0</v>
      </c>
      <c r="L285" s="29">
        <f t="shared" si="193"/>
        <v>0</v>
      </c>
      <c r="M285" s="147">
        <f t="shared" ca="1" si="194"/>
        <v>0</v>
      </c>
      <c r="N285" s="148">
        <f ca="1">IF(AND(Option_SPW="Y",Z284&gt;=SPW_Start_Min_FV,H285&gt;=Lock_In_Period,Z284&gt;SPW_Amount_pa+IF(option="Single",1/5*pr,2*pr),H285&gt;=SPW_Start_Year,H285&lt;=SPW_Start_Year+SPW_Duration-1,F285=0,age+H285&gt;=Legal_Age),SPW_Amount_pa,0)+IFERROR(VLOOKUP(H285,Input!$B$68:$C$74,2,0),0)*(F285=0)*(Option_PW="Y")*(Option_SPW="N")*(age+H285&gt;=Legal_Age)</f>
        <v>0</v>
      </c>
      <c r="O285" s="148">
        <f t="shared" ca="1" si="220"/>
        <v>0</v>
      </c>
      <c r="P285" s="14">
        <f ca="1">(MAX(MAX(sa-CF284*Flag_UL_Type,105%*SUM($I$7:I285))-(AD284+L285-N285)*Flag_UL_Type,0)*B285)</f>
        <v>0</v>
      </c>
      <c r="Q285" s="213">
        <f t="shared" si="195"/>
        <v>0</v>
      </c>
      <c r="R285" s="14">
        <f t="shared" ca="1" si="196"/>
        <v>0</v>
      </c>
      <c r="S285" s="14">
        <f t="shared" ca="1" si="197"/>
        <v>0</v>
      </c>
      <c r="T285" s="14">
        <f>IFERROR(IF(WoP_Flag="Y",IF(fq=1,VLOOKUP(ppt*fq-H285,Charges!$AN$41:$AO$59,2,FALSE),IF(fq=2,VLOOKUP(ppt*fq-G285,Charges!$AP$41:$AQ$79,2,FALSE),VLOOKUP(ppt*fq-D285,Charges!$AR$41:$AS$279,2,FALSE)))*pr/fq,0),0)</f>
        <v>0</v>
      </c>
      <c r="U285" s="14">
        <f ca="1">IFERROR(((T285*(VLOOKUP(Input!$D$18+H285-1,Tab_Mort_Charge,IF(Gender_2="M",2,3),FALSE)*(1+_emr2)+_rpm2)/IF(Model_Type="LA_PQIS",1000/0.0833,(12*1000))))*Flag_Mort_Rider_Charge*(T285&gt;0),0)</f>
        <v>0</v>
      </c>
      <c r="V285" s="34">
        <f>ROUND(MIN(IF(H285&gt;=7,Charges!$C$12*(1+Charges!$C$14)^((H285-7+1)),VLOOKUP(H285,Charges!$B$7:$C$12,2,0))*pr,Charges!$C$13)*B285,Round)</f>
        <v>0</v>
      </c>
      <c r="W285" s="14">
        <f t="shared" ca="1" si="198"/>
        <v>0</v>
      </c>
      <c r="X285" s="14">
        <f t="shared" ca="1" si="199"/>
        <v>0</v>
      </c>
      <c r="Y285" s="213">
        <f t="shared" ca="1" si="221"/>
        <v>0</v>
      </c>
      <c r="Z285" s="14">
        <f t="shared" ca="1" si="200"/>
        <v>0</v>
      </c>
      <c r="AA285" s="14">
        <f>IF(AND($H285=pt,$F285=11),SUM($K$7:K285)*VLOOKUP(pt,ROC,2,FALSE),0)</f>
        <v>0</v>
      </c>
      <c r="AB285" s="14">
        <f>IF(AND($H285=pt,$F285=11),SUM($V$7:V285)*VLOOKUP(pt,ROC,2,FALSE),0)</f>
        <v>0</v>
      </c>
      <c r="AC285" s="14">
        <f>IF(AND($H285=pt,$F285=11),SUM($Q$7:Q285)*VLOOKUP(pt,ROC,2,FALSE),0)</f>
        <v>0</v>
      </c>
      <c r="AD285" s="14">
        <f t="shared" ca="1" si="222"/>
        <v>0</v>
      </c>
      <c r="AE285" s="14">
        <f ca="1">(MAX(sa-CF284*Flag_UL_Type,105%*SUM($I$7:I285),Z285)+AU285)*B285</f>
        <v>0</v>
      </c>
      <c r="AF285" s="136"/>
      <c r="AG285" s="18">
        <v>279</v>
      </c>
      <c r="AH285" s="30">
        <f t="shared" ca="1" si="201"/>
        <v>0</v>
      </c>
      <c r="AI285" s="58"/>
      <c r="AJ285" s="50">
        <f>IF(AND(Option_Sys_TopUp&gt;="Y",H285&gt;=sytp,H285&lt;=(dtp+sytp-1),F285=0,H285&lt;=ppt+1),atp,0)+IFERROR(VLOOKUP(H285,Input!$B$55:$C$61,2,0),0)*(F285=0)*(Option_TopUP="Y")*(Option_Sys_TopUp="N")*B285*(pt&gt;=H285+5)</f>
        <v>0</v>
      </c>
      <c r="AK285" s="50">
        <f t="shared" si="202"/>
        <v>0</v>
      </c>
      <c r="AL285" s="50">
        <f t="shared" si="223"/>
        <v>0</v>
      </c>
      <c r="AM285" s="50">
        <f t="shared" ca="1" si="203"/>
        <v>0</v>
      </c>
      <c r="AN285" s="50">
        <f>IF(B285=0,0,AT285*(_rpm1+(1+_emr1)*VLOOKUP(E285,Tab_Mort_Charge,IF(Input!$C$12="M",2,3),0))*(0.001*0.0833)*Flag_Mort_Rider_Charge*(AT285&gt;0))</f>
        <v>0</v>
      </c>
      <c r="AO285" s="50">
        <f t="shared" ca="1" si="224"/>
        <v>0</v>
      </c>
      <c r="AP285" s="50">
        <f t="shared" ca="1" si="231"/>
        <v>0</v>
      </c>
      <c r="AQ285" s="50">
        <f t="shared" ca="1" si="204"/>
        <v>0</v>
      </c>
      <c r="AR285" s="50">
        <f t="shared" ca="1" si="205"/>
        <v>0</v>
      </c>
      <c r="AS285" s="50">
        <f t="shared" si="206"/>
        <v>0</v>
      </c>
      <c r="AT285" s="50">
        <f ca="1">(MAX((MAX(AS285,105%*SUM($AJ$7:AJ285))-AM285*Flag_UL_Type),0)*B285)</f>
        <v>0</v>
      </c>
      <c r="AU285" s="50">
        <f ca="1">(MAX(AS285,AR285,105%*SUM($AJ$7:AJ285))*B285)</f>
        <v>0</v>
      </c>
      <c r="AV285" s="125"/>
      <c r="AW285" s="13"/>
      <c r="AX285" s="13"/>
      <c r="AY285" s="13"/>
      <c r="AZ285" s="13"/>
      <c r="BA285" s="13"/>
      <c r="BG285" s="51">
        <f t="shared" si="207"/>
        <v>0</v>
      </c>
      <c r="BH285" s="51">
        <f t="shared" si="208"/>
        <v>0</v>
      </c>
      <c r="BI285" s="51">
        <f t="shared" ca="1" si="209"/>
        <v>0</v>
      </c>
      <c r="BJ285" s="51">
        <f t="shared" ca="1" si="210"/>
        <v>0</v>
      </c>
      <c r="BK285" s="51">
        <f t="shared" si="211"/>
        <v>0</v>
      </c>
      <c r="BL285" s="51">
        <f t="shared" ca="1" si="212"/>
        <v>0</v>
      </c>
      <c r="BM285" s="51">
        <f t="shared" si="213"/>
        <v>0</v>
      </c>
      <c r="BN285" s="51">
        <f t="shared" si="214"/>
        <v>0</v>
      </c>
      <c r="BO285" s="51">
        <f t="shared" ca="1" si="215"/>
        <v>0</v>
      </c>
      <c r="BP285" s="51">
        <f t="shared" ca="1" si="216"/>
        <v>0</v>
      </c>
      <c r="BQ285" s="120"/>
      <c r="BR285" s="32"/>
      <c r="BS285" s="126"/>
      <c r="BT285" s="16"/>
      <c r="BU285" s="58"/>
      <c r="BW285" s="51">
        <f>VLOOKUP(H285,Charges!$AT$4:$AU$33,2,FALSE)*I285</f>
        <v>0</v>
      </c>
      <c r="BX285" s="51">
        <f t="shared" si="217"/>
        <v>0</v>
      </c>
      <c r="BY285" s="51">
        <f t="shared" si="225"/>
        <v>0</v>
      </c>
      <c r="BZ285" s="151"/>
      <c r="CA285" s="151"/>
      <c r="CB285" s="32"/>
      <c r="CC285" s="16">
        <f ca="1">SUM($N$7:$N285)</f>
        <v>0</v>
      </c>
      <c r="CD285" s="16">
        <f t="shared" ca="1" si="218"/>
        <v>0</v>
      </c>
      <c r="CE285" s="16">
        <f t="shared" ca="1" si="219"/>
        <v>0</v>
      </c>
      <c r="CF285" s="7">
        <f t="shared" ca="1" si="226"/>
        <v>0</v>
      </c>
    </row>
    <row r="286" spans="1:84" s="7" customFormat="1" x14ac:dyDescent="0.2">
      <c r="A286" s="149"/>
      <c r="B286" s="14">
        <f t="shared" si="188"/>
        <v>0</v>
      </c>
      <c r="C286" s="12">
        <f t="shared" si="189"/>
        <v>0</v>
      </c>
      <c r="D286" s="17">
        <f t="shared" si="227"/>
        <v>280</v>
      </c>
      <c r="E286" s="17">
        <f t="shared" ca="1" si="190"/>
        <v>83</v>
      </c>
      <c r="F286" s="12">
        <f t="shared" si="229"/>
        <v>3</v>
      </c>
      <c r="G286" s="12">
        <f t="shared" si="228"/>
        <v>47</v>
      </c>
      <c r="H286" s="17">
        <f t="shared" si="230"/>
        <v>24</v>
      </c>
      <c r="I286" s="29">
        <f t="shared" si="191"/>
        <v>0</v>
      </c>
      <c r="J286" s="211">
        <f>IFERROR(VLOOKUP(H286,Charges!$T$6:$U$35,2,0)*C286,0)</f>
        <v>0</v>
      </c>
      <c r="K286" s="29">
        <f t="shared" si="192"/>
        <v>0</v>
      </c>
      <c r="L286" s="29">
        <f t="shared" si="193"/>
        <v>0</v>
      </c>
      <c r="M286" s="147">
        <f t="shared" ca="1" si="194"/>
        <v>0</v>
      </c>
      <c r="N286" s="148">
        <f ca="1">IF(AND(Option_SPW="Y",Z285&gt;=SPW_Start_Min_FV,H286&gt;=Lock_In_Period,Z285&gt;SPW_Amount_pa+IF(option="Single",1/5*pr,2*pr),H286&gt;=SPW_Start_Year,H286&lt;=SPW_Start_Year+SPW_Duration-1,F286=0,age+H286&gt;=Legal_Age),SPW_Amount_pa,0)+IFERROR(VLOOKUP(H286,Input!$B$68:$C$74,2,0),0)*(F286=0)*(Option_PW="Y")*(Option_SPW="N")*(age+H286&gt;=Legal_Age)</f>
        <v>0</v>
      </c>
      <c r="O286" s="148">
        <f t="shared" ca="1" si="220"/>
        <v>0</v>
      </c>
      <c r="P286" s="14">
        <f ca="1">(MAX(MAX(sa-CF285*Flag_UL_Type,105%*SUM($I$7:I286))-(AD285+L286-N286)*Flag_UL_Type,0)*B286)</f>
        <v>0</v>
      </c>
      <c r="Q286" s="213">
        <f t="shared" si="195"/>
        <v>0</v>
      </c>
      <c r="R286" s="14">
        <f t="shared" ca="1" si="196"/>
        <v>0</v>
      </c>
      <c r="S286" s="14">
        <f t="shared" ca="1" si="197"/>
        <v>0</v>
      </c>
      <c r="T286" s="14">
        <f>IFERROR(IF(WoP_Flag="Y",IF(fq=1,VLOOKUP(ppt*fq-H286,Charges!$AN$41:$AO$59,2,FALSE),IF(fq=2,VLOOKUP(ppt*fq-G286,Charges!$AP$41:$AQ$79,2,FALSE),VLOOKUP(ppt*fq-D286,Charges!$AR$41:$AS$279,2,FALSE)))*pr/fq,0),0)</f>
        <v>0</v>
      </c>
      <c r="U286" s="14">
        <f ca="1">IFERROR(((T286*(VLOOKUP(Input!$D$18+H286-1,Tab_Mort_Charge,IF(Gender_2="M",2,3),FALSE)*(1+_emr2)+_rpm2)/IF(Model_Type="LA_PQIS",1000/0.0833,(12*1000))))*Flag_Mort_Rider_Charge*(T286&gt;0),0)</f>
        <v>0</v>
      </c>
      <c r="V286" s="34">
        <f>ROUND(MIN(IF(H286&gt;=7,Charges!$C$12*(1+Charges!$C$14)^((H286-7+1)),VLOOKUP(H286,Charges!$B$7:$C$12,2,0))*pr,Charges!$C$13)*B286,Round)</f>
        <v>0</v>
      </c>
      <c r="W286" s="14">
        <f t="shared" ca="1" si="198"/>
        <v>0</v>
      </c>
      <c r="X286" s="14">
        <f t="shared" ca="1" si="199"/>
        <v>0</v>
      </c>
      <c r="Y286" s="213">
        <f t="shared" ca="1" si="221"/>
        <v>0</v>
      </c>
      <c r="Z286" s="14">
        <f t="shared" ca="1" si="200"/>
        <v>0</v>
      </c>
      <c r="AA286" s="14">
        <f>IF(AND($H286=pt,$F286=11),SUM($K$7:K286)*VLOOKUP(pt,ROC,2,FALSE),0)</f>
        <v>0</v>
      </c>
      <c r="AB286" s="14">
        <f>IF(AND($H286=pt,$F286=11),SUM($V$7:V286)*VLOOKUP(pt,ROC,2,FALSE),0)</f>
        <v>0</v>
      </c>
      <c r="AC286" s="14">
        <f>IF(AND($H286=pt,$F286=11),SUM($Q$7:Q286)*VLOOKUP(pt,ROC,2,FALSE),0)</f>
        <v>0</v>
      </c>
      <c r="AD286" s="14">
        <f t="shared" ca="1" si="222"/>
        <v>0</v>
      </c>
      <c r="AE286" s="14">
        <f ca="1">(MAX(sa-CF285*Flag_UL_Type,105%*SUM($I$7:I286),Z286)+AU286)*B286</f>
        <v>0</v>
      </c>
      <c r="AF286" s="136"/>
      <c r="AG286" s="18">
        <v>280</v>
      </c>
      <c r="AH286" s="30">
        <f t="shared" ca="1" si="201"/>
        <v>0</v>
      </c>
      <c r="AI286" s="58"/>
      <c r="AJ286" s="50">
        <f>IF(AND(Option_Sys_TopUp&gt;="Y",H286&gt;=sytp,H286&lt;=(dtp+sytp-1),F286=0,H286&lt;=ppt+1),atp,0)+IFERROR(VLOOKUP(H286,Input!$B$55:$C$61,2,0),0)*(F286=0)*(Option_TopUP="Y")*(Option_Sys_TopUp="N")*B286*(pt&gt;=H286+5)</f>
        <v>0</v>
      </c>
      <c r="AK286" s="50">
        <f t="shared" si="202"/>
        <v>0</v>
      </c>
      <c r="AL286" s="50">
        <f t="shared" si="223"/>
        <v>0</v>
      </c>
      <c r="AM286" s="50">
        <f t="shared" ca="1" si="203"/>
        <v>0</v>
      </c>
      <c r="AN286" s="50">
        <f>IF(B286=0,0,AT286*(_rpm1+(1+_emr1)*VLOOKUP(E286,Tab_Mort_Charge,IF(Input!$C$12="M",2,3),0))*(0.001*0.0833)*Flag_Mort_Rider_Charge*(AT286&gt;0))</f>
        <v>0</v>
      </c>
      <c r="AO286" s="50">
        <f t="shared" ca="1" si="224"/>
        <v>0</v>
      </c>
      <c r="AP286" s="50">
        <f t="shared" ca="1" si="231"/>
        <v>0</v>
      </c>
      <c r="AQ286" s="50">
        <f t="shared" ca="1" si="204"/>
        <v>0</v>
      </c>
      <c r="AR286" s="50">
        <f t="shared" ca="1" si="205"/>
        <v>0</v>
      </c>
      <c r="AS286" s="50">
        <f t="shared" si="206"/>
        <v>0</v>
      </c>
      <c r="AT286" s="50">
        <f ca="1">(MAX((MAX(AS286,105%*SUM($AJ$7:AJ286))-AM286*Flag_UL_Type),0)*B286)</f>
        <v>0</v>
      </c>
      <c r="AU286" s="50">
        <f ca="1">(MAX(AS286,AR286,105%*SUM($AJ$7:AJ286))*B286)</f>
        <v>0</v>
      </c>
      <c r="AV286" s="125"/>
      <c r="AW286" s="13"/>
      <c r="AX286" s="13"/>
      <c r="AY286" s="13"/>
      <c r="AZ286" s="13"/>
      <c r="BA286" s="13"/>
      <c r="BG286" s="51">
        <f t="shared" si="207"/>
        <v>0</v>
      </c>
      <c r="BH286" s="51">
        <f t="shared" si="208"/>
        <v>0</v>
      </c>
      <c r="BI286" s="51">
        <f t="shared" ca="1" si="209"/>
        <v>0</v>
      </c>
      <c r="BJ286" s="51">
        <f t="shared" ca="1" si="210"/>
        <v>0</v>
      </c>
      <c r="BK286" s="51">
        <f t="shared" si="211"/>
        <v>0</v>
      </c>
      <c r="BL286" s="51">
        <f t="shared" ca="1" si="212"/>
        <v>0</v>
      </c>
      <c r="BM286" s="51">
        <f t="shared" si="213"/>
        <v>0</v>
      </c>
      <c r="BN286" s="51">
        <f t="shared" si="214"/>
        <v>0</v>
      </c>
      <c r="BO286" s="51">
        <f t="shared" ca="1" si="215"/>
        <v>0</v>
      </c>
      <c r="BP286" s="51">
        <f t="shared" ca="1" si="216"/>
        <v>0</v>
      </c>
      <c r="BQ286" s="120"/>
      <c r="BR286" s="32"/>
      <c r="BS286" s="126"/>
      <c r="BT286" s="16"/>
      <c r="BU286" s="58"/>
      <c r="BW286" s="51">
        <f>VLOOKUP(H286,Charges!$AT$4:$AU$33,2,FALSE)*I286</f>
        <v>0</v>
      </c>
      <c r="BX286" s="51">
        <f t="shared" si="217"/>
        <v>0</v>
      </c>
      <c r="BY286" s="51">
        <f t="shared" si="225"/>
        <v>0</v>
      </c>
      <c r="BZ286" s="151"/>
      <c r="CA286" s="151"/>
      <c r="CB286" s="32"/>
      <c r="CC286" s="16">
        <f ca="1">SUM($N$7:$N286)</f>
        <v>0</v>
      </c>
      <c r="CD286" s="16">
        <f t="shared" ca="1" si="218"/>
        <v>0</v>
      </c>
      <c r="CE286" s="16">
        <f t="shared" ca="1" si="219"/>
        <v>0</v>
      </c>
      <c r="CF286" s="7">
        <f t="shared" ca="1" si="226"/>
        <v>0</v>
      </c>
    </row>
    <row r="287" spans="1:84" s="7" customFormat="1" x14ac:dyDescent="0.2">
      <c r="A287" s="149"/>
      <c r="B287" s="14">
        <f t="shared" si="188"/>
        <v>0</v>
      </c>
      <c r="C287" s="12">
        <f t="shared" si="189"/>
        <v>0</v>
      </c>
      <c r="D287" s="17">
        <f t="shared" si="227"/>
        <v>281</v>
      </c>
      <c r="E287" s="17">
        <f t="shared" ca="1" si="190"/>
        <v>83</v>
      </c>
      <c r="F287" s="12">
        <f t="shared" si="229"/>
        <v>4</v>
      </c>
      <c r="G287" s="12">
        <f t="shared" si="228"/>
        <v>47</v>
      </c>
      <c r="H287" s="17">
        <f t="shared" si="230"/>
        <v>24</v>
      </c>
      <c r="I287" s="29">
        <f t="shared" si="191"/>
        <v>0</v>
      </c>
      <c r="J287" s="211">
        <f>IFERROR(VLOOKUP(H287,Charges!$T$6:$U$35,2,0)*C287,0)</f>
        <v>0</v>
      </c>
      <c r="K287" s="29">
        <f t="shared" si="192"/>
        <v>0</v>
      </c>
      <c r="L287" s="29">
        <f t="shared" si="193"/>
        <v>0</v>
      </c>
      <c r="M287" s="147">
        <f t="shared" ca="1" si="194"/>
        <v>0</v>
      </c>
      <c r="N287" s="148">
        <f ca="1">IF(AND(Option_SPW="Y",Z286&gt;=SPW_Start_Min_FV,H287&gt;=Lock_In_Period,Z286&gt;SPW_Amount_pa+IF(option="Single",1/5*pr,2*pr),H287&gt;=SPW_Start_Year,H287&lt;=SPW_Start_Year+SPW_Duration-1,F287=0,age+H287&gt;=Legal_Age),SPW_Amount_pa,0)+IFERROR(VLOOKUP(H287,Input!$B$68:$C$74,2,0),0)*(F287=0)*(Option_PW="Y")*(Option_SPW="N")*(age+H287&gt;=Legal_Age)</f>
        <v>0</v>
      </c>
      <c r="O287" s="148">
        <f t="shared" ca="1" si="220"/>
        <v>0</v>
      </c>
      <c r="P287" s="14">
        <f ca="1">(MAX(MAX(sa-CF286*Flag_UL_Type,105%*SUM($I$7:I287))-(AD286+L287-N287)*Flag_UL_Type,0)*B287)</f>
        <v>0</v>
      </c>
      <c r="Q287" s="213">
        <f t="shared" si="195"/>
        <v>0</v>
      </c>
      <c r="R287" s="14">
        <f t="shared" ca="1" si="196"/>
        <v>0</v>
      </c>
      <c r="S287" s="14">
        <f t="shared" ca="1" si="197"/>
        <v>0</v>
      </c>
      <c r="T287" s="14">
        <f>IFERROR(IF(WoP_Flag="Y",IF(fq=1,VLOOKUP(ppt*fq-H287,Charges!$AN$41:$AO$59,2,FALSE),IF(fq=2,VLOOKUP(ppt*fq-G287,Charges!$AP$41:$AQ$79,2,FALSE),VLOOKUP(ppt*fq-D287,Charges!$AR$41:$AS$279,2,FALSE)))*pr/fq,0),0)</f>
        <v>0</v>
      </c>
      <c r="U287" s="14">
        <f ca="1">IFERROR(((T287*(VLOOKUP(Input!$D$18+H287-1,Tab_Mort_Charge,IF(Gender_2="M",2,3),FALSE)*(1+_emr2)+_rpm2)/IF(Model_Type="LA_PQIS",1000/0.0833,(12*1000))))*Flag_Mort_Rider_Charge*(T287&gt;0),0)</f>
        <v>0</v>
      </c>
      <c r="V287" s="34">
        <f>ROUND(MIN(IF(H287&gt;=7,Charges!$C$12*(1+Charges!$C$14)^((H287-7+1)),VLOOKUP(H287,Charges!$B$7:$C$12,2,0))*pr,Charges!$C$13)*B287,Round)</f>
        <v>0</v>
      </c>
      <c r="W287" s="14">
        <f t="shared" ca="1" si="198"/>
        <v>0</v>
      </c>
      <c r="X287" s="14">
        <f t="shared" ca="1" si="199"/>
        <v>0</v>
      </c>
      <c r="Y287" s="213">
        <f t="shared" ca="1" si="221"/>
        <v>0</v>
      </c>
      <c r="Z287" s="14">
        <f t="shared" ca="1" si="200"/>
        <v>0</v>
      </c>
      <c r="AA287" s="14">
        <f>IF(AND($H287=pt,$F287=11),SUM($K$7:K287)*VLOOKUP(pt,ROC,2,FALSE),0)</f>
        <v>0</v>
      </c>
      <c r="AB287" s="14">
        <f>IF(AND($H287=pt,$F287=11),SUM($V$7:V287)*VLOOKUP(pt,ROC,2,FALSE),0)</f>
        <v>0</v>
      </c>
      <c r="AC287" s="14">
        <f>IF(AND($H287=pt,$F287=11),SUM($Q$7:Q287)*VLOOKUP(pt,ROC,2,FALSE),0)</f>
        <v>0</v>
      </c>
      <c r="AD287" s="14">
        <f t="shared" ca="1" si="222"/>
        <v>0</v>
      </c>
      <c r="AE287" s="14">
        <f ca="1">(MAX(sa-CF286*Flag_UL_Type,105%*SUM($I$7:I287),Z287)+AU287)*B287</f>
        <v>0</v>
      </c>
      <c r="AF287" s="136"/>
      <c r="AG287" s="18">
        <v>281</v>
      </c>
      <c r="AH287" s="30">
        <f t="shared" ca="1" si="201"/>
        <v>0</v>
      </c>
      <c r="AI287" s="58"/>
      <c r="AJ287" s="50">
        <f>IF(AND(Option_Sys_TopUp&gt;="Y",H287&gt;=sytp,H287&lt;=(dtp+sytp-1),F287=0,H287&lt;=ppt+1),atp,0)+IFERROR(VLOOKUP(H287,Input!$B$55:$C$61,2,0),0)*(F287=0)*(Option_TopUP="Y")*(Option_Sys_TopUp="N")*B287*(pt&gt;=H287+5)</f>
        <v>0</v>
      </c>
      <c r="AK287" s="50">
        <f t="shared" si="202"/>
        <v>0</v>
      </c>
      <c r="AL287" s="50">
        <f t="shared" si="223"/>
        <v>0</v>
      </c>
      <c r="AM287" s="50">
        <f t="shared" ca="1" si="203"/>
        <v>0</v>
      </c>
      <c r="AN287" s="50">
        <f>IF(B287=0,0,AT287*(_rpm1+(1+_emr1)*VLOOKUP(E287,Tab_Mort_Charge,IF(Input!$C$12="M",2,3),0))*(0.001*0.0833)*Flag_Mort_Rider_Charge*(AT287&gt;0))</f>
        <v>0</v>
      </c>
      <c r="AO287" s="50">
        <f t="shared" ca="1" si="224"/>
        <v>0</v>
      </c>
      <c r="AP287" s="50">
        <f t="shared" ca="1" si="231"/>
        <v>0</v>
      </c>
      <c r="AQ287" s="50">
        <f t="shared" ca="1" si="204"/>
        <v>0</v>
      </c>
      <c r="AR287" s="50">
        <f t="shared" ca="1" si="205"/>
        <v>0</v>
      </c>
      <c r="AS287" s="50">
        <f t="shared" si="206"/>
        <v>0</v>
      </c>
      <c r="AT287" s="50">
        <f ca="1">(MAX((MAX(AS287,105%*SUM($AJ$7:AJ287))-AM287*Flag_UL_Type),0)*B287)</f>
        <v>0</v>
      </c>
      <c r="AU287" s="50">
        <f ca="1">(MAX(AS287,AR287,105%*SUM($AJ$7:AJ287))*B287)</f>
        <v>0</v>
      </c>
      <c r="AV287" s="125"/>
      <c r="AW287" s="13"/>
      <c r="AX287" s="13"/>
      <c r="AY287" s="13"/>
      <c r="AZ287" s="13"/>
      <c r="BA287" s="13"/>
      <c r="BG287" s="51">
        <f t="shared" si="207"/>
        <v>0</v>
      </c>
      <c r="BH287" s="51">
        <f t="shared" si="208"/>
        <v>0</v>
      </c>
      <c r="BI287" s="51">
        <f t="shared" ca="1" si="209"/>
        <v>0</v>
      </c>
      <c r="BJ287" s="51">
        <f t="shared" ca="1" si="210"/>
        <v>0</v>
      </c>
      <c r="BK287" s="51">
        <f t="shared" si="211"/>
        <v>0</v>
      </c>
      <c r="BL287" s="51">
        <f t="shared" ca="1" si="212"/>
        <v>0</v>
      </c>
      <c r="BM287" s="51">
        <f t="shared" si="213"/>
        <v>0</v>
      </c>
      <c r="BN287" s="51">
        <f t="shared" si="214"/>
        <v>0</v>
      </c>
      <c r="BO287" s="51">
        <f t="shared" ca="1" si="215"/>
        <v>0</v>
      </c>
      <c r="BP287" s="51">
        <f t="shared" ca="1" si="216"/>
        <v>0</v>
      </c>
      <c r="BQ287" s="120"/>
      <c r="BR287" s="32"/>
      <c r="BS287" s="126"/>
      <c r="BT287" s="16"/>
      <c r="BU287" s="58"/>
      <c r="BW287" s="51">
        <f>VLOOKUP(H287,Charges!$AT$4:$AU$33,2,FALSE)*I287</f>
        <v>0</v>
      </c>
      <c r="BX287" s="51">
        <f t="shared" si="217"/>
        <v>0</v>
      </c>
      <c r="BY287" s="51">
        <f t="shared" si="225"/>
        <v>0</v>
      </c>
      <c r="BZ287" s="151"/>
      <c r="CA287" s="151"/>
      <c r="CB287" s="32"/>
      <c r="CC287" s="16">
        <f ca="1">SUM($N$7:$N287)</f>
        <v>0</v>
      </c>
      <c r="CD287" s="16">
        <f t="shared" ca="1" si="218"/>
        <v>0</v>
      </c>
      <c r="CE287" s="16">
        <f t="shared" ca="1" si="219"/>
        <v>0</v>
      </c>
      <c r="CF287" s="7">
        <f t="shared" ca="1" si="226"/>
        <v>0</v>
      </c>
    </row>
    <row r="288" spans="1:84" s="7" customFormat="1" x14ac:dyDescent="0.2">
      <c r="A288" s="149"/>
      <c r="B288" s="14">
        <f t="shared" si="188"/>
        <v>0</v>
      </c>
      <c r="C288" s="12">
        <f t="shared" si="189"/>
        <v>0</v>
      </c>
      <c r="D288" s="17">
        <f t="shared" si="227"/>
        <v>282</v>
      </c>
      <c r="E288" s="17">
        <f t="shared" ca="1" si="190"/>
        <v>83</v>
      </c>
      <c r="F288" s="12">
        <f t="shared" si="229"/>
        <v>5</v>
      </c>
      <c r="G288" s="12">
        <f t="shared" si="228"/>
        <v>47</v>
      </c>
      <c r="H288" s="17">
        <f t="shared" si="230"/>
        <v>24</v>
      </c>
      <c r="I288" s="29">
        <f t="shared" si="191"/>
        <v>0</v>
      </c>
      <c r="J288" s="211">
        <f>IFERROR(VLOOKUP(H288,Charges!$T$6:$U$35,2,0)*C288,0)</f>
        <v>0</v>
      </c>
      <c r="K288" s="29">
        <f t="shared" si="192"/>
        <v>0</v>
      </c>
      <c r="L288" s="29">
        <f t="shared" si="193"/>
        <v>0</v>
      </c>
      <c r="M288" s="147">
        <f t="shared" ca="1" si="194"/>
        <v>0</v>
      </c>
      <c r="N288" s="148">
        <f ca="1">IF(AND(Option_SPW="Y",Z287&gt;=SPW_Start_Min_FV,H288&gt;=Lock_In_Period,Z287&gt;SPW_Amount_pa+IF(option="Single",1/5*pr,2*pr),H288&gt;=SPW_Start_Year,H288&lt;=SPW_Start_Year+SPW_Duration-1,F288=0,age+H288&gt;=Legal_Age),SPW_Amount_pa,0)+IFERROR(VLOOKUP(H288,Input!$B$68:$C$74,2,0),0)*(F288=0)*(Option_PW="Y")*(Option_SPW="N")*(age+H288&gt;=Legal_Age)</f>
        <v>0</v>
      </c>
      <c r="O288" s="148">
        <f t="shared" ca="1" si="220"/>
        <v>0</v>
      </c>
      <c r="P288" s="14">
        <f ca="1">(MAX(MAX(sa-CF287*Flag_UL_Type,105%*SUM($I$7:I288))-(AD287+L288-N288)*Flag_UL_Type,0)*B288)</f>
        <v>0</v>
      </c>
      <c r="Q288" s="213">
        <f t="shared" si="195"/>
        <v>0</v>
      </c>
      <c r="R288" s="14">
        <f t="shared" ca="1" si="196"/>
        <v>0</v>
      </c>
      <c r="S288" s="14">
        <f t="shared" ca="1" si="197"/>
        <v>0</v>
      </c>
      <c r="T288" s="14">
        <f>IFERROR(IF(WoP_Flag="Y",IF(fq=1,VLOOKUP(ppt*fq-H288,Charges!$AN$41:$AO$59,2,FALSE),IF(fq=2,VLOOKUP(ppt*fq-G288,Charges!$AP$41:$AQ$79,2,FALSE),VLOOKUP(ppt*fq-D288,Charges!$AR$41:$AS$279,2,FALSE)))*pr/fq,0),0)</f>
        <v>0</v>
      </c>
      <c r="U288" s="14">
        <f ca="1">IFERROR(((T288*(VLOOKUP(Input!$D$18+H288-1,Tab_Mort_Charge,IF(Gender_2="M",2,3),FALSE)*(1+_emr2)+_rpm2)/IF(Model_Type="LA_PQIS",1000/0.0833,(12*1000))))*Flag_Mort_Rider_Charge*(T288&gt;0),0)</f>
        <v>0</v>
      </c>
      <c r="V288" s="34">
        <f>ROUND(MIN(IF(H288&gt;=7,Charges!$C$12*(1+Charges!$C$14)^((H288-7+1)),VLOOKUP(H288,Charges!$B$7:$C$12,2,0))*pr,Charges!$C$13)*B288,Round)</f>
        <v>0</v>
      </c>
      <c r="W288" s="14">
        <f t="shared" ca="1" si="198"/>
        <v>0</v>
      </c>
      <c r="X288" s="14">
        <f t="shared" ca="1" si="199"/>
        <v>0</v>
      </c>
      <c r="Y288" s="213">
        <f t="shared" ca="1" si="221"/>
        <v>0</v>
      </c>
      <c r="Z288" s="14">
        <f t="shared" ca="1" si="200"/>
        <v>0</v>
      </c>
      <c r="AA288" s="14">
        <f>IF(AND($H288=pt,$F288=11),SUM($K$7:K288)*VLOOKUP(pt,ROC,2,FALSE),0)</f>
        <v>0</v>
      </c>
      <c r="AB288" s="14">
        <f>IF(AND($H288=pt,$F288=11),SUM($V$7:V288)*VLOOKUP(pt,ROC,2,FALSE),0)</f>
        <v>0</v>
      </c>
      <c r="AC288" s="14">
        <f>IF(AND($H288=pt,$F288=11),SUM($Q$7:Q288)*VLOOKUP(pt,ROC,2,FALSE),0)</f>
        <v>0</v>
      </c>
      <c r="AD288" s="14">
        <f t="shared" ca="1" si="222"/>
        <v>0</v>
      </c>
      <c r="AE288" s="14">
        <f ca="1">(MAX(sa-CF287*Flag_UL_Type,105%*SUM($I$7:I288),Z288)+AU288)*B288</f>
        <v>0</v>
      </c>
      <c r="AF288" s="136"/>
      <c r="AG288" s="18">
        <v>282</v>
      </c>
      <c r="AH288" s="30">
        <f t="shared" ca="1" si="201"/>
        <v>0</v>
      </c>
      <c r="AI288" s="58"/>
      <c r="AJ288" s="50">
        <f>IF(AND(Option_Sys_TopUp&gt;="Y",H288&gt;=sytp,H288&lt;=(dtp+sytp-1),F288=0,H288&lt;=ppt+1),atp,0)+IFERROR(VLOOKUP(H288,Input!$B$55:$C$61,2,0),0)*(F288=0)*(Option_TopUP="Y")*(Option_Sys_TopUp="N")*B288*(pt&gt;=H288+5)</f>
        <v>0</v>
      </c>
      <c r="AK288" s="50">
        <f t="shared" si="202"/>
        <v>0</v>
      </c>
      <c r="AL288" s="50">
        <f t="shared" si="223"/>
        <v>0</v>
      </c>
      <c r="AM288" s="50">
        <f t="shared" ca="1" si="203"/>
        <v>0</v>
      </c>
      <c r="AN288" s="50">
        <f>IF(B288=0,0,AT288*(_rpm1+(1+_emr1)*VLOOKUP(E288,Tab_Mort_Charge,IF(Input!$C$12="M",2,3),0))*(0.001*0.0833)*Flag_Mort_Rider_Charge*(AT288&gt;0))</f>
        <v>0</v>
      </c>
      <c r="AO288" s="50">
        <f t="shared" ca="1" si="224"/>
        <v>0</v>
      </c>
      <c r="AP288" s="50">
        <f t="shared" ca="1" si="231"/>
        <v>0</v>
      </c>
      <c r="AQ288" s="50">
        <f t="shared" ca="1" si="204"/>
        <v>0</v>
      </c>
      <c r="AR288" s="50">
        <f t="shared" ca="1" si="205"/>
        <v>0</v>
      </c>
      <c r="AS288" s="50">
        <f t="shared" si="206"/>
        <v>0</v>
      </c>
      <c r="AT288" s="50">
        <f ca="1">(MAX((MAX(AS288,105%*SUM($AJ$7:AJ288))-AM288*Flag_UL_Type),0)*B288)</f>
        <v>0</v>
      </c>
      <c r="AU288" s="50">
        <f ca="1">(MAX(AS288,AR288,105%*SUM($AJ$7:AJ288))*B288)</f>
        <v>0</v>
      </c>
      <c r="AV288" s="125"/>
      <c r="AW288" s="13"/>
      <c r="AX288" s="13"/>
      <c r="AY288" s="13"/>
      <c r="AZ288" s="13"/>
      <c r="BA288" s="13"/>
      <c r="BG288" s="51">
        <f t="shared" si="207"/>
        <v>0</v>
      </c>
      <c r="BH288" s="51">
        <f t="shared" si="208"/>
        <v>0</v>
      </c>
      <c r="BI288" s="51">
        <f t="shared" ca="1" si="209"/>
        <v>0</v>
      </c>
      <c r="BJ288" s="51">
        <f t="shared" ca="1" si="210"/>
        <v>0</v>
      </c>
      <c r="BK288" s="51">
        <f t="shared" si="211"/>
        <v>0</v>
      </c>
      <c r="BL288" s="51">
        <f t="shared" ca="1" si="212"/>
        <v>0</v>
      </c>
      <c r="BM288" s="51">
        <f t="shared" si="213"/>
        <v>0</v>
      </c>
      <c r="BN288" s="51">
        <f t="shared" si="214"/>
        <v>0</v>
      </c>
      <c r="BO288" s="51">
        <f t="shared" ca="1" si="215"/>
        <v>0</v>
      </c>
      <c r="BP288" s="51">
        <f t="shared" ca="1" si="216"/>
        <v>0</v>
      </c>
      <c r="BQ288" s="120"/>
      <c r="BR288" s="32"/>
      <c r="BS288" s="126"/>
      <c r="BT288" s="16"/>
      <c r="BU288" s="58"/>
      <c r="BW288" s="51">
        <f>VLOOKUP(H288,Charges!$AT$4:$AU$33,2,FALSE)*I288</f>
        <v>0</v>
      </c>
      <c r="BX288" s="51">
        <f t="shared" si="217"/>
        <v>0</v>
      </c>
      <c r="BY288" s="51">
        <f t="shared" si="225"/>
        <v>0</v>
      </c>
      <c r="BZ288" s="151"/>
      <c r="CA288" s="151"/>
      <c r="CB288" s="32"/>
      <c r="CC288" s="16">
        <f ca="1">SUM($N$7:$N288)</f>
        <v>0</v>
      </c>
      <c r="CD288" s="16">
        <f t="shared" ca="1" si="218"/>
        <v>0</v>
      </c>
      <c r="CE288" s="16">
        <f t="shared" ca="1" si="219"/>
        <v>0</v>
      </c>
      <c r="CF288" s="7">
        <f t="shared" ca="1" si="226"/>
        <v>0</v>
      </c>
    </row>
    <row r="289" spans="1:84" s="7" customFormat="1" x14ac:dyDescent="0.2">
      <c r="A289" s="149"/>
      <c r="B289" s="14">
        <f t="shared" si="188"/>
        <v>0</v>
      </c>
      <c r="C289" s="12">
        <f t="shared" si="189"/>
        <v>0</v>
      </c>
      <c r="D289" s="17">
        <f t="shared" si="227"/>
        <v>283</v>
      </c>
      <c r="E289" s="17">
        <f t="shared" ca="1" si="190"/>
        <v>83</v>
      </c>
      <c r="F289" s="12">
        <f t="shared" si="229"/>
        <v>6</v>
      </c>
      <c r="G289" s="12">
        <f t="shared" si="228"/>
        <v>48</v>
      </c>
      <c r="H289" s="17">
        <f t="shared" si="230"/>
        <v>24</v>
      </c>
      <c r="I289" s="29">
        <f t="shared" si="191"/>
        <v>0</v>
      </c>
      <c r="J289" s="211">
        <f>IFERROR(VLOOKUP(H289,Charges!$T$6:$U$35,2,0)*C289,0)</f>
        <v>0</v>
      </c>
      <c r="K289" s="29">
        <f t="shared" si="192"/>
        <v>0</v>
      </c>
      <c r="L289" s="29">
        <f t="shared" si="193"/>
        <v>0</v>
      </c>
      <c r="M289" s="147">
        <f t="shared" ca="1" si="194"/>
        <v>0</v>
      </c>
      <c r="N289" s="148">
        <f ca="1">IF(AND(Option_SPW="Y",Z288&gt;=SPW_Start_Min_FV,H289&gt;=Lock_In_Period,Z288&gt;SPW_Amount_pa+IF(option="Single",1/5*pr,2*pr),H289&gt;=SPW_Start_Year,H289&lt;=SPW_Start_Year+SPW_Duration-1,F289=0,age+H289&gt;=Legal_Age),SPW_Amount_pa,0)+IFERROR(VLOOKUP(H289,Input!$B$68:$C$74,2,0),0)*(F289=0)*(Option_PW="Y")*(Option_SPW="N")*(age+H289&gt;=Legal_Age)</f>
        <v>0</v>
      </c>
      <c r="O289" s="148">
        <f t="shared" ca="1" si="220"/>
        <v>0</v>
      </c>
      <c r="P289" s="14">
        <f ca="1">(MAX(MAX(sa-CF288*Flag_UL_Type,105%*SUM($I$7:I289))-(AD288+L289-N289)*Flag_UL_Type,0)*B289)</f>
        <v>0</v>
      </c>
      <c r="Q289" s="213">
        <f t="shared" si="195"/>
        <v>0</v>
      </c>
      <c r="R289" s="14">
        <f t="shared" ca="1" si="196"/>
        <v>0</v>
      </c>
      <c r="S289" s="14">
        <f t="shared" ca="1" si="197"/>
        <v>0</v>
      </c>
      <c r="T289" s="14">
        <f>IFERROR(IF(WoP_Flag="Y",IF(fq=1,VLOOKUP(ppt*fq-H289,Charges!$AN$41:$AO$59,2,FALSE),IF(fq=2,VLOOKUP(ppt*fq-G289,Charges!$AP$41:$AQ$79,2,FALSE),VLOOKUP(ppt*fq-D289,Charges!$AR$41:$AS$279,2,FALSE)))*pr/fq,0),0)</f>
        <v>0</v>
      </c>
      <c r="U289" s="14">
        <f ca="1">IFERROR(((T289*(VLOOKUP(Input!$D$18+H289-1,Tab_Mort_Charge,IF(Gender_2="M",2,3),FALSE)*(1+_emr2)+_rpm2)/IF(Model_Type="LA_PQIS",1000/0.0833,(12*1000))))*Flag_Mort_Rider_Charge*(T289&gt;0),0)</f>
        <v>0</v>
      </c>
      <c r="V289" s="34">
        <f>ROUND(MIN(IF(H289&gt;=7,Charges!$C$12*(1+Charges!$C$14)^((H289-7+1)),VLOOKUP(H289,Charges!$B$7:$C$12,2,0))*pr,Charges!$C$13)*B289,Round)</f>
        <v>0</v>
      </c>
      <c r="W289" s="14">
        <f t="shared" ca="1" si="198"/>
        <v>0</v>
      </c>
      <c r="X289" s="14">
        <f t="shared" ca="1" si="199"/>
        <v>0</v>
      </c>
      <c r="Y289" s="213">
        <f t="shared" ca="1" si="221"/>
        <v>0</v>
      </c>
      <c r="Z289" s="14">
        <f t="shared" ca="1" si="200"/>
        <v>0</v>
      </c>
      <c r="AA289" s="14">
        <f>IF(AND($H289=pt,$F289=11),SUM($K$7:K289)*VLOOKUP(pt,ROC,2,FALSE),0)</f>
        <v>0</v>
      </c>
      <c r="AB289" s="14">
        <f>IF(AND($H289=pt,$F289=11),SUM($V$7:V289)*VLOOKUP(pt,ROC,2,FALSE),0)</f>
        <v>0</v>
      </c>
      <c r="AC289" s="14">
        <f>IF(AND($H289=pt,$F289=11),SUM($Q$7:Q289)*VLOOKUP(pt,ROC,2,FALSE),0)</f>
        <v>0</v>
      </c>
      <c r="AD289" s="14">
        <f t="shared" ca="1" si="222"/>
        <v>0</v>
      </c>
      <c r="AE289" s="14">
        <f ca="1">(MAX(sa-CF288*Flag_UL_Type,105%*SUM($I$7:I289),Z289)+AU289)*B289</f>
        <v>0</v>
      </c>
      <c r="AF289" s="136"/>
      <c r="AG289" s="18">
        <v>283</v>
      </c>
      <c r="AH289" s="30">
        <f t="shared" ca="1" si="201"/>
        <v>0</v>
      </c>
      <c r="AI289" s="58"/>
      <c r="AJ289" s="50">
        <f>IF(AND(Option_Sys_TopUp&gt;="Y",H289&gt;=sytp,H289&lt;=(dtp+sytp-1),F289=0,H289&lt;=ppt+1),atp,0)+IFERROR(VLOOKUP(H289,Input!$B$55:$C$61,2,0),0)*(F289=0)*(Option_TopUP="Y")*(Option_Sys_TopUp="N")*B289*(pt&gt;=H289+5)</f>
        <v>0</v>
      </c>
      <c r="AK289" s="50">
        <f t="shared" si="202"/>
        <v>0</v>
      </c>
      <c r="AL289" s="50">
        <f t="shared" si="223"/>
        <v>0</v>
      </c>
      <c r="AM289" s="50">
        <f t="shared" ca="1" si="203"/>
        <v>0</v>
      </c>
      <c r="AN289" s="50">
        <f>IF(B289=0,0,AT289*(_rpm1+(1+_emr1)*VLOOKUP(E289,Tab_Mort_Charge,IF(Input!$C$12="M",2,3),0))*(0.001*0.0833)*Flag_Mort_Rider_Charge*(AT289&gt;0))</f>
        <v>0</v>
      </c>
      <c r="AO289" s="50">
        <f t="shared" ca="1" si="224"/>
        <v>0</v>
      </c>
      <c r="AP289" s="50">
        <f t="shared" ca="1" si="231"/>
        <v>0</v>
      </c>
      <c r="AQ289" s="50">
        <f t="shared" ca="1" si="204"/>
        <v>0</v>
      </c>
      <c r="AR289" s="50">
        <f t="shared" ca="1" si="205"/>
        <v>0</v>
      </c>
      <c r="AS289" s="50">
        <f t="shared" si="206"/>
        <v>0</v>
      </c>
      <c r="AT289" s="50">
        <f ca="1">(MAX((MAX(AS289,105%*SUM($AJ$7:AJ289))-AM289*Flag_UL_Type),0)*B289)</f>
        <v>0</v>
      </c>
      <c r="AU289" s="50">
        <f ca="1">(MAX(AS289,AR289,105%*SUM($AJ$7:AJ289))*B289)</f>
        <v>0</v>
      </c>
      <c r="AV289" s="125"/>
      <c r="AW289" s="13"/>
      <c r="AX289" s="13"/>
      <c r="AY289" s="13"/>
      <c r="AZ289" s="13"/>
      <c r="BA289" s="13"/>
      <c r="BG289" s="51">
        <f t="shared" si="207"/>
        <v>0</v>
      </c>
      <c r="BH289" s="51">
        <f t="shared" si="208"/>
        <v>0</v>
      </c>
      <c r="BI289" s="51">
        <f t="shared" ca="1" si="209"/>
        <v>0</v>
      </c>
      <c r="BJ289" s="51">
        <f t="shared" ca="1" si="210"/>
        <v>0</v>
      </c>
      <c r="BK289" s="51">
        <f t="shared" si="211"/>
        <v>0</v>
      </c>
      <c r="BL289" s="51">
        <f t="shared" ca="1" si="212"/>
        <v>0</v>
      </c>
      <c r="BM289" s="51">
        <f t="shared" si="213"/>
        <v>0</v>
      </c>
      <c r="BN289" s="51">
        <f t="shared" si="214"/>
        <v>0</v>
      </c>
      <c r="BO289" s="51">
        <f t="shared" ca="1" si="215"/>
        <v>0</v>
      </c>
      <c r="BP289" s="51">
        <f t="shared" ca="1" si="216"/>
        <v>0</v>
      </c>
      <c r="BQ289" s="120"/>
      <c r="BR289" s="32"/>
      <c r="BS289" s="126"/>
      <c r="BT289" s="16"/>
      <c r="BU289" s="58"/>
      <c r="BW289" s="51">
        <f>VLOOKUP(H289,Charges!$AT$4:$AU$33,2,FALSE)*I289</f>
        <v>0</v>
      </c>
      <c r="BX289" s="51">
        <f t="shared" si="217"/>
        <v>0</v>
      </c>
      <c r="BY289" s="51">
        <f t="shared" si="225"/>
        <v>0</v>
      </c>
      <c r="BZ289" s="151"/>
      <c r="CA289" s="151"/>
      <c r="CB289" s="32"/>
      <c r="CC289" s="16">
        <f ca="1">SUM($N$7:$N289)</f>
        <v>0</v>
      </c>
      <c r="CD289" s="16">
        <f t="shared" ca="1" si="218"/>
        <v>0</v>
      </c>
      <c r="CE289" s="16">
        <f t="shared" ca="1" si="219"/>
        <v>0</v>
      </c>
      <c r="CF289" s="7">
        <f t="shared" ca="1" si="226"/>
        <v>0</v>
      </c>
    </row>
    <row r="290" spans="1:84" s="7" customFormat="1" x14ac:dyDescent="0.2">
      <c r="A290" s="149"/>
      <c r="B290" s="14">
        <f t="shared" si="188"/>
        <v>0</v>
      </c>
      <c r="C290" s="12">
        <f t="shared" si="189"/>
        <v>0</v>
      </c>
      <c r="D290" s="17">
        <f t="shared" si="227"/>
        <v>284</v>
      </c>
      <c r="E290" s="17">
        <f t="shared" ca="1" si="190"/>
        <v>83</v>
      </c>
      <c r="F290" s="12">
        <f t="shared" si="229"/>
        <v>7</v>
      </c>
      <c r="G290" s="12">
        <f t="shared" si="228"/>
        <v>48</v>
      </c>
      <c r="H290" s="17">
        <f t="shared" si="230"/>
        <v>24</v>
      </c>
      <c r="I290" s="29">
        <f t="shared" si="191"/>
        <v>0</v>
      </c>
      <c r="J290" s="211">
        <f>IFERROR(VLOOKUP(H290,Charges!$T$6:$U$35,2,0)*C290,0)</f>
        <v>0</v>
      </c>
      <c r="K290" s="29">
        <f t="shared" si="192"/>
        <v>0</v>
      </c>
      <c r="L290" s="29">
        <f t="shared" si="193"/>
        <v>0</v>
      </c>
      <c r="M290" s="147">
        <f t="shared" ca="1" si="194"/>
        <v>0</v>
      </c>
      <c r="N290" s="148">
        <f ca="1">IF(AND(Option_SPW="Y",Z289&gt;=SPW_Start_Min_FV,H290&gt;=Lock_In_Period,Z289&gt;SPW_Amount_pa+IF(option="Single",1/5*pr,2*pr),H290&gt;=SPW_Start_Year,H290&lt;=SPW_Start_Year+SPW_Duration-1,F290=0,age+H290&gt;=Legal_Age),SPW_Amount_pa,0)+IFERROR(VLOOKUP(H290,Input!$B$68:$C$74,2,0),0)*(F290=0)*(Option_PW="Y")*(Option_SPW="N")*(age+H290&gt;=Legal_Age)</f>
        <v>0</v>
      </c>
      <c r="O290" s="148">
        <f t="shared" ca="1" si="220"/>
        <v>0</v>
      </c>
      <c r="P290" s="14">
        <f ca="1">(MAX(MAX(sa-CF289*Flag_UL_Type,105%*SUM($I$7:I290))-(AD289+L290-N290)*Flag_UL_Type,0)*B290)</f>
        <v>0</v>
      </c>
      <c r="Q290" s="213">
        <f t="shared" si="195"/>
        <v>0</v>
      </c>
      <c r="R290" s="14">
        <f t="shared" ca="1" si="196"/>
        <v>0</v>
      </c>
      <c r="S290" s="14">
        <f t="shared" ca="1" si="197"/>
        <v>0</v>
      </c>
      <c r="T290" s="14">
        <f>IFERROR(IF(WoP_Flag="Y",IF(fq=1,VLOOKUP(ppt*fq-H290,Charges!$AN$41:$AO$59,2,FALSE),IF(fq=2,VLOOKUP(ppt*fq-G290,Charges!$AP$41:$AQ$79,2,FALSE),VLOOKUP(ppt*fq-D290,Charges!$AR$41:$AS$279,2,FALSE)))*pr/fq,0),0)</f>
        <v>0</v>
      </c>
      <c r="U290" s="14">
        <f ca="1">IFERROR(((T290*(VLOOKUP(Input!$D$18+H290-1,Tab_Mort_Charge,IF(Gender_2="M",2,3),FALSE)*(1+_emr2)+_rpm2)/IF(Model_Type="LA_PQIS",1000/0.0833,(12*1000))))*Flag_Mort_Rider_Charge*(T290&gt;0),0)</f>
        <v>0</v>
      </c>
      <c r="V290" s="34">
        <f>ROUND(MIN(IF(H290&gt;=7,Charges!$C$12*(1+Charges!$C$14)^((H290-7+1)),VLOOKUP(H290,Charges!$B$7:$C$12,2,0))*pr,Charges!$C$13)*B290,Round)</f>
        <v>0</v>
      </c>
      <c r="W290" s="14">
        <f t="shared" ca="1" si="198"/>
        <v>0</v>
      </c>
      <c r="X290" s="14">
        <f t="shared" ca="1" si="199"/>
        <v>0</v>
      </c>
      <c r="Y290" s="213">
        <f t="shared" ca="1" si="221"/>
        <v>0</v>
      </c>
      <c r="Z290" s="14">
        <f t="shared" ca="1" si="200"/>
        <v>0</v>
      </c>
      <c r="AA290" s="14">
        <f>IF(AND($H290=pt,$F290=11),SUM($K$7:K290)*VLOOKUP(pt,ROC,2,FALSE),0)</f>
        <v>0</v>
      </c>
      <c r="AB290" s="14">
        <f>IF(AND($H290=pt,$F290=11),SUM($V$7:V290)*VLOOKUP(pt,ROC,2,FALSE),0)</f>
        <v>0</v>
      </c>
      <c r="AC290" s="14">
        <f>IF(AND($H290=pt,$F290=11),SUM($Q$7:Q290)*VLOOKUP(pt,ROC,2,FALSE),0)</f>
        <v>0</v>
      </c>
      <c r="AD290" s="14">
        <f t="shared" ca="1" si="222"/>
        <v>0</v>
      </c>
      <c r="AE290" s="14">
        <f ca="1">(MAX(sa-CF289*Flag_UL_Type,105%*SUM($I$7:I290),Z290)+AU290)*B290</f>
        <v>0</v>
      </c>
      <c r="AF290" s="136"/>
      <c r="AG290" s="18">
        <v>284</v>
      </c>
      <c r="AH290" s="30">
        <f t="shared" ca="1" si="201"/>
        <v>0</v>
      </c>
      <c r="AI290" s="58"/>
      <c r="AJ290" s="50">
        <f>IF(AND(Option_Sys_TopUp&gt;="Y",H290&gt;=sytp,H290&lt;=(dtp+sytp-1),F290=0,H290&lt;=ppt+1),atp,0)+IFERROR(VLOOKUP(H290,Input!$B$55:$C$61,2,0),0)*(F290=0)*(Option_TopUP="Y")*(Option_Sys_TopUp="N")*B290*(pt&gt;=H290+5)</f>
        <v>0</v>
      </c>
      <c r="AK290" s="50">
        <f t="shared" si="202"/>
        <v>0</v>
      </c>
      <c r="AL290" s="50">
        <f t="shared" si="223"/>
        <v>0</v>
      </c>
      <c r="AM290" s="50">
        <f t="shared" ca="1" si="203"/>
        <v>0</v>
      </c>
      <c r="AN290" s="50">
        <f>IF(B290=0,0,AT290*(_rpm1+(1+_emr1)*VLOOKUP(E290,Tab_Mort_Charge,IF(Input!$C$12="M",2,3),0))*(0.001*0.0833)*Flag_Mort_Rider_Charge*(AT290&gt;0))</f>
        <v>0</v>
      </c>
      <c r="AO290" s="50">
        <f t="shared" ca="1" si="224"/>
        <v>0</v>
      </c>
      <c r="AP290" s="50">
        <f t="shared" ca="1" si="231"/>
        <v>0</v>
      </c>
      <c r="AQ290" s="50">
        <f t="shared" ca="1" si="204"/>
        <v>0</v>
      </c>
      <c r="AR290" s="50">
        <f t="shared" ca="1" si="205"/>
        <v>0</v>
      </c>
      <c r="AS290" s="50">
        <f t="shared" si="206"/>
        <v>0</v>
      </c>
      <c r="AT290" s="50">
        <f ca="1">(MAX((MAX(AS290,105%*SUM($AJ$7:AJ290))-AM290*Flag_UL_Type),0)*B290)</f>
        <v>0</v>
      </c>
      <c r="AU290" s="50">
        <f ca="1">(MAX(AS290,AR290,105%*SUM($AJ$7:AJ290))*B290)</f>
        <v>0</v>
      </c>
      <c r="AV290" s="125"/>
      <c r="AW290" s="13"/>
      <c r="AX290" s="13"/>
      <c r="AY290" s="13"/>
      <c r="AZ290" s="13"/>
      <c r="BA290" s="13"/>
      <c r="BG290" s="51">
        <f t="shared" si="207"/>
        <v>0</v>
      </c>
      <c r="BH290" s="51">
        <f t="shared" si="208"/>
        <v>0</v>
      </c>
      <c r="BI290" s="51">
        <f t="shared" ca="1" si="209"/>
        <v>0</v>
      </c>
      <c r="BJ290" s="51">
        <f t="shared" ca="1" si="210"/>
        <v>0</v>
      </c>
      <c r="BK290" s="51">
        <f t="shared" si="211"/>
        <v>0</v>
      </c>
      <c r="BL290" s="51">
        <f t="shared" ca="1" si="212"/>
        <v>0</v>
      </c>
      <c r="BM290" s="51">
        <f t="shared" si="213"/>
        <v>0</v>
      </c>
      <c r="BN290" s="51">
        <f t="shared" si="214"/>
        <v>0</v>
      </c>
      <c r="BO290" s="51">
        <f t="shared" ca="1" si="215"/>
        <v>0</v>
      </c>
      <c r="BP290" s="51">
        <f t="shared" ca="1" si="216"/>
        <v>0</v>
      </c>
      <c r="BQ290" s="120"/>
      <c r="BR290" s="32"/>
      <c r="BS290" s="126"/>
      <c r="BT290" s="16"/>
      <c r="BU290" s="58"/>
      <c r="BW290" s="51">
        <f>VLOOKUP(H290,Charges!$AT$4:$AU$33,2,FALSE)*I290</f>
        <v>0</v>
      </c>
      <c r="BX290" s="51">
        <f t="shared" si="217"/>
        <v>0</v>
      </c>
      <c r="BY290" s="51">
        <f t="shared" si="225"/>
        <v>0</v>
      </c>
      <c r="BZ290" s="151"/>
      <c r="CA290" s="151"/>
      <c r="CB290" s="32"/>
      <c r="CC290" s="16">
        <f ca="1">SUM($N$7:$N290)</f>
        <v>0</v>
      </c>
      <c r="CD290" s="16">
        <f t="shared" ca="1" si="218"/>
        <v>0</v>
      </c>
      <c r="CE290" s="16">
        <f t="shared" ca="1" si="219"/>
        <v>0</v>
      </c>
      <c r="CF290" s="7">
        <f t="shared" ca="1" si="226"/>
        <v>0</v>
      </c>
    </row>
    <row r="291" spans="1:84" s="7" customFormat="1" x14ac:dyDescent="0.2">
      <c r="A291" s="149"/>
      <c r="B291" s="14">
        <f t="shared" si="188"/>
        <v>0</v>
      </c>
      <c r="C291" s="12">
        <f t="shared" si="189"/>
        <v>0</v>
      </c>
      <c r="D291" s="17">
        <f t="shared" si="227"/>
        <v>285</v>
      </c>
      <c r="E291" s="17">
        <f t="shared" ca="1" si="190"/>
        <v>83</v>
      </c>
      <c r="F291" s="12">
        <f t="shared" si="229"/>
        <v>8</v>
      </c>
      <c r="G291" s="12">
        <f t="shared" si="228"/>
        <v>48</v>
      </c>
      <c r="H291" s="17">
        <f t="shared" si="230"/>
        <v>24</v>
      </c>
      <c r="I291" s="29">
        <f t="shared" si="191"/>
        <v>0</v>
      </c>
      <c r="J291" s="211">
        <f>IFERROR(VLOOKUP(H291,Charges!$T$6:$U$35,2,0)*C291,0)</f>
        <v>0</v>
      </c>
      <c r="K291" s="29">
        <f t="shared" si="192"/>
        <v>0</v>
      </c>
      <c r="L291" s="29">
        <f t="shared" si="193"/>
        <v>0</v>
      </c>
      <c r="M291" s="147">
        <f t="shared" ca="1" si="194"/>
        <v>0</v>
      </c>
      <c r="N291" s="148">
        <f ca="1">IF(AND(Option_SPW="Y",Z290&gt;=SPW_Start_Min_FV,H291&gt;=Lock_In_Period,Z290&gt;SPW_Amount_pa+IF(option="Single",1/5*pr,2*pr),H291&gt;=SPW_Start_Year,H291&lt;=SPW_Start_Year+SPW_Duration-1,F291=0,age+H291&gt;=Legal_Age),SPW_Amount_pa,0)+IFERROR(VLOOKUP(H291,Input!$B$68:$C$74,2,0),0)*(F291=0)*(Option_PW="Y")*(Option_SPW="N")*(age+H291&gt;=Legal_Age)</f>
        <v>0</v>
      </c>
      <c r="O291" s="148">
        <f t="shared" ca="1" si="220"/>
        <v>0</v>
      </c>
      <c r="P291" s="14">
        <f ca="1">(MAX(MAX(sa-CF290*Flag_UL_Type,105%*SUM($I$7:I291))-(AD290+L291-N291)*Flag_UL_Type,0)*B291)</f>
        <v>0</v>
      </c>
      <c r="Q291" s="213">
        <f t="shared" si="195"/>
        <v>0</v>
      </c>
      <c r="R291" s="14">
        <f t="shared" ca="1" si="196"/>
        <v>0</v>
      </c>
      <c r="S291" s="14">
        <f t="shared" ca="1" si="197"/>
        <v>0</v>
      </c>
      <c r="T291" s="14">
        <f>IFERROR(IF(WoP_Flag="Y",IF(fq=1,VLOOKUP(ppt*fq-H291,Charges!$AN$41:$AO$59,2,FALSE),IF(fq=2,VLOOKUP(ppt*fq-G291,Charges!$AP$41:$AQ$79,2,FALSE),VLOOKUP(ppt*fq-D291,Charges!$AR$41:$AS$279,2,FALSE)))*pr/fq,0),0)</f>
        <v>0</v>
      </c>
      <c r="U291" s="14">
        <f ca="1">IFERROR(((T291*(VLOOKUP(Input!$D$18+H291-1,Tab_Mort_Charge,IF(Gender_2="M",2,3),FALSE)*(1+_emr2)+_rpm2)/IF(Model_Type="LA_PQIS",1000/0.0833,(12*1000))))*Flag_Mort_Rider_Charge*(T291&gt;0),0)</f>
        <v>0</v>
      </c>
      <c r="V291" s="34">
        <f>ROUND(MIN(IF(H291&gt;=7,Charges!$C$12*(1+Charges!$C$14)^((H291-7+1)),VLOOKUP(H291,Charges!$B$7:$C$12,2,0))*pr,Charges!$C$13)*B291,Round)</f>
        <v>0</v>
      </c>
      <c r="W291" s="14">
        <f t="shared" ca="1" si="198"/>
        <v>0</v>
      </c>
      <c r="X291" s="14">
        <f t="shared" ca="1" si="199"/>
        <v>0</v>
      </c>
      <c r="Y291" s="213">
        <f t="shared" ca="1" si="221"/>
        <v>0</v>
      </c>
      <c r="Z291" s="14">
        <f t="shared" ca="1" si="200"/>
        <v>0</v>
      </c>
      <c r="AA291" s="14">
        <f>IF(AND($H291=pt,$F291=11),SUM($K$7:K291)*VLOOKUP(pt,ROC,2,FALSE),0)</f>
        <v>0</v>
      </c>
      <c r="AB291" s="14">
        <f>IF(AND($H291=pt,$F291=11),SUM($V$7:V291)*VLOOKUP(pt,ROC,2,FALSE),0)</f>
        <v>0</v>
      </c>
      <c r="AC291" s="14">
        <f>IF(AND($H291=pt,$F291=11),SUM($Q$7:Q291)*VLOOKUP(pt,ROC,2,FALSE),0)</f>
        <v>0</v>
      </c>
      <c r="AD291" s="14">
        <f t="shared" ca="1" si="222"/>
        <v>0</v>
      </c>
      <c r="AE291" s="14">
        <f ca="1">(MAX(sa-CF290*Flag_UL_Type,105%*SUM($I$7:I291),Z291)+AU291)*B291</f>
        <v>0</v>
      </c>
      <c r="AF291" s="136"/>
      <c r="AG291" s="18">
        <v>285</v>
      </c>
      <c r="AH291" s="30">
        <f t="shared" ca="1" si="201"/>
        <v>0</v>
      </c>
      <c r="AI291" s="58"/>
      <c r="AJ291" s="50">
        <f>IF(AND(Option_Sys_TopUp&gt;="Y",H291&gt;=sytp,H291&lt;=(dtp+sytp-1),F291=0,H291&lt;=ppt+1),atp,0)+IFERROR(VLOOKUP(H291,Input!$B$55:$C$61,2,0),0)*(F291=0)*(Option_TopUP="Y")*(Option_Sys_TopUp="N")*B291*(pt&gt;=H291+5)</f>
        <v>0</v>
      </c>
      <c r="AK291" s="50">
        <f t="shared" si="202"/>
        <v>0</v>
      </c>
      <c r="AL291" s="50">
        <f t="shared" si="223"/>
        <v>0</v>
      </c>
      <c r="AM291" s="50">
        <f t="shared" ca="1" si="203"/>
        <v>0</v>
      </c>
      <c r="AN291" s="50">
        <f>IF(B291=0,0,AT291*(_rpm1+(1+_emr1)*VLOOKUP(E291,Tab_Mort_Charge,IF(Input!$C$12="M",2,3),0))*(0.001*0.0833)*Flag_Mort_Rider_Charge*(AT291&gt;0))</f>
        <v>0</v>
      </c>
      <c r="AO291" s="50">
        <f t="shared" ca="1" si="224"/>
        <v>0</v>
      </c>
      <c r="AP291" s="50">
        <f t="shared" ca="1" si="231"/>
        <v>0</v>
      </c>
      <c r="AQ291" s="50">
        <f t="shared" ca="1" si="204"/>
        <v>0</v>
      </c>
      <c r="AR291" s="50">
        <f t="shared" ca="1" si="205"/>
        <v>0</v>
      </c>
      <c r="AS291" s="50">
        <f t="shared" si="206"/>
        <v>0</v>
      </c>
      <c r="AT291" s="50">
        <f ca="1">(MAX((MAX(AS291,105%*SUM($AJ$7:AJ291))-AM291*Flag_UL_Type),0)*B291)</f>
        <v>0</v>
      </c>
      <c r="AU291" s="50">
        <f ca="1">(MAX(AS291,AR291,105%*SUM($AJ$7:AJ291))*B291)</f>
        <v>0</v>
      </c>
      <c r="AV291" s="125"/>
      <c r="AW291" s="13"/>
      <c r="AX291" s="13"/>
      <c r="AY291" s="13"/>
      <c r="AZ291" s="13"/>
      <c r="BA291" s="13"/>
      <c r="BG291" s="51">
        <f t="shared" si="207"/>
        <v>0</v>
      </c>
      <c r="BH291" s="51">
        <f t="shared" si="208"/>
        <v>0</v>
      </c>
      <c r="BI291" s="51">
        <f t="shared" ca="1" si="209"/>
        <v>0</v>
      </c>
      <c r="BJ291" s="51">
        <f t="shared" ca="1" si="210"/>
        <v>0</v>
      </c>
      <c r="BK291" s="51">
        <f t="shared" si="211"/>
        <v>0</v>
      </c>
      <c r="BL291" s="51">
        <f t="shared" ca="1" si="212"/>
        <v>0</v>
      </c>
      <c r="BM291" s="51">
        <f t="shared" si="213"/>
        <v>0</v>
      </c>
      <c r="BN291" s="51">
        <f t="shared" si="214"/>
        <v>0</v>
      </c>
      <c r="BO291" s="51">
        <f t="shared" ca="1" si="215"/>
        <v>0</v>
      </c>
      <c r="BP291" s="51">
        <f t="shared" ca="1" si="216"/>
        <v>0</v>
      </c>
      <c r="BQ291" s="120"/>
      <c r="BR291" s="32"/>
      <c r="BS291" s="126"/>
      <c r="BT291" s="16"/>
      <c r="BU291" s="58"/>
      <c r="BW291" s="51">
        <f>VLOOKUP(H291,Charges!$AT$4:$AU$33,2,FALSE)*I291</f>
        <v>0</v>
      </c>
      <c r="BX291" s="51">
        <f t="shared" si="217"/>
        <v>0</v>
      </c>
      <c r="BY291" s="51">
        <f t="shared" si="225"/>
        <v>0</v>
      </c>
      <c r="BZ291" s="151"/>
      <c r="CA291" s="151"/>
      <c r="CB291" s="32"/>
      <c r="CC291" s="16">
        <f ca="1">SUM($N$7:$N291)</f>
        <v>0</v>
      </c>
      <c r="CD291" s="16">
        <f t="shared" ca="1" si="218"/>
        <v>0</v>
      </c>
      <c r="CE291" s="16">
        <f t="shared" ca="1" si="219"/>
        <v>0</v>
      </c>
      <c r="CF291" s="7">
        <f t="shared" ca="1" si="226"/>
        <v>0</v>
      </c>
    </row>
    <row r="292" spans="1:84" s="7" customFormat="1" x14ac:dyDescent="0.2">
      <c r="A292" s="149"/>
      <c r="B292" s="14">
        <f t="shared" si="188"/>
        <v>0</v>
      </c>
      <c r="C292" s="12">
        <f t="shared" si="189"/>
        <v>0</v>
      </c>
      <c r="D292" s="17">
        <f t="shared" si="227"/>
        <v>286</v>
      </c>
      <c r="E292" s="17">
        <f t="shared" ca="1" si="190"/>
        <v>83</v>
      </c>
      <c r="F292" s="12">
        <f t="shared" si="229"/>
        <v>9</v>
      </c>
      <c r="G292" s="12">
        <f t="shared" si="228"/>
        <v>48</v>
      </c>
      <c r="H292" s="17">
        <f t="shared" si="230"/>
        <v>24</v>
      </c>
      <c r="I292" s="29">
        <f t="shared" si="191"/>
        <v>0</v>
      </c>
      <c r="J292" s="211">
        <f>IFERROR(VLOOKUP(H292,Charges!$T$6:$U$35,2,0)*C292,0)</f>
        <v>0</v>
      </c>
      <c r="K292" s="29">
        <f t="shared" si="192"/>
        <v>0</v>
      </c>
      <c r="L292" s="29">
        <f t="shared" si="193"/>
        <v>0</v>
      </c>
      <c r="M292" s="147">
        <f t="shared" ca="1" si="194"/>
        <v>0</v>
      </c>
      <c r="N292" s="148">
        <f ca="1">IF(AND(Option_SPW="Y",Z291&gt;=SPW_Start_Min_FV,H292&gt;=Lock_In_Period,Z291&gt;SPW_Amount_pa+IF(option="Single",1/5*pr,2*pr),H292&gt;=SPW_Start_Year,H292&lt;=SPW_Start_Year+SPW_Duration-1,F292=0,age+H292&gt;=Legal_Age),SPW_Amount_pa,0)+IFERROR(VLOOKUP(H292,Input!$B$68:$C$74,2,0),0)*(F292=0)*(Option_PW="Y")*(Option_SPW="N")*(age+H292&gt;=Legal_Age)</f>
        <v>0</v>
      </c>
      <c r="O292" s="148">
        <f t="shared" ca="1" si="220"/>
        <v>0</v>
      </c>
      <c r="P292" s="14">
        <f ca="1">(MAX(MAX(sa-CF291*Flag_UL_Type,105%*SUM($I$7:I292))-(AD291+L292-N292)*Flag_UL_Type,0)*B292)</f>
        <v>0</v>
      </c>
      <c r="Q292" s="213">
        <f t="shared" si="195"/>
        <v>0</v>
      </c>
      <c r="R292" s="14">
        <f t="shared" ca="1" si="196"/>
        <v>0</v>
      </c>
      <c r="S292" s="14">
        <f t="shared" ca="1" si="197"/>
        <v>0</v>
      </c>
      <c r="T292" s="14">
        <f>IFERROR(IF(WoP_Flag="Y",IF(fq=1,VLOOKUP(ppt*fq-H292,Charges!$AN$41:$AO$59,2,FALSE),IF(fq=2,VLOOKUP(ppt*fq-G292,Charges!$AP$41:$AQ$79,2,FALSE),VLOOKUP(ppt*fq-D292,Charges!$AR$41:$AS$279,2,FALSE)))*pr/fq,0),0)</f>
        <v>0</v>
      </c>
      <c r="U292" s="14">
        <f ca="1">IFERROR(((T292*(VLOOKUP(Input!$D$18+H292-1,Tab_Mort_Charge,IF(Gender_2="M",2,3),FALSE)*(1+_emr2)+_rpm2)/IF(Model_Type="LA_PQIS",1000/0.0833,(12*1000))))*Flag_Mort_Rider_Charge*(T292&gt;0),0)</f>
        <v>0</v>
      </c>
      <c r="V292" s="34">
        <f>ROUND(MIN(IF(H292&gt;=7,Charges!$C$12*(1+Charges!$C$14)^((H292-7+1)),VLOOKUP(H292,Charges!$B$7:$C$12,2,0))*pr,Charges!$C$13)*B292,Round)</f>
        <v>0</v>
      </c>
      <c r="W292" s="14">
        <f t="shared" ca="1" si="198"/>
        <v>0</v>
      </c>
      <c r="X292" s="14">
        <f t="shared" ca="1" si="199"/>
        <v>0</v>
      </c>
      <c r="Y292" s="213">
        <f t="shared" ca="1" si="221"/>
        <v>0</v>
      </c>
      <c r="Z292" s="14">
        <f t="shared" ca="1" si="200"/>
        <v>0</v>
      </c>
      <c r="AA292" s="14">
        <f>IF(AND($H292=pt,$F292=11),SUM($K$7:K292)*VLOOKUP(pt,ROC,2,FALSE),0)</f>
        <v>0</v>
      </c>
      <c r="AB292" s="14">
        <f>IF(AND($H292=pt,$F292=11),SUM($V$7:V292)*VLOOKUP(pt,ROC,2,FALSE),0)</f>
        <v>0</v>
      </c>
      <c r="AC292" s="14">
        <f>IF(AND($H292=pt,$F292=11),SUM($Q$7:Q292)*VLOOKUP(pt,ROC,2,FALSE),0)</f>
        <v>0</v>
      </c>
      <c r="AD292" s="14">
        <f t="shared" ca="1" si="222"/>
        <v>0</v>
      </c>
      <c r="AE292" s="14">
        <f ca="1">(MAX(sa-CF291*Flag_UL_Type,105%*SUM($I$7:I292),Z292)+AU292)*B292</f>
        <v>0</v>
      </c>
      <c r="AF292" s="136"/>
      <c r="AG292" s="18">
        <v>286</v>
      </c>
      <c r="AH292" s="30">
        <f t="shared" ca="1" si="201"/>
        <v>0</v>
      </c>
      <c r="AI292" s="58"/>
      <c r="AJ292" s="50">
        <f>IF(AND(Option_Sys_TopUp&gt;="Y",H292&gt;=sytp,H292&lt;=(dtp+sytp-1),F292=0,H292&lt;=ppt+1),atp,0)+IFERROR(VLOOKUP(H292,Input!$B$55:$C$61,2,0),0)*(F292=0)*(Option_TopUP="Y")*(Option_Sys_TopUp="N")*B292*(pt&gt;=H292+5)</f>
        <v>0</v>
      </c>
      <c r="AK292" s="50">
        <f t="shared" si="202"/>
        <v>0</v>
      </c>
      <c r="AL292" s="50">
        <f t="shared" si="223"/>
        <v>0</v>
      </c>
      <c r="AM292" s="50">
        <f t="shared" ca="1" si="203"/>
        <v>0</v>
      </c>
      <c r="AN292" s="50">
        <f>IF(B292=0,0,AT292*(_rpm1+(1+_emr1)*VLOOKUP(E292,Tab_Mort_Charge,IF(Input!$C$12="M",2,3),0))*(0.001*0.0833)*Flag_Mort_Rider_Charge*(AT292&gt;0))</f>
        <v>0</v>
      </c>
      <c r="AO292" s="50">
        <f t="shared" ca="1" si="224"/>
        <v>0</v>
      </c>
      <c r="AP292" s="50">
        <f t="shared" ca="1" si="231"/>
        <v>0</v>
      </c>
      <c r="AQ292" s="50">
        <f t="shared" ca="1" si="204"/>
        <v>0</v>
      </c>
      <c r="AR292" s="50">
        <f t="shared" ca="1" si="205"/>
        <v>0</v>
      </c>
      <c r="AS292" s="50">
        <f t="shared" si="206"/>
        <v>0</v>
      </c>
      <c r="AT292" s="50">
        <f ca="1">(MAX((MAX(AS292,105%*SUM($AJ$7:AJ292))-AM292*Flag_UL_Type),0)*B292)</f>
        <v>0</v>
      </c>
      <c r="AU292" s="50">
        <f ca="1">(MAX(AS292,AR292,105%*SUM($AJ$7:AJ292))*B292)</f>
        <v>0</v>
      </c>
      <c r="AV292" s="125"/>
      <c r="AW292" s="13"/>
      <c r="AX292" s="13"/>
      <c r="AY292" s="13"/>
      <c r="AZ292" s="13"/>
      <c r="BA292" s="13"/>
      <c r="BG292" s="51">
        <f t="shared" si="207"/>
        <v>0</v>
      </c>
      <c r="BH292" s="51">
        <f t="shared" si="208"/>
        <v>0</v>
      </c>
      <c r="BI292" s="51">
        <f t="shared" ca="1" si="209"/>
        <v>0</v>
      </c>
      <c r="BJ292" s="51">
        <f t="shared" ca="1" si="210"/>
        <v>0</v>
      </c>
      <c r="BK292" s="51">
        <f t="shared" si="211"/>
        <v>0</v>
      </c>
      <c r="BL292" s="51">
        <f t="shared" ca="1" si="212"/>
        <v>0</v>
      </c>
      <c r="BM292" s="51">
        <f t="shared" si="213"/>
        <v>0</v>
      </c>
      <c r="BN292" s="51">
        <f t="shared" si="214"/>
        <v>0</v>
      </c>
      <c r="BO292" s="51">
        <f t="shared" ca="1" si="215"/>
        <v>0</v>
      </c>
      <c r="BP292" s="51">
        <f t="shared" ca="1" si="216"/>
        <v>0</v>
      </c>
      <c r="BQ292" s="120"/>
      <c r="BR292" s="32"/>
      <c r="BS292" s="126"/>
      <c r="BT292" s="16"/>
      <c r="BU292" s="58"/>
      <c r="BW292" s="51">
        <f>VLOOKUP(H292,Charges!$AT$4:$AU$33,2,FALSE)*I292</f>
        <v>0</v>
      </c>
      <c r="BX292" s="51">
        <f t="shared" si="217"/>
        <v>0</v>
      </c>
      <c r="BY292" s="51">
        <f t="shared" si="225"/>
        <v>0</v>
      </c>
      <c r="BZ292" s="151"/>
      <c r="CA292" s="151"/>
      <c r="CB292" s="32"/>
      <c r="CC292" s="16">
        <f ca="1">SUM($N$7:$N292)</f>
        <v>0</v>
      </c>
      <c r="CD292" s="16">
        <f t="shared" ca="1" si="218"/>
        <v>0</v>
      </c>
      <c r="CE292" s="16">
        <f t="shared" ca="1" si="219"/>
        <v>0</v>
      </c>
      <c r="CF292" s="7">
        <f t="shared" ca="1" si="226"/>
        <v>0</v>
      </c>
    </row>
    <row r="293" spans="1:84" s="7" customFormat="1" x14ac:dyDescent="0.2">
      <c r="A293" s="149"/>
      <c r="B293" s="14">
        <f t="shared" si="188"/>
        <v>0</v>
      </c>
      <c r="C293" s="12">
        <f t="shared" si="189"/>
        <v>0</v>
      </c>
      <c r="D293" s="17">
        <f t="shared" si="227"/>
        <v>287</v>
      </c>
      <c r="E293" s="17">
        <f t="shared" ca="1" si="190"/>
        <v>83</v>
      </c>
      <c r="F293" s="12">
        <f t="shared" si="229"/>
        <v>10</v>
      </c>
      <c r="G293" s="12">
        <f t="shared" si="228"/>
        <v>48</v>
      </c>
      <c r="H293" s="17">
        <f t="shared" si="230"/>
        <v>24</v>
      </c>
      <c r="I293" s="29">
        <f t="shared" si="191"/>
        <v>0</v>
      </c>
      <c r="J293" s="211">
        <f>IFERROR(VLOOKUP(H293,Charges!$T$6:$U$35,2,0)*C293,0)</f>
        <v>0</v>
      </c>
      <c r="K293" s="29">
        <f t="shared" si="192"/>
        <v>0</v>
      </c>
      <c r="L293" s="29">
        <f t="shared" si="193"/>
        <v>0</v>
      </c>
      <c r="M293" s="147">
        <f t="shared" ca="1" si="194"/>
        <v>0</v>
      </c>
      <c r="N293" s="148">
        <f ca="1">IF(AND(Option_SPW="Y",Z292&gt;=SPW_Start_Min_FV,H293&gt;=Lock_In_Period,Z292&gt;SPW_Amount_pa+IF(option="Single",1/5*pr,2*pr),H293&gt;=SPW_Start_Year,H293&lt;=SPW_Start_Year+SPW_Duration-1,F293=0,age+H293&gt;=Legal_Age),SPW_Amount_pa,0)+IFERROR(VLOOKUP(H293,Input!$B$68:$C$74,2,0),0)*(F293=0)*(Option_PW="Y")*(Option_SPW="N")*(age+H293&gt;=Legal_Age)</f>
        <v>0</v>
      </c>
      <c r="O293" s="148">
        <f t="shared" ca="1" si="220"/>
        <v>0</v>
      </c>
      <c r="P293" s="14">
        <f ca="1">(MAX(MAX(sa-CF292*Flag_UL_Type,105%*SUM($I$7:I293))-(AD292+L293-N293)*Flag_UL_Type,0)*B293)</f>
        <v>0</v>
      </c>
      <c r="Q293" s="213">
        <f t="shared" si="195"/>
        <v>0</v>
      </c>
      <c r="R293" s="14">
        <f t="shared" ca="1" si="196"/>
        <v>0</v>
      </c>
      <c r="S293" s="14">
        <f t="shared" ca="1" si="197"/>
        <v>0</v>
      </c>
      <c r="T293" s="14">
        <f>IFERROR(IF(WoP_Flag="Y",IF(fq=1,VLOOKUP(ppt*fq-H293,Charges!$AN$41:$AO$59,2,FALSE),IF(fq=2,VLOOKUP(ppt*fq-G293,Charges!$AP$41:$AQ$79,2,FALSE),VLOOKUP(ppt*fq-D293,Charges!$AR$41:$AS$279,2,FALSE)))*pr/fq,0),0)</f>
        <v>0</v>
      </c>
      <c r="U293" s="14">
        <f ca="1">IFERROR(((T293*(VLOOKUP(Input!$D$18+H293-1,Tab_Mort_Charge,IF(Gender_2="M",2,3),FALSE)*(1+_emr2)+_rpm2)/IF(Model_Type="LA_PQIS",1000/0.0833,(12*1000))))*Flag_Mort_Rider_Charge*(T293&gt;0),0)</f>
        <v>0</v>
      </c>
      <c r="V293" s="34">
        <f>ROUND(MIN(IF(H293&gt;=7,Charges!$C$12*(1+Charges!$C$14)^((H293-7+1)),VLOOKUP(H293,Charges!$B$7:$C$12,2,0))*pr,Charges!$C$13)*B293,Round)</f>
        <v>0</v>
      </c>
      <c r="W293" s="14">
        <f t="shared" ca="1" si="198"/>
        <v>0</v>
      </c>
      <c r="X293" s="14">
        <f t="shared" ca="1" si="199"/>
        <v>0</v>
      </c>
      <c r="Y293" s="213">
        <f t="shared" ca="1" si="221"/>
        <v>0</v>
      </c>
      <c r="Z293" s="14">
        <f t="shared" ca="1" si="200"/>
        <v>0</v>
      </c>
      <c r="AA293" s="14">
        <f>IF(AND($H293=pt,$F293=11),SUM($K$7:K293)*VLOOKUP(pt,ROC,2,FALSE),0)</f>
        <v>0</v>
      </c>
      <c r="AB293" s="14">
        <f>IF(AND($H293=pt,$F293=11),SUM($V$7:V293)*VLOOKUP(pt,ROC,2,FALSE),0)</f>
        <v>0</v>
      </c>
      <c r="AC293" s="14">
        <f>IF(AND($H293=pt,$F293=11),SUM($Q$7:Q293)*VLOOKUP(pt,ROC,2,FALSE),0)</f>
        <v>0</v>
      </c>
      <c r="AD293" s="14">
        <f t="shared" ca="1" si="222"/>
        <v>0</v>
      </c>
      <c r="AE293" s="14">
        <f ca="1">(MAX(sa-CF292*Flag_UL_Type,105%*SUM($I$7:I293),Z293)+AU293)*B293</f>
        <v>0</v>
      </c>
      <c r="AF293" s="136"/>
      <c r="AG293" s="18">
        <v>287</v>
      </c>
      <c r="AH293" s="30">
        <f t="shared" ca="1" si="201"/>
        <v>0</v>
      </c>
      <c r="AI293" s="58"/>
      <c r="AJ293" s="50">
        <f>IF(AND(Option_Sys_TopUp&gt;="Y",H293&gt;=sytp,H293&lt;=(dtp+sytp-1),F293=0,H293&lt;=ppt+1),atp,0)+IFERROR(VLOOKUP(H293,Input!$B$55:$C$61,2,0),0)*(F293=0)*(Option_TopUP="Y")*(Option_Sys_TopUp="N")*B293*(pt&gt;=H293+5)</f>
        <v>0</v>
      </c>
      <c r="AK293" s="50">
        <f t="shared" si="202"/>
        <v>0</v>
      </c>
      <c r="AL293" s="50">
        <f t="shared" si="223"/>
        <v>0</v>
      </c>
      <c r="AM293" s="50">
        <f t="shared" ca="1" si="203"/>
        <v>0</v>
      </c>
      <c r="AN293" s="50">
        <f>IF(B293=0,0,AT293*(_rpm1+(1+_emr1)*VLOOKUP(E293,Tab_Mort_Charge,IF(Input!$C$12="M",2,3),0))*(0.001*0.0833)*Flag_Mort_Rider_Charge*(AT293&gt;0))</f>
        <v>0</v>
      </c>
      <c r="AO293" s="50">
        <f t="shared" ca="1" si="224"/>
        <v>0</v>
      </c>
      <c r="AP293" s="50">
        <f t="shared" ca="1" si="231"/>
        <v>0</v>
      </c>
      <c r="AQ293" s="50">
        <f t="shared" ca="1" si="204"/>
        <v>0</v>
      </c>
      <c r="AR293" s="50">
        <f t="shared" ca="1" si="205"/>
        <v>0</v>
      </c>
      <c r="AS293" s="50">
        <f t="shared" si="206"/>
        <v>0</v>
      </c>
      <c r="AT293" s="50">
        <f ca="1">(MAX((MAX(AS293,105%*SUM($AJ$7:AJ293))-AM293*Flag_UL_Type),0)*B293)</f>
        <v>0</v>
      </c>
      <c r="AU293" s="50">
        <f ca="1">(MAX(AS293,AR293,105%*SUM($AJ$7:AJ293))*B293)</f>
        <v>0</v>
      </c>
      <c r="AV293" s="125"/>
      <c r="AW293" s="13"/>
      <c r="AX293" s="13"/>
      <c r="AY293" s="13"/>
      <c r="AZ293" s="13"/>
      <c r="BA293" s="13"/>
      <c r="BG293" s="51">
        <f t="shared" si="207"/>
        <v>0</v>
      </c>
      <c r="BH293" s="51">
        <f t="shared" si="208"/>
        <v>0</v>
      </c>
      <c r="BI293" s="51">
        <f t="shared" ca="1" si="209"/>
        <v>0</v>
      </c>
      <c r="BJ293" s="51">
        <f t="shared" ca="1" si="210"/>
        <v>0</v>
      </c>
      <c r="BK293" s="51">
        <f t="shared" si="211"/>
        <v>0</v>
      </c>
      <c r="BL293" s="51">
        <f t="shared" ca="1" si="212"/>
        <v>0</v>
      </c>
      <c r="BM293" s="51">
        <f t="shared" si="213"/>
        <v>0</v>
      </c>
      <c r="BN293" s="51">
        <f t="shared" si="214"/>
        <v>0</v>
      </c>
      <c r="BO293" s="51">
        <f t="shared" ca="1" si="215"/>
        <v>0</v>
      </c>
      <c r="BP293" s="51">
        <f t="shared" ca="1" si="216"/>
        <v>0</v>
      </c>
      <c r="BQ293" s="120"/>
      <c r="BR293" s="32"/>
      <c r="BS293" s="126"/>
      <c r="BT293" s="16"/>
      <c r="BU293" s="58"/>
      <c r="BW293" s="51">
        <f>VLOOKUP(H293,Charges!$AT$4:$AU$33,2,FALSE)*I293</f>
        <v>0</v>
      </c>
      <c r="BX293" s="51">
        <f t="shared" si="217"/>
        <v>0</v>
      </c>
      <c r="BY293" s="51">
        <f t="shared" si="225"/>
        <v>0</v>
      </c>
      <c r="BZ293" s="151"/>
      <c r="CA293" s="151"/>
      <c r="CB293" s="32"/>
      <c r="CC293" s="16">
        <f ca="1">SUM($N$7:$N293)</f>
        <v>0</v>
      </c>
      <c r="CD293" s="16">
        <f t="shared" ca="1" si="218"/>
        <v>0</v>
      </c>
      <c r="CE293" s="16">
        <f t="shared" ca="1" si="219"/>
        <v>0</v>
      </c>
      <c r="CF293" s="7">
        <f t="shared" ca="1" si="226"/>
        <v>0</v>
      </c>
    </row>
    <row r="294" spans="1:84" s="7" customFormat="1" x14ac:dyDescent="0.2">
      <c r="A294" s="149"/>
      <c r="B294" s="14">
        <f t="shared" si="188"/>
        <v>0</v>
      </c>
      <c r="C294" s="12">
        <f t="shared" si="189"/>
        <v>0</v>
      </c>
      <c r="D294" s="17">
        <f t="shared" si="227"/>
        <v>288</v>
      </c>
      <c r="E294" s="17">
        <f t="shared" ca="1" si="190"/>
        <v>83</v>
      </c>
      <c r="F294" s="12">
        <f t="shared" si="229"/>
        <v>11</v>
      </c>
      <c r="G294" s="12">
        <f t="shared" si="228"/>
        <v>48</v>
      </c>
      <c r="H294" s="17">
        <f t="shared" si="230"/>
        <v>24</v>
      </c>
      <c r="I294" s="29">
        <f t="shared" si="191"/>
        <v>0</v>
      </c>
      <c r="J294" s="211">
        <f>IFERROR(VLOOKUP(H294,Charges!$T$6:$U$35,2,0)*C294,0)</f>
        <v>0</v>
      </c>
      <c r="K294" s="29">
        <f t="shared" si="192"/>
        <v>0</v>
      </c>
      <c r="L294" s="29">
        <f t="shared" si="193"/>
        <v>0</v>
      </c>
      <c r="M294" s="147">
        <f t="shared" ca="1" si="194"/>
        <v>0</v>
      </c>
      <c r="N294" s="148">
        <f ca="1">IF(AND(Option_SPW="Y",Z293&gt;=SPW_Start_Min_FV,H294&gt;=Lock_In_Period,Z293&gt;SPW_Amount_pa+IF(option="Single",1/5*pr,2*pr),H294&gt;=SPW_Start_Year,H294&lt;=SPW_Start_Year+SPW_Duration-1,F294=0,age+H294&gt;=Legal_Age),SPW_Amount_pa,0)+IFERROR(VLOOKUP(H294,Input!$B$68:$C$74,2,0),0)*(F294=0)*(Option_PW="Y")*(Option_SPW="N")*(age+H294&gt;=Legal_Age)</f>
        <v>0</v>
      </c>
      <c r="O294" s="148">
        <f t="shared" ca="1" si="220"/>
        <v>0</v>
      </c>
      <c r="P294" s="14">
        <f ca="1">(MAX(MAX(sa-CF293*Flag_UL_Type,105%*SUM($I$7:I294))-(AD293+L294-N294)*Flag_UL_Type,0)*B294)</f>
        <v>0</v>
      </c>
      <c r="Q294" s="213">
        <f t="shared" si="195"/>
        <v>0</v>
      </c>
      <c r="R294" s="14">
        <f t="shared" ca="1" si="196"/>
        <v>0</v>
      </c>
      <c r="S294" s="14">
        <f t="shared" ca="1" si="197"/>
        <v>0</v>
      </c>
      <c r="T294" s="14">
        <f>IFERROR(IF(WoP_Flag="Y",IF(fq=1,VLOOKUP(ppt*fq-H294,Charges!$AN$41:$AO$59,2,FALSE),IF(fq=2,VLOOKUP(ppt*fq-G294,Charges!$AP$41:$AQ$79,2,FALSE),VLOOKUP(ppt*fq-D294,Charges!$AR$41:$AS$279,2,FALSE)))*pr/fq,0),0)</f>
        <v>0</v>
      </c>
      <c r="U294" s="14">
        <f ca="1">IFERROR(((T294*(VLOOKUP(Input!$D$18+H294-1,Tab_Mort_Charge,IF(Gender_2="M",2,3),FALSE)*(1+_emr2)+_rpm2)/IF(Model_Type="LA_PQIS",1000/0.0833,(12*1000))))*Flag_Mort_Rider_Charge*(T294&gt;0),0)</f>
        <v>0</v>
      </c>
      <c r="V294" s="34">
        <f>ROUND(MIN(IF(H294&gt;=7,Charges!$C$12*(1+Charges!$C$14)^((H294-7+1)),VLOOKUP(H294,Charges!$B$7:$C$12,2,0))*pr,Charges!$C$13)*B294,Round)</f>
        <v>0</v>
      </c>
      <c r="W294" s="14">
        <f t="shared" ca="1" si="198"/>
        <v>0</v>
      </c>
      <c r="X294" s="14">
        <f t="shared" ca="1" si="199"/>
        <v>0</v>
      </c>
      <c r="Y294" s="213">
        <f t="shared" ca="1" si="221"/>
        <v>0</v>
      </c>
      <c r="Z294" s="14">
        <f t="shared" ca="1" si="200"/>
        <v>0</v>
      </c>
      <c r="AA294" s="14">
        <f>IF(AND($H294=pt,$F294=11),SUM($K$7:K294)*VLOOKUP(pt,ROC,2,FALSE),0)</f>
        <v>0</v>
      </c>
      <c r="AB294" s="14">
        <f>IF(AND($H294=pt,$F294=11),SUM($V$7:V294)*VLOOKUP(pt,ROC,2,FALSE),0)</f>
        <v>0</v>
      </c>
      <c r="AC294" s="14">
        <f>IF(AND($H294=pt,$F294=11),SUM($Q$7:Q294)*VLOOKUP(pt,ROC,2,FALSE),0)</f>
        <v>0</v>
      </c>
      <c r="AD294" s="14">
        <f t="shared" ca="1" si="222"/>
        <v>0</v>
      </c>
      <c r="AE294" s="14">
        <f ca="1">(MAX(sa-CF293*Flag_UL_Type,105%*SUM($I$7:I294),Z294)+AU294)*B294</f>
        <v>0</v>
      </c>
      <c r="AF294" s="136"/>
      <c r="AG294" s="18">
        <v>288</v>
      </c>
      <c r="AH294" s="30">
        <f t="shared" ca="1" si="201"/>
        <v>0</v>
      </c>
      <c r="AI294" s="58"/>
      <c r="AJ294" s="50">
        <f>IF(AND(Option_Sys_TopUp&gt;="Y",H294&gt;=sytp,H294&lt;=(dtp+sytp-1),F294=0,H294&lt;=ppt+1),atp,0)+IFERROR(VLOOKUP(H294,Input!$B$55:$C$61,2,0),0)*(F294=0)*(Option_TopUP="Y")*(Option_Sys_TopUp="N")*B294*(pt&gt;=H294+5)</f>
        <v>0</v>
      </c>
      <c r="AK294" s="50">
        <f t="shared" si="202"/>
        <v>0</v>
      </c>
      <c r="AL294" s="50">
        <f t="shared" si="223"/>
        <v>0</v>
      </c>
      <c r="AM294" s="50">
        <f t="shared" ca="1" si="203"/>
        <v>0</v>
      </c>
      <c r="AN294" s="50">
        <f>IF(B294=0,0,AT294*(_rpm1+(1+_emr1)*VLOOKUP(E294,Tab_Mort_Charge,IF(Input!$C$12="M",2,3),0))*(0.001*0.0833)*Flag_Mort_Rider_Charge*(AT294&gt;0))</f>
        <v>0</v>
      </c>
      <c r="AO294" s="50">
        <f t="shared" ca="1" si="224"/>
        <v>0</v>
      </c>
      <c r="AP294" s="50">
        <f t="shared" ca="1" si="231"/>
        <v>0</v>
      </c>
      <c r="AQ294" s="50">
        <f t="shared" ca="1" si="204"/>
        <v>0</v>
      </c>
      <c r="AR294" s="50">
        <f t="shared" ca="1" si="205"/>
        <v>0</v>
      </c>
      <c r="AS294" s="50">
        <f t="shared" si="206"/>
        <v>0</v>
      </c>
      <c r="AT294" s="50">
        <f ca="1">(MAX((MAX(AS294,105%*SUM($AJ$7:AJ294))-AM294*Flag_UL_Type),0)*B294)</f>
        <v>0</v>
      </c>
      <c r="AU294" s="50">
        <f ca="1">(MAX(AS294,AR294,105%*SUM($AJ$7:AJ294))*B294)</f>
        <v>0</v>
      </c>
      <c r="AV294" s="125"/>
      <c r="AW294" s="13"/>
      <c r="AX294" s="13"/>
      <c r="AY294" s="13"/>
      <c r="AZ294" s="13"/>
      <c r="BA294" s="13"/>
      <c r="BG294" s="51">
        <f t="shared" si="207"/>
        <v>0</v>
      </c>
      <c r="BH294" s="51">
        <f t="shared" si="208"/>
        <v>0</v>
      </c>
      <c r="BI294" s="51">
        <f t="shared" ca="1" si="209"/>
        <v>0</v>
      </c>
      <c r="BJ294" s="51">
        <f t="shared" ca="1" si="210"/>
        <v>0</v>
      </c>
      <c r="BK294" s="51">
        <f t="shared" si="211"/>
        <v>0</v>
      </c>
      <c r="BL294" s="51">
        <f t="shared" ca="1" si="212"/>
        <v>0</v>
      </c>
      <c r="BM294" s="51">
        <f t="shared" si="213"/>
        <v>0</v>
      </c>
      <c r="BN294" s="51">
        <f t="shared" si="214"/>
        <v>0</v>
      </c>
      <c r="BO294" s="51">
        <f t="shared" ca="1" si="215"/>
        <v>0</v>
      </c>
      <c r="BP294" s="51">
        <f t="shared" ca="1" si="216"/>
        <v>0</v>
      </c>
      <c r="BQ294" s="120"/>
      <c r="BR294" s="32"/>
      <c r="BS294" s="126"/>
      <c r="BT294" s="16"/>
      <c r="BU294" s="58"/>
      <c r="BW294" s="51">
        <f>VLOOKUP(H294,Charges!$AT$4:$AU$33,2,FALSE)*I294</f>
        <v>0</v>
      </c>
      <c r="BX294" s="51">
        <f t="shared" si="217"/>
        <v>0</v>
      </c>
      <c r="BY294" s="51">
        <f t="shared" si="225"/>
        <v>0</v>
      </c>
      <c r="BZ294" s="151"/>
      <c r="CA294" s="151"/>
      <c r="CB294" s="32"/>
      <c r="CC294" s="16">
        <f ca="1">SUM($N$7:$N294)</f>
        <v>0</v>
      </c>
      <c r="CD294" s="16">
        <f t="shared" ca="1" si="218"/>
        <v>0</v>
      </c>
      <c r="CE294" s="16">
        <f t="shared" ca="1" si="219"/>
        <v>0</v>
      </c>
      <c r="CF294" s="7">
        <f t="shared" ca="1" si="226"/>
        <v>0</v>
      </c>
    </row>
    <row r="295" spans="1:84" s="7" customFormat="1" x14ac:dyDescent="0.2">
      <c r="A295" s="149"/>
      <c r="B295" s="14">
        <f t="shared" si="188"/>
        <v>0</v>
      </c>
      <c r="C295" s="12">
        <f t="shared" si="189"/>
        <v>0</v>
      </c>
      <c r="D295" s="17">
        <f t="shared" si="227"/>
        <v>289</v>
      </c>
      <c r="E295" s="17">
        <f t="shared" ca="1" si="190"/>
        <v>84</v>
      </c>
      <c r="F295" s="12">
        <f t="shared" si="229"/>
        <v>0</v>
      </c>
      <c r="G295" s="12">
        <f t="shared" si="228"/>
        <v>49</v>
      </c>
      <c r="H295" s="17">
        <f t="shared" si="230"/>
        <v>25</v>
      </c>
      <c r="I295" s="29">
        <f t="shared" si="191"/>
        <v>0</v>
      </c>
      <c r="J295" s="211">
        <f>IFERROR(VLOOKUP(H295,Charges!$T$6:$U$35,2,0)*C295,0)</f>
        <v>0</v>
      </c>
      <c r="K295" s="29">
        <f t="shared" si="192"/>
        <v>0</v>
      </c>
      <c r="L295" s="29">
        <f t="shared" si="193"/>
        <v>0</v>
      </c>
      <c r="M295" s="147">
        <f t="shared" ca="1" si="194"/>
        <v>0</v>
      </c>
      <c r="N295" s="148">
        <f ca="1">IF(AND(Option_SPW="Y",Z294&gt;=SPW_Start_Min_FV,H295&gt;=Lock_In_Period,Z294&gt;SPW_Amount_pa+IF(option="Single",1/5*pr,2*pr),H295&gt;=SPW_Start_Year,H295&lt;=SPW_Start_Year+SPW_Duration-1,F295=0,age+H295&gt;=Legal_Age),SPW_Amount_pa,0)+IFERROR(VLOOKUP(H295,Input!$B$68:$C$74,2,0),0)*(F295=0)*(Option_PW="Y")*(Option_SPW="N")*(age+H295&gt;=Legal_Age)</f>
        <v>0</v>
      </c>
      <c r="O295" s="148">
        <f t="shared" ca="1" si="220"/>
        <v>0</v>
      </c>
      <c r="P295" s="14">
        <f ca="1">(MAX(MAX(sa-CF294*Flag_UL_Type,105%*SUM($I$7:I295))-(AD294+L295-N295)*Flag_UL_Type,0)*B295)</f>
        <v>0</v>
      </c>
      <c r="Q295" s="213">
        <f t="shared" si="195"/>
        <v>0</v>
      </c>
      <c r="R295" s="14">
        <f t="shared" ca="1" si="196"/>
        <v>0</v>
      </c>
      <c r="S295" s="14">
        <f t="shared" ca="1" si="197"/>
        <v>0</v>
      </c>
      <c r="T295" s="14">
        <f>IFERROR(IF(WoP_Flag="Y",IF(fq=1,VLOOKUP(ppt*fq-H295,Charges!$AN$41:$AO$59,2,FALSE),IF(fq=2,VLOOKUP(ppt*fq-G295,Charges!$AP$41:$AQ$79,2,FALSE),VLOOKUP(ppt*fq-D295,Charges!$AR$41:$AS$279,2,FALSE)))*pr/fq,0),0)</f>
        <v>0</v>
      </c>
      <c r="U295" s="14">
        <f ca="1">IFERROR(((T295*(VLOOKUP(Input!$D$18+H295-1,Tab_Mort_Charge,IF(Gender_2="M",2,3),FALSE)*(1+_emr2)+_rpm2)/IF(Model_Type="LA_PQIS",1000/0.0833,(12*1000))))*Flag_Mort_Rider_Charge*(T295&gt;0),0)</f>
        <v>0</v>
      </c>
      <c r="V295" s="34">
        <f>ROUND(MIN(IF(H295&gt;=7,Charges!$C$12*(1+Charges!$C$14)^((H295-7+1)),VLOOKUP(H295,Charges!$B$7:$C$12,2,0))*pr,Charges!$C$13)*B295,Round)</f>
        <v>0</v>
      </c>
      <c r="W295" s="14">
        <f t="shared" ca="1" si="198"/>
        <v>0</v>
      </c>
      <c r="X295" s="14">
        <f t="shared" ca="1" si="199"/>
        <v>0</v>
      </c>
      <c r="Y295" s="213">
        <f t="shared" ca="1" si="221"/>
        <v>0</v>
      </c>
      <c r="Z295" s="14">
        <f t="shared" ca="1" si="200"/>
        <v>0</v>
      </c>
      <c r="AA295" s="14">
        <f>IF(AND($H295=pt,$F295=11),SUM($K$7:K295)*VLOOKUP(pt,ROC,2,FALSE),0)</f>
        <v>0</v>
      </c>
      <c r="AB295" s="14">
        <f>IF(AND($H295=pt,$F295=11),SUM($V$7:V295)*VLOOKUP(pt,ROC,2,FALSE),0)</f>
        <v>0</v>
      </c>
      <c r="AC295" s="14">
        <f>IF(AND($H295=pt,$F295=11),SUM($Q$7:Q295)*VLOOKUP(pt,ROC,2,FALSE),0)</f>
        <v>0</v>
      </c>
      <c r="AD295" s="14">
        <f t="shared" ca="1" si="222"/>
        <v>0</v>
      </c>
      <c r="AE295" s="14">
        <f ca="1">(MAX(sa-CF294*Flag_UL_Type,105%*SUM($I$7:I295),Z295)+AU295)*B295</f>
        <v>0</v>
      </c>
      <c r="AF295" s="136"/>
      <c r="AG295" s="18">
        <v>289</v>
      </c>
      <c r="AH295" s="30">
        <f t="shared" ca="1" si="201"/>
        <v>0</v>
      </c>
      <c r="AI295" s="58"/>
      <c r="AJ295" s="50">
        <f>IF(AND(Option_Sys_TopUp&gt;="Y",H295&gt;=sytp,H295&lt;=(dtp+sytp-1),F295=0,H295&lt;=ppt+1),atp,0)+IFERROR(VLOOKUP(H295,Input!$B$55:$C$61,2,0),0)*(F295=0)*(Option_TopUP="Y")*(Option_Sys_TopUp="N")*B295*(pt&gt;=H295+5)</f>
        <v>0</v>
      </c>
      <c r="AK295" s="50">
        <f t="shared" si="202"/>
        <v>0</v>
      </c>
      <c r="AL295" s="50">
        <f t="shared" si="223"/>
        <v>0</v>
      </c>
      <c r="AM295" s="50">
        <f t="shared" ca="1" si="203"/>
        <v>0</v>
      </c>
      <c r="AN295" s="50">
        <f>IF(B295=0,0,AT295*(_rpm1+(1+_emr1)*VLOOKUP(E295,Tab_Mort_Charge,IF(Input!$C$12="M",2,3),0))*(0.001*0.0833)*Flag_Mort_Rider_Charge*(AT295&gt;0))</f>
        <v>0</v>
      </c>
      <c r="AO295" s="50">
        <f t="shared" ca="1" si="224"/>
        <v>0</v>
      </c>
      <c r="AP295" s="50">
        <f t="shared" ca="1" si="231"/>
        <v>0</v>
      </c>
      <c r="AQ295" s="50">
        <f t="shared" ca="1" si="204"/>
        <v>0</v>
      </c>
      <c r="AR295" s="50">
        <f t="shared" ca="1" si="205"/>
        <v>0</v>
      </c>
      <c r="AS295" s="50">
        <f t="shared" si="206"/>
        <v>0</v>
      </c>
      <c r="AT295" s="50">
        <f ca="1">(MAX((MAX(AS295,105%*SUM($AJ$7:AJ295))-AM295*Flag_UL_Type),0)*B295)</f>
        <v>0</v>
      </c>
      <c r="AU295" s="50">
        <f ca="1">(MAX(AS295,AR295,105%*SUM($AJ$7:AJ295))*B295)</f>
        <v>0</v>
      </c>
      <c r="AV295" s="125"/>
      <c r="AW295" s="13"/>
      <c r="AX295" s="13"/>
      <c r="AY295" s="13"/>
      <c r="AZ295" s="13"/>
      <c r="BA295" s="13"/>
      <c r="BG295" s="51">
        <f t="shared" si="207"/>
        <v>0</v>
      </c>
      <c r="BH295" s="51">
        <f t="shared" si="208"/>
        <v>0</v>
      </c>
      <c r="BI295" s="51">
        <f t="shared" ca="1" si="209"/>
        <v>0</v>
      </c>
      <c r="BJ295" s="51">
        <f t="shared" ca="1" si="210"/>
        <v>0</v>
      </c>
      <c r="BK295" s="51">
        <f t="shared" si="211"/>
        <v>0</v>
      </c>
      <c r="BL295" s="51">
        <f t="shared" ca="1" si="212"/>
        <v>0</v>
      </c>
      <c r="BM295" s="51">
        <f t="shared" si="213"/>
        <v>0</v>
      </c>
      <c r="BN295" s="51">
        <f t="shared" si="214"/>
        <v>0</v>
      </c>
      <c r="BO295" s="51">
        <f t="shared" ca="1" si="215"/>
        <v>0</v>
      </c>
      <c r="BP295" s="51">
        <f t="shared" ca="1" si="216"/>
        <v>0</v>
      </c>
      <c r="BQ295" s="120"/>
      <c r="BR295" s="32"/>
      <c r="BS295" s="126"/>
      <c r="BT295" s="16"/>
      <c r="BU295" s="58"/>
      <c r="BW295" s="51">
        <f>VLOOKUP(H295,Charges!$AT$4:$AU$33,2,FALSE)*I295</f>
        <v>0</v>
      </c>
      <c r="BX295" s="51">
        <f t="shared" si="217"/>
        <v>0</v>
      </c>
      <c r="BY295" s="51">
        <f t="shared" si="225"/>
        <v>0</v>
      </c>
      <c r="BZ295" s="151"/>
      <c r="CA295" s="151"/>
      <c r="CB295" s="32"/>
      <c r="CC295" s="16">
        <f ca="1">SUM($N$7:$N295)</f>
        <v>0</v>
      </c>
      <c r="CD295" s="16">
        <f t="shared" ca="1" si="218"/>
        <v>0</v>
      </c>
      <c r="CE295" s="16">
        <f t="shared" ca="1" si="219"/>
        <v>0</v>
      </c>
      <c r="CF295" s="7">
        <f t="shared" ca="1" si="226"/>
        <v>0</v>
      </c>
    </row>
    <row r="296" spans="1:84" s="7" customFormat="1" x14ac:dyDescent="0.2">
      <c r="A296" s="149"/>
      <c r="B296" s="14">
        <f t="shared" si="188"/>
        <v>0</v>
      </c>
      <c r="C296" s="12">
        <f t="shared" si="189"/>
        <v>0</v>
      </c>
      <c r="D296" s="17">
        <f t="shared" si="227"/>
        <v>290</v>
      </c>
      <c r="E296" s="17">
        <f t="shared" ca="1" si="190"/>
        <v>84</v>
      </c>
      <c r="F296" s="12">
        <f t="shared" si="229"/>
        <v>1</v>
      </c>
      <c r="G296" s="12">
        <f t="shared" si="228"/>
        <v>49</v>
      </c>
      <c r="H296" s="17">
        <f t="shared" si="230"/>
        <v>25</v>
      </c>
      <c r="I296" s="29">
        <f t="shared" si="191"/>
        <v>0</v>
      </c>
      <c r="J296" s="211">
        <f>IFERROR(VLOOKUP(H296,Charges!$T$6:$U$35,2,0)*C296,0)</f>
        <v>0</v>
      </c>
      <c r="K296" s="29">
        <f t="shared" si="192"/>
        <v>0</v>
      </c>
      <c r="L296" s="29">
        <f t="shared" si="193"/>
        <v>0</v>
      </c>
      <c r="M296" s="147">
        <f t="shared" ca="1" si="194"/>
        <v>0</v>
      </c>
      <c r="N296" s="148">
        <f ca="1">IF(AND(Option_SPW="Y",Z295&gt;=SPW_Start_Min_FV,H296&gt;=Lock_In_Period,Z295&gt;SPW_Amount_pa+IF(option="Single",1/5*pr,2*pr),H296&gt;=SPW_Start_Year,H296&lt;=SPW_Start_Year+SPW_Duration-1,F296=0,age+H296&gt;=Legal_Age),SPW_Amount_pa,0)+IFERROR(VLOOKUP(H296,Input!$B$68:$C$74,2,0),0)*(F296=0)*(Option_PW="Y")*(Option_SPW="N")*(age+H296&gt;=Legal_Age)</f>
        <v>0</v>
      </c>
      <c r="O296" s="148">
        <f t="shared" ca="1" si="220"/>
        <v>0</v>
      </c>
      <c r="P296" s="14">
        <f ca="1">(MAX(MAX(sa-CF295*Flag_UL_Type,105%*SUM($I$7:I296))-(AD295+L296-N296)*Flag_UL_Type,0)*B296)</f>
        <v>0</v>
      </c>
      <c r="Q296" s="213">
        <f t="shared" si="195"/>
        <v>0</v>
      </c>
      <c r="R296" s="14">
        <f t="shared" ca="1" si="196"/>
        <v>0</v>
      </c>
      <c r="S296" s="14">
        <f t="shared" ca="1" si="197"/>
        <v>0</v>
      </c>
      <c r="T296" s="14">
        <f>IFERROR(IF(WoP_Flag="Y",IF(fq=1,VLOOKUP(ppt*fq-H296,Charges!$AN$41:$AO$59,2,FALSE),IF(fq=2,VLOOKUP(ppt*fq-G296,Charges!$AP$41:$AQ$79,2,FALSE),VLOOKUP(ppt*fq-D296,Charges!$AR$41:$AS$279,2,FALSE)))*pr/fq,0),0)</f>
        <v>0</v>
      </c>
      <c r="U296" s="14">
        <f ca="1">IFERROR(((T296*(VLOOKUP(Input!$D$18+H296-1,Tab_Mort_Charge,IF(Gender_2="M",2,3),FALSE)*(1+_emr2)+_rpm2)/IF(Model_Type="LA_PQIS",1000/0.0833,(12*1000))))*Flag_Mort_Rider_Charge*(T296&gt;0),0)</f>
        <v>0</v>
      </c>
      <c r="V296" s="34">
        <f>ROUND(MIN(IF(H296&gt;=7,Charges!$C$12*(1+Charges!$C$14)^((H296-7+1)),VLOOKUP(H296,Charges!$B$7:$C$12,2,0))*pr,Charges!$C$13)*B296,Round)</f>
        <v>0</v>
      </c>
      <c r="W296" s="14">
        <f t="shared" ca="1" si="198"/>
        <v>0</v>
      </c>
      <c r="X296" s="14">
        <f t="shared" ca="1" si="199"/>
        <v>0</v>
      </c>
      <c r="Y296" s="213">
        <f t="shared" ca="1" si="221"/>
        <v>0</v>
      </c>
      <c r="Z296" s="14">
        <f t="shared" ca="1" si="200"/>
        <v>0</v>
      </c>
      <c r="AA296" s="14">
        <f>IF(AND($H296=pt,$F296=11),SUM($K$7:K296)*VLOOKUP(pt,ROC,2,FALSE),0)</f>
        <v>0</v>
      </c>
      <c r="AB296" s="14">
        <f>IF(AND($H296=pt,$F296=11),SUM($V$7:V296)*VLOOKUP(pt,ROC,2,FALSE),0)</f>
        <v>0</v>
      </c>
      <c r="AC296" s="14">
        <f>IF(AND($H296=pt,$F296=11),SUM($Q$7:Q296)*VLOOKUP(pt,ROC,2,FALSE),0)</f>
        <v>0</v>
      </c>
      <c r="AD296" s="14">
        <f t="shared" ca="1" si="222"/>
        <v>0</v>
      </c>
      <c r="AE296" s="14">
        <f ca="1">(MAX(sa-CF295*Flag_UL_Type,105%*SUM($I$7:I296),Z296)+AU296)*B296</f>
        <v>0</v>
      </c>
      <c r="AF296" s="136"/>
      <c r="AG296" s="18">
        <v>290</v>
      </c>
      <c r="AH296" s="30">
        <f t="shared" ca="1" si="201"/>
        <v>0</v>
      </c>
      <c r="AI296" s="58"/>
      <c r="AJ296" s="50">
        <f>IF(AND(Option_Sys_TopUp&gt;="Y",H296&gt;=sytp,H296&lt;=(dtp+sytp-1),F296=0,H296&lt;=ppt+1),atp,0)+IFERROR(VLOOKUP(H296,Input!$B$55:$C$61,2,0),0)*(F296=0)*(Option_TopUP="Y")*(Option_Sys_TopUp="N")*B296*(pt&gt;=H296+5)</f>
        <v>0</v>
      </c>
      <c r="AK296" s="50">
        <f t="shared" si="202"/>
        <v>0</v>
      </c>
      <c r="AL296" s="50">
        <f t="shared" si="223"/>
        <v>0</v>
      </c>
      <c r="AM296" s="50">
        <f t="shared" ca="1" si="203"/>
        <v>0</v>
      </c>
      <c r="AN296" s="50">
        <f>IF(B296=0,0,AT296*(_rpm1+(1+_emr1)*VLOOKUP(E296,Tab_Mort_Charge,IF(Input!$C$12="M",2,3),0))*(0.001*0.0833)*Flag_Mort_Rider_Charge*(AT296&gt;0))</f>
        <v>0</v>
      </c>
      <c r="AO296" s="50">
        <f t="shared" ca="1" si="224"/>
        <v>0</v>
      </c>
      <c r="AP296" s="50">
        <f t="shared" ca="1" si="231"/>
        <v>0</v>
      </c>
      <c r="AQ296" s="50">
        <f t="shared" ca="1" si="204"/>
        <v>0</v>
      </c>
      <c r="AR296" s="50">
        <f t="shared" ca="1" si="205"/>
        <v>0</v>
      </c>
      <c r="AS296" s="50">
        <f t="shared" si="206"/>
        <v>0</v>
      </c>
      <c r="AT296" s="50">
        <f ca="1">(MAX((MAX(AS296,105%*SUM($AJ$7:AJ296))-AM296*Flag_UL_Type),0)*B296)</f>
        <v>0</v>
      </c>
      <c r="AU296" s="50">
        <f ca="1">(MAX(AS296,AR296,105%*SUM($AJ$7:AJ296))*B296)</f>
        <v>0</v>
      </c>
      <c r="AV296" s="125"/>
      <c r="AW296" s="13"/>
      <c r="AX296" s="13"/>
      <c r="AY296" s="13"/>
      <c r="AZ296" s="13"/>
      <c r="BA296" s="13"/>
      <c r="BG296" s="51">
        <f t="shared" si="207"/>
        <v>0</v>
      </c>
      <c r="BH296" s="51">
        <f t="shared" si="208"/>
        <v>0</v>
      </c>
      <c r="BI296" s="51">
        <f t="shared" ca="1" si="209"/>
        <v>0</v>
      </c>
      <c r="BJ296" s="51">
        <f t="shared" ca="1" si="210"/>
        <v>0</v>
      </c>
      <c r="BK296" s="51">
        <f t="shared" si="211"/>
        <v>0</v>
      </c>
      <c r="BL296" s="51">
        <f t="shared" ca="1" si="212"/>
        <v>0</v>
      </c>
      <c r="BM296" s="51">
        <f t="shared" si="213"/>
        <v>0</v>
      </c>
      <c r="BN296" s="51">
        <f t="shared" si="214"/>
        <v>0</v>
      </c>
      <c r="BO296" s="51">
        <f t="shared" ca="1" si="215"/>
        <v>0</v>
      </c>
      <c r="BP296" s="51">
        <f t="shared" ca="1" si="216"/>
        <v>0</v>
      </c>
      <c r="BQ296" s="120"/>
      <c r="BR296" s="32"/>
      <c r="BS296" s="126"/>
      <c r="BT296" s="16"/>
      <c r="BU296" s="58"/>
      <c r="BW296" s="51">
        <f>VLOOKUP(H296,Charges!$AT$4:$AU$33,2,FALSE)*I296</f>
        <v>0</v>
      </c>
      <c r="BX296" s="51">
        <f t="shared" si="217"/>
        <v>0</v>
      </c>
      <c r="BY296" s="51">
        <f t="shared" si="225"/>
        <v>0</v>
      </c>
      <c r="BZ296" s="151"/>
      <c r="CA296" s="151"/>
      <c r="CB296" s="32"/>
      <c r="CC296" s="16">
        <f ca="1">SUM($N$7:$N296)</f>
        <v>0</v>
      </c>
      <c r="CD296" s="16">
        <f t="shared" ca="1" si="218"/>
        <v>0</v>
      </c>
      <c r="CE296" s="16">
        <f t="shared" ca="1" si="219"/>
        <v>0</v>
      </c>
      <c r="CF296" s="7">
        <f t="shared" ca="1" si="226"/>
        <v>0</v>
      </c>
    </row>
    <row r="297" spans="1:84" s="7" customFormat="1" x14ac:dyDescent="0.2">
      <c r="A297" s="149"/>
      <c r="B297" s="14">
        <f t="shared" si="188"/>
        <v>0</v>
      </c>
      <c r="C297" s="12">
        <f t="shared" si="189"/>
        <v>0</v>
      </c>
      <c r="D297" s="17">
        <f t="shared" si="227"/>
        <v>291</v>
      </c>
      <c r="E297" s="17">
        <f t="shared" ca="1" si="190"/>
        <v>84</v>
      </c>
      <c r="F297" s="12">
        <f t="shared" si="229"/>
        <v>2</v>
      </c>
      <c r="G297" s="12">
        <f t="shared" si="228"/>
        <v>49</v>
      </c>
      <c r="H297" s="17">
        <f t="shared" si="230"/>
        <v>25</v>
      </c>
      <c r="I297" s="29">
        <f t="shared" si="191"/>
        <v>0</v>
      </c>
      <c r="J297" s="211">
        <f>IFERROR(VLOOKUP(H297,Charges!$T$6:$U$35,2,0)*C297,0)</f>
        <v>0</v>
      </c>
      <c r="K297" s="29">
        <f t="shared" si="192"/>
        <v>0</v>
      </c>
      <c r="L297" s="29">
        <f t="shared" si="193"/>
        <v>0</v>
      </c>
      <c r="M297" s="147">
        <f t="shared" ca="1" si="194"/>
        <v>0</v>
      </c>
      <c r="N297" s="148">
        <f ca="1">IF(AND(Option_SPW="Y",Z296&gt;=SPW_Start_Min_FV,H297&gt;=Lock_In_Period,Z296&gt;SPW_Amount_pa+IF(option="Single",1/5*pr,2*pr),H297&gt;=SPW_Start_Year,H297&lt;=SPW_Start_Year+SPW_Duration-1,F297=0,age+H297&gt;=Legal_Age),SPW_Amount_pa,0)+IFERROR(VLOOKUP(H297,Input!$B$68:$C$74,2,0),0)*(F297=0)*(Option_PW="Y")*(Option_SPW="N")*(age+H297&gt;=Legal_Age)</f>
        <v>0</v>
      </c>
      <c r="O297" s="148">
        <f t="shared" ca="1" si="220"/>
        <v>0</v>
      </c>
      <c r="P297" s="14">
        <f ca="1">(MAX(MAX(sa-CF296*Flag_UL_Type,105%*SUM($I$7:I297))-(AD296+L297-N297)*Flag_UL_Type,0)*B297)</f>
        <v>0</v>
      </c>
      <c r="Q297" s="213">
        <f t="shared" si="195"/>
        <v>0</v>
      </c>
      <c r="R297" s="14">
        <f t="shared" ca="1" si="196"/>
        <v>0</v>
      </c>
      <c r="S297" s="14">
        <f t="shared" ca="1" si="197"/>
        <v>0</v>
      </c>
      <c r="T297" s="14">
        <f>IFERROR(IF(WoP_Flag="Y",IF(fq=1,VLOOKUP(ppt*fq-H297,Charges!$AN$41:$AO$59,2,FALSE),IF(fq=2,VLOOKUP(ppt*fq-G297,Charges!$AP$41:$AQ$79,2,FALSE),VLOOKUP(ppt*fq-D297,Charges!$AR$41:$AS$279,2,FALSE)))*pr/fq,0),0)</f>
        <v>0</v>
      </c>
      <c r="U297" s="14">
        <f ca="1">IFERROR(((T297*(VLOOKUP(Input!$D$18+H297-1,Tab_Mort_Charge,IF(Gender_2="M",2,3),FALSE)*(1+_emr2)+_rpm2)/IF(Model_Type="LA_PQIS",1000/0.0833,(12*1000))))*Flag_Mort_Rider_Charge*(T297&gt;0),0)</f>
        <v>0</v>
      </c>
      <c r="V297" s="34">
        <f>ROUND(MIN(IF(H297&gt;=7,Charges!$C$12*(1+Charges!$C$14)^((H297-7+1)),VLOOKUP(H297,Charges!$B$7:$C$12,2,0))*pr,Charges!$C$13)*B297,Round)</f>
        <v>0</v>
      </c>
      <c r="W297" s="14">
        <f t="shared" ca="1" si="198"/>
        <v>0</v>
      </c>
      <c r="X297" s="14">
        <f t="shared" ca="1" si="199"/>
        <v>0</v>
      </c>
      <c r="Y297" s="213">
        <f t="shared" ca="1" si="221"/>
        <v>0</v>
      </c>
      <c r="Z297" s="14">
        <f t="shared" ca="1" si="200"/>
        <v>0</v>
      </c>
      <c r="AA297" s="14">
        <f>IF(AND($H297=pt,$F297=11),SUM($K$7:K297)*VLOOKUP(pt,ROC,2,FALSE),0)</f>
        <v>0</v>
      </c>
      <c r="AB297" s="14">
        <f>IF(AND($H297=pt,$F297=11),SUM($V$7:V297)*VLOOKUP(pt,ROC,2,FALSE),0)</f>
        <v>0</v>
      </c>
      <c r="AC297" s="14">
        <f>IF(AND($H297=pt,$F297=11),SUM($Q$7:Q297)*VLOOKUP(pt,ROC,2,FALSE),0)</f>
        <v>0</v>
      </c>
      <c r="AD297" s="14">
        <f t="shared" ca="1" si="222"/>
        <v>0</v>
      </c>
      <c r="AE297" s="14">
        <f ca="1">(MAX(sa-CF296*Flag_UL_Type,105%*SUM($I$7:I297),Z297)+AU297)*B297</f>
        <v>0</v>
      </c>
      <c r="AF297" s="136"/>
      <c r="AG297" s="18">
        <v>291</v>
      </c>
      <c r="AH297" s="30">
        <f t="shared" ca="1" si="201"/>
        <v>0</v>
      </c>
      <c r="AI297" s="58"/>
      <c r="AJ297" s="50">
        <f>IF(AND(Option_Sys_TopUp&gt;="Y",H297&gt;=sytp,H297&lt;=(dtp+sytp-1),F297=0,H297&lt;=ppt+1),atp,0)+IFERROR(VLOOKUP(H297,Input!$B$55:$C$61,2,0),0)*(F297=0)*(Option_TopUP="Y")*(Option_Sys_TopUp="N")*B297*(pt&gt;=H297+5)</f>
        <v>0</v>
      </c>
      <c r="AK297" s="50">
        <f t="shared" si="202"/>
        <v>0</v>
      </c>
      <c r="AL297" s="50">
        <f t="shared" si="223"/>
        <v>0</v>
      </c>
      <c r="AM297" s="50">
        <f t="shared" ca="1" si="203"/>
        <v>0</v>
      </c>
      <c r="AN297" s="50">
        <f>IF(B297=0,0,AT297*(_rpm1+(1+_emr1)*VLOOKUP(E297,Tab_Mort_Charge,IF(Input!$C$12="M",2,3),0))*(0.001*0.0833)*Flag_Mort_Rider_Charge*(AT297&gt;0))</f>
        <v>0</v>
      </c>
      <c r="AO297" s="50">
        <f t="shared" ca="1" si="224"/>
        <v>0</v>
      </c>
      <c r="AP297" s="50">
        <f t="shared" ca="1" si="231"/>
        <v>0</v>
      </c>
      <c r="AQ297" s="50">
        <f t="shared" ca="1" si="204"/>
        <v>0</v>
      </c>
      <c r="AR297" s="50">
        <f t="shared" ca="1" si="205"/>
        <v>0</v>
      </c>
      <c r="AS297" s="50">
        <f t="shared" si="206"/>
        <v>0</v>
      </c>
      <c r="AT297" s="50">
        <f ca="1">(MAX((MAX(AS297,105%*SUM($AJ$7:AJ297))-AM297*Flag_UL_Type),0)*B297)</f>
        <v>0</v>
      </c>
      <c r="AU297" s="50">
        <f ca="1">(MAX(AS297,AR297,105%*SUM($AJ$7:AJ297))*B297)</f>
        <v>0</v>
      </c>
      <c r="AV297" s="125"/>
      <c r="AW297" s="13"/>
      <c r="AX297" s="13"/>
      <c r="AY297" s="13"/>
      <c r="AZ297" s="13"/>
      <c r="BA297" s="13"/>
      <c r="BG297" s="51">
        <f t="shared" si="207"/>
        <v>0</v>
      </c>
      <c r="BH297" s="51">
        <f t="shared" si="208"/>
        <v>0</v>
      </c>
      <c r="BI297" s="51">
        <f t="shared" ca="1" si="209"/>
        <v>0</v>
      </c>
      <c r="BJ297" s="51">
        <f t="shared" ca="1" si="210"/>
        <v>0</v>
      </c>
      <c r="BK297" s="51">
        <f t="shared" si="211"/>
        <v>0</v>
      </c>
      <c r="BL297" s="51">
        <f t="shared" ca="1" si="212"/>
        <v>0</v>
      </c>
      <c r="BM297" s="51">
        <f t="shared" si="213"/>
        <v>0</v>
      </c>
      <c r="BN297" s="51">
        <f t="shared" si="214"/>
        <v>0</v>
      </c>
      <c r="BO297" s="51">
        <f t="shared" ca="1" si="215"/>
        <v>0</v>
      </c>
      <c r="BP297" s="51">
        <f t="shared" ca="1" si="216"/>
        <v>0</v>
      </c>
      <c r="BQ297" s="120"/>
      <c r="BR297" s="32"/>
      <c r="BS297" s="126"/>
      <c r="BT297" s="16"/>
      <c r="BU297" s="58"/>
      <c r="BW297" s="51">
        <f>VLOOKUP(H297,Charges!$AT$4:$AU$33,2,FALSE)*I297</f>
        <v>0</v>
      </c>
      <c r="BX297" s="51">
        <f t="shared" si="217"/>
        <v>0</v>
      </c>
      <c r="BY297" s="51">
        <f t="shared" si="225"/>
        <v>0</v>
      </c>
      <c r="BZ297" s="151"/>
      <c r="CA297" s="151"/>
      <c r="CB297" s="32"/>
      <c r="CC297" s="16">
        <f ca="1">SUM($N$7:$N297)</f>
        <v>0</v>
      </c>
      <c r="CD297" s="16">
        <f t="shared" ca="1" si="218"/>
        <v>0</v>
      </c>
      <c r="CE297" s="16">
        <f t="shared" ca="1" si="219"/>
        <v>0</v>
      </c>
      <c r="CF297" s="7">
        <f t="shared" ca="1" si="226"/>
        <v>0</v>
      </c>
    </row>
    <row r="298" spans="1:84" s="7" customFormat="1" x14ac:dyDescent="0.2">
      <c r="A298" s="149"/>
      <c r="B298" s="14">
        <f t="shared" si="188"/>
        <v>0</v>
      </c>
      <c r="C298" s="12">
        <f t="shared" si="189"/>
        <v>0</v>
      </c>
      <c r="D298" s="17">
        <f t="shared" si="227"/>
        <v>292</v>
      </c>
      <c r="E298" s="17">
        <f t="shared" ca="1" si="190"/>
        <v>84</v>
      </c>
      <c r="F298" s="12">
        <f t="shared" si="229"/>
        <v>3</v>
      </c>
      <c r="G298" s="12">
        <f t="shared" si="228"/>
        <v>49</v>
      </c>
      <c r="H298" s="17">
        <f t="shared" si="230"/>
        <v>25</v>
      </c>
      <c r="I298" s="29">
        <f t="shared" si="191"/>
        <v>0</v>
      </c>
      <c r="J298" s="211">
        <f>IFERROR(VLOOKUP(H298,Charges!$T$6:$U$35,2,0)*C298,0)</f>
        <v>0</v>
      </c>
      <c r="K298" s="29">
        <f t="shared" si="192"/>
        <v>0</v>
      </c>
      <c r="L298" s="29">
        <f t="shared" si="193"/>
        <v>0</v>
      </c>
      <c r="M298" s="147">
        <f t="shared" ca="1" si="194"/>
        <v>0</v>
      </c>
      <c r="N298" s="148">
        <f ca="1">IF(AND(Option_SPW="Y",Z297&gt;=SPW_Start_Min_FV,H298&gt;=Lock_In_Period,Z297&gt;SPW_Amount_pa+IF(option="Single",1/5*pr,2*pr),H298&gt;=SPW_Start_Year,H298&lt;=SPW_Start_Year+SPW_Duration-1,F298=0,age+H298&gt;=Legal_Age),SPW_Amount_pa,0)+IFERROR(VLOOKUP(H298,Input!$B$68:$C$74,2,0),0)*(F298=0)*(Option_PW="Y")*(Option_SPW="N")*(age+H298&gt;=Legal_Age)</f>
        <v>0</v>
      </c>
      <c r="O298" s="148">
        <f t="shared" ca="1" si="220"/>
        <v>0</v>
      </c>
      <c r="P298" s="14">
        <f ca="1">(MAX(MAX(sa-CF297*Flag_UL_Type,105%*SUM($I$7:I298))-(AD297+L298-N298)*Flag_UL_Type,0)*B298)</f>
        <v>0</v>
      </c>
      <c r="Q298" s="213">
        <f t="shared" si="195"/>
        <v>0</v>
      </c>
      <c r="R298" s="14">
        <f t="shared" ca="1" si="196"/>
        <v>0</v>
      </c>
      <c r="S298" s="14">
        <f t="shared" ca="1" si="197"/>
        <v>0</v>
      </c>
      <c r="T298" s="14">
        <f>IFERROR(IF(WoP_Flag="Y",IF(fq=1,VLOOKUP(ppt*fq-H298,Charges!$AN$41:$AO$59,2,FALSE),IF(fq=2,VLOOKUP(ppt*fq-G298,Charges!$AP$41:$AQ$79,2,FALSE),VLOOKUP(ppt*fq-D298,Charges!$AR$41:$AS$279,2,FALSE)))*pr/fq,0),0)</f>
        <v>0</v>
      </c>
      <c r="U298" s="14">
        <f ca="1">IFERROR(((T298*(VLOOKUP(Input!$D$18+H298-1,Tab_Mort_Charge,IF(Gender_2="M",2,3),FALSE)*(1+_emr2)+_rpm2)/IF(Model_Type="LA_PQIS",1000/0.0833,(12*1000))))*Flag_Mort_Rider_Charge*(T298&gt;0),0)</f>
        <v>0</v>
      </c>
      <c r="V298" s="34">
        <f>ROUND(MIN(IF(H298&gt;=7,Charges!$C$12*(1+Charges!$C$14)^((H298-7+1)),VLOOKUP(H298,Charges!$B$7:$C$12,2,0))*pr,Charges!$C$13)*B298,Round)</f>
        <v>0</v>
      </c>
      <c r="W298" s="14">
        <f t="shared" ca="1" si="198"/>
        <v>0</v>
      </c>
      <c r="X298" s="14">
        <f t="shared" ca="1" si="199"/>
        <v>0</v>
      </c>
      <c r="Y298" s="213">
        <f t="shared" ca="1" si="221"/>
        <v>0</v>
      </c>
      <c r="Z298" s="14">
        <f t="shared" ca="1" si="200"/>
        <v>0</v>
      </c>
      <c r="AA298" s="14">
        <f>IF(AND($H298=pt,$F298=11),SUM($K$7:K298)*VLOOKUP(pt,ROC,2,FALSE),0)</f>
        <v>0</v>
      </c>
      <c r="AB298" s="14">
        <f>IF(AND($H298=pt,$F298=11),SUM($V$7:V298)*VLOOKUP(pt,ROC,2,FALSE),0)</f>
        <v>0</v>
      </c>
      <c r="AC298" s="14">
        <f>IF(AND($H298=pt,$F298=11),SUM($Q$7:Q298)*VLOOKUP(pt,ROC,2,FALSE),0)</f>
        <v>0</v>
      </c>
      <c r="AD298" s="14">
        <f t="shared" ca="1" si="222"/>
        <v>0</v>
      </c>
      <c r="AE298" s="14">
        <f ca="1">(MAX(sa-CF297*Flag_UL_Type,105%*SUM($I$7:I298),Z298)+AU298)*B298</f>
        <v>0</v>
      </c>
      <c r="AF298" s="136"/>
      <c r="AG298" s="18">
        <v>292</v>
      </c>
      <c r="AH298" s="30">
        <f t="shared" ca="1" si="201"/>
        <v>0</v>
      </c>
      <c r="AI298" s="58"/>
      <c r="AJ298" s="50">
        <f>IF(AND(Option_Sys_TopUp&gt;="Y",H298&gt;=sytp,H298&lt;=(dtp+sytp-1),F298=0,H298&lt;=ppt+1),atp,0)+IFERROR(VLOOKUP(H298,Input!$B$55:$C$61,2,0),0)*(F298=0)*(Option_TopUP="Y")*(Option_Sys_TopUp="N")*B298*(pt&gt;=H298+5)</f>
        <v>0</v>
      </c>
      <c r="AK298" s="50">
        <f t="shared" si="202"/>
        <v>0</v>
      </c>
      <c r="AL298" s="50">
        <f t="shared" si="223"/>
        <v>0</v>
      </c>
      <c r="AM298" s="50">
        <f t="shared" ca="1" si="203"/>
        <v>0</v>
      </c>
      <c r="AN298" s="50">
        <f>IF(B298=0,0,AT298*(_rpm1+(1+_emr1)*VLOOKUP(E298,Tab_Mort_Charge,IF(Input!$C$12="M",2,3),0))*(0.001*0.0833)*Flag_Mort_Rider_Charge*(AT298&gt;0))</f>
        <v>0</v>
      </c>
      <c r="AO298" s="50">
        <f t="shared" ca="1" si="224"/>
        <v>0</v>
      </c>
      <c r="AP298" s="50">
        <f t="shared" ca="1" si="231"/>
        <v>0</v>
      </c>
      <c r="AQ298" s="50">
        <f t="shared" ca="1" si="204"/>
        <v>0</v>
      </c>
      <c r="AR298" s="50">
        <f t="shared" ca="1" si="205"/>
        <v>0</v>
      </c>
      <c r="AS298" s="50">
        <f t="shared" si="206"/>
        <v>0</v>
      </c>
      <c r="AT298" s="50">
        <f ca="1">(MAX((MAX(AS298,105%*SUM($AJ$7:AJ298))-AM298*Flag_UL_Type),0)*B298)</f>
        <v>0</v>
      </c>
      <c r="AU298" s="50">
        <f ca="1">(MAX(AS298,AR298,105%*SUM($AJ$7:AJ298))*B298)</f>
        <v>0</v>
      </c>
      <c r="AV298" s="125"/>
      <c r="AW298" s="13"/>
      <c r="AX298" s="13"/>
      <c r="AY298" s="13"/>
      <c r="AZ298" s="13"/>
      <c r="BA298" s="13"/>
      <c r="BG298" s="51">
        <f t="shared" si="207"/>
        <v>0</v>
      </c>
      <c r="BH298" s="51">
        <f t="shared" si="208"/>
        <v>0</v>
      </c>
      <c r="BI298" s="51">
        <f t="shared" ca="1" si="209"/>
        <v>0</v>
      </c>
      <c r="BJ298" s="51">
        <f t="shared" ca="1" si="210"/>
        <v>0</v>
      </c>
      <c r="BK298" s="51">
        <f t="shared" si="211"/>
        <v>0</v>
      </c>
      <c r="BL298" s="51">
        <f t="shared" ca="1" si="212"/>
        <v>0</v>
      </c>
      <c r="BM298" s="51">
        <f t="shared" si="213"/>
        <v>0</v>
      </c>
      <c r="BN298" s="51">
        <f t="shared" si="214"/>
        <v>0</v>
      </c>
      <c r="BO298" s="51">
        <f t="shared" ca="1" si="215"/>
        <v>0</v>
      </c>
      <c r="BP298" s="51">
        <f t="shared" ca="1" si="216"/>
        <v>0</v>
      </c>
      <c r="BQ298" s="120"/>
      <c r="BR298" s="32"/>
      <c r="BS298" s="126"/>
      <c r="BT298" s="16"/>
      <c r="BU298" s="58"/>
      <c r="BW298" s="51">
        <f>VLOOKUP(H298,Charges!$AT$4:$AU$33,2,FALSE)*I298</f>
        <v>0</v>
      </c>
      <c r="BX298" s="51">
        <f t="shared" si="217"/>
        <v>0</v>
      </c>
      <c r="BY298" s="51">
        <f t="shared" si="225"/>
        <v>0</v>
      </c>
      <c r="BZ298" s="151"/>
      <c r="CA298" s="151"/>
      <c r="CB298" s="32"/>
      <c r="CC298" s="16">
        <f ca="1">SUM($N$7:$N298)</f>
        <v>0</v>
      </c>
      <c r="CD298" s="16">
        <f t="shared" ca="1" si="218"/>
        <v>0</v>
      </c>
      <c r="CE298" s="16">
        <f t="shared" ca="1" si="219"/>
        <v>0</v>
      </c>
      <c r="CF298" s="7">
        <f t="shared" ca="1" si="226"/>
        <v>0</v>
      </c>
    </row>
    <row r="299" spans="1:84" s="7" customFormat="1" x14ac:dyDescent="0.2">
      <c r="A299" s="149"/>
      <c r="B299" s="14">
        <f t="shared" si="188"/>
        <v>0</v>
      </c>
      <c r="C299" s="12">
        <f t="shared" si="189"/>
        <v>0</v>
      </c>
      <c r="D299" s="17">
        <f t="shared" si="227"/>
        <v>293</v>
      </c>
      <c r="E299" s="17">
        <f t="shared" ca="1" si="190"/>
        <v>84</v>
      </c>
      <c r="F299" s="12">
        <f t="shared" si="229"/>
        <v>4</v>
      </c>
      <c r="G299" s="12">
        <f t="shared" si="228"/>
        <v>49</v>
      </c>
      <c r="H299" s="17">
        <f t="shared" si="230"/>
        <v>25</v>
      </c>
      <c r="I299" s="29">
        <f t="shared" si="191"/>
        <v>0</v>
      </c>
      <c r="J299" s="211">
        <f>IFERROR(VLOOKUP(H299,Charges!$T$6:$U$35,2,0)*C299,0)</f>
        <v>0</v>
      </c>
      <c r="K299" s="29">
        <f t="shared" si="192"/>
        <v>0</v>
      </c>
      <c r="L299" s="29">
        <f t="shared" si="193"/>
        <v>0</v>
      </c>
      <c r="M299" s="147">
        <f t="shared" ca="1" si="194"/>
        <v>0</v>
      </c>
      <c r="N299" s="148">
        <f ca="1">IF(AND(Option_SPW="Y",Z298&gt;=SPW_Start_Min_FV,H299&gt;=Lock_In_Period,Z298&gt;SPW_Amount_pa+IF(option="Single",1/5*pr,2*pr),H299&gt;=SPW_Start_Year,H299&lt;=SPW_Start_Year+SPW_Duration-1,F299=0,age+H299&gt;=Legal_Age),SPW_Amount_pa,0)+IFERROR(VLOOKUP(H299,Input!$B$68:$C$74,2,0),0)*(F299=0)*(Option_PW="Y")*(Option_SPW="N")*(age+H299&gt;=Legal_Age)</f>
        <v>0</v>
      </c>
      <c r="O299" s="148">
        <f t="shared" ca="1" si="220"/>
        <v>0</v>
      </c>
      <c r="P299" s="14">
        <f ca="1">(MAX(MAX(sa-CF298*Flag_UL_Type,105%*SUM($I$7:I299))-(AD298+L299-N299)*Flag_UL_Type,0)*B299)</f>
        <v>0</v>
      </c>
      <c r="Q299" s="213">
        <f t="shared" si="195"/>
        <v>0</v>
      </c>
      <c r="R299" s="14">
        <f t="shared" ca="1" si="196"/>
        <v>0</v>
      </c>
      <c r="S299" s="14">
        <f t="shared" ca="1" si="197"/>
        <v>0</v>
      </c>
      <c r="T299" s="14">
        <f>IFERROR(IF(WoP_Flag="Y",IF(fq=1,VLOOKUP(ppt*fq-H299,Charges!$AN$41:$AO$59,2,FALSE),IF(fq=2,VLOOKUP(ppt*fq-G299,Charges!$AP$41:$AQ$79,2,FALSE),VLOOKUP(ppt*fq-D299,Charges!$AR$41:$AS$279,2,FALSE)))*pr/fq,0),0)</f>
        <v>0</v>
      </c>
      <c r="U299" s="14">
        <f ca="1">IFERROR(((T299*(VLOOKUP(Input!$D$18+H299-1,Tab_Mort_Charge,IF(Gender_2="M",2,3),FALSE)*(1+_emr2)+_rpm2)/IF(Model_Type="LA_PQIS",1000/0.0833,(12*1000))))*Flag_Mort_Rider_Charge*(T299&gt;0),0)</f>
        <v>0</v>
      </c>
      <c r="V299" s="34">
        <f>ROUND(MIN(IF(H299&gt;=7,Charges!$C$12*(1+Charges!$C$14)^((H299-7+1)),VLOOKUP(H299,Charges!$B$7:$C$12,2,0))*pr,Charges!$C$13)*B299,Round)</f>
        <v>0</v>
      </c>
      <c r="W299" s="14">
        <f t="shared" ca="1" si="198"/>
        <v>0</v>
      </c>
      <c r="X299" s="14">
        <f t="shared" ca="1" si="199"/>
        <v>0</v>
      </c>
      <c r="Y299" s="213">
        <f t="shared" ca="1" si="221"/>
        <v>0</v>
      </c>
      <c r="Z299" s="14">
        <f t="shared" ca="1" si="200"/>
        <v>0</v>
      </c>
      <c r="AA299" s="14">
        <f>IF(AND($H299=pt,$F299=11),SUM($K$7:K299)*VLOOKUP(pt,ROC,2,FALSE),0)</f>
        <v>0</v>
      </c>
      <c r="AB299" s="14">
        <f>IF(AND($H299=pt,$F299=11),SUM($V$7:V299)*VLOOKUP(pt,ROC,2,FALSE),0)</f>
        <v>0</v>
      </c>
      <c r="AC299" s="14">
        <f>IF(AND($H299=pt,$F299=11),SUM($Q$7:Q299)*VLOOKUP(pt,ROC,2,FALSE),0)</f>
        <v>0</v>
      </c>
      <c r="AD299" s="14">
        <f t="shared" ca="1" si="222"/>
        <v>0</v>
      </c>
      <c r="AE299" s="14">
        <f ca="1">(MAX(sa-CF298*Flag_UL_Type,105%*SUM($I$7:I299),Z299)+AU299)*B299</f>
        <v>0</v>
      </c>
      <c r="AF299" s="136"/>
      <c r="AG299" s="18">
        <v>293</v>
      </c>
      <c r="AH299" s="30">
        <f t="shared" ca="1" si="201"/>
        <v>0</v>
      </c>
      <c r="AI299" s="58"/>
      <c r="AJ299" s="50">
        <f>IF(AND(Option_Sys_TopUp&gt;="Y",H299&gt;=sytp,H299&lt;=(dtp+sytp-1),F299=0,H299&lt;=ppt+1),atp,0)+IFERROR(VLOOKUP(H299,Input!$B$55:$C$61,2,0),0)*(F299=0)*(Option_TopUP="Y")*(Option_Sys_TopUp="N")*B299*(pt&gt;=H299+5)</f>
        <v>0</v>
      </c>
      <c r="AK299" s="50">
        <f t="shared" si="202"/>
        <v>0</v>
      </c>
      <c r="AL299" s="50">
        <f t="shared" si="223"/>
        <v>0</v>
      </c>
      <c r="AM299" s="50">
        <f t="shared" ca="1" si="203"/>
        <v>0</v>
      </c>
      <c r="AN299" s="50">
        <f>IF(B299=0,0,AT299*(_rpm1+(1+_emr1)*VLOOKUP(E299,Tab_Mort_Charge,IF(Input!$C$12="M",2,3),0))*(0.001*0.0833)*Flag_Mort_Rider_Charge*(AT299&gt;0))</f>
        <v>0</v>
      </c>
      <c r="AO299" s="50">
        <f t="shared" ca="1" si="224"/>
        <v>0</v>
      </c>
      <c r="AP299" s="50">
        <f t="shared" ca="1" si="231"/>
        <v>0</v>
      </c>
      <c r="AQ299" s="50">
        <f t="shared" ca="1" si="204"/>
        <v>0</v>
      </c>
      <c r="AR299" s="50">
        <f t="shared" ca="1" si="205"/>
        <v>0</v>
      </c>
      <c r="AS299" s="50">
        <f t="shared" si="206"/>
        <v>0</v>
      </c>
      <c r="AT299" s="50">
        <f ca="1">(MAX((MAX(AS299,105%*SUM($AJ$7:AJ299))-AM299*Flag_UL_Type),0)*B299)</f>
        <v>0</v>
      </c>
      <c r="AU299" s="50">
        <f ca="1">(MAX(AS299,AR299,105%*SUM($AJ$7:AJ299))*B299)</f>
        <v>0</v>
      </c>
      <c r="AV299" s="125"/>
      <c r="AW299" s="13"/>
      <c r="AX299" s="13"/>
      <c r="AY299" s="13"/>
      <c r="AZ299" s="13"/>
      <c r="BA299" s="13"/>
      <c r="BG299" s="51">
        <f t="shared" si="207"/>
        <v>0</v>
      </c>
      <c r="BH299" s="51">
        <f t="shared" si="208"/>
        <v>0</v>
      </c>
      <c r="BI299" s="51">
        <f t="shared" ca="1" si="209"/>
        <v>0</v>
      </c>
      <c r="BJ299" s="51">
        <f t="shared" ca="1" si="210"/>
        <v>0</v>
      </c>
      <c r="BK299" s="51">
        <f t="shared" si="211"/>
        <v>0</v>
      </c>
      <c r="BL299" s="51">
        <f t="shared" ca="1" si="212"/>
        <v>0</v>
      </c>
      <c r="BM299" s="51">
        <f t="shared" si="213"/>
        <v>0</v>
      </c>
      <c r="BN299" s="51">
        <f t="shared" si="214"/>
        <v>0</v>
      </c>
      <c r="BO299" s="51">
        <f t="shared" ca="1" si="215"/>
        <v>0</v>
      </c>
      <c r="BP299" s="51">
        <f t="shared" ca="1" si="216"/>
        <v>0</v>
      </c>
      <c r="BQ299" s="120"/>
      <c r="BR299" s="32"/>
      <c r="BS299" s="126"/>
      <c r="BT299" s="16"/>
      <c r="BU299" s="58"/>
      <c r="BW299" s="51">
        <f>VLOOKUP(H299,Charges!$AT$4:$AU$33,2,FALSE)*I299</f>
        <v>0</v>
      </c>
      <c r="BX299" s="51">
        <f t="shared" si="217"/>
        <v>0</v>
      </c>
      <c r="BY299" s="51">
        <f t="shared" si="225"/>
        <v>0</v>
      </c>
      <c r="BZ299" s="151"/>
      <c r="CA299" s="151"/>
      <c r="CB299" s="32"/>
      <c r="CC299" s="16">
        <f ca="1">SUM($N$7:$N299)</f>
        <v>0</v>
      </c>
      <c r="CD299" s="16">
        <f t="shared" ca="1" si="218"/>
        <v>0</v>
      </c>
      <c r="CE299" s="16">
        <f t="shared" ca="1" si="219"/>
        <v>0</v>
      </c>
      <c r="CF299" s="7">
        <f t="shared" ca="1" si="226"/>
        <v>0</v>
      </c>
    </row>
    <row r="300" spans="1:84" s="7" customFormat="1" x14ac:dyDescent="0.2">
      <c r="A300" s="149"/>
      <c r="B300" s="14">
        <f t="shared" si="188"/>
        <v>0</v>
      </c>
      <c r="C300" s="12">
        <f t="shared" si="189"/>
        <v>0</v>
      </c>
      <c r="D300" s="17">
        <f t="shared" si="227"/>
        <v>294</v>
      </c>
      <c r="E300" s="17">
        <f t="shared" ca="1" si="190"/>
        <v>84</v>
      </c>
      <c r="F300" s="12">
        <f t="shared" si="229"/>
        <v>5</v>
      </c>
      <c r="G300" s="12">
        <f t="shared" si="228"/>
        <v>49</v>
      </c>
      <c r="H300" s="17">
        <f t="shared" si="230"/>
        <v>25</v>
      </c>
      <c r="I300" s="29">
        <f t="shared" si="191"/>
        <v>0</v>
      </c>
      <c r="J300" s="211">
        <f>IFERROR(VLOOKUP(H300,Charges!$T$6:$U$35,2,0)*C300,0)</f>
        <v>0</v>
      </c>
      <c r="K300" s="29">
        <f t="shared" si="192"/>
        <v>0</v>
      </c>
      <c r="L300" s="29">
        <f t="shared" si="193"/>
        <v>0</v>
      </c>
      <c r="M300" s="147">
        <f t="shared" ca="1" si="194"/>
        <v>0</v>
      </c>
      <c r="N300" s="148">
        <f ca="1">IF(AND(Option_SPW="Y",Z299&gt;=SPW_Start_Min_FV,H300&gt;=Lock_In_Period,Z299&gt;SPW_Amount_pa+IF(option="Single",1/5*pr,2*pr),H300&gt;=SPW_Start_Year,H300&lt;=SPW_Start_Year+SPW_Duration-1,F300=0,age+H300&gt;=Legal_Age),SPW_Amount_pa,0)+IFERROR(VLOOKUP(H300,Input!$B$68:$C$74,2,0),0)*(F300=0)*(Option_PW="Y")*(Option_SPW="N")*(age+H300&gt;=Legal_Age)</f>
        <v>0</v>
      </c>
      <c r="O300" s="148">
        <f t="shared" ca="1" si="220"/>
        <v>0</v>
      </c>
      <c r="P300" s="14">
        <f ca="1">(MAX(MAX(sa-CF299*Flag_UL_Type,105%*SUM($I$7:I300))-(AD299+L300-N300)*Flag_UL_Type,0)*B300)</f>
        <v>0</v>
      </c>
      <c r="Q300" s="213">
        <f t="shared" si="195"/>
        <v>0</v>
      </c>
      <c r="R300" s="14">
        <f t="shared" ca="1" si="196"/>
        <v>0</v>
      </c>
      <c r="S300" s="14">
        <f t="shared" ca="1" si="197"/>
        <v>0</v>
      </c>
      <c r="T300" s="14">
        <f>IFERROR(IF(WoP_Flag="Y",IF(fq=1,VLOOKUP(ppt*fq-H300,Charges!$AN$41:$AO$59,2,FALSE),IF(fq=2,VLOOKUP(ppt*fq-G300,Charges!$AP$41:$AQ$79,2,FALSE),VLOOKUP(ppt*fq-D300,Charges!$AR$41:$AS$279,2,FALSE)))*pr/fq,0),0)</f>
        <v>0</v>
      </c>
      <c r="U300" s="14">
        <f ca="1">IFERROR(((T300*(VLOOKUP(Input!$D$18+H300-1,Tab_Mort_Charge,IF(Gender_2="M",2,3),FALSE)*(1+_emr2)+_rpm2)/IF(Model_Type="LA_PQIS",1000/0.0833,(12*1000))))*Flag_Mort_Rider_Charge*(T300&gt;0),0)</f>
        <v>0</v>
      </c>
      <c r="V300" s="34">
        <f>ROUND(MIN(IF(H300&gt;=7,Charges!$C$12*(1+Charges!$C$14)^((H300-7+1)),VLOOKUP(H300,Charges!$B$7:$C$12,2,0))*pr,Charges!$C$13)*B300,Round)</f>
        <v>0</v>
      </c>
      <c r="W300" s="14">
        <f t="shared" ca="1" si="198"/>
        <v>0</v>
      </c>
      <c r="X300" s="14">
        <f t="shared" ca="1" si="199"/>
        <v>0</v>
      </c>
      <c r="Y300" s="213">
        <f t="shared" ca="1" si="221"/>
        <v>0</v>
      </c>
      <c r="Z300" s="14">
        <f t="shared" ca="1" si="200"/>
        <v>0</v>
      </c>
      <c r="AA300" s="14">
        <f>IF(AND($H300=pt,$F300=11),SUM($K$7:K300)*VLOOKUP(pt,ROC,2,FALSE),0)</f>
        <v>0</v>
      </c>
      <c r="AB300" s="14">
        <f>IF(AND($H300=pt,$F300=11),SUM($V$7:V300)*VLOOKUP(pt,ROC,2,FALSE),0)</f>
        <v>0</v>
      </c>
      <c r="AC300" s="14">
        <f>IF(AND($H300=pt,$F300=11),SUM($Q$7:Q300)*VLOOKUP(pt,ROC,2,FALSE),0)</f>
        <v>0</v>
      </c>
      <c r="AD300" s="14">
        <f t="shared" ca="1" si="222"/>
        <v>0</v>
      </c>
      <c r="AE300" s="14">
        <f ca="1">(MAX(sa-CF299*Flag_UL_Type,105%*SUM($I$7:I300),Z300)+AU300)*B300</f>
        <v>0</v>
      </c>
      <c r="AF300" s="136"/>
      <c r="AG300" s="18">
        <v>294</v>
      </c>
      <c r="AH300" s="30">
        <f t="shared" ca="1" si="201"/>
        <v>0</v>
      </c>
      <c r="AI300" s="58"/>
      <c r="AJ300" s="50">
        <f>IF(AND(Option_Sys_TopUp&gt;="Y",H300&gt;=sytp,H300&lt;=(dtp+sytp-1),F300=0,H300&lt;=ppt+1),atp,0)+IFERROR(VLOOKUP(H300,Input!$B$55:$C$61,2,0),0)*(F300=0)*(Option_TopUP="Y")*(Option_Sys_TopUp="N")*B300*(pt&gt;=H300+5)</f>
        <v>0</v>
      </c>
      <c r="AK300" s="50">
        <f t="shared" si="202"/>
        <v>0</v>
      </c>
      <c r="AL300" s="50">
        <f t="shared" si="223"/>
        <v>0</v>
      </c>
      <c r="AM300" s="50">
        <f t="shared" ca="1" si="203"/>
        <v>0</v>
      </c>
      <c r="AN300" s="50">
        <f>IF(B300=0,0,AT300*(_rpm1+(1+_emr1)*VLOOKUP(E300,Tab_Mort_Charge,IF(Input!$C$12="M",2,3),0))*(0.001*0.0833)*Flag_Mort_Rider_Charge*(AT300&gt;0))</f>
        <v>0</v>
      </c>
      <c r="AO300" s="50">
        <f t="shared" ca="1" si="224"/>
        <v>0</v>
      </c>
      <c r="AP300" s="50">
        <f t="shared" ca="1" si="231"/>
        <v>0</v>
      </c>
      <c r="AQ300" s="50">
        <f t="shared" ca="1" si="204"/>
        <v>0</v>
      </c>
      <c r="AR300" s="50">
        <f t="shared" ca="1" si="205"/>
        <v>0</v>
      </c>
      <c r="AS300" s="50">
        <f t="shared" si="206"/>
        <v>0</v>
      </c>
      <c r="AT300" s="50">
        <f ca="1">(MAX((MAX(AS300,105%*SUM($AJ$7:AJ300))-AM300*Flag_UL_Type),0)*B300)</f>
        <v>0</v>
      </c>
      <c r="AU300" s="50">
        <f ca="1">(MAX(AS300,AR300,105%*SUM($AJ$7:AJ300))*B300)</f>
        <v>0</v>
      </c>
      <c r="AV300" s="125"/>
      <c r="AW300" s="13"/>
      <c r="AX300" s="13"/>
      <c r="AY300" s="13"/>
      <c r="AZ300" s="13"/>
      <c r="BA300" s="13"/>
      <c r="BG300" s="51">
        <f t="shared" si="207"/>
        <v>0</v>
      </c>
      <c r="BH300" s="51">
        <f t="shared" si="208"/>
        <v>0</v>
      </c>
      <c r="BI300" s="51">
        <f t="shared" ca="1" si="209"/>
        <v>0</v>
      </c>
      <c r="BJ300" s="51">
        <f t="shared" ca="1" si="210"/>
        <v>0</v>
      </c>
      <c r="BK300" s="51">
        <f t="shared" si="211"/>
        <v>0</v>
      </c>
      <c r="BL300" s="51">
        <f t="shared" ca="1" si="212"/>
        <v>0</v>
      </c>
      <c r="BM300" s="51">
        <f t="shared" si="213"/>
        <v>0</v>
      </c>
      <c r="BN300" s="51">
        <f t="shared" si="214"/>
        <v>0</v>
      </c>
      <c r="BO300" s="51">
        <f t="shared" ca="1" si="215"/>
        <v>0</v>
      </c>
      <c r="BP300" s="51">
        <f t="shared" ca="1" si="216"/>
        <v>0</v>
      </c>
      <c r="BQ300" s="120"/>
      <c r="BR300" s="32"/>
      <c r="BS300" s="126"/>
      <c r="BT300" s="16"/>
      <c r="BU300" s="58"/>
      <c r="BW300" s="51">
        <f>VLOOKUP(H300,Charges!$AT$4:$AU$33,2,FALSE)*I300</f>
        <v>0</v>
      </c>
      <c r="BX300" s="51">
        <f t="shared" si="217"/>
        <v>0</v>
      </c>
      <c r="BY300" s="51">
        <f t="shared" si="225"/>
        <v>0</v>
      </c>
      <c r="BZ300" s="151"/>
      <c r="CA300" s="151"/>
      <c r="CB300" s="32"/>
      <c r="CC300" s="16">
        <f ca="1">SUM($N$7:$N300)</f>
        <v>0</v>
      </c>
      <c r="CD300" s="16">
        <f t="shared" ca="1" si="218"/>
        <v>0</v>
      </c>
      <c r="CE300" s="16">
        <f t="shared" ca="1" si="219"/>
        <v>0</v>
      </c>
      <c r="CF300" s="7">
        <f t="shared" ca="1" si="226"/>
        <v>0</v>
      </c>
    </row>
    <row r="301" spans="1:84" s="7" customFormat="1" x14ac:dyDescent="0.2">
      <c r="A301" s="149"/>
      <c r="B301" s="14">
        <f t="shared" si="188"/>
        <v>0</v>
      </c>
      <c r="C301" s="12">
        <f t="shared" si="189"/>
        <v>0</v>
      </c>
      <c r="D301" s="17">
        <f t="shared" si="227"/>
        <v>295</v>
      </c>
      <c r="E301" s="17">
        <f t="shared" ca="1" si="190"/>
        <v>84</v>
      </c>
      <c r="F301" s="12">
        <f t="shared" si="229"/>
        <v>6</v>
      </c>
      <c r="G301" s="12">
        <f t="shared" si="228"/>
        <v>50</v>
      </c>
      <c r="H301" s="17">
        <f t="shared" si="230"/>
        <v>25</v>
      </c>
      <c r="I301" s="29">
        <f t="shared" si="191"/>
        <v>0</v>
      </c>
      <c r="J301" s="211">
        <f>IFERROR(VLOOKUP(H301,Charges!$T$6:$U$35,2,0)*C301,0)</f>
        <v>0</v>
      </c>
      <c r="K301" s="29">
        <f t="shared" si="192"/>
        <v>0</v>
      </c>
      <c r="L301" s="29">
        <f t="shared" si="193"/>
        <v>0</v>
      </c>
      <c r="M301" s="147">
        <f t="shared" ca="1" si="194"/>
        <v>0</v>
      </c>
      <c r="N301" s="148">
        <f ca="1">IF(AND(Option_SPW="Y",Z300&gt;=SPW_Start_Min_FV,H301&gt;=Lock_In_Period,Z300&gt;SPW_Amount_pa+IF(option="Single",1/5*pr,2*pr),H301&gt;=SPW_Start_Year,H301&lt;=SPW_Start_Year+SPW_Duration-1,F301=0,age+H301&gt;=Legal_Age),SPW_Amount_pa,0)+IFERROR(VLOOKUP(H301,Input!$B$68:$C$74,2,0),0)*(F301=0)*(Option_PW="Y")*(Option_SPW="N")*(age+H301&gt;=Legal_Age)</f>
        <v>0</v>
      </c>
      <c r="O301" s="148">
        <f t="shared" ca="1" si="220"/>
        <v>0</v>
      </c>
      <c r="P301" s="14">
        <f ca="1">(MAX(MAX(sa-CF300*Flag_UL_Type,105%*SUM($I$7:I301))-(AD300+L301-N301)*Flag_UL_Type,0)*B301)</f>
        <v>0</v>
      </c>
      <c r="Q301" s="213">
        <f t="shared" si="195"/>
        <v>0</v>
      </c>
      <c r="R301" s="14">
        <f t="shared" ca="1" si="196"/>
        <v>0</v>
      </c>
      <c r="S301" s="14">
        <f t="shared" ca="1" si="197"/>
        <v>0</v>
      </c>
      <c r="T301" s="14">
        <f>IFERROR(IF(WoP_Flag="Y",IF(fq=1,VLOOKUP(ppt*fq-H301,Charges!$AN$41:$AO$59,2,FALSE),IF(fq=2,VLOOKUP(ppt*fq-G301,Charges!$AP$41:$AQ$79,2,FALSE),VLOOKUP(ppt*fq-D301,Charges!$AR$41:$AS$279,2,FALSE)))*pr/fq,0),0)</f>
        <v>0</v>
      </c>
      <c r="U301" s="14">
        <f ca="1">IFERROR(((T301*(VLOOKUP(Input!$D$18+H301-1,Tab_Mort_Charge,IF(Gender_2="M",2,3),FALSE)*(1+_emr2)+_rpm2)/IF(Model_Type="LA_PQIS",1000/0.0833,(12*1000))))*Flag_Mort_Rider_Charge*(T301&gt;0),0)</f>
        <v>0</v>
      </c>
      <c r="V301" s="34">
        <f>ROUND(MIN(IF(H301&gt;=7,Charges!$C$12*(1+Charges!$C$14)^((H301-7+1)),VLOOKUP(H301,Charges!$B$7:$C$12,2,0))*pr,Charges!$C$13)*B301,Round)</f>
        <v>0</v>
      </c>
      <c r="W301" s="14">
        <f t="shared" ca="1" si="198"/>
        <v>0</v>
      </c>
      <c r="X301" s="14">
        <f t="shared" ca="1" si="199"/>
        <v>0</v>
      </c>
      <c r="Y301" s="213">
        <f t="shared" ca="1" si="221"/>
        <v>0</v>
      </c>
      <c r="Z301" s="14">
        <f t="shared" ca="1" si="200"/>
        <v>0</v>
      </c>
      <c r="AA301" s="14">
        <f>IF(AND($H301=pt,$F301=11),SUM($K$7:K301)*VLOOKUP(pt,ROC,2,FALSE),0)</f>
        <v>0</v>
      </c>
      <c r="AB301" s="14">
        <f>IF(AND($H301=pt,$F301=11),SUM($V$7:V301)*VLOOKUP(pt,ROC,2,FALSE),0)</f>
        <v>0</v>
      </c>
      <c r="AC301" s="14">
        <f>IF(AND($H301=pt,$F301=11),SUM($Q$7:Q301)*VLOOKUP(pt,ROC,2,FALSE),0)</f>
        <v>0</v>
      </c>
      <c r="AD301" s="14">
        <f t="shared" ca="1" si="222"/>
        <v>0</v>
      </c>
      <c r="AE301" s="14">
        <f ca="1">(MAX(sa-CF300*Flag_UL_Type,105%*SUM($I$7:I301),Z301)+AU301)*B301</f>
        <v>0</v>
      </c>
      <c r="AF301" s="136"/>
      <c r="AG301" s="18">
        <v>295</v>
      </c>
      <c r="AH301" s="30">
        <f t="shared" ca="1" si="201"/>
        <v>0</v>
      </c>
      <c r="AI301" s="58"/>
      <c r="AJ301" s="50">
        <f>IF(AND(Option_Sys_TopUp&gt;="Y",H301&gt;=sytp,H301&lt;=(dtp+sytp-1),F301=0,H301&lt;=ppt+1),atp,0)+IFERROR(VLOOKUP(H301,Input!$B$55:$C$61,2,0),0)*(F301=0)*(Option_TopUP="Y")*(Option_Sys_TopUp="N")*B301*(pt&gt;=H301+5)</f>
        <v>0</v>
      </c>
      <c r="AK301" s="50">
        <f t="shared" si="202"/>
        <v>0</v>
      </c>
      <c r="AL301" s="50">
        <f t="shared" si="223"/>
        <v>0</v>
      </c>
      <c r="AM301" s="50">
        <f t="shared" ca="1" si="203"/>
        <v>0</v>
      </c>
      <c r="AN301" s="50">
        <f>IF(B301=0,0,AT301*(_rpm1+(1+_emr1)*VLOOKUP(E301,Tab_Mort_Charge,IF(Input!$C$12="M",2,3),0))*(0.001*0.0833)*Flag_Mort_Rider_Charge*(AT301&gt;0))</f>
        <v>0</v>
      </c>
      <c r="AO301" s="50">
        <f t="shared" ca="1" si="224"/>
        <v>0</v>
      </c>
      <c r="AP301" s="50">
        <f t="shared" ca="1" si="231"/>
        <v>0</v>
      </c>
      <c r="AQ301" s="50">
        <f t="shared" ca="1" si="204"/>
        <v>0</v>
      </c>
      <c r="AR301" s="50">
        <f t="shared" ca="1" si="205"/>
        <v>0</v>
      </c>
      <c r="AS301" s="50">
        <f t="shared" si="206"/>
        <v>0</v>
      </c>
      <c r="AT301" s="50">
        <f ca="1">(MAX((MAX(AS301,105%*SUM($AJ$7:AJ301))-AM301*Flag_UL_Type),0)*B301)</f>
        <v>0</v>
      </c>
      <c r="AU301" s="50">
        <f ca="1">(MAX(AS301,AR301,105%*SUM($AJ$7:AJ301))*B301)</f>
        <v>0</v>
      </c>
      <c r="AV301" s="125"/>
      <c r="AW301" s="13"/>
      <c r="AX301" s="13"/>
      <c r="AY301" s="13"/>
      <c r="AZ301" s="13"/>
      <c r="BA301" s="13"/>
      <c r="BG301" s="51">
        <f t="shared" si="207"/>
        <v>0</v>
      </c>
      <c r="BH301" s="51">
        <f t="shared" si="208"/>
        <v>0</v>
      </c>
      <c r="BI301" s="51">
        <f t="shared" ca="1" si="209"/>
        <v>0</v>
      </c>
      <c r="BJ301" s="51">
        <f t="shared" ca="1" si="210"/>
        <v>0</v>
      </c>
      <c r="BK301" s="51">
        <f t="shared" si="211"/>
        <v>0</v>
      </c>
      <c r="BL301" s="51">
        <f t="shared" ca="1" si="212"/>
        <v>0</v>
      </c>
      <c r="BM301" s="51">
        <f t="shared" si="213"/>
        <v>0</v>
      </c>
      <c r="BN301" s="51">
        <f t="shared" si="214"/>
        <v>0</v>
      </c>
      <c r="BO301" s="51">
        <f t="shared" ca="1" si="215"/>
        <v>0</v>
      </c>
      <c r="BP301" s="51">
        <f t="shared" ca="1" si="216"/>
        <v>0</v>
      </c>
      <c r="BQ301" s="120"/>
      <c r="BR301" s="32"/>
      <c r="BS301" s="126"/>
      <c r="BT301" s="16"/>
      <c r="BU301" s="58"/>
      <c r="BW301" s="51">
        <f>VLOOKUP(H301,Charges!$AT$4:$AU$33,2,FALSE)*I301</f>
        <v>0</v>
      </c>
      <c r="BX301" s="51">
        <f t="shared" si="217"/>
        <v>0</v>
      </c>
      <c r="BY301" s="51">
        <f t="shared" si="225"/>
        <v>0</v>
      </c>
      <c r="BZ301" s="151"/>
      <c r="CA301" s="151"/>
      <c r="CB301" s="32"/>
      <c r="CC301" s="16">
        <f ca="1">SUM($N$7:$N301)</f>
        <v>0</v>
      </c>
      <c r="CD301" s="16">
        <f t="shared" ca="1" si="218"/>
        <v>0</v>
      </c>
      <c r="CE301" s="16">
        <f t="shared" ca="1" si="219"/>
        <v>0</v>
      </c>
      <c r="CF301" s="7">
        <f t="shared" ca="1" si="226"/>
        <v>0</v>
      </c>
    </row>
    <row r="302" spans="1:84" s="7" customFormat="1" x14ac:dyDescent="0.2">
      <c r="A302" s="149"/>
      <c r="B302" s="14">
        <f t="shared" si="188"/>
        <v>0</v>
      </c>
      <c r="C302" s="12">
        <f t="shared" si="189"/>
        <v>0</v>
      </c>
      <c r="D302" s="17">
        <f t="shared" si="227"/>
        <v>296</v>
      </c>
      <c r="E302" s="17">
        <f t="shared" ca="1" si="190"/>
        <v>84</v>
      </c>
      <c r="F302" s="12">
        <f t="shared" si="229"/>
        <v>7</v>
      </c>
      <c r="G302" s="12">
        <f t="shared" si="228"/>
        <v>50</v>
      </c>
      <c r="H302" s="17">
        <f t="shared" si="230"/>
        <v>25</v>
      </c>
      <c r="I302" s="29">
        <f t="shared" si="191"/>
        <v>0</v>
      </c>
      <c r="J302" s="211">
        <f>IFERROR(VLOOKUP(H302,Charges!$T$6:$U$35,2,0)*C302,0)</f>
        <v>0</v>
      </c>
      <c r="K302" s="29">
        <f t="shared" si="192"/>
        <v>0</v>
      </c>
      <c r="L302" s="29">
        <f t="shared" si="193"/>
        <v>0</v>
      </c>
      <c r="M302" s="147">
        <f t="shared" ca="1" si="194"/>
        <v>0</v>
      </c>
      <c r="N302" s="148">
        <f ca="1">IF(AND(Option_SPW="Y",Z301&gt;=SPW_Start_Min_FV,H302&gt;=Lock_In_Period,Z301&gt;SPW_Amount_pa+IF(option="Single",1/5*pr,2*pr),H302&gt;=SPW_Start_Year,H302&lt;=SPW_Start_Year+SPW_Duration-1,F302=0,age+H302&gt;=Legal_Age),SPW_Amount_pa,0)+IFERROR(VLOOKUP(H302,Input!$B$68:$C$74,2,0),0)*(F302=0)*(Option_PW="Y")*(Option_SPW="N")*(age+H302&gt;=Legal_Age)</f>
        <v>0</v>
      </c>
      <c r="O302" s="148">
        <f t="shared" ca="1" si="220"/>
        <v>0</v>
      </c>
      <c r="P302" s="14">
        <f ca="1">(MAX(MAX(sa-CF301*Flag_UL_Type,105%*SUM($I$7:I302))-(AD301+L302-N302)*Flag_UL_Type,0)*B302)</f>
        <v>0</v>
      </c>
      <c r="Q302" s="213">
        <f t="shared" si="195"/>
        <v>0</v>
      </c>
      <c r="R302" s="14">
        <f t="shared" ca="1" si="196"/>
        <v>0</v>
      </c>
      <c r="S302" s="14">
        <f t="shared" ca="1" si="197"/>
        <v>0</v>
      </c>
      <c r="T302" s="14">
        <f>IFERROR(IF(WoP_Flag="Y",IF(fq=1,VLOOKUP(ppt*fq-H302,Charges!$AN$41:$AO$59,2,FALSE),IF(fq=2,VLOOKUP(ppt*fq-G302,Charges!$AP$41:$AQ$79,2,FALSE),VLOOKUP(ppt*fq-D302,Charges!$AR$41:$AS$279,2,FALSE)))*pr/fq,0),0)</f>
        <v>0</v>
      </c>
      <c r="U302" s="14">
        <f ca="1">IFERROR(((T302*(VLOOKUP(Input!$D$18+H302-1,Tab_Mort_Charge,IF(Gender_2="M",2,3),FALSE)*(1+_emr2)+_rpm2)/IF(Model_Type="LA_PQIS",1000/0.0833,(12*1000))))*Flag_Mort_Rider_Charge*(T302&gt;0),0)</f>
        <v>0</v>
      </c>
      <c r="V302" s="34">
        <f>ROUND(MIN(IF(H302&gt;=7,Charges!$C$12*(1+Charges!$C$14)^((H302-7+1)),VLOOKUP(H302,Charges!$B$7:$C$12,2,0))*pr,Charges!$C$13)*B302,Round)</f>
        <v>0</v>
      </c>
      <c r="W302" s="14">
        <f t="shared" ca="1" si="198"/>
        <v>0</v>
      </c>
      <c r="X302" s="14">
        <f t="shared" ca="1" si="199"/>
        <v>0</v>
      </c>
      <c r="Y302" s="213">
        <f t="shared" ca="1" si="221"/>
        <v>0</v>
      </c>
      <c r="Z302" s="14">
        <f t="shared" ca="1" si="200"/>
        <v>0</v>
      </c>
      <c r="AA302" s="14">
        <f>IF(AND($H302=pt,$F302=11),SUM($K$7:K302)*VLOOKUP(pt,ROC,2,FALSE),0)</f>
        <v>0</v>
      </c>
      <c r="AB302" s="14">
        <f>IF(AND($H302=pt,$F302=11),SUM($V$7:V302)*VLOOKUP(pt,ROC,2,FALSE),0)</f>
        <v>0</v>
      </c>
      <c r="AC302" s="14">
        <f>IF(AND($H302=pt,$F302=11),SUM($Q$7:Q302)*VLOOKUP(pt,ROC,2,FALSE),0)</f>
        <v>0</v>
      </c>
      <c r="AD302" s="14">
        <f t="shared" ca="1" si="222"/>
        <v>0</v>
      </c>
      <c r="AE302" s="14">
        <f ca="1">(MAX(sa-CF301*Flag_UL_Type,105%*SUM($I$7:I302),Z302)+AU302)*B302</f>
        <v>0</v>
      </c>
      <c r="AF302" s="136"/>
      <c r="AG302" s="18">
        <v>296</v>
      </c>
      <c r="AH302" s="30">
        <f t="shared" ca="1" si="201"/>
        <v>0</v>
      </c>
      <c r="AI302" s="58"/>
      <c r="AJ302" s="50">
        <f>IF(AND(Option_Sys_TopUp&gt;="Y",H302&gt;=sytp,H302&lt;=(dtp+sytp-1),F302=0,H302&lt;=ppt+1),atp,0)+IFERROR(VLOOKUP(H302,Input!$B$55:$C$61,2,0),0)*(F302=0)*(Option_TopUP="Y")*(Option_Sys_TopUp="N")*B302*(pt&gt;=H302+5)</f>
        <v>0</v>
      </c>
      <c r="AK302" s="50">
        <f t="shared" si="202"/>
        <v>0</v>
      </c>
      <c r="AL302" s="50">
        <f t="shared" si="223"/>
        <v>0</v>
      </c>
      <c r="AM302" s="50">
        <f t="shared" ca="1" si="203"/>
        <v>0</v>
      </c>
      <c r="AN302" s="50">
        <f>IF(B302=0,0,AT302*(_rpm1+(1+_emr1)*VLOOKUP(E302,Tab_Mort_Charge,IF(Input!$C$12="M",2,3),0))*(0.001*0.0833)*Flag_Mort_Rider_Charge*(AT302&gt;0))</f>
        <v>0</v>
      </c>
      <c r="AO302" s="50">
        <f t="shared" ca="1" si="224"/>
        <v>0</v>
      </c>
      <c r="AP302" s="50">
        <f t="shared" ca="1" si="231"/>
        <v>0</v>
      </c>
      <c r="AQ302" s="50">
        <f t="shared" ca="1" si="204"/>
        <v>0</v>
      </c>
      <c r="AR302" s="50">
        <f t="shared" ca="1" si="205"/>
        <v>0</v>
      </c>
      <c r="AS302" s="50">
        <f t="shared" si="206"/>
        <v>0</v>
      </c>
      <c r="AT302" s="50">
        <f ca="1">(MAX((MAX(AS302,105%*SUM($AJ$7:AJ302))-AM302*Flag_UL_Type),0)*B302)</f>
        <v>0</v>
      </c>
      <c r="AU302" s="50">
        <f ca="1">(MAX(AS302,AR302,105%*SUM($AJ$7:AJ302))*B302)</f>
        <v>0</v>
      </c>
      <c r="AV302" s="125"/>
      <c r="AW302" s="13"/>
      <c r="AX302" s="13"/>
      <c r="AY302" s="13"/>
      <c r="AZ302" s="13"/>
      <c r="BA302" s="13"/>
      <c r="BG302" s="51">
        <f t="shared" si="207"/>
        <v>0</v>
      </c>
      <c r="BH302" s="51">
        <f t="shared" si="208"/>
        <v>0</v>
      </c>
      <c r="BI302" s="51">
        <f t="shared" ca="1" si="209"/>
        <v>0</v>
      </c>
      <c r="BJ302" s="51">
        <f t="shared" ca="1" si="210"/>
        <v>0</v>
      </c>
      <c r="BK302" s="51">
        <f t="shared" si="211"/>
        <v>0</v>
      </c>
      <c r="BL302" s="51">
        <f t="shared" ca="1" si="212"/>
        <v>0</v>
      </c>
      <c r="BM302" s="51">
        <f t="shared" si="213"/>
        <v>0</v>
      </c>
      <c r="BN302" s="51">
        <f t="shared" si="214"/>
        <v>0</v>
      </c>
      <c r="BO302" s="51">
        <f t="shared" ca="1" si="215"/>
        <v>0</v>
      </c>
      <c r="BP302" s="51">
        <f t="shared" ca="1" si="216"/>
        <v>0</v>
      </c>
      <c r="BQ302" s="120"/>
      <c r="BR302" s="32"/>
      <c r="BS302" s="126"/>
      <c r="BT302" s="16"/>
      <c r="BU302" s="58"/>
      <c r="BW302" s="51">
        <f>VLOOKUP(H302,Charges!$AT$4:$AU$33,2,FALSE)*I302</f>
        <v>0</v>
      </c>
      <c r="BX302" s="51">
        <f t="shared" si="217"/>
        <v>0</v>
      </c>
      <c r="BY302" s="51">
        <f t="shared" si="225"/>
        <v>0</v>
      </c>
      <c r="BZ302" s="151"/>
      <c r="CA302" s="151"/>
      <c r="CB302" s="32"/>
      <c r="CC302" s="16">
        <f ca="1">SUM($N$7:$N302)</f>
        <v>0</v>
      </c>
      <c r="CD302" s="16">
        <f t="shared" ca="1" si="218"/>
        <v>0</v>
      </c>
      <c r="CE302" s="16">
        <f t="shared" ca="1" si="219"/>
        <v>0</v>
      </c>
      <c r="CF302" s="7">
        <f t="shared" ca="1" si="226"/>
        <v>0</v>
      </c>
    </row>
    <row r="303" spans="1:84" s="7" customFormat="1" x14ac:dyDescent="0.2">
      <c r="A303" s="149"/>
      <c r="B303" s="14">
        <f t="shared" si="188"/>
        <v>0</v>
      </c>
      <c r="C303" s="12">
        <f t="shared" si="189"/>
        <v>0</v>
      </c>
      <c r="D303" s="17">
        <f t="shared" si="227"/>
        <v>297</v>
      </c>
      <c r="E303" s="17">
        <f t="shared" ca="1" si="190"/>
        <v>84</v>
      </c>
      <c r="F303" s="12">
        <f t="shared" si="229"/>
        <v>8</v>
      </c>
      <c r="G303" s="12">
        <f t="shared" si="228"/>
        <v>50</v>
      </c>
      <c r="H303" s="17">
        <f t="shared" si="230"/>
        <v>25</v>
      </c>
      <c r="I303" s="29">
        <f t="shared" si="191"/>
        <v>0</v>
      </c>
      <c r="J303" s="211">
        <f>IFERROR(VLOOKUP(H303,Charges!$T$6:$U$35,2,0)*C303,0)</f>
        <v>0</v>
      </c>
      <c r="K303" s="29">
        <f t="shared" si="192"/>
        <v>0</v>
      </c>
      <c r="L303" s="29">
        <f t="shared" si="193"/>
        <v>0</v>
      </c>
      <c r="M303" s="147">
        <f t="shared" ca="1" si="194"/>
        <v>0</v>
      </c>
      <c r="N303" s="148">
        <f ca="1">IF(AND(Option_SPW="Y",Z302&gt;=SPW_Start_Min_FV,H303&gt;=Lock_In_Period,Z302&gt;SPW_Amount_pa+IF(option="Single",1/5*pr,2*pr),H303&gt;=SPW_Start_Year,H303&lt;=SPW_Start_Year+SPW_Duration-1,F303=0,age+H303&gt;=Legal_Age),SPW_Amount_pa,0)+IFERROR(VLOOKUP(H303,Input!$B$68:$C$74,2,0),0)*(F303=0)*(Option_PW="Y")*(Option_SPW="N")*(age+H303&gt;=Legal_Age)</f>
        <v>0</v>
      </c>
      <c r="O303" s="148">
        <f t="shared" ca="1" si="220"/>
        <v>0</v>
      </c>
      <c r="P303" s="14">
        <f ca="1">(MAX(MAX(sa-CF302*Flag_UL_Type,105%*SUM($I$7:I303))-(AD302+L303-N303)*Flag_UL_Type,0)*B303)</f>
        <v>0</v>
      </c>
      <c r="Q303" s="213">
        <f t="shared" si="195"/>
        <v>0</v>
      </c>
      <c r="R303" s="14">
        <f t="shared" ca="1" si="196"/>
        <v>0</v>
      </c>
      <c r="S303" s="14">
        <f t="shared" ca="1" si="197"/>
        <v>0</v>
      </c>
      <c r="T303" s="14">
        <f>IFERROR(IF(WoP_Flag="Y",IF(fq=1,VLOOKUP(ppt*fq-H303,Charges!$AN$41:$AO$59,2,FALSE),IF(fq=2,VLOOKUP(ppt*fq-G303,Charges!$AP$41:$AQ$79,2,FALSE),VLOOKUP(ppt*fq-D303,Charges!$AR$41:$AS$279,2,FALSE)))*pr/fq,0),0)</f>
        <v>0</v>
      </c>
      <c r="U303" s="14">
        <f ca="1">IFERROR(((T303*(VLOOKUP(Input!$D$18+H303-1,Tab_Mort_Charge,IF(Gender_2="M",2,3),FALSE)*(1+_emr2)+_rpm2)/IF(Model_Type="LA_PQIS",1000/0.0833,(12*1000))))*Flag_Mort_Rider_Charge*(T303&gt;0),0)</f>
        <v>0</v>
      </c>
      <c r="V303" s="34">
        <f>ROUND(MIN(IF(H303&gt;=7,Charges!$C$12*(1+Charges!$C$14)^((H303-7+1)),VLOOKUP(H303,Charges!$B$7:$C$12,2,0))*pr,Charges!$C$13)*B303,Round)</f>
        <v>0</v>
      </c>
      <c r="W303" s="14">
        <f t="shared" ca="1" si="198"/>
        <v>0</v>
      </c>
      <c r="X303" s="14">
        <f t="shared" ca="1" si="199"/>
        <v>0</v>
      </c>
      <c r="Y303" s="213">
        <f t="shared" ca="1" si="221"/>
        <v>0</v>
      </c>
      <c r="Z303" s="14">
        <f t="shared" ca="1" si="200"/>
        <v>0</v>
      </c>
      <c r="AA303" s="14">
        <f>IF(AND($H303=pt,$F303=11),SUM($K$7:K303)*VLOOKUP(pt,ROC,2,FALSE),0)</f>
        <v>0</v>
      </c>
      <c r="AB303" s="14">
        <f>IF(AND($H303=pt,$F303=11),SUM($V$7:V303)*VLOOKUP(pt,ROC,2,FALSE),0)</f>
        <v>0</v>
      </c>
      <c r="AC303" s="14">
        <f>IF(AND($H303=pt,$F303=11),SUM($Q$7:Q303)*VLOOKUP(pt,ROC,2,FALSE),0)</f>
        <v>0</v>
      </c>
      <c r="AD303" s="14">
        <f t="shared" ca="1" si="222"/>
        <v>0</v>
      </c>
      <c r="AE303" s="14">
        <f ca="1">(MAX(sa-CF302*Flag_UL_Type,105%*SUM($I$7:I303),Z303)+AU303)*B303</f>
        <v>0</v>
      </c>
      <c r="AF303" s="136"/>
      <c r="AG303" s="18">
        <v>297</v>
      </c>
      <c r="AH303" s="30">
        <f t="shared" ca="1" si="201"/>
        <v>0</v>
      </c>
      <c r="AI303" s="58"/>
      <c r="AJ303" s="50">
        <f>IF(AND(Option_Sys_TopUp&gt;="Y",H303&gt;=sytp,H303&lt;=(dtp+sytp-1),F303=0,H303&lt;=ppt+1),atp,0)+IFERROR(VLOOKUP(H303,Input!$B$55:$C$61,2,0),0)*(F303=0)*(Option_TopUP="Y")*(Option_Sys_TopUp="N")*B303*(pt&gt;=H303+5)</f>
        <v>0</v>
      </c>
      <c r="AK303" s="50">
        <f t="shared" si="202"/>
        <v>0</v>
      </c>
      <c r="AL303" s="50">
        <f t="shared" si="223"/>
        <v>0</v>
      </c>
      <c r="AM303" s="50">
        <f t="shared" ca="1" si="203"/>
        <v>0</v>
      </c>
      <c r="AN303" s="50">
        <f>IF(B303=0,0,AT303*(_rpm1+(1+_emr1)*VLOOKUP(E303,Tab_Mort_Charge,IF(Input!$C$12="M",2,3),0))*(0.001*0.0833)*Flag_Mort_Rider_Charge*(AT303&gt;0))</f>
        <v>0</v>
      </c>
      <c r="AO303" s="50">
        <f t="shared" ca="1" si="224"/>
        <v>0</v>
      </c>
      <c r="AP303" s="50">
        <f t="shared" ca="1" si="231"/>
        <v>0</v>
      </c>
      <c r="AQ303" s="50">
        <f t="shared" ca="1" si="204"/>
        <v>0</v>
      </c>
      <c r="AR303" s="50">
        <f t="shared" ca="1" si="205"/>
        <v>0</v>
      </c>
      <c r="AS303" s="50">
        <f t="shared" si="206"/>
        <v>0</v>
      </c>
      <c r="AT303" s="50">
        <f ca="1">(MAX((MAX(AS303,105%*SUM($AJ$7:AJ303))-AM303*Flag_UL_Type),0)*B303)</f>
        <v>0</v>
      </c>
      <c r="AU303" s="50">
        <f ca="1">(MAX(AS303,AR303,105%*SUM($AJ$7:AJ303))*B303)</f>
        <v>0</v>
      </c>
      <c r="AV303" s="125"/>
      <c r="AW303" s="13"/>
      <c r="AX303" s="13"/>
      <c r="AY303" s="13"/>
      <c r="AZ303" s="13"/>
      <c r="BA303" s="13"/>
      <c r="BG303" s="51">
        <f t="shared" si="207"/>
        <v>0</v>
      </c>
      <c r="BH303" s="51">
        <f t="shared" si="208"/>
        <v>0</v>
      </c>
      <c r="BI303" s="51">
        <f t="shared" ca="1" si="209"/>
        <v>0</v>
      </c>
      <c r="BJ303" s="51">
        <f t="shared" ca="1" si="210"/>
        <v>0</v>
      </c>
      <c r="BK303" s="51">
        <f t="shared" si="211"/>
        <v>0</v>
      </c>
      <c r="BL303" s="51">
        <f t="shared" ca="1" si="212"/>
        <v>0</v>
      </c>
      <c r="BM303" s="51">
        <f t="shared" si="213"/>
        <v>0</v>
      </c>
      <c r="BN303" s="51">
        <f t="shared" si="214"/>
        <v>0</v>
      </c>
      <c r="BO303" s="51">
        <f t="shared" ca="1" si="215"/>
        <v>0</v>
      </c>
      <c r="BP303" s="51">
        <f t="shared" ca="1" si="216"/>
        <v>0</v>
      </c>
      <c r="BQ303" s="120"/>
      <c r="BR303" s="32"/>
      <c r="BS303" s="126"/>
      <c r="BT303" s="16"/>
      <c r="BU303" s="58"/>
      <c r="BW303" s="51">
        <f>VLOOKUP(H303,Charges!$AT$4:$AU$33,2,FALSE)*I303</f>
        <v>0</v>
      </c>
      <c r="BX303" s="51">
        <f t="shared" si="217"/>
        <v>0</v>
      </c>
      <c r="BY303" s="51">
        <f t="shared" si="225"/>
        <v>0</v>
      </c>
      <c r="BZ303" s="151"/>
      <c r="CA303" s="151"/>
      <c r="CB303" s="32"/>
      <c r="CC303" s="16">
        <f ca="1">SUM($N$7:$N303)</f>
        <v>0</v>
      </c>
      <c r="CD303" s="16">
        <f t="shared" ca="1" si="218"/>
        <v>0</v>
      </c>
      <c r="CE303" s="16">
        <f t="shared" ca="1" si="219"/>
        <v>0</v>
      </c>
      <c r="CF303" s="7">
        <f t="shared" ca="1" si="226"/>
        <v>0</v>
      </c>
    </row>
    <row r="304" spans="1:84" s="7" customFormat="1" x14ac:dyDescent="0.2">
      <c r="A304" s="149"/>
      <c r="B304" s="14">
        <f t="shared" si="188"/>
        <v>0</v>
      </c>
      <c r="C304" s="12">
        <f t="shared" si="189"/>
        <v>0</v>
      </c>
      <c r="D304" s="17">
        <f t="shared" si="227"/>
        <v>298</v>
      </c>
      <c r="E304" s="17">
        <f t="shared" ca="1" si="190"/>
        <v>84</v>
      </c>
      <c r="F304" s="12">
        <f t="shared" si="229"/>
        <v>9</v>
      </c>
      <c r="G304" s="12">
        <f t="shared" si="228"/>
        <v>50</v>
      </c>
      <c r="H304" s="17">
        <f t="shared" si="230"/>
        <v>25</v>
      </c>
      <c r="I304" s="29">
        <f t="shared" si="191"/>
        <v>0</v>
      </c>
      <c r="J304" s="211">
        <f>IFERROR(VLOOKUP(H304,Charges!$T$6:$U$35,2,0)*C304,0)</f>
        <v>0</v>
      </c>
      <c r="K304" s="29">
        <f t="shared" si="192"/>
        <v>0</v>
      </c>
      <c r="L304" s="29">
        <f t="shared" si="193"/>
        <v>0</v>
      </c>
      <c r="M304" s="147">
        <f t="shared" ca="1" si="194"/>
        <v>0</v>
      </c>
      <c r="N304" s="148">
        <f ca="1">IF(AND(Option_SPW="Y",Z303&gt;=SPW_Start_Min_FV,H304&gt;=Lock_In_Period,Z303&gt;SPW_Amount_pa+IF(option="Single",1/5*pr,2*pr),H304&gt;=SPW_Start_Year,H304&lt;=SPW_Start_Year+SPW_Duration-1,F304=0,age+H304&gt;=Legal_Age),SPW_Amount_pa,0)+IFERROR(VLOOKUP(H304,Input!$B$68:$C$74,2,0),0)*(F304=0)*(Option_PW="Y")*(Option_SPW="N")*(age+H304&gt;=Legal_Age)</f>
        <v>0</v>
      </c>
      <c r="O304" s="148">
        <f t="shared" ca="1" si="220"/>
        <v>0</v>
      </c>
      <c r="P304" s="14">
        <f ca="1">(MAX(MAX(sa-CF303*Flag_UL_Type,105%*SUM($I$7:I304))-(AD303+L304-N304)*Flag_UL_Type,0)*B304)</f>
        <v>0</v>
      </c>
      <c r="Q304" s="213">
        <f t="shared" si="195"/>
        <v>0</v>
      </c>
      <c r="R304" s="14">
        <f t="shared" ca="1" si="196"/>
        <v>0</v>
      </c>
      <c r="S304" s="14">
        <f t="shared" ca="1" si="197"/>
        <v>0</v>
      </c>
      <c r="T304" s="14">
        <f>IFERROR(IF(WoP_Flag="Y",IF(fq=1,VLOOKUP(ppt*fq-H304,Charges!$AN$41:$AO$59,2,FALSE),IF(fq=2,VLOOKUP(ppt*fq-G304,Charges!$AP$41:$AQ$79,2,FALSE),VLOOKUP(ppt*fq-D304,Charges!$AR$41:$AS$279,2,FALSE)))*pr/fq,0),0)</f>
        <v>0</v>
      </c>
      <c r="U304" s="14">
        <f ca="1">IFERROR(((T304*(VLOOKUP(Input!$D$18+H304-1,Tab_Mort_Charge,IF(Gender_2="M",2,3),FALSE)*(1+_emr2)+_rpm2)/IF(Model_Type="LA_PQIS",1000/0.0833,(12*1000))))*Flag_Mort_Rider_Charge*(T304&gt;0),0)</f>
        <v>0</v>
      </c>
      <c r="V304" s="34">
        <f>ROUND(MIN(IF(H304&gt;=7,Charges!$C$12*(1+Charges!$C$14)^((H304-7+1)),VLOOKUP(H304,Charges!$B$7:$C$12,2,0))*pr,Charges!$C$13)*B304,Round)</f>
        <v>0</v>
      </c>
      <c r="W304" s="14">
        <f t="shared" ca="1" si="198"/>
        <v>0</v>
      </c>
      <c r="X304" s="14">
        <f t="shared" ca="1" si="199"/>
        <v>0</v>
      </c>
      <c r="Y304" s="213">
        <f t="shared" ca="1" si="221"/>
        <v>0</v>
      </c>
      <c r="Z304" s="14">
        <f t="shared" ca="1" si="200"/>
        <v>0</v>
      </c>
      <c r="AA304" s="14">
        <f>IF(AND($H304=pt,$F304=11),SUM($K$7:K304)*VLOOKUP(pt,ROC,2,FALSE),0)</f>
        <v>0</v>
      </c>
      <c r="AB304" s="14">
        <f>IF(AND($H304=pt,$F304=11),SUM($V$7:V304)*VLOOKUP(pt,ROC,2,FALSE),0)</f>
        <v>0</v>
      </c>
      <c r="AC304" s="14">
        <f>IF(AND($H304=pt,$F304=11),SUM($Q$7:Q304)*VLOOKUP(pt,ROC,2,FALSE),0)</f>
        <v>0</v>
      </c>
      <c r="AD304" s="14">
        <f t="shared" ca="1" si="222"/>
        <v>0</v>
      </c>
      <c r="AE304" s="14">
        <f ca="1">(MAX(sa-CF303*Flag_UL_Type,105%*SUM($I$7:I304),Z304)+AU304)*B304</f>
        <v>0</v>
      </c>
      <c r="AF304" s="136"/>
      <c r="AG304" s="18">
        <v>298</v>
      </c>
      <c r="AH304" s="30">
        <f t="shared" ca="1" si="201"/>
        <v>0</v>
      </c>
      <c r="AI304" s="58"/>
      <c r="AJ304" s="50">
        <f>IF(AND(Option_Sys_TopUp&gt;="Y",H304&gt;=sytp,H304&lt;=(dtp+sytp-1),F304=0,H304&lt;=ppt+1),atp,0)+IFERROR(VLOOKUP(H304,Input!$B$55:$C$61,2,0),0)*(F304=0)*(Option_TopUP="Y")*(Option_Sys_TopUp="N")*B304*(pt&gt;=H304+5)</f>
        <v>0</v>
      </c>
      <c r="AK304" s="50">
        <f t="shared" si="202"/>
        <v>0</v>
      </c>
      <c r="AL304" s="50">
        <f t="shared" si="223"/>
        <v>0</v>
      </c>
      <c r="AM304" s="50">
        <f t="shared" ca="1" si="203"/>
        <v>0</v>
      </c>
      <c r="AN304" s="50">
        <f>IF(B304=0,0,AT304*(_rpm1+(1+_emr1)*VLOOKUP(E304,Tab_Mort_Charge,IF(Input!$C$12="M",2,3),0))*(0.001*0.0833)*Flag_Mort_Rider_Charge*(AT304&gt;0))</f>
        <v>0</v>
      </c>
      <c r="AO304" s="50">
        <f t="shared" ca="1" si="224"/>
        <v>0</v>
      </c>
      <c r="AP304" s="50">
        <f t="shared" ca="1" si="231"/>
        <v>0</v>
      </c>
      <c r="AQ304" s="50">
        <f t="shared" ca="1" si="204"/>
        <v>0</v>
      </c>
      <c r="AR304" s="50">
        <f t="shared" ca="1" si="205"/>
        <v>0</v>
      </c>
      <c r="AS304" s="50">
        <f t="shared" si="206"/>
        <v>0</v>
      </c>
      <c r="AT304" s="50">
        <f ca="1">(MAX((MAX(AS304,105%*SUM($AJ$7:AJ304))-AM304*Flag_UL_Type),0)*B304)</f>
        <v>0</v>
      </c>
      <c r="AU304" s="50">
        <f ca="1">(MAX(AS304,AR304,105%*SUM($AJ$7:AJ304))*B304)</f>
        <v>0</v>
      </c>
      <c r="AV304" s="125"/>
      <c r="AW304" s="13"/>
      <c r="AX304" s="13"/>
      <c r="AY304" s="13"/>
      <c r="AZ304" s="13"/>
      <c r="BA304" s="13"/>
      <c r="BG304" s="51">
        <f t="shared" si="207"/>
        <v>0</v>
      </c>
      <c r="BH304" s="51">
        <f t="shared" si="208"/>
        <v>0</v>
      </c>
      <c r="BI304" s="51">
        <f t="shared" ca="1" si="209"/>
        <v>0</v>
      </c>
      <c r="BJ304" s="51">
        <f t="shared" ca="1" si="210"/>
        <v>0</v>
      </c>
      <c r="BK304" s="51">
        <f t="shared" si="211"/>
        <v>0</v>
      </c>
      <c r="BL304" s="51">
        <f t="shared" ca="1" si="212"/>
        <v>0</v>
      </c>
      <c r="BM304" s="51">
        <f t="shared" si="213"/>
        <v>0</v>
      </c>
      <c r="BN304" s="51">
        <f t="shared" si="214"/>
        <v>0</v>
      </c>
      <c r="BO304" s="51">
        <f t="shared" ca="1" si="215"/>
        <v>0</v>
      </c>
      <c r="BP304" s="51">
        <f t="shared" ca="1" si="216"/>
        <v>0</v>
      </c>
      <c r="BQ304" s="120"/>
      <c r="BR304" s="32"/>
      <c r="BS304" s="126"/>
      <c r="BT304" s="16"/>
      <c r="BU304" s="58"/>
      <c r="BW304" s="51">
        <f>VLOOKUP(H304,Charges!$AT$4:$AU$33,2,FALSE)*I304</f>
        <v>0</v>
      </c>
      <c r="BX304" s="51">
        <f t="shared" si="217"/>
        <v>0</v>
      </c>
      <c r="BY304" s="51">
        <f t="shared" si="225"/>
        <v>0</v>
      </c>
      <c r="BZ304" s="151"/>
      <c r="CA304" s="151"/>
      <c r="CB304" s="32"/>
      <c r="CC304" s="16">
        <f ca="1">SUM($N$7:$N304)</f>
        <v>0</v>
      </c>
      <c r="CD304" s="16">
        <f t="shared" ca="1" si="218"/>
        <v>0</v>
      </c>
      <c r="CE304" s="16">
        <f t="shared" ca="1" si="219"/>
        <v>0</v>
      </c>
      <c r="CF304" s="7">
        <f t="shared" ca="1" si="226"/>
        <v>0</v>
      </c>
    </row>
    <row r="305" spans="1:84" s="7" customFormat="1" x14ac:dyDescent="0.2">
      <c r="A305" s="149"/>
      <c r="B305" s="14">
        <f t="shared" si="188"/>
        <v>0</v>
      </c>
      <c r="C305" s="12">
        <f t="shared" si="189"/>
        <v>0</v>
      </c>
      <c r="D305" s="17">
        <f t="shared" si="227"/>
        <v>299</v>
      </c>
      <c r="E305" s="17">
        <f t="shared" ca="1" si="190"/>
        <v>84</v>
      </c>
      <c r="F305" s="12">
        <f t="shared" si="229"/>
        <v>10</v>
      </c>
      <c r="G305" s="12">
        <f t="shared" si="228"/>
        <v>50</v>
      </c>
      <c r="H305" s="17">
        <f t="shared" si="230"/>
        <v>25</v>
      </c>
      <c r="I305" s="29">
        <f t="shared" si="191"/>
        <v>0</v>
      </c>
      <c r="J305" s="211">
        <f>IFERROR(VLOOKUP(H305,Charges!$T$6:$U$35,2,0)*C305,0)</f>
        <v>0</v>
      </c>
      <c r="K305" s="29">
        <f t="shared" si="192"/>
        <v>0</v>
      </c>
      <c r="L305" s="29">
        <f t="shared" si="193"/>
        <v>0</v>
      </c>
      <c r="M305" s="147">
        <f t="shared" ca="1" si="194"/>
        <v>0</v>
      </c>
      <c r="N305" s="148">
        <f ca="1">IF(AND(Option_SPW="Y",Z304&gt;=SPW_Start_Min_FV,H305&gt;=Lock_In_Period,Z304&gt;SPW_Amount_pa+IF(option="Single",1/5*pr,2*pr),H305&gt;=SPW_Start_Year,H305&lt;=SPW_Start_Year+SPW_Duration-1,F305=0,age+H305&gt;=Legal_Age),SPW_Amount_pa,0)+IFERROR(VLOOKUP(H305,Input!$B$68:$C$74,2,0),0)*(F305=0)*(Option_PW="Y")*(Option_SPW="N")*(age+H305&gt;=Legal_Age)</f>
        <v>0</v>
      </c>
      <c r="O305" s="148">
        <f t="shared" ca="1" si="220"/>
        <v>0</v>
      </c>
      <c r="P305" s="14">
        <f ca="1">(MAX(MAX(sa-CF304*Flag_UL_Type,105%*SUM($I$7:I305))-(AD304+L305-N305)*Flag_UL_Type,0)*B305)</f>
        <v>0</v>
      </c>
      <c r="Q305" s="213">
        <f t="shared" si="195"/>
        <v>0</v>
      </c>
      <c r="R305" s="14">
        <f t="shared" ca="1" si="196"/>
        <v>0</v>
      </c>
      <c r="S305" s="14">
        <f t="shared" ca="1" si="197"/>
        <v>0</v>
      </c>
      <c r="T305" s="14">
        <f>IFERROR(IF(WoP_Flag="Y",IF(fq=1,VLOOKUP(ppt*fq-H305,Charges!$AN$41:$AO$59,2,FALSE),IF(fq=2,VLOOKUP(ppt*fq-G305,Charges!$AP$41:$AQ$79,2,FALSE),VLOOKUP(ppt*fq-D305,Charges!$AR$41:$AS$279,2,FALSE)))*pr/fq,0),0)</f>
        <v>0</v>
      </c>
      <c r="U305" s="14">
        <f ca="1">IFERROR(((T305*(VLOOKUP(Input!$D$18+H305-1,Tab_Mort_Charge,IF(Gender_2="M",2,3),FALSE)*(1+_emr2)+_rpm2)/IF(Model_Type="LA_PQIS",1000/0.0833,(12*1000))))*Flag_Mort_Rider_Charge*(T305&gt;0),0)</f>
        <v>0</v>
      </c>
      <c r="V305" s="34">
        <f>ROUND(MIN(IF(H305&gt;=7,Charges!$C$12*(1+Charges!$C$14)^((H305-7+1)),VLOOKUP(H305,Charges!$B$7:$C$12,2,0))*pr,Charges!$C$13)*B305,Round)</f>
        <v>0</v>
      </c>
      <c r="W305" s="14">
        <f t="shared" ca="1" si="198"/>
        <v>0</v>
      </c>
      <c r="X305" s="14">
        <f t="shared" ca="1" si="199"/>
        <v>0</v>
      </c>
      <c r="Y305" s="213">
        <f t="shared" ca="1" si="221"/>
        <v>0</v>
      </c>
      <c r="Z305" s="14">
        <f t="shared" ca="1" si="200"/>
        <v>0</v>
      </c>
      <c r="AA305" s="14">
        <f>IF(AND($H305=pt,$F305=11),SUM($K$7:K305)*VLOOKUP(pt,ROC,2,FALSE),0)</f>
        <v>0</v>
      </c>
      <c r="AB305" s="14">
        <f>IF(AND($H305=pt,$F305=11),SUM($V$7:V305)*VLOOKUP(pt,ROC,2,FALSE),0)</f>
        <v>0</v>
      </c>
      <c r="AC305" s="14">
        <f>IF(AND($H305=pt,$F305=11),SUM($Q$7:Q305)*VLOOKUP(pt,ROC,2,FALSE),0)</f>
        <v>0</v>
      </c>
      <c r="AD305" s="14">
        <f t="shared" ca="1" si="222"/>
        <v>0</v>
      </c>
      <c r="AE305" s="14">
        <f ca="1">(MAX(sa-CF304*Flag_UL_Type,105%*SUM($I$7:I305),Z305)+AU305)*B305</f>
        <v>0</v>
      </c>
      <c r="AF305" s="136"/>
      <c r="AG305" s="18">
        <v>299</v>
      </c>
      <c r="AH305" s="30">
        <f t="shared" ca="1" si="201"/>
        <v>0</v>
      </c>
      <c r="AI305" s="58"/>
      <c r="AJ305" s="50">
        <f>IF(AND(Option_Sys_TopUp&gt;="Y",H305&gt;=sytp,H305&lt;=(dtp+sytp-1),F305=0,H305&lt;=ppt+1),atp,0)+IFERROR(VLOOKUP(H305,Input!$B$55:$C$61,2,0),0)*(F305=0)*(Option_TopUP="Y")*(Option_Sys_TopUp="N")*B305*(pt&gt;=H305+5)</f>
        <v>0</v>
      </c>
      <c r="AK305" s="50">
        <f t="shared" si="202"/>
        <v>0</v>
      </c>
      <c r="AL305" s="50">
        <f t="shared" si="223"/>
        <v>0</v>
      </c>
      <c r="AM305" s="50">
        <f t="shared" ca="1" si="203"/>
        <v>0</v>
      </c>
      <c r="AN305" s="50">
        <f>IF(B305=0,0,AT305*(_rpm1+(1+_emr1)*VLOOKUP(E305,Tab_Mort_Charge,IF(Input!$C$12="M",2,3),0))*(0.001*0.0833)*Flag_Mort_Rider_Charge*(AT305&gt;0))</f>
        <v>0</v>
      </c>
      <c r="AO305" s="50">
        <f t="shared" ca="1" si="224"/>
        <v>0</v>
      </c>
      <c r="AP305" s="50">
        <f t="shared" ca="1" si="231"/>
        <v>0</v>
      </c>
      <c r="AQ305" s="50">
        <f t="shared" ca="1" si="204"/>
        <v>0</v>
      </c>
      <c r="AR305" s="50">
        <f t="shared" ca="1" si="205"/>
        <v>0</v>
      </c>
      <c r="AS305" s="50">
        <f t="shared" si="206"/>
        <v>0</v>
      </c>
      <c r="AT305" s="50">
        <f ca="1">(MAX((MAX(AS305,105%*SUM($AJ$7:AJ305))-AM305*Flag_UL_Type),0)*B305)</f>
        <v>0</v>
      </c>
      <c r="AU305" s="50">
        <f ca="1">(MAX(AS305,AR305,105%*SUM($AJ$7:AJ305))*B305)</f>
        <v>0</v>
      </c>
      <c r="AV305" s="125"/>
      <c r="AW305" s="13"/>
      <c r="AX305" s="13"/>
      <c r="AY305" s="13"/>
      <c r="AZ305" s="13"/>
      <c r="BA305" s="13"/>
      <c r="BG305" s="51">
        <f t="shared" si="207"/>
        <v>0</v>
      </c>
      <c r="BH305" s="51">
        <f t="shared" si="208"/>
        <v>0</v>
      </c>
      <c r="BI305" s="51">
        <f t="shared" ca="1" si="209"/>
        <v>0</v>
      </c>
      <c r="BJ305" s="51">
        <f t="shared" ca="1" si="210"/>
        <v>0</v>
      </c>
      <c r="BK305" s="51">
        <f t="shared" si="211"/>
        <v>0</v>
      </c>
      <c r="BL305" s="51">
        <f t="shared" ca="1" si="212"/>
        <v>0</v>
      </c>
      <c r="BM305" s="51">
        <f t="shared" si="213"/>
        <v>0</v>
      </c>
      <c r="BN305" s="51">
        <f t="shared" si="214"/>
        <v>0</v>
      </c>
      <c r="BO305" s="51">
        <f t="shared" ca="1" si="215"/>
        <v>0</v>
      </c>
      <c r="BP305" s="51">
        <f t="shared" ca="1" si="216"/>
        <v>0</v>
      </c>
      <c r="BQ305" s="120"/>
      <c r="BR305" s="32"/>
      <c r="BS305" s="126"/>
      <c r="BT305" s="16"/>
      <c r="BU305" s="58"/>
      <c r="BW305" s="51">
        <f>VLOOKUP(H305,Charges!$AT$4:$AU$33,2,FALSE)*I305</f>
        <v>0</v>
      </c>
      <c r="BX305" s="51">
        <f t="shared" si="217"/>
        <v>0</v>
      </c>
      <c r="BY305" s="51">
        <f t="shared" si="225"/>
        <v>0</v>
      </c>
      <c r="BZ305" s="151"/>
      <c r="CA305" s="151"/>
      <c r="CB305" s="32"/>
      <c r="CC305" s="16">
        <f ca="1">SUM($N$7:$N305)</f>
        <v>0</v>
      </c>
      <c r="CD305" s="16">
        <f t="shared" ca="1" si="218"/>
        <v>0</v>
      </c>
      <c r="CE305" s="16">
        <f t="shared" ca="1" si="219"/>
        <v>0</v>
      </c>
      <c r="CF305" s="7">
        <f t="shared" ca="1" si="226"/>
        <v>0</v>
      </c>
    </row>
    <row r="306" spans="1:84" s="7" customFormat="1" x14ac:dyDescent="0.2">
      <c r="A306" s="149"/>
      <c r="B306" s="14">
        <f t="shared" si="188"/>
        <v>0</v>
      </c>
      <c r="C306" s="12">
        <f t="shared" si="189"/>
        <v>0</v>
      </c>
      <c r="D306" s="17">
        <f t="shared" si="227"/>
        <v>300</v>
      </c>
      <c r="E306" s="17">
        <f t="shared" ca="1" si="190"/>
        <v>84</v>
      </c>
      <c r="F306" s="12">
        <f t="shared" si="229"/>
        <v>11</v>
      </c>
      <c r="G306" s="12">
        <f t="shared" si="228"/>
        <v>50</v>
      </c>
      <c r="H306" s="17">
        <f t="shared" si="230"/>
        <v>25</v>
      </c>
      <c r="I306" s="29">
        <f t="shared" si="191"/>
        <v>0</v>
      </c>
      <c r="J306" s="211">
        <f>IFERROR(VLOOKUP(H306,Charges!$T$6:$U$35,2,0)*C306,0)</f>
        <v>0</v>
      </c>
      <c r="K306" s="29">
        <f t="shared" si="192"/>
        <v>0</v>
      </c>
      <c r="L306" s="29">
        <f t="shared" si="193"/>
        <v>0</v>
      </c>
      <c r="M306" s="147">
        <f t="shared" ca="1" si="194"/>
        <v>0</v>
      </c>
      <c r="N306" s="148">
        <f ca="1">IF(AND(Option_SPW="Y",Z305&gt;=SPW_Start_Min_FV,H306&gt;=Lock_In_Period,Z305&gt;SPW_Amount_pa+IF(option="Single",1/5*pr,2*pr),H306&gt;=SPW_Start_Year,H306&lt;=SPW_Start_Year+SPW_Duration-1,F306=0,age+H306&gt;=Legal_Age),SPW_Amount_pa,0)+IFERROR(VLOOKUP(H306,Input!$B$68:$C$74,2,0),0)*(F306=0)*(Option_PW="Y")*(Option_SPW="N")*(age+H306&gt;=Legal_Age)</f>
        <v>0</v>
      </c>
      <c r="O306" s="148">
        <f t="shared" ca="1" si="220"/>
        <v>0</v>
      </c>
      <c r="P306" s="14">
        <f ca="1">(MAX(MAX(sa-CF305*Flag_UL_Type,105%*SUM($I$7:I306))-(AD305+L306-N306)*Flag_UL_Type,0)*B306)</f>
        <v>0</v>
      </c>
      <c r="Q306" s="213">
        <f t="shared" si="195"/>
        <v>0</v>
      </c>
      <c r="R306" s="14">
        <f t="shared" ca="1" si="196"/>
        <v>0</v>
      </c>
      <c r="S306" s="14">
        <f t="shared" ca="1" si="197"/>
        <v>0</v>
      </c>
      <c r="T306" s="14">
        <f>IFERROR(IF(WoP_Flag="Y",IF(fq=1,VLOOKUP(ppt*fq-H306,Charges!$AN$41:$AO$59,2,FALSE),IF(fq=2,VLOOKUP(ppt*fq-G306,Charges!$AP$41:$AQ$79,2,FALSE),VLOOKUP(ppt*fq-D306,Charges!$AR$41:$AS$279,2,FALSE)))*pr/fq,0),0)</f>
        <v>0</v>
      </c>
      <c r="U306" s="14">
        <f ca="1">IFERROR(((T306*(VLOOKUP(Input!$D$18+H306-1,Tab_Mort_Charge,IF(Gender_2="M",2,3),FALSE)*(1+_emr2)+_rpm2)/IF(Model_Type="LA_PQIS",1000/0.0833,(12*1000))))*Flag_Mort_Rider_Charge*(T306&gt;0),0)</f>
        <v>0</v>
      </c>
      <c r="V306" s="34">
        <f>ROUND(MIN(IF(H306&gt;=7,Charges!$C$12*(1+Charges!$C$14)^((H306-7+1)),VLOOKUP(H306,Charges!$B$7:$C$12,2,0))*pr,Charges!$C$13)*B306,Round)</f>
        <v>0</v>
      </c>
      <c r="W306" s="14">
        <f t="shared" ca="1" si="198"/>
        <v>0</v>
      </c>
      <c r="X306" s="14">
        <f t="shared" ca="1" si="199"/>
        <v>0</v>
      </c>
      <c r="Y306" s="213">
        <f t="shared" ca="1" si="221"/>
        <v>0</v>
      </c>
      <c r="Z306" s="14">
        <f t="shared" ca="1" si="200"/>
        <v>0</v>
      </c>
      <c r="AA306" s="14">
        <f>IF(AND($H306=pt,$F306=11),SUM($K$7:K306)*VLOOKUP(pt,ROC,2,FALSE),0)</f>
        <v>0</v>
      </c>
      <c r="AB306" s="14">
        <f>IF(AND($H306=pt,$F306=11),SUM($V$7:V306)*VLOOKUP(pt,ROC,2,FALSE),0)</f>
        <v>0</v>
      </c>
      <c r="AC306" s="14">
        <f>IF(AND($H306=pt,$F306=11),SUM($Q$7:Q306)*VLOOKUP(pt,ROC,2,FALSE),0)</f>
        <v>0</v>
      </c>
      <c r="AD306" s="14">
        <f t="shared" ca="1" si="222"/>
        <v>0</v>
      </c>
      <c r="AE306" s="14">
        <f ca="1">(MAX(sa-CF305*Flag_UL_Type,105%*SUM($I$7:I306),Z306)+AU306)*B306</f>
        <v>0</v>
      </c>
      <c r="AF306" s="136"/>
      <c r="AG306" s="18">
        <v>300</v>
      </c>
      <c r="AH306" s="30">
        <f t="shared" ca="1" si="201"/>
        <v>0</v>
      </c>
      <c r="AI306" s="58"/>
      <c r="AJ306" s="50">
        <f>IF(AND(Option_Sys_TopUp&gt;="Y",H306&gt;=sytp,H306&lt;=(dtp+sytp-1),F306=0,H306&lt;=ppt+1),atp,0)+IFERROR(VLOOKUP(H306,Input!$B$55:$C$61,2,0),0)*(F306=0)*(Option_TopUP="Y")*(Option_Sys_TopUp="N")*B306*(pt&gt;=H306+5)</f>
        <v>0</v>
      </c>
      <c r="AK306" s="50">
        <f t="shared" si="202"/>
        <v>0</v>
      </c>
      <c r="AL306" s="50">
        <f t="shared" si="223"/>
        <v>0</v>
      </c>
      <c r="AM306" s="50">
        <f t="shared" ca="1" si="203"/>
        <v>0</v>
      </c>
      <c r="AN306" s="50">
        <f>IF(B306=0,0,AT306*(_rpm1+(1+_emr1)*VLOOKUP(E306,Tab_Mort_Charge,IF(Input!$C$12="M",2,3),0))*(0.001*0.0833)*Flag_Mort_Rider_Charge*(AT306&gt;0))</f>
        <v>0</v>
      </c>
      <c r="AO306" s="50">
        <f t="shared" ca="1" si="224"/>
        <v>0</v>
      </c>
      <c r="AP306" s="50">
        <f t="shared" ca="1" si="231"/>
        <v>0</v>
      </c>
      <c r="AQ306" s="50">
        <f t="shared" ca="1" si="204"/>
        <v>0</v>
      </c>
      <c r="AR306" s="50">
        <f t="shared" ca="1" si="205"/>
        <v>0</v>
      </c>
      <c r="AS306" s="50">
        <f t="shared" si="206"/>
        <v>0</v>
      </c>
      <c r="AT306" s="50">
        <f ca="1">(MAX((MAX(AS306,105%*SUM($AJ$7:AJ306))-AM306*Flag_UL_Type),0)*B306)</f>
        <v>0</v>
      </c>
      <c r="AU306" s="50">
        <f ca="1">(MAX(AS306,AR306,105%*SUM($AJ$7:AJ306))*B306)</f>
        <v>0</v>
      </c>
      <c r="AV306" s="125"/>
      <c r="AW306" s="13"/>
      <c r="AX306" s="13"/>
      <c r="AY306" s="13"/>
      <c r="AZ306" s="13"/>
      <c r="BA306" s="13"/>
      <c r="BG306" s="51">
        <f t="shared" si="207"/>
        <v>0</v>
      </c>
      <c r="BH306" s="51">
        <f t="shared" si="208"/>
        <v>0</v>
      </c>
      <c r="BI306" s="51">
        <f t="shared" ca="1" si="209"/>
        <v>0</v>
      </c>
      <c r="BJ306" s="51">
        <f t="shared" ca="1" si="210"/>
        <v>0</v>
      </c>
      <c r="BK306" s="51">
        <f t="shared" si="211"/>
        <v>0</v>
      </c>
      <c r="BL306" s="51">
        <f t="shared" ca="1" si="212"/>
        <v>0</v>
      </c>
      <c r="BM306" s="51">
        <f t="shared" si="213"/>
        <v>0</v>
      </c>
      <c r="BN306" s="51">
        <f t="shared" si="214"/>
        <v>0</v>
      </c>
      <c r="BO306" s="51">
        <f t="shared" ca="1" si="215"/>
        <v>0</v>
      </c>
      <c r="BP306" s="51">
        <f t="shared" ca="1" si="216"/>
        <v>0</v>
      </c>
      <c r="BQ306" s="120"/>
      <c r="BR306" s="32"/>
      <c r="BS306" s="126"/>
      <c r="BT306" s="16"/>
      <c r="BU306" s="58"/>
      <c r="BW306" s="51">
        <f>VLOOKUP(H306,Charges!$AT$4:$AU$33,2,FALSE)*I306</f>
        <v>0</v>
      </c>
      <c r="BX306" s="51">
        <f t="shared" si="217"/>
        <v>0</v>
      </c>
      <c r="BY306" s="51">
        <f t="shared" si="225"/>
        <v>0</v>
      </c>
      <c r="BZ306" s="151"/>
      <c r="CA306" s="151"/>
      <c r="CB306" s="32"/>
      <c r="CC306" s="16">
        <f ca="1">SUM($N$7:$N306)</f>
        <v>0</v>
      </c>
      <c r="CD306" s="16">
        <f t="shared" ca="1" si="218"/>
        <v>0</v>
      </c>
      <c r="CE306" s="16">
        <f t="shared" ca="1" si="219"/>
        <v>0</v>
      </c>
      <c r="CF306" s="7">
        <f t="shared" ca="1" si="226"/>
        <v>0</v>
      </c>
    </row>
    <row r="307" spans="1:84" s="7" customFormat="1" x14ac:dyDescent="0.2">
      <c r="A307" s="149"/>
      <c r="B307" s="14">
        <f t="shared" si="188"/>
        <v>0</v>
      </c>
      <c r="C307" s="12">
        <f t="shared" si="189"/>
        <v>0</v>
      </c>
      <c r="D307" s="17">
        <f t="shared" si="227"/>
        <v>301</v>
      </c>
      <c r="E307" s="17">
        <f t="shared" ca="1" si="190"/>
        <v>85</v>
      </c>
      <c r="F307" s="12">
        <f t="shared" si="229"/>
        <v>0</v>
      </c>
      <c r="G307" s="12">
        <f t="shared" si="228"/>
        <v>51</v>
      </c>
      <c r="H307" s="17">
        <f t="shared" si="230"/>
        <v>26</v>
      </c>
      <c r="I307" s="29">
        <f t="shared" si="191"/>
        <v>0</v>
      </c>
      <c r="J307" s="211">
        <f>IFERROR(VLOOKUP(H307,Charges!$T$6:$U$35,2,0)*C307,0)</f>
        <v>0</v>
      </c>
      <c r="K307" s="29">
        <f t="shared" si="192"/>
        <v>0</v>
      </c>
      <c r="L307" s="29">
        <f t="shared" si="193"/>
        <v>0</v>
      </c>
      <c r="M307" s="147">
        <f t="shared" ca="1" si="194"/>
        <v>0</v>
      </c>
      <c r="N307" s="148">
        <f ca="1">IF(AND(Option_SPW="Y",Z306&gt;=SPW_Start_Min_FV,H307&gt;=Lock_In_Period,Z306&gt;SPW_Amount_pa+IF(option="Single",1/5*pr,2*pr),H307&gt;=SPW_Start_Year,H307&lt;=SPW_Start_Year+SPW_Duration-1,F307=0,age+H307&gt;=Legal_Age),SPW_Amount_pa,0)+IFERROR(VLOOKUP(H307,Input!$B$68:$C$74,2,0),0)*(F307=0)*(Option_PW="Y")*(Option_SPW="N")*(age+H307&gt;=Legal_Age)</f>
        <v>0</v>
      </c>
      <c r="O307" s="148">
        <f t="shared" ca="1" si="220"/>
        <v>0</v>
      </c>
      <c r="P307" s="14">
        <f ca="1">(MAX(MAX(sa-CF306*Flag_UL_Type,105%*SUM($I$7:I307))-(AD306+L307-N307)*Flag_UL_Type,0)*B307)</f>
        <v>0</v>
      </c>
      <c r="Q307" s="213">
        <f t="shared" si="195"/>
        <v>0</v>
      </c>
      <c r="R307" s="14">
        <f t="shared" ca="1" si="196"/>
        <v>0</v>
      </c>
      <c r="S307" s="14">
        <f t="shared" ca="1" si="197"/>
        <v>0</v>
      </c>
      <c r="T307" s="14">
        <f>IFERROR(IF(WoP_Flag="Y",IF(fq=1,VLOOKUP(ppt*fq-H307,Charges!$AN$41:$AO$59,2,FALSE),IF(fq=2,VLOOKUP(ppt*fq-G307,Charges!$AP$41:$AQ$79,2,FALSE),VLOOKUP(ppt*fq-D307,Charges!$AR$41:$AS$279,2,FALSE)))*pr/fq,0),0)</f>
        <v>0</v>
      </c>
      <c r="U307" s="14">
        <f ca="1">IFERROR(((T307*(VLOOKUP(Input!$D$18+H307-1,Tab_Mort_Charge,IF(Gender_2="M",2,3),FALSE)*(1+_emr2)+_rpm2)/IF(Model_Type="LA_PQIS",1000/0.0833,(12*1000))))*Flag_Mort_Rider_Charge*(T307&gt;0),0)</f>
        <v>0</v>
      </c>
      <c r="V307" s="34">
        <f>ROUND(MIN(IF(H307&gt;=7,Charges!$C$12*(1+Charges!$C$14)^((H307-7+1)),VLOOKUP(H307,Charges!$B$7:$C$12,2,0))*pr,Charges!$C$13)*B307,Round)</f>
        <v>0</v>
      </c>
      <c r="W307" s="14">
        <f t="shared" ca="1" si="198"/>
        <v>0</v>
      </c>
      <c r="X307" s="14">
        <f t="shared" ca="1" si="199"/>
        <v>0</v>
      </c>
      <c r="Y307" s="213">
        <f t="shared" ca="1" si="221"/>
        <v>0</v>
      </c>
      <c r="Z307" s="14">
        <f t="shared" ca="1" si="200"/>
        <v>0</v>
      </c>
      <c r="AA307" s="14">
        <f>IF(AND($H307=pt,$F307=11),SUM($K$7:K307)*VLOOKUP(pt,ROC,2,FALSE),0)</f>
        <v>0</v>
      </c>
      <c r="AB307" s="14">
        <f>IF(AND($H307=pt,$F307=11),SUM($V$7:V307)*VLOOKUP(pt,ROC,2,FALSE),0)</f>
        <v>0</v>
      </c>
      <c r="AC307" s="14">
        <f>IF(AND($H307=pt,$F307=11),SUM($Q$7:Q307)*VLOOKUP(pt,ROC,2,FALSE),0)</f>
        <v>0</v>
      </c>
      <c r="AD307" s="14">
        <f t="shared" ca="1" si="222"/>
        <v>0</v>
      </c>
      <c r="AE307" s="14">
        <f ca="1">(MAX(sa-CF306*Flag_UL_Type,105%*SUM($I$7:I307),Z307)+AU307)*B307</f>
        <v>0</v>
      </c>
      <c r="AF307" s="136"/>
      <c r="AG307" s="18">
        <v>301</v>
      </c>
      <c r="AH307" s="30">
        <f t="shared" ca="1" si="201"/>
        <v>0</v>
      </c>
      <c r="AI307" s="58"/>
      <c r="AJ307" s="50">
        <f>IF(AND(Option_Sys_TopUp&gt;="Y",H307&gt;=sytp,H307&lt;=(dtp+sytp-1),F307=0,H307&lt;=ppt+1),atp,0)+IFERROR(VLOOKUP(H307,Input!$B$55:$C$61,2,0),0)*(F307=0)*(Option_TopUP="Y")*(Option_Sys_TopUp="N")*B307*(pt&gt;=H307+5)</f>
        <v>0</v>
      </c>
      <c r="AK307" s="50">
        <f t="shared" si="202"/>
        <v>0</v>
      </c>
      <c r="AL307" s="50">
        <f t="shared" si="223"/>
        <v>0</v>
      </c>
      <c r="AM307" s="50">
        <f t="shared" ca="1" si="203"/>
        <v>0</v>
      </c>
      <c r="AN307" s="50">
        <f>IF(B307=0,0,AT307*(_rpm1+(1+_emr1)*VLOOKUP(E307,Tab_Mort_Charge,IF(Input!$C$12="M",2,3),0))*(0.001*0.0833)*Flag_Mort_Rider_Charge*(AT307&gt;0))</f>
        <v>0</v>
      </c>
      <c r="AO307" s="50">
        <f t="shared" ca="1" si="224"/>
        <v>0</v>
      </c>
      <c r="AP307" s="50">
        <f t="shared" ca="1" si="231"/>
        <v>0</v>
      </c>
      <c r="AQ307" s="50">
        <f t="shared" ca="1" si="204"/>
        <v>0</v>
      </c>
      <c r="AR307" s="50">
        <f t="shared" ca="1" si="205"/>
        <v>0</v>
      </c>
      <c r="AS307" s="50">
        <f t="shared" si="206"/>
        <v>0</v>
      </c>
      <c r="AT307" s="50">
        <f ca="1">(MAX((MAX(AS307,105%*SUM($AJ$7:AJ307))-AM307*Flag_UL_Type),0)*B307)</f>
        <v>0</v>
      </c>
      <c r="AU307" s="50">
        <f ca="1">(MAX(AS307,AR307,105%*SUM($AJ$7:AJ307))*B307)</f>
        <v>0</v>
      </c>
      <c r="AV307" s="125"/>
      <c r="AW307" s="13"/>
      <c r="AX307" s="13"/>
      <c r="AY307" s="13"/>
      <c r="AZ307" s="13"/>
      <c r="BA307" s="13"/>
      <c r="BG307" s="51">
        <f t="shared" si="207"/>
        <v>0</v>
      </c>
      <c r="BH307" s="51">
        <f t="shared" si="208"/>
        <v>0</v>
      </c>
      <c r="BI307" s="51">
        <f t="shared" ca="1" si="209"/>
        <v>0</v>
      </c>
      <c r="BJ307" s="51">
        <f t="shared" ca="1" si="210"/>
        <v>0</v>
      </c>
      <c r="BK307" s="51">
        <f t="shared" si="211"/>
        <v>0</v>
      </c>
      <c r="BL307" s="51">
        <f t="shared" ca="1" si="212"/>
        <v>0</v>
      </c>
      <c r="BM307" s="51">
        <f t="shared" si="213"/>
        <v>0</v>
      </c>
      <c r="BN307" s="51">
        <f t="shared" si="214"/>
        <v>0</v>
      </c>
      <c r="BO307" s="51">
        <f t="shared" ca="1" si="215"/>
        <v>0</v>
      </c>
      <c r="BP307" s="51">
        <f t="shared" ca="1" si="216"/>
        <v>0</v>
      </c>
      <c r="BQ307" s="120"/>
      <c r="BR307" s="32"/>
      <c r="BS307" s="126"/>
      <c r="BT307" s="16"/>
      <c r="BU307" s="58"/>
      <c r="BW307" s="51">
        <f>VLOOKUP(H307,Charges!$AT$4:$AU$33,2,FALSE)*I307</f>
        <v>0</v>
      </c>
      <c r="BX307" s="51">
        <f t="shared" si="217"/>
        <v>0</v>
      </c>
      <c r="BY307" s="51">
        <f t="shared" si="225"/>
        <v>0</v>
      </c>
      <c r="BZ307" s="151"/>
      <c r="CA307" s="151"/>
      <c r="CB307" s="32"/>
      <c r="CC307" s="16">
        <f ca="1">SUM($N$7:$N307)</f>
        <v>0</v>
      </c>
      <c r="CD307" s="16">
        <f t="shared" ca="1" si="218"/>
        <v>0</v>
      </c>
      <c r="CE307" s="16">
        <f t="shared" ca="1" si="219"/>
        <v>0</v>
      </c>
      <c r="CF307" s="7">
        <f t="shared" ca="1" si="226"/>
        <v>0</v>
      </c>
    </row>
    <row r="308" spans="1:84" s="7" customFormat="1" x14ac:dyDescent="0.2">
      <c r="A308" s="149"/>
      <c r="B308" s="14">
        <f t="shared" si="188"/>
        <v>0</v>
      </c>
      <c r="C308" s="12">
        <f t="shared" si="189"/>
        <v>0</v>
      </c>
      <c r="D308" s="17">
        <f t="shared" si="227"/>
        <v>302</v>
      </c>
      <c r="E308" s="17">
        <f t="shared" ca="1" si="190"/>
        <v>85</v>
      </c>
      <c r="F308" s="12">
        <f t="shared" si="229"/>
        <v>1</v>
      </c>
      <c r="G308" s="12">
        <f t="shared" si="228"/>
        <v>51</v>
      </c>
      <c r="H308" s="17">
        <f t="shared" si="230"/>
        <v>26</v>
      </c>
      <c r="I308" s="29">
        <f t="shared" si="191"/>
        <v>0</v>
      </c>
      <c r="J308" s="211">
        <f>IFERROR(VLOOKUP(H308,Charges!$T$6:$U$35,2,0)*C308,0)</f>
        <v>0</v>
      </c>
      <c r="K308" s="29">
        <f t="shared" si="192"/>
        <v>0</v>
      </c>
      <c r="L308" s="29">
        <f t="shared" si="193"/>
        <v>0</v>
      </c>
      <c r="M308" s="147">
        <f t="shared" ca="1" si="194"/>
        <v>0</v>
      </c>
      <c r="N308" s="148">
        <f ca="1">IF(AND(Option_SPW="Y",Z307&gt;=SPW_Start_Min_FV,H308&gt;=Lock_In_Period,Z307&gt;SPW_Amount_pa+IF(option="Single",1/5*pr,2*pr),H308&gt;=SPW_Start_Year,H308&lt;=SPW_Start_Year+SPW_Duration-1,F308=0,age+H308&gt;=Legal_Age),SPW_Amount_pa,0)+IFERROR(VLOOKUP(H308,Input!$B$68:$C$74,2,0),0)*(F308=0)*(Option_PW="Y")*(Option_SPW="N")*(age+H308&gt;=Legal_Age)</f>
        <v>0</v>
      </c>
      <c r="O308" s="148">
        <f t="shared" ca="1" si="220"/>
        <v>0</v>
      </c>
      <c r="P308" s="14">
        <f ca="1">(MAX(MAX(sa-CF307*Flag_UL_Type,105%*SUM($I$7:I308))-(AD307+L308-N308)*Flag_UL_Type,0)*B308)</f>
        <v>0</v>
      </c>
      <c r="Q308" s="213">
        <f t="shared" si="195"/>
        <v>0</v>
      </c>
      <c r="R308" s="14">
        <f t="shared" ca="1" si="196"/>
        <v>0</v>
      </c>
      <c r="S308" s="14">
        <f t="shared" ca="1" si="197"/>
        <v>0</v>
      </c>
      <c r="T308" s="14">
        <f>IFERROR(IF(WoP_Flag="Y",IF(fq=1,VLOOKUP(ppt*fq-H308,Charges!$AN$41:$AO$59,2,FALSE),IF(fq=2,VLOOKUP(ppt*fq-G308,Charges!$AP$41:$AQ$79,2,FALSE),VLOOKUP(ppt*fq-D308,Charges!$AR$41:$AS$279,2,FALSE)))*pr/fq,0),0)</f>
        <v>0</v>
      </c>
      <c r="U308" s="14">
        <f ca="1">IFERROR(((T308*(VLOOKUP(Input!$D$18+H308-1,Tab_Mort_Charge,IF(Gender_2="M",2,3),FALSE)*(1+_emr2)+_rpm2)/IF(Model_Type="LA_PQIS",1000/0.0833,(12*1000))))*Flag_Mort_Rider_Charge*(T308&gt;0),0)</f>
        <v>0</v>
      </c>
      <c r="V308" s="34">
        <f>ROUND(MIN(IF(H308&gt;=7,Charges!$C$12*(1+Charges!$C$14)^((H308-7+1)),VLOOKUP(H308,Charges!$B$7:$C$12,2,0))*pr,Charges!$C$13)*B308,Round)</f>
        <v>0</v>
      </c>
      <c r="W308" s="14">
        <f t="shared" ca="1" si="198"/>
        <v>0</v>
      </c>
      <c r="X308" s="14">
        <f t="shared" ca="1" si="199"/>
        <v>0</v>
      </c>
      <c r="Y308" s="213">
        <f t="shared" ca="1" si="221"/>
        <v>0</v>
      </c>
      <c r="Z308" s="14">
        <f t="shared" ca="1" si="200"/>
        <v>0</v>
      </c>
      <c r="AA308" s="14">
        <f>IF(AND($H308=pt,$F308=11),SUM($K$7:K308)*VLOOKUP(pt,ROC,2,FALSE),0)</f>
        <v>0</v>
      </c>
      <c r="AB308" s="14">
        <f>IF(AND($H308=pt,$F308=11),SUM($V$7:V308)*VLOOKUP(pt,ROC,2,FALSE),0)</f>
        <v>0</v>
      </c>
      <c r="AC308" s="14">
        <f>IF(AND($H308=pt,$F308=11),SUM($Q$7:Q308)*VLOOKUP(pt,ROC,2,FALSE),0)</f>
        <v>0</v>
      </c>
      <c r="AD308" s="14">
        <f t="shared" ca="1" si="222"/>
        <v>0</v>
      </c>
      <c r="AE308" s="14">
        <f ca="1">(MAX(sa-CF307*Flag_UL_Type,105%*SUM($I$7:I308),Z308)+AU308)*B308</f>
        <v>0</v>
      </c>
      <c r="AF308" s="136"/>
      <c r="AG308" s="18">
        <v>302</v>
      </c>
      <c r="AH308" s="30">
        <f t="shared" ca="1" si="201"/>
        <v>0</v>
      </c>
      <c r="AI308" s="58"/>
      <c r="AJ308" s="50">
        <f>IF(AND(Option_Sys_TopUp&gt;="Y",H308&gt;=sytp,H308&lt;=(dtp+sytp-1),F308=0,H308&lt;=ppt+1),atp,0)+IFERROR(VLOOKUP(H308,Input!$B$55:$C$61,2,0),0)*(F308=0)*(Option_TopUP="Y")*(Option_Sys_TopUp="N")*B308*(pt&gt;=H308+5)</f>
        <v>0</v>
      </c>
      <c r="AK308" s="50">
        <f t="shared" si="202"/>
        <v>0</v>
      </c>
      <c r="AL308" s="50">
        <f t="shared" si="223"/>
        <v>0</v>
      </c>
      <c r="AM308" s="50">
        <f t="shared" ca="1" si="203"/>
        <v>0</v>
      </c>
      <c r="AN308" s="50">
        <f>IF(B308=0,0,AT308*(_rpm1+(1+_emr1)*VLOOKUP(E308,Tab_Mort_Charge,IF(Input!$C$12="M",2,3),0))*(0.001*0.0833)*Flag_Mort_Rider_Charge*(AT308&gt;0))</f>
        <v>0</v>
      </c>
      <c r="AO308" s="50">
        <f t="shared" ca="1" si="224"/>
        <v>0</v>
      </c>
      <c r="AP308" s="50">
        <f t="shared" ca="1" si="231"/>
        <v>0</v>
      </c>
      <c r="AQ308" s="50">
        <f t="shared" ca="1" si="204"/>
        <v>0</v>
      </c>
      <c r="AR308" s="50">
        <f t="shared" ca="1" si="205"/>
        <v>0</v>
      </c>
      <c r="AS308" s="50">
        <f t="shared" si="206"/>
        <v>0</v>
      </c>
      <c r="AT308" s="50">
        <f ca="1">(MAX((MAX(AS308,105%*SUM($AJ$7:AJ308))-AM308*Flag_UL_Type),0)*B308)</f>
        <v>0</v>
      </c>
      <c r="AU308" s="50">
        <f ca="1">(MAX(AS308,AR308,105%*SUM($AJ$7:AJ308))*B308)</f>
        <v>0</v>
      </c>
      <c r="AV308" s="125"/>
      <c r="AW308" s="13"/>
      <c r="AX308" s="13"/>
      <c r="AY308" s="13"/>
      <c r="AZ308" s="13"/>
      <c r="BA308" s="13"/>
      <c r="BG308" s="51">
        <f t="shared" si="207"/>
        <v>0</v>
      </c>
      <c r="BH308" s="51">
        <f t="shared" si="208"/>
        <v>0</v>
      </c>
      <c r="BI308" s="51">
        <f t="shared" ca="1" si="209"/>
        <v>0</v>
      </c>
      <c r="BJ308" s="51">
        <f t="shared" ca="1" si="210"/>
        <v>0</v>
      </c>
      <c r="BK308" s="51">
        <f t="shared" si="211"/>
        <v>0</v>
      </c>
      <c r="BL308" s="51">
        <f t="shared" ca="1" si="212"/>
        <v>0</v>
      </c>
      <c r="BM308" s="51">
        <f t="shared" si="213"/>
        <v>0</v>
      </c>
      <c r="BN308" s="51">
        <f t="shared" si="214"/>
        <v>0</v>
      </c>
      <c r="BO308" s="51">
        <f t="shared" ca="1" si="215"/>
        <v>0</v>
      </c>
      <c r="BP308" s="51">
        <f t="shared" ca="1" si="216"/>
        <v>0</v>
      </c>
      <c r="BQ308" s="120"/>
      <c r="BR308" s="32"/>
      <c r="BS308" s="126"/>
      <c r="BT308" s="16"/>
      <c r="BU308" s="58"/>
      <c r="BW308" s="51">
        <f>VLOOKUP(H308,Charges!$AT$4:$AU$33,2,FALSE)*I308</f>
        <v>0</v>
      </c>
      <c r="BX308" s="51">
        <f t="shared" si="217"/>
        <v>0</v>
      </c>
      <c r="BY308" s="51">
        <f t="shared" si="225"/>
        <v>0</v>
      </c>
      <c r="BZ308" s="151"/>
      <c r="CA308" s="151"/>
      <c r="CB308" s="32"/>
      <c r="CC308" s="16">
        <f ca="1">SUM($N$7:$N308)</f>
        <v>0</v>
      </c>
      <c r="CD308" s="16">
        <f t="shared" ca="1" si="218"/>
        <v>0</v>
      </c>
      <c r="CE308" s="16">
        <f t="shared" ca="1" si="219"/>
        <v>0</v>
      </c>
      <c r="CF308" s="7">
        <f t="shared" ca="1" si="226"/>
        <v>0</v>
      </c>
    </row>
    <row r="309" spans="1:84" s="7" customFormat="1" x14ac:dyDescent="0.2">
      <c r="A309" s="149"/>
      <c r="B309" s="14">
        <f t="shared" si="188"/>
        <v>0</v>
      </c>
      <c r="C309" s="12">
        <f t="shared" si="189"/>
        <v>0</v>
      </c>
      <c r="D309" s="17">
        <f t="shared" si="227"/>
        <v>303</v>
      </c>
      <c r="E309" s="17">
        <f t="shared" ca="1" si="190"/>
        <v>85</v>
      </c>
      <c r="F309" s="12">
        <f t="shared" si="229"/>
        <v>2</v>
      </c>
      <c r="G309" s="12">
        <f t="shared" si="228"/>
        <v>51</v>
      </c>
      <c r="H309" s="17">
        <f t="shared" si="230"/>
        <v>26</v>
      </c>
      <c r="I309" s="29">
        <f t="shared" si="191"/>
        <v>0</v>
      </c>
      <c r="J309" s="211">
        <f>IFERROR(VLOOKUP(H309,Charges!$T$6:$U$35,2,0)*C309,0)</f>
        <v>0</v>
      </c>
      <c r="K309" s="29">
        <f t="shared" si="192"/>
        <v>0</v>
      </c>
      <c r="L309" s="29">
        <f t="shared" si="193"/>
        <v>0</v>
      </c>
      <c r="M309" s="147">
        <f t="shared" ca="1" si="194"/>
        <v>0</v>
      </c>
      <c r="N309" s="148">
        <f ca="1">IF(AND(Option_SPW="Y",Z308&gt;=SPW_Start_Min_FV,H309&gt;=Lock_In_Period,Z308&gt;SPW_Amount_pa+IF(option="Single",1/5*pr,2*pr),H309&gt;=SPW_Start_Year,H309&lt;=SPW_Start_Year+SPW_Duration-1,F309=0,age+H309&gt;=Legal_Age),SPW_Amount_pa,0)+IFERROR(VLOOKUP(H309,Input!$B$68:$C$74,2,0),0)*(F309=0)*(Option_PW="Y")*(Option_SPW="N")*(age+H309&gt;=Legal_Age)</f>
        <v>0</v>
      </c>
      <c r="O309" s="148">
        <f t="shared" ca="1" si="220"/>
        <v>0</v>
      </c>
      <c r="P309" s="14">
        <f ca="1">(MAX(MAX(sa-CF308*Flag_UL_Type,105%*SUM($I$7:I309))-(AD308+L309-N309)*Flag_UL_Type,0)*B309)</f>
        <v>0</v>
      </c>
      <c r="Q309" s="213">
        <f t="shared" si="195"/>
        <v>0</v>
      </c>
      <c r="R309" s="14">
        <f t="shared" ca="1" si="196"/>
        <v>0</v>
      </c>
      <c r="S309" s="14">
        <f t="shared" ca="1" si="197"/>
        <v>0</v>
      </c>
      <c r="T309" s="14">
        <f>IFERROR(IF(WoP_Flag="Y",IF(fq=1,VLOOKUP(ppt*fq-H309,Charges!$AN$41:$AO$59,2,FALSE),IF(fq=2,VLOOKUP(ppt*fq-G309,Charges!$AP$41:$AQ$79,2,FALSE),VLOOKUP(ppt*fq-D309,Charges!$AR$41:$AS$279,2,FALSE)))*pr/fq,0),0)</f>
        <v>0</v>
      </c>
      <c r="U309" s="14">
        <f ca="1">IFERROR(((T309*(VLOOKUP(Input!$D$18+H309-1,Tab_Mort_Charge,IF(Gender_2="M",2,3),FALSE)*(1+_emr2)+_rpm2)/IF(Model_Type="LA_PQIS",1000/0.0833,(12*1000))))*Flag_Mort_Rider_Charge*(T309&gt;0),0)</f>
        <v>0</v>
      </c>
      <c r="V309" s="34">
        <f>ROUND(MIN(IF(H309&gt;=7,Charges!$C$12*(1+Charges!$C$14)^((H309-7+1)),VLOOKUP(H309,Charges!$B$7:$C$12,2,0))*pr,Charges!$C$13)*B309,Round)</f>
        <v>0</v>
      </c>
      <c r="W309" s="14">
        <f t="shared" ca="1" si="198"/>
        <v>0</v>
      </c>
      <c r="X309" s="14">
        <f t="shared" ca="1" si="199"/>
        <v>0</v>
      </c>
      <c r="Y309" s="213">
        <f t="shared" ca="1" si="221"/>
        <v>0</v>
      </c>
      <c r="Z309" s="14">
        <f t="shared" ca="1" si="200"/>
        <v>0</v>
      </c>
      <c r="AA309" s="14">
        <f>IF(AND($H309=pt,$F309=11),SUM($K$7:K309)*VLOOKUP(pt,ROC,2,FALSE),0)</f>
        <v>0</v>
      </c>
      <c r="AB309" s="14">
        <f>IF(AND($H309=pt,$F309=11),SUM($V$7:V309)*VLOOKUP(pt,ROC,2,FALSE),0)</f>
        <v>0</v>
      </c>
      <c r="AC309" s="14">
        <f>IF(AND($H309=pt,$F309=11),SUM($Q$7:Q309)*VLOOKUP(pt,ROC,2,FALSE),0)</f>
        <v>0</v>
      </c>
      <c r="AD309" s="14">
        <f t="shared" ca="1" si="222"/>
        <v>0</v>
      </c>
      <c r="AE309" s="14">
        <f ca="1">(MAX(sa-CF308*Flag_UL_Type,105%*SUM($I$7:I309),Z309)+AU309)*B309</f>
        <v>0</v>
      </c>
      <c r="AF309" s="136"/>
      <c r="AG309" s="18">
        <v>303</v>
      </c>
      <c r="AH309" s="30">
        <f t="shared" ca="1" si="201"/>
        <v>0</v>
      </c>
      <c r="AI309" s="58"/>
      <c r="AJ309" s="50">
        <f>IF(AND(Option_Sys_TopUp&gt;="Y",H309&gt;=sytp,H309&lt;=(dtp+sytp-1),F309=0,H309&lt;=ppt+1),atp,0)+IFERROR(VLOOKUP(H309,Input!$B$55:$C$61,2,0),0)*(F309=0)*(Option_TopUP="Y")*(Option_Sys_TopUp="N")*B309*(pt&gt;=H309+5)</f>
        <v>0</v>
      </c>
      <c r="AK309" s="50">
        <f t="shared" si="202"/>
        <v>0</v>
      </c>
      <c r="AL309" s="50">
        <f t="shared" si="223"/>
        <v>0</v>
      </c>
      <c r="AM309" s="50">
        <f t="shared" ca="1" si="203"/>
        <v>0</v>
      </c>
      <c r="AN309" s="50">
        <f>IF(B309=0,0,AT309*(_rpm1+(1+_emr1)*VLOOKUP(E309,Tab_Mort_Charge,IF(Input!$C$12="M",2,3),0))*(0.001*0.0833)*Flag_Mort_Rider_Charge*(AT309&gt;0))</f>
        <v>0</v>
      </c>
      <c r="AO309" s="50">
        <f t="shared" ca="1" si="224"/>
        <v>0</v>
      </c>
      <c r="AP309" s="50">
        <f t="shared" ca="1" si="231"/>
        <v>0</v>
      </c>
      <c r="AQ309" s="50">
        <f t="shared" ca="1" si="204"/>
        <v>0</v>
      </c>
      <c r="AR309" s="50">
        <f t="shared" ca="1" si="205"/>
        <v>0</v>
      </c>
      <c r="AS309" s="50">
        <f t="shared" si="206"/>
        <v>0</v>
      </c>
      <c r="AT309" s="50">
        <f ca="1">(MAX((MAX(AS309,105%*SUM($AJ$7:AJ309))-AM309*Flag_UL_Type),0)*B309)</f>
        <v>0</v>
      </c>
      <c r="AU309" s="50">
        <f ca="1">(MAX(AS309,AR309,105%*SUM($AJ$7:AJ309))*B309)</f>
        <v>0</v>
      </c>
      <c r="AV309" s="125"/>
      <c r="AW309" s="13"/>
      <c r="AX309" s="13"/>
      <c r="AY309" s="13"/>
      <c r="AZ309" s="13"/>
      <c r="BA309" s="13"/>
      <c r="BG309" s="51">
        <f t="shared" si="207"/>
        <v>0</v>
      </c>
      <c r="BH309" s="51">
        <f t="shared" si="208"/>
        <v>0</v>
      </c>
      <c r="BI309" s="51">
        <f t="shared" ca="1" si="209"/>
        <v>0</v>
      </c>
      <c r="BJ309" s="51">
        <f t="shared" ca="1" si="210"/>
        <v>0</v>
      </c>
      <c r="BK309" s="51">
        <f t="shared" si="211"/>
        <v>0</v>
      </c>
      <c r="BL309" s="51">
        <f t="shared" ca="1" si="212"/>
        <v>0</v>
      </c>
      <c r="BM309" s="51">
        <f t="shared" si="213"/>
        <v>0</v>
      </c>
      <c r="BN309" s="51">
        <f t="shared" si="214"/>
        <v>0</v>
      </c>
      <c r="BO309" s="51">
        <f t="shared" ca="1" si="215"/>
        <v>0</v>
      </c>
      <c r="BP309" s="51">
        <f t="shared" ca="1" si="216"/>
        <v>0</v>
      </c>
      <c r="BQ309" s="120"/>
      <c r="BR309" s="32"/>
      <c r="BS309" s="126"/>
      <c r="BT309" s="16"/>
      <c r="BU309" s="58"/>
      <c r="BW309" s="51">
        <f>VLOOKUP(H309,Charges!$AT$4:$AU$33,2,FALSE)*I309</f>
        <v>0</v>
      </c>
      <c r="BX309" s="51">
        <f t="shared" si="217"/>
        <v>0</v>
      </c>
      <c r="BY309" s="51">
        <f t="shared" si="225"/>
        <v>0</v>
      </c>
      <c r="BZ309" s="151"/>
      <c r="CA309" s="151"/>
      <c r="CB309" s="32"/>
      <c r="CC309" s="16">
        <f ca="1">SUM($N$7:$N309)</f>
        <v>0</v>
      </c>
      <c r="CD309" s="16">
        <f t="shared" ca="1" si="218"/>
        <v>0</v>
      </c>
      <c r="CE309" s="16">
        <f t="shared" ca="1" si="219"/>
        <v>0</v>
      </c>
      <c r="CF309" s="7">
        <f t="shared" ca="1" si="226"/>
        <v>0</v>
      </c>
    </row>
    <row r="310" spans="1:84" s="7" customFormat="1" x14ac:dyDescent="0.2">
      <c r="A310" s="149"/>
      <c r="B310" s="14">
        <f t="shared" si="188"/>
        <v>0</v>
      </c>
      <c r="C310" s="12">
        <f t="shared" si="189"/>
        <v>0</v>
      </c>
      <c r="D310" s="17">
        <f t="shared" si="227"/>
        <v>304</v>
      </c>
      <c r="E310" s="17">
        <f t="shared" ca="1" si="190"/>
        <v>85</v>
      </c>
      <c r="F310" s="12">
        <f t="shared" si="229"/>
        <v>3</v>
      </c>
      <c r="G310" s="12">
        <f t="shared" si="228"/>
        <v>51</v>
      </c>
      <c r="H310" s="17">
        <f t="shared" si="230"/>
        <v>26</v>
      </c>
      <c r="I310" s="29">
        <f t="shared" si="191"/>
        <v>0</v>
      </c>
      <c r="J310" s="211">
        <f>IFERROR(VLOOKUP(H310,Charges!$T$6:$U$35,2,0)*C310,0)</f>
        <v>0</v>
      </c>
      <c r="K310" s="29">
        <f t="shared" si="192"/>
        <v>0</v>
      </c>
      <c r="L310" s="29">
        <f t="shared" si="193"/>
        <v>0</v>
      </c>
      <c r="M310" s="147">
        <f t="shared" ca="1" si="194"/>
        <v>0</v>
      </c>
      <c r="N310" s="148">
        <f ca="1">IF(AND(Option_SPW="Y",Z309&gt;=SPW_Start_Min_FV,H310&gt;=Lock_In_Period,Z309&gt;SPW_Amount_pa+IF(option="Single",1/5*pr,2*pr),H310&gt;=SPW_Start_Year,H310&lt;=SPW_Start_Year+SPW_Duration-1,F310=0,age+H310&gt;=Legal_Age),SPW_Amount_pa,0)+IFERROR(VLOOKUP(H310,Input!$B$68:$C$74,2,0),0)*(F310=0)*(Option_PW="Y")*(Option_SPW="N")*(age+H310&gt;=Legal_Age)</f>
        <v>0</v>
      </c>
      <c r="O310" s="148">
        <f t="shared" ca="1" si="220"/>
        <v>0</v>
      </c>
      <c r="P310" s="14">
        <f ca="1">(MAX(MAX(sa-CF309*Flag_UL_Type,105%*SUM($I$7:I310))-(AD309+L310-N310)*Flag_UL_Type,0)*B310)</f>
        <v>0</v>
      </c>
      <c r="Q310" s="213">
        <f t="shared" si="195"/>
        <v>0</v>
      </c>
      <c r="R310" s="14">
        <f t="shared" ca="1" si="196"/>
        <v>0</v>
      </c>
      <c r="S310" s="14">
        <f t="shared" ca="1" si="197"/>
        <v>0</v>
      </c>
      <c r="T310" s="14">
        <f>IFERROR(IF(WoP_Flag="Y",IF(fq=1,VLOOKUP(ppt*fq-H310,Charges!$AN$41:$AO$59,2,FALSE),IF(fq=2,VLOOKUP(ppt*fq-G310,Charges!$AP$41:$AQ$79,2,FALSE),VLOOKUP(ppt*fq-D310,Charges!$AR$41:$AS$279,2,FALSE)))*pr/fq,0),0)</f>
        <v>0</v>
      </c>
      <c r="U310" s="14">
        <f ca="1">IFERROR(((T310*(VLOOKUP(Input!$D$18+H310-1,Tab_Mort_Charge,IF(Gender_2="M",2,3),FALSE)*(1+_emr2)+_rpm2)/IF(Model_Type="LA_PQIS",1000/0.0833,(12*1000))))*Flag_Mort_Rider_Charge*(T310&gt;0),0)</f>
        <v>0</v>
      </c>
      <c r="V310" s="34">
        <f>ROUND(MIN(IF(H310&gt;=7,Charges!$C$12*(1+Charges!$C$14)^((H310-7+1)),VLOOKUP(H310,Charges!$B$7:$C$12,2,0))*pr,Charges!$C$13)*B310,Round)</f>
        <v>0</v>
      </c>
      <c r="W310" s="14">
        <f t="shared" ca="1" si="198"/>
        <v>0</v>
      </c>
      <c r="X310" s="14">
        <f t="shared" ca="1" si="199"/>
        <v>0</v>
      </c>
      <c r="Y310" s="213">
        <f t="shared" ca="1" si="221"/>
        <v>0</v>
      </c>
      <c r="Z310" s="14">
        <f t="shared" ca="1" si="200"/>
        <v>0</v>
      </c>
      <c r="AA310" s="14">
        <f>IF(AND($H310=pt,$F310=11),SUM($K$7:K310)*VLOOKUP(pt,ROC,2,FALSE),0)</f>
        <v>0</v>
      </c>
      <c r="AB310" s="14">
        <f>IF(AND($H310=pt,$F310=11),SUM($V$7:V310)*VLOOKUP(pt,ROC,2,FALSE),0)</f>
        <v>0</v>
      </c>
      <c r="AC310" s="14">
        <f>IF(AND($H310=pt,$F310=11),SUM($Q$7:Q310)*VLOOKUP(pt,ROC,2,FALSE),0)</f>
        <v>0</v>
      </c>
      <c r="AD310" s="14">
        <f t="shared" ca="1" si="222"/>
        <v>0</v>
      </c>
      <c r="AE310" s="14">
        <f ca="1">(MAX(sa-CF309*Flag_UL_Type,105%*SUM($I$7:I310),Z310)+AU310)*B310</f>
        <v>0</v>
      </c>
      <c r="AF310" s="136"/>
      <c r="AG310" s="18">
        <v>304</v>
      </c>
      <c r="AH310" s="30">
        <f t="shared" ca="1" si="201"/>
        <v>0</v>
      </c>
      <c r="AI310" s="58"/>
      <c r="AJ310" s="50">
        <f>IF(AND(Option_Sys_TopUp&gt;="Y",H310&gt;=sytp,H310&lt;=(dtp+sytp-1),F310=0,H310&lt;=ppt+1),atp,0)+IFERROR(VLOOKUP(H310,Input!$B$55:$C$61,2,0),0)*(F310=0)*(Option_TopUP="Y")*(Option_Sys_TopUp="N")*B310*(pt&gt;=H310+5)</f>
        <v>0</v>
      </c>
      <c r="AK310" s="50">
        <f t="shared" si="202"/>
        <v>0</v>
      </c>
      <c r="AL310" s="50">
        <f t="shared" si="223"/>
        <v>0</v>
      </c>
      <c r="AM310" s="50">
        <f t="shared" ca="1" si="203"/>
        <v>0</v>
      </c>
      <c r="AN310" s="50">
        <f>IF(B310=0,0,AT310*(_rpm1+(1+_emr1)*VLOOKUP(E310,Tab_Mort_Charge,IF(Input!$C$12="M",2,3),0))*(0.001*0.0833)*Flag_Mort_Rider_Charge*(AT310&gt;0))</f>
        <v>0</v>
      </c>
      <c r="AO310" s="50">
        <f t="shared" ca="1" si="224"/>
        <v>0</v>
      </c>
      <c r="AP310" s="50">
        <f t="shared" ca="1" si="231"/>
        <v>0</v>
      </c>
      <c r="AQ310" s="50">
        <f t="shared" ca="1" si="204"/>
        <v>0</v>
      </c>
      <c r="AR310" s="50">
        <f t="shared" ca="1" si="205"/>
        <v>0</v>
      </c>
      <c r="AS310" s="50">
        <f t="shared" si="206"/>
        <v>0</v>
      </c>
      <c r="AT310" s="50">
        <f ca="1">(MAX((MAX(AS310,105%*SUM($AJ$7:AJ310))-AM310*Flag_UL_Type),0)*B310)</f>
        <v>0</v>
      </c>
      <c r="AU310" s="50">
        <f ca="1">(MAX(AS310,AR310,105%*SUM($AJ$7:AJ310))*B310)</f>
        <v>0</v>
      </c>
      <c r="AV310" s="125"/>
      <c r="AW310" s="13"/>
      <c r="AX310" s="13"/>
      <c r="AY310" s="13"/>
      <c r="AZ310" s="13"/>
      <c r="BA310" s="13"/>
      <c r="BG310" s="51">
        <f t="shared" si="207"/>
        <v>0</v>
      </c>
      <c r="BH310" s="51">
        <f t="shared" si="208"/>
        <v>0</v>
      </c>
      <c r="BI310" s="51">
        <f t="shared" ca="1" si="209"/>
        <v>0</v>
      </c>
      <c r="BJ310" s="51">
        <f t="shared" ca="1" si="210"/>
        <v>0</v>
      </c>
      <c r="BK310" s="51">
        <f t="shared" si="211"/>
        <v>0</v>
      </c>
      <c r="BL310" s="51">
        <f t="shared" ca="1" si="212"/>
        <v>0</v>
      </c>
      <c r="BM310" s="51">
        <f t="shared" si="213"/>
        <v>0</v>
      </c>
      <c r="BN310" s="51">
        <f t="shared" si="214"/>
        <v>0</v>
      </c>
      <c r="BO310" s="51">
        <f t="shared" ca="1" si="215"/>
        <v>0</v>
      </c>
      <c r="BP310" s="51">
        <f t="shared" ca="1" si="216"/>
        <v>0</v>
      </c>
      <c r="BQ310" s="120"/>
      <c r="BR310" s="32"/>
      <c r="BS310" s="126"/>
      <c r="BT310" s="16"/>
      <c r="BU310" s="58"/>
      <c r="BW310" s="51">
        <f>VLOOKUP(H310,Charges!$AT$4:$AU$33,2,FALSE)*I310</f>
        <v>0</v>
      </c>
      <c r="BX310" s="51">
        <f t="shared" si="217"/>
        <v>0</v>
      </c>
      <c r="BY310" s="51">
        <f t="shared" si="225"/>
        <v>0</v>
      </c>
      <c r="BZ310" s="151"/>
      <c r="CA310" s="151"/>
      <c r="CB310" s="32"/>
      <c r="CC310" s="16">
        <f ca="1">SUM($N$7:$N310)</f>
        <v>0</v>
      </c>
      <c r="CD310" s="16">
        <f t="shared" ca="1" si="218"/>
        <v>0</v>
      </c>
      <c r="CE310" s="16">
        <f t="shared" ca="1" si="219"/>
        <v>0</v>
      </c>
      <c r="CF310" s="7">
        <f t="shared" ca="1" si="226"/>
        <v>0</v>
      </c>
    </row>
    <row r="311" spans="1:84" s="7" customFormat="1" x14ac:dyDescent="0.2">
      <c r="A311" s="149"/>
      <c r="B311" s="14">
        <f t="shared" si="188"/>
        <v>0</v>
      </c>
      <c r="C311" s="12">
        <f t="shared" si="189"/>
        <v>0</v>
      </c>
      <c r="D311" s="17">
        <f t="shared" si="227"/>
        <v>305</v>
      </c>
      <c r="E311" s="17">
        <f t="shared" ca="1" si="190"/>
        <v>85</v>
      </c>
      <c r="F311" s="12">
        <f t="shared" si="229"/>
        <v>4</v>
      </c>
      <c r="G311" s="12">
        <f t="shared" si="228"/>
        <v>51</v>
      </c>
      <c r="H311" s="17">
        <f t="shared" si="230"/>
        <v>26</v>
      </c>
      <c r="I311" s="29">
        <f t="shared" si="191"/>
        <v>0</v>
      </c>
      <c r="J311" s="211">
        <f>IFERROR(VLOOKUP(H311,Charges!$T$6:$U$35,2,0)*C311,0)</f>
        <v>0</v>
      </c>
      <c r="K311" s="29">
        <f t="shared" si="192"/>
        <v>0</v>
      </c>
      <c r="L311" s="29">
        <f t="shared" si="193"/>
        <v>0</v>
      </c>
      <c r="M311" s="147">
        <f t="shared" ca="1" si="194"/>
        <v>0</v>
      </c>
      <c r="N311" s="148">
        <f ca="1">IF(AND(Option_SPW="Y",Z310&gt;=SPW_Start_Min_FV,H311&gt;=Lock_In_Period,Z310&gt;SPW_Amount_pa+IF(option="Single",1/5*pr,2*pr),H311&gt;=SPW_Start_Year,H311&lt;=SPW_Start_Year+SPW_Duration-1,F311=0,age+H311&gt;=Legal_Age),SPW_Amount_pa,0)+IFERROR(VLOOKUP(H311,Input!$B$68:$C$74,2,0),0)*(F311=0)*(Option_PW="Y")*(Option_SPW="N")*(age+H311&gt;=Legal_Age)</f>
        <v>0</v>
      </c>
      <c r="O311" s="148">
        <f t="shared" ca="1" si="220"/>
        <v>0</v>
      </c>
      <c r="P311" s="14">
        <f ca="1">(MAX(MAX(sa-CF310*Flag_UL_Type,105%*SUM($I$7:I311))-(AD310+L311-N311)*Flag_UL_Type,0)*B311)</f>
        <v>0</v>
      </c>
      <c r="Q311" s="213">
        <f t="shared" si="195"/>
        <v>0</v>
      </c>
      <c r="R311" s="14">
        <f t="shared" ca="1" si="196"/>
        <v>0</v>
      </c>
      <c r="S311" s="14">
        <f t="shared" ca="1" si="197"/>
        <v>0</v>
      </c>
      <c r="T311" s="14">
        <f>IFERROR(IF(WoP_Flag="Y",IF(fq=1,VLOOKUP(ppt*fq-H311,Charges!$AN$41:$AO$59,2,FALSE),IF(fq=2,VLOOKUP(ppt*fq-G311,Charges!$AP$41:$AQ$79,2,FALSE),VLOOKUP(ppt*fq-D311,Charges!$AR$41:$AS$279,2,FALSE)))*pr/fq,0),0)</f>
        <v>0</v>
      </c>
      <c r="U311" s="14">
        <f ca="1">IFERROR(((T311*(VLOOKUP(Input!$D$18+H311-1,Tab_Mort_Charge,IF(Gender_2="M",2,3),FALSE)*(1+_emr2)+_rpm2)/IF(Model_Type="LA_PQIS",1000/0.0833,(12*1000))))*Flag_Mort_Rider_Charge*(T311&gt;0),0)</f>
        <v>0</v>
      </c>
      <c r="V311" s="34">
        <f>ROUND(MIN(IF(H311&gt;=7,Charges!$C$12*(1+Charges!$C$14)^((H311-7+1)),VLOOKUP(H311,Charges!$B$7:$C$12,2,0))*pr,Charges!$C$13)*B311,Round)</f>
        <v>0</v>
      </c>
      <c r="W311" s="14">
        <f t="shared" ca="1" si="198"/>
        <v>0</v>
      </c>
      <c r="X311" s="14">
        <f t="shared" ca="1" si="199"/>
        <v>0</v>
      </c>
      <c r="Y311" s="213">
        <f t="shared" ca="1" si="221"/>
        <v>0</v>
      </c>
      <c r="Z311" s="14">
        <f t="shared" ca="1" si="200"/>
        <v>0</v>
      </c>
      <c r="AA311" s="14">
        <f>IF(AND($H311=pt,$F311=11),SUM($K$7:K311)*VLOOKUP(pt,ROC,2,FALSE),0)</f>
        <v>0</v>
      </c>
      <c r="AB311" s="14">
        <f>IF(AND($H311=pt,$F311=11),SUM($V$7:V311)*VLOOKUP(pt,ROC,2,FALSE),0)</f>
        <v>0</v>
      </c>
      <c r="AC311" s="14">
        <f>IF(AND($H311=pt,$F311=11),SUM($Q$7:Q311)*VLOOKUP(pt,ROC,2,FALSE),0)</f>
        <v>0</v>
      </c>
      <c r="AD311" s="14">
        <f t="shared" ca="1" si="222"/>
        <v>0</v>
      </c>
      <c r="AE311" s="14">
        <f ca="1">(MAX(sa-CF310*Flag_UL_Type,105%*SUM($I$7:I311),Z311)+AU311)*B311</f>
        <v>0</v>
      </c>
      <c r="AF311" s="136"/>
      <c r="AG311" s="18">
        <v>305</v>
      </c>
      <c r="AH311" s="30">
        <f t="shared" ca="1" si="201"/>
        <v>0</v>
      </c>
      <c r="AI311" s="58"/>
      <c r="AJ311" s="50">
        <f>IF(AND(Option_Sys_TopUp&gt;="Y",H311&gt;=sytp,H311&lt;=(dtp+sytp-1),F311=0,H311&lt;=ppt+1),atp,0)+IFERROR(VLOOKUP(H311,Input!$B$55:$C$61,2,0),0)*(F311=0)*(Option_TopUP="Y")*(Option_Sys_TopUp="N")*B311*(pt&gt;=H311+5)</f>
        <v>0</v>
      </c>
      <c r="AK311" s="50">
        <f t="shared" si="202"/>
        <v>0</v>
      </c>
      <c r="AL311" s="50">
        <f t="shared" si="223"/>
        <v>0</v>
      </c>
      <c r="AM311" s="50">
        <f t="shared" ca="1" si="203"/>
        <v>0</v>
      </c>
      <c r="AN311" s="50">
        <f>IF(B311=0,0,AT311*(_rpm1+(1+_emr1)*VLOOKUP(E311,Tab_Mort_Charge,IF(Input!$C$12="M",2,3),0))*(0.001*0.0833)*Flag_Mort_Rider_Charge*(AT311&gt;0))</f>
        <v>0</v>
      </c>
      <c r="AO311" s="50">
        <f t="shared" ca="1" si="224"/>
        <v>0</v>
      </c>
      <c r="AP311" s="50">
        <f t="shared" ca="1" si="231"/>
        <v>0</v>
      </c>
      <c r="AQ311" s="50">
        <f t="shared" ca="1" si="204"/>
        <v>0</v>
      </c>
      <c r="AR311" s="50">
        <f t="shared" ca="1" si="205"/>
        <v>0</v>
      </c>
      <c r="AS311" s="50">
        <f t="shared" si="206"/>
        <v>0</v>
      </c>
      <c r="AT311" s="50">
        <f ca="1">(MAX((MAX(AS311,105%*SUM($AJ$7:AJ311))-AM311*Flag_UL_Type),0)*B311)</f>
        <v>0</v>
      </c>
      <c r="AU311" s="50">
        <f ca="1">(MAX(AS311,AR311,105%*SUM($AJ$7:AJ311))*B311)</f>
        <v>0</v>
      </c>
      <c r="AV311" s="125"/>
      <c r="AW311" s="13"/>
      <c r="AX311" s="13"/>
      <c r="AY311" s="13"/>
      <c r="AZ311" s="13"/>
      <c r="BA311" s="13"/>
      <c r="BG311" s="51">
        <f t="shared" si="207"/>
        <v>0</v>
      </c>
      <c r="BH311" s="51">
        <f t="shared" si="208"/>
        <v>0</v>
      </c>
      <c r="BI311" s="51">
        <f t="shared" ca="1" si="209"/>
        <v>0</v>
      </c>
      <c r="BJ311" s="51">
        <f t="shared" ca="1" si="210"/>
        <v>0</v>
      </c>
      <c r="BK311" s="51">
        <f t="shared" si="211"/>
        <v>0</v>
      </c>
      <c r="BL311" s="51">
        <f t="shared" ca="1" si="212"/>
        <v>0</v>
      </c>
      <c r="BM311" s="51">
        <f t="shared" si="213"/>
        <v>0</v>
      </c>
      <c r="BN311" s="51">
        <f t="shared" si="214"/>
        <v>0</v>
      </c>
      <c r="BO311" s="51">
        <f t="shared" ca="1" si="215"/>
        <v>0</v>
      </c>
      <c r="BP311" s="51">
        <f t="shared" ca="1" si="216"/>
        <v>0</v>
      </c>
      <c r="BQ311" s="120"/>
      <c r="BR311" s="32"/>
      <c r="BS311" s="126"/>
      <c r="BT311" s="16"/>
      <c r="BU311" s="58"/>
      <c r="BW311" s="51">
        <f>VLOOKUP(H311,Charges!$AT$4:$AU$33,2,FALSE)*I311</f>
        <v>0</v>
      </c>
      <c r="BX311" s="51">
        <f t="shared" si="217"/>
        <v>0</v>
      </c>
      <c r="BY311" s="51">
        <f t="shared" si="225"/>
        <v>0</v>
      </c>
      <c r="BZ311" s="151"/>
      <c r="CA311" s="151"/>
      <c r="CB311" s="32"/>
      <c r="CC311" s="16">
        <f ca="1">SUM($N$7:$N311)</f>
        <v>0</v>
      </c>
      <c r="CD311" s="16">
        <f t="shared" ca="1" si="218"/>
        <v>0</v>
      </c>
      <c r="CE311" s="16">
        <f t="shared" ca="1" si="219"/>
        <v>0</v>
      </c>
      <c r="CF311" s="7">
        <f t="shared" ca="1" si="226"/>
        <v>0</v>
      </c>
    </row>
    <row r="312" spans="1:84" s="7" customFormat="1" x14ac:dyDescent="0.2">
      <c r="A312" s="149"/>
      <c r="B312" s="14">
        <f t="shared" si="188"/>
        <v>0</v>
      </c>
      <c r="C312" s="12">
        <f t="shared" si="189"/>
        <v>0</v>
      </c>
      <c r="D312" s="17">
        <f t="shared" si="227"/>
        <v>306</v>
      </c>
      <c r="E312" s="17">
        <f t="shared" ca="1" si="190"/>
        <v>85</v>
      </c>
      <c r="F312" s="12">
        <f t="shared" si="229"/>
        <v>5</v>
      </c>
      <c r="G312" s="12">
        <f t="shared" si="228"/>
        <v>51</v>
      </c>
      <c r="H312" s="17">
        <f t="shared" si="230"/>
        <v>26</v>
      </c>
      <c r="I312" s="29">
        <f t="shared" si="191"/>
        <v>0</v>
      </c>
      <c r="J312" s="211">
        <f>IFERROR(VLOOKUP(H312,Charges!$T$6:$U$35,2,0)*C312,0)</f>
        <v>0</v>
      </c>
      <c r="K312" s="29">
        <f t="shared" si="192"/>
        <v>0</v>
      </c>
      <c r="L312" s="29">
        <f t="shared" si="193"/>
        <v>0</v>
      </c>
      <c r="M312" s="147">
        <f t="shared" ca="1" si="194"/>
        <v>0</v>
      </c>
      <c r="N312" s="148">
        <f ca="1">IF(AND(Option_SPW="Y",Z311&gt;=SPW_Start_Min_FV,H312&gt;=Lock_In_Period,Z311&gt;SPW_Amount_pa+IF(option="Single",1/5*pr,2*pr),H312&gt;=SPW_Start_Year,H312&lt;=SPW_Start_Year+SPW_Duration-1,F312=0,age+H312&gt;=Legal_Age),SPW_Amount_pa,0)+IFERROR(VLOOKUP(H312,Input!$B$68:$C$74,2,0),0)*(F312=0)*(Option_PW="Y")*(Option_SPW="N")*(age+H312&gt;=Legal_Age)</f>
        <v>0</v>
      </c>
      <c r="O312" s="148">
        <f t="shared" ca="1" si="220"/>
        <v>0</v>
      </c>
      <c r="P312" s="14">
        <f ca="1">(MAX(MAX(sa-CF311*Flag_UL_Type,105%*SUM($I$7:I312))-(AD311+L312-N312)*Flag_UL_Type,0)*B312)</f>
        <v>0</v>
      </c>
      <c r="Q312" s="213">
        <f t="shared" si="195"/>
        <v>0</v>
      </c>
      <c r="R312" s="14">
        <f t="shared" ca="1" si="196"/>
        <v>0</v>
      </c>
      <c r="S312" s="14">
        <f t="shared" ca="1" si="197"/>
        <v>0</v>
      </c>
      <c r="T312" s="14">
        <f>IFERROR(IF(WoP_Flag="Y",IF(fq=1,VLOOKUP(ppt*fq-H312,Charges!$AN$41:$AO$59,2,FALSE),IF(fq=2,VLOOKUP(ppt*fq-G312,Charges!$AP$41:$AQ$79,2,FALSE),VLOOKUP(ppt*fq-D312,Charges!$AR$41:$AS$279,2,FALSE)))*pr/fq,0),0)</f>
        <v>0</v>
      </c>
      <c r="U312" s="14">
        <f ca="1">IFERROR(((T312*(VLOOKUP(Input!$D$18+H312-1,Tab_Mort_Charge,IF(Gender_2="M",2,3),FALSE)*(1+_emr2)+_rpm2)/IF(Model_Type="LA_PQIS",1000/0.0833,(12*1000))))*Flag_Mort_Rider_Charge*(T312&gt;0),0)</f>
        <v>0</v>
      </c>
      <c r="V312" s="34">
        <f>ROUND(MIN(IF(H312&gt;=7,Charges!$C$12*(1+Charges!$C$14)^((H312-7+1)),VLOOKUP(H312,Charges!$B$7:$C$12,2,0))*pr,Charges!$C$13)*B312,Round)</f>
        <v>0</v>
      </c>
      <c r="W312" s="14">
        <f t="shared" ca="1" si="198"/>
        <v>0</v>
      </c>
      <c r="X312" s="14">
        <f t="shared" ca="1" si="199"/>
        <v>0</v>
      </c>
      <c r="Y312" s="213">
        <f t="shared" ca="1" si="221"/>
        <v>0</v>
      </c>
      <c r="Z312" s="14">
        <f t="shared" ca="1" si="200"/>
        <v>0</v>
      </c>
      <c r="AA312" s="14">
        <f>IF(AND($H312=pt,$F312=11),SUM($K$7:K312)*VLOOKUP(pt,ROC,2,FALSE),0)</f>
        <v>0</v>
      </c>
      <c r="AB312" s="14">
        <f>IF(AND($H312=pt,$F312=11),SUM($V$7:V312)*VLOOKUP(pt,ROC,2,FALSE),0)</f>
        <v>0</v>
      </c>
      <c r="AC312" s="14">
        <f>IF(AND($H312=pt,$F312=11),SUM($Q$7:Q312)*VLOOKUP(pt,ROC,2,FALSE),0)</f>
        <v>0</v>
      </c>
      <c r="AD312" s="14">
        <f t="shared" ca="1" si="222"/>
        <v>0</v>
      </c>
      <c r="AE312" s="14">
        <f ca="1">(MAX(sa-CF311*Flag_UL_Type,105%*SUM($I$7:I312),Z312)+AU312)*B312</f>
        <v>0</v>
      </c>
      <c r="AF312" s="136"/>
      <c r="AG312" s="18">
        <v>306</v>
      </c>
      <c r="AH312" s="30">
        <f t="shared" ca="1" si="201"/>
        <v>0</v>
      </c>
      <c r="AI312" s="58"/>
      <c r="AJ312" s="50">
        <f>IF(AND(Option_Sys_TopUp&gt;="Y",H312&gt;=sytp,H312&lt;=(dtp+sytp-1),F312=0,H312&lt;=ppt+1),atp,0)+IFERROR(VLOOKUP(H312,Input!$B$55:$C$61,2,0),0)*(F312=0)*(Option_TopUP="Y")*(Option_Sys_TopUp="N")*B312*(pt&gt;=H312+5)</f>
        <v>0</v>
      </c>
      <c r="AK312" s="50">
        <f t="shared" si="202"/>
        <v>0</v>
      </c>
      <c r="AL312" s="50">
        <f t="shared" si="223"/>
        <v>0</v>
      </c>
      <c r="AM312" s="50">
        <f t="shared" ca="1" si="203"/>
        <v>0</v>
      </c>
      <c r="AN312" s="50">
        <f>IF(B312=0,0,AT312*(_rpm1+(1+_emr1)*VLOOKUP(E312,Tab_Mort_Charge,IF(Input!$C$12="M",2,3),0))*(0.001*0.0833)*Flag_Mort_Rider_Charge*(AT312&gt;0))</f>
        <v>0</v>
      </c>
      <c r="AO312" s="50">
        <f t="shared" ca="1" si="224"/>
        <v>0</v>
      </c>
      <c r="AP312" s="50">
        <f t="shared" ca="1" si="231"/>
        <v>0</v>
      </c>
      <c r="AQ312" s="50">
        <f t="shared" ca="1" si="204"/>
        <v>0</v>
      </c>
      <c r="AR312" s="50">
        <f t="shared" ca="1" si="205"/>
        <v>0</v>
      </c>
      <c r="AS312" s="50">
        <f t="shared" si="206"/>
        <v>0</v>
      </c>
      <c r="AT312" s="50">
        <f ca="1">(MAX((MAX(AS312,105%*SUM($AJ$7:AJ312))-AM312*Flag_UL_Type),0)*B312)</f>
        <v>0</v>
      </c>
      <c r="AU312" s="50">
        <f ca="1">(MAX(AS312,AR312,105%*SUM($AJ$7:AJ312))*B312)</f>
        <v>0</v>
      </c>
      <c r="AV312" s="125"/>
      <c r="AW312" s="13"/>
      <c r="AX312" s="13"/>
      <c r="AY312" s="13"/>
      <c r="AZ312" s="13"/>
      <c r="BA312" s="13"/>
      <c r="BG312" s="51">
        <f t="shared" si="207"/>
        <v>0</v>
      </c>
      <c r="BH312" s="51">
        <f t="shared" si="208"/>
        <v>0</v>
      </c>
      <c r="BI312" s="51">
        <f t="shared" ca="1" si="209"/>
        <v>0</v>
      </c>
      <c r="BJ312" s="51">
        <f t="shared" ca="1" si="210"/>
        <v>0</v>
      </c>
      <c r="BK312" s="51">
        <f t="shared" si="211"/>
        <v>0</v>
      </c>
      <c r="BL312" s="51">
        <f t="shared" ca="1" si="212"/>
        <v>0</v>
      </c>
      <c r="BM312" s="51">
        <f t="shared" si="213"/>
        <v>0</v>
      </c>
      <c r="BN312" s="51">
        <f t="shared" si="214"/>
        <v>0</v>
      </c>
      <c r="BO312" s="51">
        <f t="shared" ca="1" si="215"/>
        <v>0</v>
      </c>
      <c r="BP312" s="51">
        <f t="shared" ca="1" si="216"/>
        <v>0</v>
      </c>
      <c r="BQ312" s="120"/>
      <c r="BR312" s="32"/>
      <c r="BS312" s="126"/>
      <c r="BT312" s="16"/>
      <c r="BU312" s="58"/>
      <c r="BW312" s="51">
        <f>VLOOKUP(H312,Charges!$AT$4:$AU$33,2,FALSE)*I312</f>
        <v>0</v>
      </c>
      <c r="BX312" s="51">
        <f t="shared" si="217"/>
        <v>0</v>
      </c>
      <c r="BY312" s="51">
        <f t="shared" si="225"/>
        <v>0</v>
      </c>
      <c r="BZ312" s="151"/>
      <c r="CA312" s="151"/>
      <c r="CB312" s="32"/>
      <c r="CC312" s="16">
        <f ca="1">SUM($N$7:$N312)</f>
        <v>0</v>
      </c>
      <c r="CD312" s="16">
        <f t="shared" ca="1" si="218"/>
        <v>0</v>
      </c>
      <c r="CE312" s="16">
        <f t="shared" ca="1" si="219"/>
        <v>0</v>
      </c>
      <c r="CF312" s="7">
        <f t="shared" ca="1" si="226"/>
        <v>0</v>
      </c>
    </row>
    <row r="313" spans="1:84" s="7" customFormat="1" x14ac:dyDescent="0.2">
      <c r="A313" s="149"/>
      <c r="B313" s="14">
        <f t="shared" si="188"/>
        <v>0</v>
      </c>
      <c r="C313" s="12">
        <f t="shared" si="189"/>
        <v>0</v>
      </c>
      <c r="D313" s="17">
        <f t="shared" si="227"/>
        <v>307</v>
      </c>
      <c r="E313" s="17">
        <f t="shared" ca="1" si="190"/>
        <v>85</v>
      </c>
      <c r="F313" s="12">
        <f t="shared" si="229"/>
        <v>6</v>
      </c>
      <c r="G313" s="12">
        <f t="shared" si="228"/>
        <v>52</v>
      </c>
      <c r="H313" s="17">
        <f t="shared" si="230"/>
        <v>26</v>
      </c>
      <c r="I313" s="29">
        <f t="shared" si="191"/>
        <v>0</v>
      </c>
      <c r="J313" s="211">
        <f>IFERROR(VLOOKUP(H313,Charges!$T$6:$U$35,2,0)*C313,0)</f>
        <v>0</v>
      </c>
      <c r="K313" s="29">
        <f t="shared" si="192"/>
        <v>0</v>
      </c>
      <c r="L313" s="29">
        <f t="shared" si="193"/>
        <v>0</v>
      </c>
      <c r="M313" s="147">
        <f t="shared" ca="1" si="194"/>
        <v>0</v>
      </c>
      <c r="N313" s="148">
        <f ca="1">IF(AND(Option_SPW="Y",Z312&gt;=SPW_Start_Min_FV,H313&gt;=Lock_In_Period,Z312&gt;SPW_Amount_pa+IF(option="Single",1/5*pr,2*pr),H313&gt;=SPW_Start_Year,H313&lt;=SPW_Start_Year+SPW_Duration-1,F313=0,age+H313&gt;=Legal_Age),SPW_Amount_pa,0)+IFERROR(VLOOKUP(H313,Input!$B$68:$C$74,2,0),0)*(F313=0)*(Option_PW="Y")*(Option_SPW="N")*(age+H313&gt;=Legal_Age)</f>
        <v>0</v>
      </c>
      <c r="O313" s="148">
        <f t="shared" ca="1" si="220"/>
        <v>0</v>
      </c>
      <c r="P313" s="14">
        <f ca="1">(MAX(MAX(sa-CF312*Flag_UL_Type,105%*SUM($I$7:I313))-(AD312+L313-N313)*Flag_UL_Type,0)*B313)</f>
        <v>0</v>
      </c>
      <c r="Q313" s="213">
        <f t="shared" si="195"/>
        <v>0</v>
      </c>
      <c r="R313" s="14">
        <f t="shared" ca="1" si="196"/>
        <v>0</v>
      </c>
      <c r="S313" s="14">
        <f t="shared" ca="1" si="197"/>
        <v>0</v>
      </c>
      <c r="T313" s="14">
        <f>IFERROR(IF(WoP_Flag="Y",IF(fq=1,VLOOKUP(ppt*fq-H313,Charges!$AN$41:$AO$59,2,FALSE),IF(fq=2,VLOOKUP(ppt*fq-G313,Charges!$AP$41:$AQ$79,2,FALSE),VLOOKUP(ppt*fq-D313,Charges!$AR$41:$AS$279,2,FALSE)))*pr/fq,0),0)</f>
        <v>0</v>
      </c>
      <c r="U313" s="14">
        <f ca="1">IFERROR(((T313*(VLOOKUP(Input!$D$18+H313-1,Tab_Mort_Charge,IF(Gender_2="M",2,3),FALSE)*(1+_emr2)+_rpm2)/IF(Model_Type="LA_PQIS",1000/0.0833,(12*1000))))*Flag_Mort_Rider_Charge*(T313&gt;0),0)</f>
        <v>0</v>
      </c>
      <c r="V313" s="34">
        <f>ROUND(MIN(IF(H313&gt;=7,Charges!$C$12*(1+Charges!$C$14)^((H313-7+1)),VLOOKUP(H313,Charges!$B$7:$C$12,2,0))*pr,Charges!$C$13)*B313,Round)</f>
        <v>0</v>
      </c>
      <c r="W313" s="14">
        <f t="shared" ca="1" si="198"/>
        <v>0</v>
      </c>
      <c r="X313" s="14">
        <f t="shared" ca="1" si="199"/>
        <v>0</v>
      </c>
      <c r="Y313" s="213">
        <f t="shared" ca="1" si="221"/>
        <v>0</v>
      </c>
      <c r="Z313" s="14">
        <f t="shared" ca="1" si="200"/>
        <v>0</v>
      </c>
      <c r="AA313" s="14">
        <f>IF(AND($H313=pt,$F313=11),SUM($K$7:K313)*VLOOKUP(pt,ROC,2,FALSE),0)</f>
        <v>0</v>
      </c>
      <c r="AB313" s="14">
        <f>IF(AND($H313=pt,$F313=11),SUM($V$7:V313)*VLOOKUP(pt,ROC,2,FALSE),0)</f>
        <v>0</v>
      </c>
      <c r="AC313" s="14">
        <f>IF(AND($H313=pt,$F313=11),SUM($Q$7:Q313)*VLOOKUP(pt,ROC,2,FALSE),0)</f>
        <v>0</v>
      </c>
      <c r="AD313" s="14">
        <f t="shared" ca="1" si="222"/>
        <v>0</v>
      </c>
      <c r="AE313" s="14">
        <f ca="1">(MAX(sa-CF312*Flag_UL_Type,105%*SUM($I$7:I313),Z313)+AU313)*B313</f>
        <v>0</v>
      </c>
      <c r="AF313" s="136"/>
      <c r="AG313" s="18">
        <v>307</v>
      </c>
      <c r="AH313" s="30">
        <f t="shared" ca="1" si="201"/>
        <v>0</v>
      </c>
      <c r="AI313" s="58"/>
      <c r="AJ313" s="50">
        <f>IF(AND(Option_Sys_TopUp&gt;="Y",H313&gt;=sytp,H313&lt;=(dtp+sytp-1),F313=0,H313&lt;=ppt+1),atp,0)+IFERROR(VLOOKUP(H313,Input!$B$55:$C$61,2,0),0)*(F313=0)*(Option_TopUP="Y")*(Option_Sys_TopUp="N")*B313*(pt&gt;=H313+5)</f>
        <v>0</v>
      </c>
      <c r="AK313" s="50">
        <f t="shared" si="202"/>
        <v>0</v>
      </c>
      <c r="AL313" s="50">
        <f t="shared" si="223"/>
        <v>0</v>
      </c>
      <c r="AM313" s="50">
        <f t="shared" ca="1" si="203"/>
        <v>0</v>
      </c>
      <c r="AN313" s="50">
        <f>IF(B313=0,0,AT313*(_rpm1+(1+_emr1)*VLOOKUP(E313,Tab_Mort_Charge,IF(Input!$C$12="M",2,3),0))*(0.001*0.0833)*Flag_Mort_Rider_Charge*(AT313&gt;0))</f>
        <v>0</v>
      </c>
      <c r="AO313" s="50">
        <f t="shared" ca="1" si="224"/>
        <v>0</v>
      </c>
      <c r="AP313" s="50">
        <f t="shared" ca="1" si="231"/>
        <v>0</v>
      </c>
      <c r="AQ313" s="50">
        <f t="shared" ca="1" si="204"/>
        <v>0</v>
      </c>
      <c r="AR313" s="50">
        <f t="shared" ca="1" si="205"/>
        <v>0</v>
      </c>
      <c r="AS313" s="50">
        <f t="shared" si="206"/>
        <v>0</v>
      </c>
      <c r="AT313" s="50">
        <f ca="1">(MAX((MAX(AS313,105%*SUM($AJ$7:AJ313))-AM313*Flag_UL_Type),0)*B313)</f>
        <v>0</v>
      </c>
      <c r="AU313" s="50">
        <f ca="1">(MAX(AS313,AR313,105%*SUM($AJ$7:AJ313))*B313)</f>
        <v>0</v>
      </c>
      <c r="AV313" s="125"/>
      <c r="AW313" s="13"/>
      <c r="AX313" s="13"/>
      <c r="AY313" s="13"/>
      <c r="AZ313" s="13"/>
      <c r="BA313" s="13"/>
      <c r="BG313" s="51">
        <f t="shared" si="207"/>
        <v>0</v>
      </c>
      <c r="BH313" s="51">
        <f t="shared" si="208"/>
        <v>0</v>
      </c>
      <c r="BI313" s="51">
        <f t="shared" ca="1" si="209"/>
        <v>0</v>
      </c>
      <c r="BJ313" s="51">
        <f t="shared" ca="1" si="210"/>
        <v>0</v>
      </c>
      <c r="BK313" s="51">
        <f t="shared" si="211"/>
        <v>0</v>
      </c>
      <c r="BL313" s="51">
        <f t="shared" ca="1" si="212"/>
        <v>0</v>
      </c>
      <c r="BM313" s="51">
        <f t="shared" si="213"/>
        <v>0</v>
      </c>
      <c r="BN313" s="51">
        <f t="shared" si="214"/>
        <v>0</v>
      </c>
      <c r="BO313" s="51">
        <f t="shared" ca="1" si="215"/>
        <v>0</v>
      </c>
      <c r="BP313" s="51">
        <f t="shared" ca="1" si="216"/>
        <v>0</v>
      </c>
      <c r="BQ313" s="120"/>
      <c r="BR313" s="32"/>
      <c r="BS313" s="126"/>
      <c r="BT313" s="16"/>
      <c r="BU313" s="58"/>
      <c r="BW313" s="51">
        <f>VLOOKUP(H313,Charges!$AT$4:$AU$33,2,FALSE)*I313</f>
        <v>0</v>
      </c>
      <c r="BX313" s="51">
        <f t="shared" si="217"/>
        <v>0</v>
      </c>
      <c r="BY313" s="51">
        <f t="shared" si="225"/>
        <v>0</v>
      </c>
      <c r="BZ313" s="151"/>
      <c r="CA313" s="151"/>
      <c r="CB313" s="32"/>
      <c r="CC313" s="16">
        <f ca="1">SUM($N$7:$N313)</f>
        <v>0</v>
      </c>
      <c r="CD313" s="16">
        <f t="shared" ca="1" si="218"/>
        <v>0</v>
      </c>
      <c r="CE313" s="16">
        <f t="shared" ca="1" si="219"/>
        <v>0</v>
      </c>
      <c r="CF313" s="7">
        <f t="shared" ca="1" si="226"/>
        <v>0</v>
      </c>
    </row>
    <row r="314" spans="1:84" s="7" customFormat="1" x14ac:dyDescent="0.2">
      <c r="A314" s="149"/>
      <c r="B314" s="14">
        <f t="shared" si="188"/>
        <v>0</v>
      </c>
      <c r="C314" s="12">
        <f t="shared" si="189"/>
        <v>0</v>
      </c>
      <c r="D314" s="17">
        <f t="shared" si="227"/>
        <v>308</v>
      </c>
      <c r="E314" s="17">
        <f t="shared" ca="1" si="190"/>
        <v>85</v>
      </c>
      <c r="F314" s="12">
        <f t="shared" si="229"/>
        <v>7</v>
      </c>
      <c r="G314" s="12">
        <f t="shared" si="228"/>
        <v>52</v>
      </c>
      <c r="H314" s="17">
        <f t="shared" si="230"/>
        <v>26</v>
      </c>
      <c r="I314" s="29">
        <f t="shared" si="191"/>
        <v>0</v>
      </c>
      <c r="J314" s="211">
        <f>IFERROR(VLOOKUP(H314,Charges!$T$6:$U$35,2,0)*C314,0)</f>
        <v>0</v>
      </c>
      <c r="K314" s="29">
        <f t="shared" si="192"/>
        <v>0</v>
      </c>
      <c r="L314" s="29">
        <f t="shared" si="193"/>
        <v>0</v>
      </c>
      <c r="M314" s="147">
        <f t="shared" ca="1" si="194"/>
        <v>0</v>
      </c>
      <c r="N314" s="148">
        <f ca="1">IF(AND(Option_SPW="Y",Z313&gt;=SPW_Start_Min_FV,H314&gt;=Lock_In_Period,Z313&gt;SPW_Amount_pa+IF(option="Single",1/5*pr,2*pr),H314&gt;=SPW_Start_Year,H314&lt;=SPW_Start_Year+SPW_Duration-1,F314=0,age+H314&gt;=Legal_Age),SPW_Amount_pa,0)+IFERROR(VLOOKUP(H314,Input!$B$68:$C$74,2,0),0)*(F314=0)*(Option_PW="Y")*(Option_SPW="N")*(age+H314&gt;=Legal_Age)</f>
        <v>0</v>
      </c>
      <c r="O314" s="148">
        <f t="shared" ca="1" si="220"/>
        <v>0</v>
      </c>
      <c r="P314" s="14">
        <f ca="1">(MAX(MAX(sa-CF313*Flag_UL_Type,105%*SUM($I$7:I314))-(AD313+L314-N314)*Flag_UL_Type,0)*B314)</f>
        <v>0</v>
      </c>
      <c r="Q314" s="213">
        <f t="shared" si="195"/>
        <v>0</v>
      </c>
      <c r="R314" s="14">
        <f t="shared" ca="1" si="196"/>
        <v>0</v>
      </c>
      <c r="S314" s="14">
        <f t="shared" ca="1" si="197"/>
        <v>0</v>
      </c>
      <c r="T314" s="14">
        <f>IFERROR(IF(WoP_Flag="Y",IF(fq=1,VLOOKUP(ppt*fq-H314,Charges!$AN$41:$AO$59,2,FALSE),IF(fq=2,VLOOKUP(ppt*fq-G314,Charges!$AP$41:$AQ$79,2,FALSE),VLOOKUP(ppt*fq-D314,Charges!$AR$41:$AS$279,2,FALSE)))*pr/fq,0),0)</f>
        <v>0</v>
      </c>
      <c r="U314" s="14">
        <f ca="1">IFERROR(((T314*(VLOOKUP(Input!$D$18+H314-1,Tab_Mort_Charge,IF(Gender_2="M",2,3),FALSE)*(1+_emr2)+_rpm2)/IF(Model_Type="LA_PQIS",1000/0.0833,(12*1000))))*Flag_Mort_Rider_Charge*(T314&gt;0),0)</f>
        <v>0</v>
      </c>
      <c r="V314" s="34">
        <f>ROUND(MIN(IF(H314&gt;=7,Charges!$C$12*(1+Charges!$C$14)^((H314-7+1)),VLOOKUP(H314,Charges!$B$7:$C$12,2,0))*pr,Charges!$C$13)*B314,Round)</f>
        <v>0</v>
      </c>
      <c r="W314" s="14">
        <f t="shared" ca="1" si="198"/>
        <v>0</v>
      </c>
      <c r="X314" s="14">
        <f t="shared" ca="1" si="199"/>
        <v>0</v>
      </c>
      <c r="Y314" s="213">
        <f t="shared" ca="1" si="221"/>
        <v>0</v>
      </c>
      <c r="Z314" s="14">
        <f t="shared" ca="1" si="200"/>
        <v>0</v>
      </c>
      <c r="AA314" s="14">
        <f>IF(AND($H314=pt,$F314=11),SUM($K$7:K314)*VLOOKUP(pt,ROC,2,FALSE),0)</f>
        <v>0</v>
      </c>
      <c r="AB314" s="14">
        <f>IF(AND($H314=pt,$F314=11),SUM($V$7:V314)*VLOOKUP(pt,ROC,2,FALSE),0)</f>
        <v>0</v>
      </c>
      <c r="AC314" s="14">
        <f>IF(AND($H314=pt,$F314=11),SUM($Q$7:Q314)*VLOOKUP(pt,ROC,2,FALSE),0)</f>
        <v>0</v>
      </c>
      <c r="AD314" s="14">
        <f t="shared" ca="1" si="222"/>
        <v>0</v>
      </c>
      <c r="AE314" s="14">
        <f ca="1">(MAX(sa-CF313*Flag_UL_Type,105%*SUM($I$7:I314),Z314)+AU314)*B314</f>
        <v>0</v>
      </c>
      <c r="AF314" s="136"/>
      <c r="AG314" s="18">
        <v>308</v>
      </c>
      <c r="AH314" s="30">
        <f t="shared" ca="1" si="201"/>
        <v>0</v>
      </c>
      <c r="AI314" s="58"/>
      <c r="AJ314" s="50">
        <f>IF(AND(Option_Sys_TopUp&gt;="Y",H314&gt;=sytp,H314&lt;=(dtp+sytp-1),F314=0,H314&lt;=ppt+1),atp,0)+IFERROR(VLOOKUP(H314,Input!$B$55:$C$61,2,0),0)*(F314=0)*(Option_TopUP="Y")*(Option_Sys_TopUp="N")*B314*(pt&gt;=H314+5)</f>
        <v>0</v>
      </c>
      <c r="AK314" s="50">
        <f t="shared" si="202"/>
        <v>0</v>
      </c>
      <c r="AL314" s="50">
        <f t="shared" si="223"/>
        <v>0</v>
      </c>
      <c r="AM314" s="50">
        <f t="shared" ca="1" si="203"/>
        <v>0</v>
      </c>
      <c r="AN314" s="50">
        <f>IF(B314=0,0,AT314*(_rpm1+(1+_emr1)*VLOOKUP(E314,Tab_Mort_Charge,IF(Input!$C$12="M",2,3),0))*(0.001*0.0833)*Flag_Mort_Rider_Charge*(AT314&gt;0))</f>
        <v>0</v>
      </c>
      <c r="AO314" s="50">
        <f t="shared" ca="1" si="224"/>
        <v>0</v>
      </c>
      <c r="AP314" s="50">
        <f t="shared" ca="1" si="231"/>
        <v>0</v>
      </c>
      <c r="AQ314" s="50">
        <f t="shared" ca="1" si="204"/>
        <v>0</v>
      </c>
      <c r="AR314" s="50">
        <f t="shared" ca="1" si="205"/>
        <v>0</v>
      </c>
      <c r="AS314" s="50">
        <f t="shared" si="206"/>
        <v>0</v>
      </c>
      <c r="AT314" s="50">
        <f ca="1">(MAX((MAX(AS314,105%*SUM($AJ$7:AJ314))-AM314*Flag_UL_Type),0)*B314)</f>
        <v>0</v>
      </c>
      <c r="AU314" s="50">
        <f ca="1">(MAX(AS314,AR314,105%*SUM($AJ$7:AJ314))*B314)</f>
        <v>0</v>
      </c>
      <c r="AV314" s="125"/>
      <c r="AW314" s="13"/>
      <c r="AX314" s="13"/>
      <c r="AY314" s="13"/>
      <c r="AZ314" s="13"/>
      <c r="BA314" s="13"/>
      <c r="BG314" s="51">
        <f t="shared" si="207"/>
        <v>0</v>
      </c>
      <c r="BH314" s="51">
        <f t="shared" si="208"/>
        <v>0</v>
      </c>
      <c r="BI314" s="51">
        <f t="shared" ca="1" si="209"/>
        <v>0</v>
      </c>
      <c r="BJ314" s="51">
        <f t="shared" ca="1" si="210"/>
        <v>0</v>
      </c>
      <c r="BK314" s="51">
        <f t="shared" si="211"/>
        <v>0</v>
      </c>
      <c r="BL314" s="51">
        <f t="shared" ca="1" si="212"/>
        <v>0</v>
      </c>
      <c r="BM314" s="51">
        <f t="shared" si="213"/>
        <v>0</v>
      </c>
      <c r="BN314" s="51">
        <f t="shared" si="214"/>
        <v>0</v>
      </c>
      <c r="BO314" s="51">
        <f t="shared" ca="1" si="215"/>
        <v>0</v>
      </c>
      <c r="BP314" s="51">
        <f t="shared" ca="1" si="216"/>
        <v>0</v>
      </c>
      <c r="BQ314" s="120"/>
      <c r="BR314" s="32"/>
      <c r="BS314" s="126"/>
      <c r="BT314" s="16"/>
      <c r="BU314" s="58"/>
      <c r="BW314" s="51">
        <f>VLOOKUP(H314,Charges!$AT$4:$AU$33,2,FALSE)*I314</f>
        <v>0</v>
      </c>
      <c r="BX314" s="51">
        <f t="shared" si="217"/>
        <v>0</v>
      </c>
      <c r="BY314" s="51">
        <f t="shared" si="225"/>
        <v>0</v>
      </c>
      <c r="BZ314" s="151"/>
      <c r="CA314" s="151"/>
      <c r="CB314" s="32"/>
      <c r="CC314" s="16">
        <f ca="1">SUM($N$7:$N314)</f>
        <v>0</v>
      </c>
      <c r="CD314" s="16">
        <f t="shared" ca="1" si="218"/>
        <v>0</v>
      </c>
      <c r="CE314" s="16">
        <f t="shared" ca="1" si="219"/>
        <v>0</v>
      </c>
      <c r="CF314" s="7">
        <f t="shared" ca="1" si="226"/>
        <v>0</v>
      </c>
    </row>
    <row r="315" spans="1:84" s="7" customFormat="1" x14ac:dyDescent="0.2">
      <c r="A315" s="149"/>
      <c r="B315" s="14">
        <f t="shared" si="188"/>
        <v>0</v>
      </c>
      <c r="C315" s="12">
        <f t="shared" si="189"/>
        <v>0</v>
      </c>
      <c r="D315" s="17">
        <f t="shared" si="227"/>
        <v>309</v>
      </c>
      <c r="E315" s="17">
        <f t="shared" ca="1" si="190"/>
        <v>85</v>
      </c>
      <c r="F315" s="12">
        <f t="shared" si="229"/>
        <v>8</v>
      </c>
      <c r="G315" s="12">
        <f t="shared" si="228"/>
        <v>52</v>
      </c>
      <c r="H315" s="17">
        <f t="shared" si="230"/>
        <v>26</v>
      </c>
      <c r="I315" s="29">
        <f t="shared" si="191"/>
        <v>0</v>
      </c>
      <c r="J315" s="211">
        <f>IFERROR(VLOOKUP(H315,Charges!$T$6:$U$35,2,0)*C315,0)</f>
        <v>0</v>
      </c>
      <c r="K315" s="29">
        <f t="shared" si="192"/>
        <v>0</v>
      </c>
      <c r="L315" s="29">
        <f t="shared" si="193"/>
        <v>0</v>
      </c>
      <c r="M315" s="147">
        <f t="shared" ca="1" si="194"/>
        <v>0</v>
      </c>
      <c r="N315" s="148">
        <f ca="1">IF(AND(Option_SPW="Y",Z314&gt;=SPW_Start_Min_FV,H315&gt;=Lock_In_Period,Z314&gt;SPW_Amount_pa+IF(option="Single",1/5*pr,2*pr),H315&gt;=SPW_Start_Year,H315&lt;=SPW_Start_Year+SPW_Duration-1,F315=0,age+H315&gt;=Legal_Age),SPW_Amount_pa,0)+IFERROR(VLOOKUP(H315,Input!$B$68:$C$74,2,0),0)*(F315=0)*(Option_PW="Y")*(Option_SPW="N")*(age+H315&gt;=Legal_Age)</f>
        <v>0</v>
      </c>
      <c r="O315" s="148">
        <f t="shared" ca="1" si="220"/>
        <v>0</v>
      </c>
      <c r="P315" s="14">
        <f ca="1">(MAX(MAX(sa-CF314*Flag_UL_Type,105%*SUM($I$7:I315))-(AD314+L315-N315)*Flag_UL_Type,0)*B315)</f>
        <v>0</v>
      </c>
      <c r="Q315" s="213">
        <f t="shared" si="195"/>
        <v>0</v>
      </c>
      <c r="R315" s="14">
        <f t="shared" ca="1" si="196"/>
        <v>0</v>
      </c>
      <c r="S315" s="14">
        <f t="shared" ca="1" si="197"/>
        <v>0</v>
      </c>
      <c r="T315" s="14">
        <f>IFERROR(IF(WoP_Flag="Y",IF(fq=1,VLOOKUP(ppt*fq-H315,Charges!$AN$41:$AO$59,2,FALSE),IF(fq=2,VLOOKUP(ppt*fq-G315,Charges!$AP$41:$AQ$79,2,FALSE),VLOOKUP(ppt*fq-D315,Charges!$AR$41:$AS$279,2,FALSE)))*pr/fq,0),0)</f>
        <v>0</v>
      </c>
      <c r="U315" s="14">
        <f ca="1">IFERROR(((T315*(VLOOKUP(Input!$D$18+H315-1,Tab_Mort_Charge,IF(Gender_2="M",2,3),FALSE)*(1+_emr2)+_rpm2)/IF(Model_Type="LA_PQIS",1000/0.0833,(12*1000))))*Flag_Mort_Rider_Charge*(T315&gt;0),0)</f>
        <v>0</v>
      </c>
      <c r="V315" s="34">
        <f>ROUND(MIN(IF(H315&gt;=7,Charges!$C$12*(1+Charges!$C$14)^((H315-7+1)),VLOOKUP(H315,Charges!$B$7:$C$12,2,0))*pr,Charges!$C$13)*B315,Round)</f>
        <v>0</v>
      </c>
      <c r="W315" s="14">
        <f t="shared" ca="1" si="198"/>
        <v>0</v>
      </c>
      <c r="X315" s="14">
        <f t="shared" ca="1" si="199"/>
        <v>0</v>
      </c>
      <c r="Y315" s="213">
        <f t="shared" ca="1" si="221"/>
        <v>0</v>
      </c>
      <c r="Z315" s="14">
        <f t="shared" ca="1" si="200"/>
        <v>0</v>
      </c>
      <c r="AA315" s="14">
        <f>IF(AND($H315=pt,$F315=11),SUM($K$7:K315)*VLOOKUP(pt,ROC,2,FALSE),0)</f>
        <v>0</v>
      </c>
      <c r="AB315" s="14">
        <f>IF(AND($H315=pt,$F315=11),SUM($V$7:V315)*VLOOKUP(pt,ROC,2,FALSE),0)</f>
        <v>0</v>
      </c>
      <c r="AC315" s="14">
        <f>IF(AND($H315=pt,$F315=11),SUM($Q$7:Q315)*VLOOKUP(pt,ROC,2,FALSE),0)</f>
        <v>0</v>
      </c>
      <c r="AD315" s="14">
        <f t="shared" ca="1" si="222"/>
        <v>0</v>
      </c>
      <c r="AE315" s="14">
        <f ca="1">(MAX(sa-CF314*Flag_UL_Type,105%*SUM($I$7:I315),Z315)+AU315)*B315</f>
        <v>0</v>
      </c>
      <c r="AF315" s="136"/>
      <c r="AG315" s="18">
        <v>309</v>
      </c>
      <c r="AH315" s="30">
        <f t="shared" ca="1" si="201"/>
        <v>0</v>
      </c>
      <c r="AI315" s="58"/>
      <c r="AJ315" s="50">
        <f>IF(AND(Option_Sys_TopUp&gt;="Y",H315&gt;=sytp,H315&lt;=(dtp+sytp-1),F315=0,H315&lt;=ppt+1),atp,0)+IFERROR(VLOOKUP(H315,Input!$B$55:$C$61,2,0),0)*(F315=0)*(Option_TopUP="Y")*(Option_Sys_TopUp="N")*B315*(pt&gt;=H315+5)</f>
        <v>0</v>
      </c>
      <c r="AK315" s="50">
        <f t="shared" si="202"/>
        <v>0</v>
      </c>
      <c r="AL315" s="50">
        <f t="shared" si="223"/>
        <v>0</v>
      </c>
      <c r="AM315" s="50">
        <f t="shared" ca="1" si="203"/>
        <v>0</v>
      </c>
      <c r="AN315" s="50">
        <f>IF(B315=0,0,AT315*(_rpm1+(1+_emr1)*VLOOKUP(E315,Tab_Mort_Charge,IF(Input!$C$12="M",2,3),0))*(0.001*0.0833)*Flag_Mort_Rider_Charge*(AT315&gt;0))</f>
        <v>0</v>
      </c>
      <c r="AO315" s="50">
        <f t="shared" ca="1" si="224"/>
        <v>0</v>
      </c>
      <c r="AP315" s="50">
        <f t="shared" ca="1" si="231"/>
        <v>0</v>
      </c>
      <c r="AQ315" s="50">
        <f t="shared" ca="1" si="204"/>
        <v>0</v>
      </c>
      <c r="AR315" s="50">
        <f t="shared" ca="1" si="205"/>
        <v>0</v>
      </c>
      <c r="AS315" s="50">
        <f t="shared" si="206"/>
        <v>0</v>
      </c>
      <c r="AT315" s="50">
        <f ca="1">(MAX((MAX(AS315,105%*SUM($AJ$7:AJ315))-AM315*Flag_UL_Type),0)*B315)</f>
        <v>0</v>
      </c>
      <c r="AU315" s="50">
        <f ca="1">(MAX(AS315,AR315,105%*SUM($AJ$7:AJ315))*B315)</f>
        <v>0</v>
      </c>
      <c r="AV315" s="125"/>
      <c r="AW315" s="13"/>
      <c r="AX315" s="13"/>
      <c r="AY315" s="13"/>
      <c r="AZ315" s="13"/>
      <c r="BA315" s="13"/>
      <c r="BG315" s="51">
        <f t="shared" si="207"/>
        <v>0</v>
      </c>
      <c r="BH315" s="51">
        <f t="shared" si="208"/>
        <v>0</v>
      </c>
      <c r="BI315" s="51">
        <f t="shared" ca="1" si="209"/>
        <v>0</v>
      </c>
      <c r="BJ315" s="51">
        <f t="shared" ca="1" si="210"/>
        <v>0</v>
      </c>
      <c r="BK315" s="51">
        <f t="shared" si="211"/>
        <v>0</v>
      </c>
      <c r="BL315" s="51">
        <f t="shared" ca="1" si="212"/>
        <v>0</v>
      </c>
      <c r="BM315" s="51">
        <f t="shared" si="213"/>
        <v>0</v>
      </c>
      <c r="BN315" s="51">
        <f t="shared" si="214"/>
        <v>0</v>
      </c>
      <c r="BO315" s="51">
        <f t="shared" ca="1" si="215"/>
        <v>0</v>
      </c>
      <c r="BP315" s="51">
        <f t="shared" ca="1" si="216"/>
        <v>0</v>
      </c>
      <c r="BQ315" s="120"/>
      <c r="BR315" s="32"/>
      <c r="BS315" s="126"/>
      <c r="BT315" s="16"/>
      <c r="BU315" s="58"/>
      <c r="BW315" s="51">
        <f>VLOOKUP(H315,Charges!$AT$4:$AU$33,2,FALSE)*I315</f>
        <v>0</v>
      </c>
      <c r="BX315" s="51">
        <f t="shared" si="217"/>
        <v>0</v>
      </c>
      <c r="BY315" s="51">
        <f t="shared" si="225"/>
        <v>0</v>
      </c>
      <c r="BZ315" s="151"/>
      <c r="CA315" s="151"/>
      <c r="CB315" s="32"/>
      <c r="CC315" s="16">
        <f ca="1">SUM($N$7:$N315)</f>
        <v>0</v>
      </c>
      <c r="CD315" s="16">
        <f t="shared" ca="1" si="218"/>
        <v>0</v>
      </c>
      <c r="CE315" s="16">
        <f t="shared" ca="1" si="219"/>
        <v>0</v>
      </c>
      <c r="CF315" s="7">
        <f t="shared" ca="1" si="226"/>
        <v>0</v>
      </c>
    </row>
    <row r="316" spans="1:84" s="7" customFormat="1" x14ac:dyDescent="0.2">
      <c r="A316" s="149"/>
      <c r="B316" s="14">
        <f t="shared" si="188"/>
        <v>0</v>
      </c>
      <c r="C316" s="12">
        <f t="shared" si="189"/>
        <v>0</v>
      </c>
      <c r="D316" s="17">
        <f t="shared" si="227"/>
        <v>310</v>
      </c>
      <c r="E316" s="17">
        <f t="shared" ca="1" si="190"/>
        <v>85</v>
      </c>
      <c r="F316" s="12">
        <f t="shared" si="229"/>
        <v>9</v>
      </c>
      <c r="G316" s="12">
        <f t="shared" si="228"/>
        <v>52</v>
      </c>
      <c r="H316" s="17">
        <f t="shared" si="230"/>
        <v>26</v>
      </c>
      <c r="I316" s="29">
        <f t="shared" si="191"/>
        <v>0</v>
      </c>
      <c r="J316" s="211">
        <f>IFERROR(VLOOKUP(H316,Charges!$T$6:$U$35,2,0)*C316,0)</f>
        <v>0</v>
      </c>
      <c r="K316" s="29">
        <f t="shared" si="192"/>
        <v>0</v>
      </c>
      <c r="L316" s="29">
        <f t="shared" si="193"/>
        <v>0</v>
      </c>
      <c r="M316" s="147">
        <f t="shared" ca="1" si="194"/>
        <v>0</v>
      </c>
      <c r="N316" s="148">
        <f ca="1">IF(AND(Option_SPW="Y",Z315&gt;=SPW_Start_Min_FV,H316&gt;=Lock_In_Period,Z315&gt;SPW_Amount_pa+IF(option="Single",1/5*pr,2*pr),H316&gt;=SPW_Start_Year,H316&lt;=SPW_Start_Year+SPW_Duration-1,F316=0,age+H316&gt;=Legal_Age),SPW_Amount_pa,0)+IFERROR(VLOOKUP(H316,Input!$B$68:$C$74,2,0),0)*(F316=0)*(Option_PW="Y")*(Option_SPW="N")*(age+H316&gt;=Legal_Age)</f>
        <v>0</v>
      </c>
      <c r="O316" s="148">
        <f t="shared" ca="1" si="220"/>
        <v>0</v>
      </c>
      <c r="P316" s="14">
        <f ca="1">(MAX(MAX(sa-CF315*Flag_UL_Type,105%*SUM($I$7:I316))-(AD315+L316-N316)*Flag_UL_Type,0)*B316)</f>
        <v>0</v>
      </c>
      <c r="Q316" s="213">
        <f t="shared" si="195"/>
        <v>0</v>
      </c>
      <c r="R316" s="14">
        <f t="shared" ca="1" si="196"/>
        <v>0</v>
      </c>
      <c r="S316" s="14">
        <f t="shared" ca="1" si="197"/>
        <v>0</v>
      </c>
      <c r="T316" s="14">
        <f>IFERROR(IF(WoP_Flag="Y",IF(fq=1,VLOOKUP(ppt*fq-H316,Charges!$AN$41:$AO$59,2,FALSE),IF(fq=2,VLOOKUP(ppt*fq-G316,Charges!$AP$41:$AQ$79,2,FALSE),VLOOKUP(ppt*fq-D316,Charges!$AR$41:$AS$279,2,FALSE)))*pr/fq,0),0)</f>
        <v>0</v>
      </c>
      <c r="U316" s="14">
        <f ca="1">IFERROR(((T316*(VLOOKUP(Input!$D$18+H316-1,Tab_Mort_Charge,IF(Gender_2="M",2,3),FALSE)*(1+_emr2)+_rpm2)/IF(Model_Type="LA_PQIS",1000/0.0833,(12*1000))))*Flag_Mort_Rider_Charge*(T316&gt;0),0)</f>
        <v>0</v>
      </c>
      <c r="V316" s="34">
        <f>ROUND(MIN(IF(H316&gt;=7,Charges!$C$12*(1+Charges!$C$14)^((H316-7+1)),VLOOKUP(H316,Charges!$B$7:$C$12,2,0))*pr,Charges!$C$13)*B316,Round)</f>
        <v>0</v>
      </c>
      <c r="W316" s="14">
        <f t="shared" ca="1" si="198"/>
        <v>0</v>
      </c>
      <c r="X316" s="14">
        <f t="shared" ca="1" si="199"/>
        <v>0</v>
      </c>
      <c r="Y316" s="213">
        <f t="shared" ca="1" si="221"/>
        <v>0</v>
      </c>
      <c r="Z316" s="14">
        <f t="shared" ca="1" si="200"/>
        <v>0</v>
      </c>
      <c r="AA316" s="14">
        <f>IF(AND($H316=pt,$F316=11),SUM($K$7:K316)*VLOOKUP(pt,ROC,2,FALSE),0)</f>
        <v>0</v>
      </c>
      <c r="AB316" s="14">
        <f>IF(AND($H316=pt,$F316=11),SUM($V$7:V316)*VLOOKUP(pt,ROC,2,FALSE),0)</f>
        <v>0</v>
      </c>
      <c r="AC316" s="14">
        <f>IF(AND($H316=pt,$F316=11),SUM($Q$7:Q316)*VLOOKUP(pt,ROC,2,FALSE),0)</f>
        <v>0</v>
      </c>
      <c r="AD316" s="14">
        <f t="shared" ca="1" si="222"/>
        <v>0</v>
      </c>
      <c r="AE316" s="14">
        <f ca="1">(MAX(sa-CF315*Flag_UL_Type,105%*SUM($I$7:I316),Z316)+AU316)*B316</f>
        <v>0</v>
      </c>
      <c r="AF316" s="136"/>
      <c r="AG316" s="18">
        <v>310</v>
      </c>
      <c r="AH316" s="30">
        <f t="shared" ca="1" si="201"/>
        <v>0</v>
      </c>
      <c r="AI316" s="58"/>
      <c r="AJ316" s="50">
        <f>IF(AND(Option_Sys_TopUp&gt;="Y",H316&gt;=sytp,H316&lt;=(dtp+sytp-1),F316=0,H316&lt;=ppt+1),atp,0)+IFERROR(VLOOKUP(H316,Input!$B$55:$C$61,2,0),0)*(F316=0)*(Option_TopUP="Y")*(Option_Sys_TopUp="N")*B316*(pt&gt;=H316+5)</f>
        <v>0</v>
      </c>
      <c r="AK316" s="50">
        <f t="shared" si="202"/>
        <v>0</v>
      </c>
      <c r="AL316" s="50">
        <f t="shared" si="223"/>
        <v>0</v>
      </c>
      <c r="AM316" s="50">
        <f t="shared" ca="1" si="203"/>
        <v>0</v>
      </c>
      <c r="AN316" s="50">
        <f>IF(B316=0,0,AT316*(_rpm1+(1+_emr1)*VLOOKUP(E316,Tab_Mort_Charge,IF(Input!$C$12="M",2,3),0))*(0.001*0.0833)*Flag_Mort_Rider_Charge*(AT316&gt;0))</f>
        <v>0</v>
      </c>
      <c r="AO316" s="50">
        <f t="shared" ca="1" si="224"/>
        <v>0</v>
      </c>
      <c r="AP316" s="50">
        <f t="shared" ca="1" si="231"/>
        <v>0</v>
      </c>
      <c r="AQ316" s="50">
        <f t="shared" ca="1" si="204"/>
        <v>0</v>
      </c>
      <c r="AR316" s="50">
        <f t="shared" ca="1" si="205"/>
        <v>0</v>
      </c>
      <c r="AS316" s="50">
        <f t="shared" si="206"/>
        <v>0</v>
      </c>
      <c r="AT316" s="50">
        <f ca="1">(MAX((MAX(AS316,105%*SUM($AJ$7:AJ316))-AM316*Flag_UL_Type),0)*B316)</f>
        <v>0</v>
      </c>
      <c r="AU316" s="50">
        <f ca="1">(MAX(AS316,AR316,105%*SUM($AJ$7:AJ316))*B316)</f>
        <v>0</v>
      </c>
      <c r="AV316" s="125"/>
      <c r="AW316" s="13"/>
      <c r="AX316" s="13"/>
      <c r="AY316" s="13"/>
      <c r="AZ316" s="13"/>
      <c r="BA316" s="13"/>
      <c r="BG316" s="51">
        <f t="shared" si="207"/>
        <v>0</v>
      </c>
      <c r="BH316" s="51">
        <f t="shared" si="208"/>
        <v>0</v>
      </c>
      <c r="BI316" s="51">
        <f t="shared" ca="1" si="209"/>
        <v>0</v>
      </c>
      <c r="BJ316" s="51">
        <f t="shared" ca="1" si="210"/>
        <v>0</v>
      </c>
      <c r="BK316" s="51">
        <f t="shared" si="211"/>
        <v>0</v>
      </c>
      <c r="BL316" s="51">
        <f t="shared" ca="1" si="212"/>
        <v>0</v>
      </c>
      <c r="BM316" s="51">
        <f t="shared" si="213"/>
        <v>0</v>
      </c>
      <c r="BN316" s="51">
        <f t="shared" si="214"/>
        <v>0</v>
      </c>
      <c r="BO316" s="51">
        <f t="shared" ca="1" si="215"/>
        <v>0</v>
      </c>
      <c r="BP316" s="51">
        <f t="shared" ca="1" si="216"/>
        <v>0</v>
      </c>
      <c r="BQ316" s="120"/>
      <c r="BR316" s="32"/>
      <c r="BS316" s="126"/>
      <c r="BT316" s="16"/>
      <c r="BU316" s="58"/>
      <c r="BW316" s="51">
        <f>VLOOKUP(H316,Charges!$AT$4:$AU$33,2,FALSE)*I316</f>
        <v>0</v>
      </c>
      <c r="BX316" s="51">
        <f t="shared" si="217"/>
        <v>0</v>
      </c>
      <c r="BY316" s="51">
        <f t="shared" si="225"/>
        <v>0</v>
      </c>
      <c r="BZ316" s="151"/>
      <c r="CA316" s="151"/>
      <c r="CB316" s="32"/>
      <c r="CC316" s="16">
        <f ca="1">SUM($N$7:$N316)</f>
        <v>0</v>
      </c>
      <c r="CD316" s="16">
        <f t="shared" ca="1" si="218"/>
        <v>0</v>
      </c>
      <c r="CE316" s="16">
        <f t="shared" ca="1" si="219"/>
        <v>0</v>
      </c>
      <c r="CF316" s="7">
        <f t="shared" ca="1" si="226"/>
        <v>0</v>
      </c>
    </row>
    <row r="317" spans="1:84" s="7" customFormat="1" x14ac:dyDescent="0.2">
      <c r="A317" s="149"/>
      <c r="B317" s="14">
        <f t="shared" si="188"/>
        <v>0</v>
      </c>
      <c r="C317" s="12">
        <f t="shared" si="189"/>
        <v>0</v>
      </c>
      <c r="D317" s="17">
        <f t="shared" si="227"/>
        <v>311</v>
      </c>
      <c r="E317" s="17">
        <f t="shared" ca="1" si="190"/>
        <v>85</v>
      </c>
      <c r="F317" s="12">
        <f t="shared" si="229"/>
        <v>10</v>
      </c>
      <c r="G317" s="12">
        <f t="shared" si="228"/>
        <v>52</v>
      </c>
      <c r="H317" s="17">
        <f t="shared" si="230"/>
        <v>26</v>
      </c>
      <c r="I317" s="29">
        <f t="shared" si="191"/>
        <v>0</v>
      </c>
      <c r="J317" s="211">
        <f>IFERROR(VLOOKUP(H317,Charges!$T$6:$U$35,2,0)*C317,0)</f>
        <v>0</v>
      </c>
      <c r="K317" s="29">
        <f t="shared" si="192"/>
        <v>0</v>
      </c>
      <c r="L317" s="29">
        <f t="shared" si="193"/>
        <v>0</v>
      </c>
      <c r="M317" s="147">
        <f t="shared" ca="1" si="194"/>
        <v>0</v>
      </c>
      <c r="N317" s="148">
        <f ca="1">IF(AND(Option_SPW="Y",Z316&gt;=SPW_Start_Min_FV,H317&gt;=Lock_In_Period,Z316&gt;SPW_Amount_pa+IF(option="Single",1/5*pr,2*pr),H317&gt;=SPW_Start_Year,H317&lt;=SPW_Start_Year+SPW_Duration-1,F317=0,age+H317&gt;=Legal_Age),SPW_Amount_pa,0)+IFERROR(VLOOKUP(H317,Input!$B$68:$C$74,2,0),0)*(F317=0)*(Option_PW="Y")*(Option_SPW="N")*(age+H317&gt;=Legal_Age)</f>
        <v>0</v>
      </c>
      <c r="O317" s="148">
        <f t="shared" ca="1" si="220"/>
        <v>0</v>
      </c>
      <c r="P317" s="14">
        <f ca="1">(MAX(MAX(sa-CF316*Flag_UL_Type,105%*SUM($I$7:I317))-(AD316+L317-N317)*Flag_UL_Type,0)*B317)</f>
        <v>0</v>
      </c>
      <c r="Q317" s="213">
        <f t="shared" si="195"/>
        <v>0</v>
      </c>
      <c r="R317" s="14">
        <f t="shared" ca="1" si="196"/>
        <v>0</v>
      </c>
      <c r="S317" s="14">
        <f t="shared" ca="1" si="197"/>
        <v>0</v>
      </c>
      <c r="T317" s="14">
        <f>IFERROR(IF(WoP_Flag="Y",IF(fq=1,VLOOKUP(ppt*fq-H317,Charges!$AN$41:$AO$59,2,FALSE),IF(fq=2,VLOOKUP(ppt*fq-G317,Charges!$AP$41:$AQ$79,2,FALSE),VLOOKUP(ppt*fq-D317,Charges!$AR$41:$AS$279,2,FALSE)))*pr/fq,0),0)</f>
        <v>0</v>
      </c>
      <c r="U317" s="14">
        <f ca="1">IFERROR(((T317*(VLOOKUP(Input!$D$18+H317-1,Tab_Mort_Charge,IF(Gender_2="M",2,3),FALSE)*(1+_emr2)+_rpm2)/IF(Model_Type="LA_PQIS",1000/0.0833,(12*1000))))*Flag_Mort_Rider_Charge*(T317&gt;0),0)</f>
        <v>0</v>
      </c>
      <c r="V317" s="34">
        <f>ROUND(MIN(IF(H317&gt;=7,Charges!$C$12*(1+Charges!$C$14)^((H317-7+1)),VLOOKUP(H317,Charges!$B$7:$C$12,2,0))*pr,Charges!$C$13)*B317,Round)</f>
        <v>0</v>
      </c>
      <c r="W317" s="14">
        <f t="shared" ca="1" si="198"/>
        <v>0</v>
      </c>
      <c r="X317" s="14">
        <f t="shared" ca="1" si="199"/>
        <v>0</v>
      </c>
      <c r="Y317" s="213">
        <f t="shared" ca="1" si="221"/>
        <v>0</v>
      </c>
      <c r="Z317" s="14">
        <f t="shared" ca="1" si="200"/>
        <v>0</v>
      </c>
      <c r="AA317" s="14">
        <f>IF(AND($H317=pt,$F317=11),SUM($K$7:K317)*VLOOKUP(pt,ROC,2,FALSE),0)</f>
        <v>0</v>
      </c>
      <c r="AB317" s="14">
        <f>IF(AND($H317=pt,$F317=11),SUM($V$7:V317)*VLOOKUP(pt,ROC,2,FALSE),0)</f>
        <v>0</v>
      </c>
      <c r="AC317" s="14">
        <f>IF(AND($H317=pt,$F317=11),SUM($Q$7:Q317)*VLOOKUP(pt,ROC,2,FALSE),0)</f>
        <v>0</v>
      </c>
      <c r="AD317" s="14">
        <f t="shared" ca="1" si="222"/>
        <v>0</v>
      </c>
      <c r="AE317" s="14">
        <f ca="1">(MAX(sa-CF316*Flag_UL_Type,105%*SUM($I$7:I317),Z317)+AU317)*B317</f>
        <v>0</v>
      </c>
      <c r="AF317" s="136"/>
      <c r="AG317" s="18">
        <v>311</v>
      </c>
      <c r="AH317" s="30">
        <f t="shared" ca="1" si="201"/>
        <v>0</v>
      </c>
      <c r="AI317" s="58"/>
      <c r="AJ317" s="50">
        <f>IF(AND(Option_Sys_TopUp&gt;="Y",H317&gt;=sytp,H317&lt;=(dtp+sytp-1),F317=0,H317&lt;=ppt+1),atp,0)+IFERROR(VLOOKUP(H317,Input!$B$55:$C$61,2,0),0)*(F317=0)*(Option_TopUP="Y")*(Option_Sys_TopUp="N")*B317*(pt&gt;=H317+5)</f>
        <v>0</v>
      </c>
      <c r="AK317" s="50">
        <f t="shared" si="202"/>
        <v>0</v>
      </c>
      <c r="AL317" s="50">
        <f t="shared" si="223"/>
        <v>0</v>
      </c>
      <c r="AM317" s="50">
        <f t="shared" ca="1" si="203"/>
        <v>0</v>
      </c>
      <c r="AN317" s="50">
        <f>IF(B317=0,0,AT317*(_rpm1+(1+_emr1)*VLOOKUP(E317,Tab_Mort_Charge,IF(Input!$C$12="M",2,3),0))*(0.001*0.0833)*Flag_Mort_Rider_Charge*(AT317&gt;0))</f>
        <v>0</v>
      </c>
      <c r="AO317" s="50">
        <f t="shared" ca="1" si="224"/>
        <v>0</v>
      </c>
      <c r="AP317" s="50">
        <f t="shared" ca="1" si="231"/>
        <v>0</v>
      </c>
      <c r="AQ317" s="50">
        <f t="shared" ca="1" si="204"/>
        <v>0</v>
      </c>
      <c r="AR317" s="50">
        <f t="shared" ca="1" si="205"/>
        <v>0</v>
      </c>
      <c r="AS317" s="50">
        <f t="shared" si="206"/>
        <v>0</v>
      </c>
      <c r="AT317" s="50">
        <f ca="1">(MAX((MAX(AS317,105%*SUM($AJ$7:AJ317))-AM317*Flag_UL_Type),0)*B317)</f>
        <v>0</v>
      </c>
      <c r="AU317" s="50">
        <f ca="1">(MAX(AS317,AR317,105%*SUM($AJ$7:AJ317))*B317)</f>
        <v>0</v>
      </c>
      <c r="AV317" s="125"/>
      <c r="AW317" s="13"/>
      <c r="AX317" s="13"/>
      <c r="AY317" s="13"/>
      <c r="AZ317" s="13"/>
      <c r="BA317" s="13"/>
      <c r="BG317" s="51">
        <f t="shared" si="207"/>
        <v>0</v>
      </c>
      <c r="BH317" s="51">
        <f t="shared" si="208"/>
        <v>0</v>
      </c>
      <c r="BI317" s="51">
        <f t="shared" ca="1" si="209"/>
        <v>0</v>
      </c>
      <c r="BJ317" s="51">
        <f t="shared" ca="1" si="210"/>
        <v>0</v>
      </c>
      <c r="BK317" s="51">
        <f t="shared" si="211"/>
        <v>0</v>
      </c>
      <c r="BL317" s="51">
        <f t="shared" ca="1" si="212"/>
        <v>0</v>
      </c>
      <c r="BM317" s="51">
        <f t="shared" si="213"/>
        <v>0</v>
      </c>
      <c r="BN317" s="51">
        <f t="shared" si="214"/>
        <v>0</v>
      </c>
      <c r="BO317" s="51">
        <f t="shared" ca="1" si="215"/>
        <v>0</v>
      </c>
      <c r="BP317" s="51">
        <f t="shared" ca="1" si="216"/>
        <v>0</v>
      </c>
      <c r="BQ317" s="120"/>
      <c r="BR317" s="32"/>
      <c r="BS317" s="126"/>
      <c r="BT317" s="16"/>
      <c r="BU317" s="58"/>
      <c r="BW317" s="51">
        <f>VLOOKUP(H317,Charges!$AT$4:$AU$33,2,FALSE)*I317</f>
        <v>0</v>
      </c>
      <c r="BX317" s="51">
        <f t="shared" si="217"/>
        <v>0</v>
      </c>
      <c r="BY317" s="51">
        <f t="shared" si="225"/>
        <v>0</v>
      </c>
      <c r="BZ317" s="151"/>
      <c r="CA317" s="151"/>
      <c r="CB317" s="32"/>
      <c r="CC317" s="16">
        <f ca="1">SUM($N$7:$N317)</f>
        <v>0</v>
      </c>
      <c r="CD317" s="16">
        <f t="shared" ca="1" si="218"/>
        <v>0</v>
      </c>
      <c r="CE317" s="16">
        <f t="shared" ca="1" si="219"/>
        <v>0</v>
      </c>
      <c r="CF317" s="7">
        <f t="shared" ca="1" si="226"/>
        <v>0</v>
      </c>
    </row>
    <row r="318" spans="1:84" s="7" customFormat="1" x14ac:dyDescent="0.2">
      <c r="A318" s="149"/>
      <c r="B318" s="14">
        <f t="shared" si="188"/>
        <v>0</v>
      </c>
      <c r="C318" s="12">
        <f t="shared" si="189"/>
        <v>0</v>
      </c>
      <c r="D318" s="17">
        <f t="shared" si="227"/>
        <v>312</v>
      </c>
      <c r="E318" s="17">
        <f t="shared" ca="1" si="190"/>
        <v>85</v>
      </c>
      <c r="F318" s="12">
        <f t="shared" si="229"/>
        <v>11</v>
      </c>
      <c r="G318" s="12">
        <f t="shared" si="228"/>
        <v>52</v>
      </c>
      <c r="H318" s="17">
        <f t="shared" si="230"/>
        <v>26</v>
      </c>
      <c r="I318" s="29">
        <f t="shared" si="191"/>
        <v>0</v>
      </c>
      <c r="J318" s="211">
        <f>IFERROR(VLOOKUP(H318,Charges!$T$6:$U$35,2,0)*C318,0)</f>
        <v>0</v>
      </c>
      <c r="K318" s="29">
        <f t="shared" si="192"/>
        <v>0</v>
      </c>
      <c r="L318" s="29">
        <f t="shared" si="193"/>
        <v>0</v>
      </c>
      <c r="M318" s="147">
        <f t="shared" ca="1" si="194"/>
        <v>0</v>
      </c>
      <c r="N318" s="148">
        <f ca="1">IF(AND(Option_SPW="Y",Z317&gt;=SPW_Start_Min_FV,H318&gt;=Lock_In_Period,Z317&gt;SPW_Amount_pa+IF(option="Single",1/5*pr,2*pr),H318&gt;=SPW_Start_Year,H318&lt;=SPW_Start_Year+SPW_Duration-1,F318=0,age+H318&gt;=Legal_Age),SPW_Amount_pa,0)+IFERROR(VLOOKUP(H318,Input!$B$68:$C$74,2,0),0)*(F318=0)*(Option_PW="Y")*(Option_SPW="N")*(age+H318&gt;=Legal_Age)</f>
        <v>0</v>
      </c>
      <c r="O318" s="148">
        <f t="shared" ca="1" si="220"/>
        <v>0</v>
      </c>
      <c r="P318" s="14">
        <f ca="1">(MAX(MAX(sa-CF317*Flag_UL_Type,105%*SUM($I$7:I318))-(AD317+L318-N318)*Flag_UL_Type,0)*B318)</f>
        <v>0</v>
      </c>
      <c r="Q318" s="213">
        <f t="shared" si="195"/>
        <v>0</v>
      </c>
      <c r="R318" s="14">
        <f t="shared" ca="1" si="196"/>
        <v>0</v>
      </c>
      <c r="S318" s="14">
        <f t="shared" ca="1" si="197"/>
        <v>0</v>
      </c>
      <c r="T318" s="14">
        <f>IFERROR(IF(WoP_Flag="Y",IF(fq=1,VLOOKUP(ppt*fq-H318,Charges!$AN$41:$AO$59,2,FALSE),IF(fq=2,VLOOKUP(ppt*fq-G318,Charges!$AP$41:$AQ$79,2,FALSE),VLOOKUP(ppt*fq-D318,Charges!$AR$41:$AS$279,2,FALSE)))*pr/fq,0),0)</f>
        <v>0</v>
      </c>
      <c r="U318" s="14">
        <f ca="1">IFERROR(((T318*(VLOOKUP(Input!$D$18+H318-1,Tab_Mort_Charge,IF(Gender_2="M",2,3),FALSE)*(1+_emr2)+_rpm2)/IF(Model_Type="LA_PQIS",1000/0.0833,(12*1000))))*Flag_Mort_Rider_Charge*(T318&gt;0),0)</f>
        <v>0</v>
      </c>
      <c r="V318" s="34">
        <f>ROUND(MIN(IF(H318&gt;=7,Charges!$C$12*(1+Charges!$C$14)^((H318-7+1)),VLOOKUP(H318,Charges!$B$7:$C$12,2,0))*pr,Charges!$C$13)*B318,Round)</f>
        <v>0</v>
      </c>
      <c r="W318" s="14">
        <f t="shared" ca="1" si="198"/>
        <v>0</v>
      </c>
      <c r="X318" s="14">
        <f t="shared" ca="1" si="199"/>
        <v>0</v>
      </c>
      <c r="Y318" s="213">
        <f t="shared" ca="1" si="221"/>
        <v>0</v>
      </c>
      <c r="Z318" s="14">
        <f t="shared" ca="1" si="200"/>
        <v>0</v>
      </c>
      <c r="AA318" s="14">
        <f>IF(AND($H318=pt,$F318=11),SUM($K$7:K318)*VLOOKUP(pt,ROC,2,FALSE),0)</f>
        <v>0</v>
      </c>
      <c r="AB318" s="14">
        <f>IF(AND($H318=pt,$F318=11),SUM($V$7:V318)*VLOOKUP(pt,ROC,2,FALSE),0)</f>
        <v>0</v>
      </c>
      <c r="AC318" s="14">
        <f>IF(AND($H318=pt,$F318=11),SUM($Q$7:Q318)*VLOOKUP(pt,ROC,2,FALSE),0)</f>
        <v>0</v>
      </c>
      <c r="AD318" s="14">
        <f t="shared" ca="1" si="222"/>
        <v>0</v>
      </c>
      <c r="AE318" s="14">
        <f ca="1">(MAX(sa-CF317*Flag_UL_Type,105%*SUM($I$7:I318),Z318)+AU318)*B318</f>
        <v>0</v>
      </c>
      <c r="AF318" s="136"/>
      <c r="AG318" s="18">
        <v>312</v>
      </c>
      <c r="AH318" s="30">
        <f t="shared" ca="1" si="201"/>
        <v>0</v>
      </c>
      <c r="AI318" s="58"/>
      <c r="AJ318" s="50">
        <f>IF(AND(Option_Sys_TopUp&gt;="Y",H318&gt;=sytp,H318&lt;=(dtp+sytp-1),F318=0,H318&lt;=ppt+1),atp,0)+IFERROR(VLOOKUP(H318,Input!$B$55:$C$61,2,0),0)*(F318=0)*(Option_TopUP="Y")*(Option_Sys_TopUp="N")*B318*(pt&gt;=H318+5)</f>
        <v>0</v>
      </c>
      <c r="AK318" s="50">
        <f t="shared" si="202"/>
        <v>0</v>
      </c>
      <c r="AL318" s="50">
        <f t="shared" si="223"/>
        <v>0</v>
      </c>
      <c r="AM318" s="50">
        <f t="shared" ca="1" si="203"/>
        <v>0</v>
      </c>
      <c r="AN318" s="50">
        <f>IF(B318=0,0,AT318*(_rpm1+(1+_emr1)*VLOOKUP(E318,Tab_Mort_Charge,IF(Input!$C$12="M",2,3),0))*(0.001*0.0833)*Flag_Mort_Rider_Charge*(AT318&gt;0))</f>
        <v>0</v>
      </c>
      <c r="AO318" s="50">
        <f t="shared" ca="1" si="224"/>
        <v>0</v>
      </c>
      <c r="AP318" s="50">
        <f t="shared" ca="1" si="231"/>
        <v>0</v>
      </c>
      <c r="AQ318" s="50">
        <f t="shared" ca="1" si="204"/>
        <v>0</v>
      </c>
      <c r="AR318" s="50">
        <f t="shared" ca="1" si="205"/>
        <v>0</v>
      </c>
      <c r="AS318" s="50">
        <f t="shared" si="206"/>
        <v>0</v>
      </c>
      <c r="AT318" s="50">
        <f ca="1">(MAX((MAX(AS318,105%*SUM($AJ$7:AJ318))-AM318*Flag_UL_Type),0)*B318)</f>
        <v>0</v>
      </c>
      <c r="AU318" s="50">
        <f ca="1">(MAX(AS318,AR318,105%*SUM($AJ$7:AJ318))*B318)</f>
        <v>0</v>
      </c>
      <c r="AV318" s="125"/>
      <c r="AW318" s="13"/>
      <c r="AX318" s="13"/>
      <c r="AY318" s="13"/>
      <c r="AZ318" s="13"/>
      <c r="BA318" s="13"/>
      <c r="BG318" s="51">
        <f t="shared" si="207"/>
        <v>0</v>
      </c>
      <c r="BH318" s="51">
        <f t="shared" si="208"/>
        <v>0</v>
      </c>
      <c r="BI318" s="51">
        <f t="shared" ca="1" si="209"/>
        <v>0</v>
      </c>
      <c r="BJ318" s="51">
        <f t="shared" ca="1" si="210"/>
        <v>0</v>
      </c>
      <c r="BK318" s="51">
        <f t="shared" si="211"/>
        <v>0</v>
      </c>
      <c r="BL318" s="51">
        <f t="shared" ca="1" si="212"/>
        <v>0</v>
      </c>
      <c r="BM318" s="51">
        <f t="shared" si="213"/>
        <v>0</v>
      </c>
      <c r="BN318" s="51">
        <f t="shared" si="214"/>
        <v>0</v>
      </c>
      <c r="BO318" s="51">
        <f t="shared" ca="1" si="215"/>
        <v>0</v>
      </c>
      <c r="BP318" s="51">
        <f t="shared" ca="1" si="216"/>
        <v>0</v>
      </c>
      <c r="BQ318" s="120"/>
      <c r="BR318" s="32"/>
      <c r="BS318" s="126"/>
      <c r="BT318" s="16"/>
      <c r="BU318" s="58"/>
      <c r="BW318" s="51">
        <f>VLOOKUP(H318,Charges!$AT$4:$AU$33,2,FALSE)*I318</f>
        <v>0</v>
      </c>
      <c r="BX318" s="51">
        <f t="shared" si="217"/>
        <v>0</v>
      </c>
      <c r="BY318" s="51">
        <f t="shared" si="225"/>
        <v>0</v>
      </c>
      <c r="BZ318" s="151"/>
      <c r="CA318" s="151"/>
      <c r="CB318" s="32"/>
      <c r="CC318" s="16">
        <f ca="1">SUM($N$7:$N318)</f>
        <v>0</v>
      </c>
      <c r="CD318" s="16">
        <f t="shared" ca="1" si="218"/>
        <v>0</v>
      </c>
      <c r="CE318" s="16">
        <f t="shared" ca="1" si="219"/>
        <v>0</v>
      </c>
      <c r="CF318" s="7">
        <f t="shared" ca="1" si="226"/>
        <v>0</v>
      </c>
    </row>
    <row r="319" spans="1:84" s="7" customFormat="1" x14ac:dyDescent="0.2">
      <c r="A319" s="149"/>
      <c r="B319" s="14">
        <f t="shared" si="188"/>
        <v>0</v>
      </c>
      <c r="C319" s="12">
        <f t="shared" si="189"/>
        <v>0</v>
      </c>
      <c r="D319" s="17">
        <f t="shared" si="227"/>
        <v>313</v>
      </c>
      <c r="E319" s="17">
        <f t="shared" ca="1" si="190"/>
        <v>86</v>
      </c>
      <c r="F319" s="12">
        <f t="shared" si="229"/>
        <v>0</v>
      </c>
      <c r="G319" s="12">
        <f t="shared" si="228"/>
        <v>53</v>
      </c>
      <c r="H319" s="17">
        <f t="shared" si="230"/>
        <v>27</v>
      </c>
      <c r="I319" s="29">
        <f t="shared" si="191"/>
        <v>0</v>
      </c>
      <c r="J319" s="211">
        <f>IFERROR(VLOOKUP(H319,Charges!$T$6:$U$35,2,0)*C319,0)</f>
        <v>0</v>
      </c>
      <c r="K319" s="29">
        <f t="shared" si="192"/>
        <v>0</v>
      </c>
      <c r="L319" s="29">
        <f t="shared" si="193"/>
        <v>0</v>
      </c>
      <c r="M319" s="147">
        <f t="shared" ca="1" si="194"/>
        <v>0</v>
      </c>
      <c r="N319" s="148">
        <f ca="1">IF(AND(Option_SPW="Y",Z318&gt;=SPW_Start_Min_FV,H319&gt;=Lock_In_Period,Z318&gt;SPW_Amount_pa+IF(option="Single",1/5*pr,2*pr),H319&gt;=SPW_Start_Year,H319&lt;=SPW_Start_Year+SPW_Duration-1,F319=0,age+H319&gt;=Legal_Age),SPW_Amount_pa,0)+IFERROR(VLOOKUP(H319,Input!$B$68:$C$74,2,0),0)*(F319=0)*(Option_PW="Y")*(Option_SPW="N")*(age+H319&gt;=Legal_Age)</f>
        <v>0</v>
      </c>
      <c r="O319" s="148">
        <f t="shared" ca="1" si="220"/>
        <v>0</v>
      </c>
      <c r="P319" s="14">
        <f ca="1">(MAX(MAX(sa-CF318*Flag_UL_Type,105%*SUM($I$7:I319))-(AD318+L319-N319)*Flag_UL_Type,0)*B319)</f>
        <v>0</v>
      </c>
      <c r="Q319" s="213">
        <f t="shared" si="195"/>
        <v>0</v>
      </c>
      <c r="R319" s="14">
        <f t="shared" ca="1" si="196"/>
        <v>0</v>
      </c>
      <c r="S319" s="14">
        <f t="shared" ca="1" si="197"/>
        <v>0</v>
      </c>
      <c r="T319" s="14">
        <f>IFERROR(IF(WoP_Flag="Y",IF(fq=1,VLOOKUP(ppt*fq-H319,Charges!$AN$41:$AO$59,2,FALSE),IF(fq=2,VLOOKUP(ppt*fq-G319,Charges!$AP$41:$AQ$79,2,FALSE),VLOOKUP(ppt*fq-D319,Charges!$AR$41:$AS$279,2,FALSE)))*pr/fq,0),0)</f>
        <v>0</v>
      </c>
      <c r="U319" s="14">
        <f ca="1">IFERROR(((T319*(VLOOKUP(Input!$D$18+H319-1,Tab_Mort_Charge,IF(Gender_2="M",2,3),FALSE)*(1+_emr2)+_rpm2)/IF(Model_Type="LA_PQIS",1000/0.0833,(12*1000))))*Flag_Mort_Rider_Charge*(T319&gt;0),0)</f>
        <v>0</v>
      </c>
      <c r="V319" s="34">
        <f>ROUND(MIN(IF(H319&gt;=7,Charges!$C$12*(1+Charges!$C$14)^((H319-7+1)),VLOOKUP(H319,Charges!$B$7:$C$12,2,0))*pr,Charges!$C$13)*B319,Round)</f>
        <v>0</v>
      </c>
      <c r="W319" s="14">
        <f t="shared" ca="1" si="198"/>
        <v>0</v>
      </c>
      <c r="X319" s="14">
        <f t="shared" ca="1" si="199"/>
        <v>0</v>
      </c>
      <c r="Y319" s="213">
        <f t="shared" ca="1" si="221"/>
        <v>0</v>
      </c>
      <c r="Z319" s="14">
        <f t="shared" ca="1" si="200"/>
        <v>0</v>
      </c>
      <c r="AA319" s="14">
        <f>IF(AND($H319=pt,$F319=11),SUM($K$7:K319)*VLOOKUP(pt,ROC,2,FALSE),0)</f>
        <v>0</v>
      </c>
      <c r="AB319" s="14">
        <f>IF(AND($H319=pt,$F319=11),SUM($V$7:V319)*VLOOKUP(pt,ROC,2,FALSE),0)</f>
        <v>0</v>
      </c>
      <c r="AC319" s="14">
        <f>IF(AND($H319=pt,$F319=11),SUM($Q$7:Q319)*VLOOKUP(pt,ROC,2,FALSE),0)</f>
        <v>0</v>
      </c>
      <c r="AD319" s="14">
        <f t="shared" ca="1" si="222"/>
        <v>0</v>
      </c>
      <c r="AE319" s="14">
        <f ca="1">(MAX(sa-CF318*Flag_UL_Type,105%*SUM($I$7:I319),Z319)+AU319)*B319</f>
        <v>0</v>
      </c>
      <c r="AF319" s="136"/>
      <c r="AG319" s="18">
        <v>313</v>
      </c>
      <c r="AH319" s="30">
        <f t="shared" ca="1" si="201"/>
        <v>0</v>
      </c>
      <c r="AI319" s="58"/>
      <c r="AJ319" s="50">
        <f>IF(AND(Option_Sys_TopUp&gt;="Y",H319&gt;=sytp,H319&lt;=(dtp+sytp-1),F319=0,H319&lt;=ppt+1),atp,0)+IFERROR(VLOOKUP(H319,Input!$B$55:$C$61,2,0),0)*(F319=0)*(Option_TopUP="Y")*(Option_Sys_TopUp="N")*B319*(pt&gt;=H319+5)</f>
        <v>0</v>
      </c>
      <c r="AK319" s="50">
        <f t="shared" si="202"/>
        <v>0</v>
      </c>
      <c r="AL319" s="50">
        <f t="shared" si="223"/>
        <v>0</v>
      </c>
      <c r="AM319" s="50">
        <f t="shared" ca="1" si="203"/>
        <v>0</v>
      </c>
      <c r="AN319" s="50">
        <f>IF(B319=0,0,AT319*(_rpm1+(1+_emr1)*VLOOKUP(E319,Tab_Mort_Charge,IF(Input!$C$12="M",2,3),0))*(0.001*0.0833)*Flag_Mort_Rider_Charge*(AT319&gt;0))</f>
        <v>0</v>
      </c>
      <c r="AO319" s="50">
        <f t="shared" ca="1" si="224"/>
        <v>0</v>
      </c>
      <c r="AP319" s="50">
        <f t="shared" ca="1" si="231"/>
        <v>0</v>
      </c>
      <c r="AQ319" s="50">
        <f t="shared" ca="1" si="204"/>
        <v>0</v>
      </c>
      <c r="AR319" s="50">
        <f t="shared" ca="1" si="205"/>
        <v>0</v>
      </c>
      <c r="AS319" s="50">
        <f t="shared" si="206"/>
        <v>0</v>
      </c>
      <c r="AT319" s="50">
        <f ca="1">(MAX((MAX(AS319,105%*SUM($AJ$7:AJ319))-AM319*Flag_UL_Type),0)*B319)</f>
        <v>0</v>
      </c>
      <c r="AU319" s="50">
        <f ca="1">(MAX(AS319,AR319,105%*SUM($AJ$7:AJ319))*B319)</f>
        <v>0</v>
      </c>
      <c r="AV319" s="125"/>
      <c r="AW319" s="13"/>
      <c r="AX319" s="13"/>
      <c r="AY319" s="13"/>
      <c r="AZ319" s="13"/>
      <c r="BA319" s="13"/>
      <c r="BG319" s="51">
        <f t="shared" si="207"/>
        <v>0</v>
      </c>
      <c r="BH319" s="51">
        <f t="shared" si="208"/>
        <v>0</v>
      </c>
      <c r="BI319" s="51">
        <f t="shared" ca="1" si="209"/>
        <v>0</v>
      </c>
      <c r="BJ319" s="51">
        <f t="shared" ca="1" si="210"/>
        <v>0</v>
      </c>
      <c r="BK319" s="51">
        <f t="shared" si="211"/>
        <v>0</v>
      </c>
      <c r="BL319" s="51">
        <f t="shared" ca="1" si="212"/>
        <v>0</v>
      </c>
      <c r="BM319" s="51">
        <f t="shared" si="213"/>
        <v>0</v>
      </c>
      <c r="BN319" s="51">
        <f t="shared" si="214"/>
        <v>0</v>
      </c>
      <c r="BO319" s="51">
        <f t="shared" ca="1" si="215"/>
        <v>0</v>
      </c>
      <c r="BP319" s="51">
        <f t="shared" ca="1" si="216"/>
        <v>0</v>
      </c>
      <c r="BQ319" s="120"/>
      <c r="BR319" s="32"/>
      <c r="BS319" s="126"/>
      <c r="BT319" s="16"/>
      <c r="BU319" s="58"/>
      <c r="BW319" s="51">
        <f>VLOOKUP(H319,Charges!$AT$4:$AU$33,2,FALSE)*I319</f>
        <v>0</v>
      </c>
      <c r="BX319" s="51">
        <f t="shared" si="217"/>
        <v>0</v>
      </c>
      <c r="BY319" s="51">
        <f t="shared" si="225"/>
        <v>0</v>
      </c>
      <c r="BZ319" s="151"/>
      <c r="CA319" s="151"/>
      <c r="CB319" s="32"/>
      <c r="CC319" s="16">
        <f ca="1">SUM($N$7:$N319)</f>
        <v>0</v>
      </c>
      <c r="CD319" s="16">
        <f t="shared" ca="1" si="218"/>
        <v>0</v>
      </c>
      <c r="CE319" s="16">
        <f t="shared" ca="1" si="219"/>
        <v>0</v>
      </c>
      <c r="CF319" s="7">
        <f t="shared" ca="1" si="226"/>
        <v>0</v>
      </c>
    </row>
    <row r="320" spans="1:84" s="7" customFormat="1" x14ac:dyDescent="0.2">
      <c r="A320" s="149"/>
      <c r="B320" s="14">
        <f t="shared" si="188"/>
        <v>0</v>
      </c>
      <c r="C320" s="12">
        <f t="shared" si="189"/>
        <v>0</v>
      </c>
      <c r="D320" s="17">
        <f t="shared" si="227"/>
        <v>314</v>
      </c>
      <c r="E320" s="17">
        <f t="shared" ca="1" si="190"/>
        <v>86</v>
      </c>
      <c r="F320" s="12">
        <f t="shared" si="229"/>
        <v>1</v>
      </c>
      <c r="G320" s="12">
        <f t="shared" si="228"/>
        <v>53</v>
      </c>
      <c r="H320" s="17">
        <f t="shared" si="230"/>
        <v>27</v>
      </c>
      <c r="I320" s="29">
        <f t="shared" si="191"/>
        <v>0</v>
      </c>
      <c r="J320" s="211">
        <f>IFERROR(VLOOKUP(H320,Charges!$T$6:$U$35,2,0)*C320,0)</f>
        <v>0</v>
      </c>
      <c r="K320" s="29">
        <f t="shared" si="192"/>
        <v>0</v>
      </c>
      <c r="L320" s="29">
        <f t="shared" si="193"/>
        <v>0</v>
      </c>
      <c r="M320" s="147">
        <f t="shared" ca="1" si="194"/>
        <v>0</v>
      </c>
      <c r="N320" s="148">
        <f ca="1">IF(AND(Option_SPW="Y",Z319&gt;=SPW_Start_Min_FV,H320&gt;=Lock_In_Period,Z319&gt;SPW_Amount_pa+IF(option="Single",1/5*pr,2*pr),H320&gt;=SPW_Start_Year,H320&lt;=SPW_Start_Year+SPW_Duration-1,F320=0,age+H320&gt;=Legal_Age),SPW_Amount_pa,0)+IFERROR(VLOOKUP(H320,Input!$B$68:$C$74,2,0),0)*(F320=0)*(Option_PW="Y")*(Option_SPW="N")*(age+H320&gt;=Legal_Age)</f>
        <v>0</v>
      </c>
      <c r="O320" s="148">
        <f t="shared" ca="1" si="220"/>
        <v>0</v>
      </c>
      <c r="P320" s="14">
        <f ca="1">(MAX(MAX(sa-CF319*Flag_UL_Type,105%*SUM($I$7:I320))-(AD319+L320-N320)*Flag_UL_Type,0)*B320)</f>
        <v>0</v>
      </c>
      <c r="Q320" s="213">
        <f t="shared" si="195"/>
        <v>0</v>
      </c>
      <c r="R320" s="14">
        <f t="shared" ca="1" si="196"/>
        <v>0</v>
      </c>
      <c r="S320" s="14">
        <f t="shared" ca="1" si="197"/>
        <v>0</v>
      </c>
      <c r="T320" s="14">
        <f>IFERROR(IF(WoP_Flag="Y",IF(fq=1,VLOOKUP(ppt*fq-H320,Charges!$AN$41:$AO$59,2,FALSE),IF(fq=2,VLOOKUP(ppt*fq-G320,Charges!$AP$41:$AQ$79,2,FALSE),VLOOKUP(ppt*fq-D320,Charges!$AR$41:$AS$279,2,FALSE)))*pr/fq,0),0)</f>
        <v>0</v>
      </c>
      <c r="U320" s="14">
        <f ca="1">IFERROR(((T320*(VLOOKUP(Input!$D$18+H320-1,Tab_Mort_Charge,IF(Gender_2="M",2,3),FALSE)*(1+_emr2)+_rpm2)/IF(Model_Type="LA_PQIS",1000/0.0833,(12*1000))))*Flag_Mort_Rider_Charge*(T320&gt;0),0)</f>
        <v>0</v>
      </c>
      <c r="V320" s="34">
        <f>ROUND(MIN(IF(H320&gt;=7,Charges!$C$12*(1+Charges!$C$14)^((H320-7+1)),VLOOKUP(H320,Charges!$B$7:$C$12,2,0))*pr,Charges!$C$13)*B320,Round)</f>
        <v>0</v>
      </c>
      <c r="W320" s="14">
        <f t="shared" ca="1" si="198"/>
        <v>0</v>
      </c>
      <c r="X320" s="14">
        <f t="shared" ca="1" si="199"/>
        <v>0</v>
      </c>
      <c r="Y320" s="213">
        <f t="shared" ca="1" si="221"/>
        <v>0</v>
      </c>
      <c r="Z320" s="14">
        <f t="shared" ca="1" si="200"/>
        <v>0</v>
      </c>
      <c r="AA320" s="14">
        <f>IF(AND($H320=pt,$F320=11),SUM($K$7:K320)*VLOOKUP(pt,ROC,2,FALSE),0)</f>
        <v>0</v>
      </c>
      <c r="AB320" s="14">
        <f>IF(AND($H320=pt,$F320=11),SUM($V$7:V320)*VLOOKUP(pt,ROC,2,FALSE),0)</f>
        <v>0</v>
      </c>
      <c r="AC320" s="14">
        <f>IF(AND($H320=pt,$F320=11),SUM($Q$7:Q320)*VLOOKUP(pt,ROC,2,FALSE),0)</f>
        <v>0</v>
      </c>
      <c r="AD320" s="14">
        <f t="shared" ca="1" si="222"/>
        <v>0</v>
      </c>
      <c r="AE320" s="14">
        <f ca="1">(MAX(sa-CF319*Flag_UL_Type,105%*SUM($I$7:I320),Z320)+AU320)*B320</f>
        <v>0</v>
      </c>
      <c r="AF320" s="136"/>
      <c r="AG320" s="18">
        <v>314</v>
      </c>
      <c r="AH320" s="30">
        <f t="shared" ca="1" si="201"/>
        <v>0</v>
      </c>
      <c r="AI320" s="58"/>
      <c r="AJ320" s="50">
        <f>IF(AND(Option_Sys_TopUp&gt;="Y",H320&gt;=sytp,H320&lt;=(dtp+sytp-1),F320=0,H320&lt;=ppt+1),atp,0)+IFERROR(VLOOKUP(H320,Input!$B$55:$C$61,2,0),0)*(F320=0)*(Option_TopUP="Y")*(Option_Sys_TopUp="N")*B320*(pt&gt;=H320+5)</f>
        <v>0</v>
      </c>
      <c r="AK320" s="50">
        <f t="shared" si="202"/>
        <v>0</v>
      </c>
      <c r="AL320" s="50">
        <f t="shared" si="223"/>
        <v>0</v>
      </c>
      <c r="AM320" s="50">
        <f t="shared" ca="1" si="203"/>
        <v>0</v>
      </c>
      <c r="AN320" s="50">
        <f>IF(B320=0,0,AT320*(_rpm1+(1+_emr1)*VLOOKUP(E320,Tab_Mort_Charge,IF(Input!$C$12="M",2,3),0))*(0.001*0.0833)*Flag_Mort_Rider_Charge*(AT320&gt;0))</f>
        <v>0</v>
      </c>
      <c r="AO320" s="50">
        <f t="shared" ca="1" si="224"/>
        <v>0</v>
      </c>
      <c r="AP320" s="50">
        <f t="shared" ca="1" si="231"/>
        <v>0</v>
      </c>
      <c r="AQ320" s="50">
        <f t="shared" ca="1" si="204"/>
        <v>0</v>
      </c>
      <c r="AR320" s="50">
        <f t="shared" ca="1" si="205"/>
        <v>0</v>
      </c>
      <c r="AS320" s="50">
        <f t="shared" si="206"/>
        <v>0</v>
      </c>
      <c r="AT320" s="50">
        <f ca="1">(MAX((MAX(AS320,105%*SUM($AJ$7:AJ320))-AM320*Flag_UL_Type),0)*B320)</f>
        <v>0</v>
      </c>
      <c r="AU320" s="50">
        <f ca="1">(MAX(AS320,AR320,105%*SUM($AJ$7:AJ320))*B320)</f>
        <v>0</v>
      </c>
      <c r="AV320" s="125"/>
      <c r="AW320" s="13"/>
      <c r="AX320" s="13"/>
      <c r="AY320" s="13"/>
      <c r="AZ320" s="13"/>
      <c r="BA320" s="13"/>
      <c r="BG320" s="51">
        <f t="shared" si="207"/>
        <v>0</v>
      </c>
      <c r="BH320" s="51">
        <f t="shared" si="208"/>
        <v>0</v>
      </c>
      <c r="BI320" s="51">
        <f t="shared" ca="1" si="209"/>
        <v>0</v>
      </c>
      <c r="BJ320" s="51">
        <f t="shared" ca="1" si="210"/>
        <v>0</v>
      </c>
      <c r="BK320" s="51">
        <f t="shared" si="211"/>
        <v>0</v>
      </c>
      <c r="BL320" s="51">
        <f t="shared" ca="1" si="212"/>
        <v>0</v>
      </c>
      <c r="BM320" s="51">
        <f t="shared" si="213"/>
        <v>0</v>
      </c>
      <c r="BN320" s="51">
        <f t="shared" si="214"/>
        <v>0</v>
      </c>
      <c r="BO320" s="51">
        <f t="shared" ca="1" si="215"/>
        <v>0</v>
      </c>
      <c r="BP320" s="51">
        <f t="shared" ca="1" si="216"/>
        <v>0</v>
      </c>
      <c r="BQ320" s="120"/>
      <c r="BR320" s="32"/>
      <c r="BS320" s="126"/>
      <c r="BT320" s="16"/>
      <c r="BU320" s="58"/>
      <c r="BW320" s="51">
        <f>VLOOKUP(H320,Charges!$AT$4:$AU$33,2,FALSE)*I320</f>
        <v>0</v>
      </c>
      <c r="BX320" s="51">
        <f t="shared" si="217"/>
        <v>0</v>
      </c>
      <c r="BY320" s="51">
        <f t="shared" si="225"/>
        <v>0</v>
      </c>
      <c r="BZ320" s="151"/>
      <c r="CA320" s="151"/>
      <c r="CB320" s="32"/>
      <c r="CC320" s="16">
        <f ca="1">SUM($N$7:$N320)</f>
        <v>0</v>
      </c>
      <c r="CD320" s="16">
        <f t="shared" ca="1" si="218"/>
        <v>0</v>
      </c>
      <c r="CE320" s="16">
        <f t="shared" ca="1" si="219"/>
        <v>0</v>
      </c>
      <c r="CF320" s="7">
        <f t="shared" ca="1" si="226"/>
        <v>0</v>
      </c>
    </row>
    <row r="321" spans="1:84" s="7" customFormat="1" x14ac:dyDescent="0.2">
      <c r="A321" s="149"/>
      <c r="B321" s="14">
        <f t="shared" si="188"/>
        <v>0</v>
      </c>
      <c r="C321" s="12">
        <f t="shared" si="189"/>
        <v>0</v>
      </c>
      <c r="D321" s="17">
        <f t="shared" si="227"/>
        <v>315</v>
      </c>
      <c r="E321" s="17">
        <f t="shared" ca="1" si="190"/>
        <v>86</v>
      </c>
      <c r="F321" s="12">
        <f t="shared" si="229"/>
        <v>2</v>
      </c>
      <c r="G321" s="12">
        <f t="shared" si="228"/>
        <v>53</v>
      </c>
      <c r="H321" s="17">
        <f t="shared" si="230"/>
        <v>27</v>
      </c>
      <c r="I321" s="29">
        <f t="shared" si="191"/>
        <v>0</v>
      </c>
      <c r="J321" s="211">
        <f>IFERROR(VLOOKUP(H321,Charges!$T$6:$U$35,2,0)*C321,0)</f>
        <v>0</v>
      </c>
      <c r="K321" s="29">
        <f t="shared" si="192"/>
        <v>0</v>
      </c>
      <c r="L321" s="29">
        <f t="shared" si="193"/>
        <v>0</v>
      </c>
      <c r="M321" s="147">
        <f t="shared" ca="1" si="194"/>
        <v>0</v>
      </c>
      <c r="N321" s="148">
        <f ca="1">IF(AND(Option_SPW="Y",Z320&gt;=SPW_Start_Min_FV,H321&gt;=Lock_In_Period,Z320&gt;SPW_Amount_pa+IF(option="Single",1/5*pr,2*pr),H321&gt;=SPW_Start_Year,H321&lt;=SPW_Start_Year+SPW_Duration-1,F321=0,age+H321&gt;=Legal_Age),SPW_Amount_pa,0)+IFERROR(VLOOKUP(H321,Input!$B$68:$C$74,2,0),0)*(F321=0)*(Option_PW="Y")*(Option_SPW="N")*(age+H321&gt;=Legal_Age)</f>
        <v>0</v>
      </c>
      <c r="O321" s="148">
        <f t="shared" ca="1" si="220"/>
        <v>0</v>
      </c>
      <c r="P321" s="14">
        <f ca="1">(MAX(MAX(sa-CF320*Flag_UL_Type,105%*SUM($I$7:I321))-(AD320+L321-N321)*Flag_UL_Type,0)*B321)</f>
        <v>0</v>
      </c>
      <c r="Q321" s="213">
        <f t="shared" si="195"/>
        <v>0</v>
      </c>
      <c r="R321" s="14">
        <f t="shared" ca="1" si="196"/>
        <v>0</v>
      </c>
      <c r="S321" s="14">
        <f t="shared" ca="1" si="197"/>
        <v>0</v>
      </c>
      <c r="T321" s="14">
        <f>IFERROR(IF(WoP_Flag="Y",IF(fq=1,VLOOKUP(ppt*fq-H321,Charges!$AN$41:$AO$59,2,FALSE),IF(fq=2,VLOOKUP(ppt*fq-G321,Charges!$AP$41:$AQ$79,2,FALSE),VLOOKUP(ppt*fq-D321,Charges!$AR$41:$AS$279,2,FALSE)))*pr/fq,0),0)</f>
        <v>0</v>
      </c>
      <c r="U321" s="14">
        <f ca="1">IFERROR(((T321*(VLOOKUP(Input!$D$18+H321-1,Tab_Mort_Charge,IF(Gender_2="M",2,3),FALSE)*(1+_emr2)+_rpm2)/IF(Model_Type="LA_PQIS",1000/0.0833,(12*1000))))*Flag_Mort_Rider_Charge*(T321&gt;0),0)</f>
        <v>0</v>
      </c>
      <c r="V321" s="34">
        <f>ROUND(MIN(IF(H321&gt;=7,Charges!$C$12*(1+Charges!$C$14)^((H321-7+1)),VLOOKUP(H321,Charges!$B$7:$C$12,2,0))*pr,Charges!$C$13)*B321,Round)</f>
        <v>0</v>
      </c>
      <c r="W321" s="14">
        <f t="shared" ca="1" si="198"/>
        <v>0</v>
      </c>
      <c r="X321" s="14">
        <f t="shared" ca="1" si="199"/>
        <v>0</v>
      </c>
      <c r="Y321" s="213">
        <f t="shared" ca="1" si="221"/>
        <v>0</v>
      </c>
      <c r="Z321" s="14">
        <f t="shared" ca="1" si="200"/>
        <v>0</v>
      </c>
      <c r="AA321" s="14">
        <f>IF(AND($H321=pt,$F321=11),SUM($K$7:K321)*VLOOKUP(pt,ROC,2,FALSE),0)</f>
        <v>0</v>
      </c>
      <c r="AB321" s="14">
        <f>IF(AND($H321=pt,$F321=11),SUM($V$7:V321)*VLOOKUP(pt,ROC,2,FALSE),0)</f>
        <v>0</v>
      </c>
      <c r="AC321" s="14">
        <f>IF(AND($H321=pt,$F321=11),SUM($Q$7:Q321)*VLOOKUP(pt,ROC,2,FALSE),0)</f>
        <v>0</v>
      </c>
      <c r="AD321" s="14">
        <f t="shared" ca="1" si="222"/>
        <v>0</v>
      </c>
      <c r="AE321" s="14">
        <f ca="1">(MAX(sa-CF320*Flag_UL_Type,105%*SUM($I$7:I321),Z321)+AU321)*B321</f>
        <v>0</v>
      </c>
      <c r="AF321" s="136"/>
      <c r="AG321" s="18">
        <v>315</v>
      </c>
      <c r="AH321" s="30">
        <f t="shared" ca="1" si="201"/>
        <v>0</v>
      </c>
      <c r="AI321" s="58"/>
      <c r="AJ321" s="50">
        <f>IF(AND(Option_Sys_TopUp&gt;="Y",H321&gt;=sytp,H321&lt;=(dtp+sytp-1),F321=0,H321&lt;=ppt+1),atp,0)+IFERROR(VLOOKUP(H321,Input!$B$55:$C$61,2,0),0)*(F321=0)*(Option_TopUP="Y")*(Option_Sys_TopUp="N")*B321*(pt&gt;=H321+5)</f>
        <v>0</v>
      </c>
      <c r="AK321" s="50">
        <f t="shared" si="202"/>
        <v>0</v>
      </c>
      <c r="AL321" s="50">
        <f t="shared" si="223"/>
        <v>0</v>
      </c>
      <c r="AM321" s="50">
        <f t="shared" ca="1" si="203"/>
        <v>0</v>
      </c>
      <c r="AN321" s="50">
        <f>IF(B321=0,0,AT321*(_rpm1+(1+_emr1)*VLOOKUP(E321,Tab_Mort_Charge,IF(Input!$C$12="M",2,3),0))*(0.001*0.0833)*Flag_Mort_Rider_Charge*(AT321&gt;0))</f>
        <v>0</v>
      </c>
      <c r="AO321" s="50">
        <f t="shared" ca="1" si="224"/>
        <v>0</v>
      </c>
      <c r="AP321" s="50">
        <f t="shared" ca="1" si="231"/>
        <v>0</v>
      </c>
      <c r="AQ321" s="50">
        <f t="shared" ca="1" si="204"/>
        <v>0</v>
      </c>
      <c r="AR321" s="50">
        <f t="shared" ca="1" si="205"/>
        <v>0</v>
      </c>
      <c r="AS321" s="50">
        <f t="shared" si="206"/>
        <v>0</v>
      </c>
      <c r="AT321" s="50">
        <f ca="1">(MAX((MAX(AS321,105%*SUM($AJ$7:AJ321))-AM321*Flag_UL_Type),0)*B321)</f>
        <v>0</v>
      </c>
      <c r="AU321" s="50">
        <f ca="1">(MAX(AS321,AR321,105%*SUM($AJ$7:AJ321))*B321)</f>
        <v>0</v>
      </c>
      <c r="AV321" s="125"/>
      <c r="AW321" s="13"/>
      <c r="AX321" s="13"/>
      <c r="AY321" s="13"/>
      <c r="AZ321" s="13"/>
      <c r="BA321" s="13"/>
      <c r="BG321" s="51">
        <f t="shared" si="207"/>
        <v>0</v>
      </c>
      <c r="BH321" s="51">
        <f t="shared" si="208"/>
        <v>0</v>
      </c>
      <c r="BI321" s="51">
        <f t="shared" ca="1" si="209"/>
        <v>0</v>
      </c>
      <c r="BJ321" s="51">
        <f t="shared" ca="1" si="210"/>
        <v>0</v>
      </c>
      <c r="BK321" s="51">
        <f t="shared" si="211"/>
        <v>0</v>
      </c>
      <c r="BL321" s="51">
        <f t="shared" ca="1" si="212"/>
        <v>0</v>
      </c>
      <c r="BM321" s="51">
        <f t="shared" si="213"/>
        <v>0</v>
      </c>
      <c r="BN321" s="51">
        <f t="shared" si="214"/>
        <v>0</v>
      </c>
      <c r="BO321" s="51">
        <f t="shared" ca="1" si="215"/>
        <v>0</v>
      </c>
      <c r="BP321" s="51">
        <f t="shared" ca="1" si="216"/>
        <v>0</v>
      </c>
      <c r="BQ321" s="120"/>
      <c r="BR321" s="32"/>
      <c r="BS321" s="126"/>
      <c r="BT321" s="16"/>
      <c r="BU321" s="58"/>
      <c r="BW321" s="51">
        <f>VLOOKUP(H321,Charges!$AT$4:$AU$33,2,FALSE)*I321</f>
        <v>0</v>
      </c>
      <c r="BX321" s="51">
        <f t="shared" si="217"/>
        <v>0</v>
      </c>
      <c r="BY321" s="51">
        <f t="shared" si="225"/>
        <v>0</v>
      </c>
      <c r="BZ321" s="151"/>
      <c r="CA321" s="151"/>
      <c r="CB321" s="32"/>
      <c r="CC321" s="16">
        <f ca="1">SUM($N$7:$N321)</f>
        <v>0</v>
      </c>
      <c r="CD321" s="16">
        <f t="shared" ca="1" si="218"/>
        <v>0</v>
      </c>
      <c r="CE321" s="16">
        <f t="shared" ca="1" si="219"/>
        <v>0</v>
      </c>
      <c r="CF321" s="7">
        <f t="shared" ca="1" si="226"/>
        <v>0</v>
      </c>
    </row>
    <row r="322" spans="1:84" s="7" customFormat="1" x14ac:dyDescent="0.2">
      <c r="A322" s="149"/>
      <c r="B322" s="14">
        <f t="shared" si="188"/>
        <v>0</v>
      </c>
      <c r="C322" s="12">
        <f t="shared" si="189"/>
        <v>0</v>
      </c>
      <c r="D322" s="17">
        <f t="shared" si="227"/>
        <v>316</v>
      </c>
      <c r="E322" s="17">
        <f t="shared" ca="1" si="190"/>
        <v>86</v>
      </c>
      <c r="F322" s="12">
        <f t="shared" si="229"/>
        <v>3</v>
      </c>
      <c r="G322" s="12">
        <f t="shared" si="228"/>
        <v>53</v>
      </c>
      <c r="H322" s="17">
        <f t="shared" si="230"/>
        <v>27</v>
      </c>
      <c r="I322" s="29">
        <f t="shared" si="191"/>
        <v>0</v>
      </c>
      <c r="J322" s="211">
        <f>IFERROR(VLOOKUP(H322,Charges!$T$6:$U$35,2,0)*C322,0)</f>
        <v>0</v>
      </c>
      <c r="K322" s="29">
        <f t="shared" si="192"/>
        <v>0</v>
      </c>
      <c r="L322" s="29">
        <f t="shared" si="193"/>
        <v>0</v>
      </c>
      <c r="M322" s="147">
        <f t="shared" ca="1" si="194"/>
        <v>0</v>
      </c>
      <c r="N322" s="148">
        <f ca="1">IF(AND(Option_SPW="Y",Z321&gt;=SPW_Start_Min_FV,H322&gt;=Lock_In_Period,Z321&gt;SPW_Amount_pa+IF(option="Single",1/5*pr,2*pr),H322&gt;=SPW_Start_Year,H322&lt;=SPW_Start_Year+SPW_Duration-1,F322=0,age+H322&gt;=Legal_Age),SPW_Amount_pa,0)+IFERROR(VLOOKUP(H322,Input!$B$68:$C$74,2,0),0)*(F322=0)*(Option_PW="Y")*(Option_SPW="N")*(age+H322&gt;=Legal_Age)</f>
        <v>0</v>
      </c>
      <c r="O322" s="148">
        <f t="shared" ca="1" si="220"/>
        <v>0</v>
      </c>
      <c r="P322" s="14">
        <f ca="1">(MAX(MAX(sa-CF321*Flag_UL_Type,105%*SUM($I$7:I322))-(AD321+L322-N322)*Flag_UL_Type,0)*B322)</f>
        <v>0</v>
      </c>
      <c r="Q322" s="213">
        <f t="shared" si="195"/>
        <v>0</v>
      </c>
      <c r="R322" s="14">
        <f t="shared" ca="1" si="196"/>
        <v>0</v>
      </c>
      <c r="S322" s="14">
        <f t="shared" ca="1" si="197"/>
        <v>0</v>
      </c>
      <c r="T322" s="14">
        <f>IFERROR(IF(WoP_Flag="Y",IF(fq=1,VLOOKUP(ppt*fq-H322,Charges!$AN$41:$AO$59,2,FALSE),IF(fq=2,VLOOKUP(ppt*fq-G322,Charges!$AP$41:$AQ$79,2,FALSE),VLOOKUP(ppt*fq-D322,Charges!$AR$41:$AS$279,2,FALSE)))*pr/fq,0),0)</f>
        <v>0</v>
      </c>
      <c r="U322" s="14">
        <f ca="1">IFERROR(((T322*(VLOOKUP(Input!$D$18+H322-1,Tab_Mort_Charge,IF(Gender_2="M",2,3),FALSE)*(1+_emr2)+_rpm2)/IF(Model_Type="LA_PQIS",1000/0.0833,(12*1000))))*Flag_Mort_Rider_Charge*(T322&gt;0),0)</f>
        <v>0</v>
      </c>
      <c r="V322" s="34">
        <f>ROUND(MIN(IF(H322&gt;=7,Charges!$C$12*(1+Charges!$C$14)^((H322-7+1)),VLOOKUP(H322,Charges!$B$7:$C$12,2,0))*pr,Charges!$C$13)*B322,Round)</f>
        <v>0</v>
      </c>
      <c r="W322" s="14">
        <f t="shared" ca="1" si="198"/>
        <v>0</v>
      </c>
      <c r="X322" s="14">
        <f t="shared" ca="1" si="199"/>
        <v>0</v>
      </c>
      <c r="Y322" s="213">
        <f t="shared" ca="1" si="221"/>
        <v>0</v>
      </c>
      <c r="Z322" s="14">
        <f t="shared" ca="1" si="200"/>
        <v>0</v>
      </c>
      <c r="AA322" s="14">
        <f>IF(AND($H322=pt,$F322=11),SUM($K$7:K322)*VLOOKUP(pt,ROC,2,FALSE),0)</f>
        <v>0</v>
      </c>
      <c r="AB322" s="14">
        <f>IF(AND($H322=pt,$F322=11),SUM($V$7:V322)*VLOOKUP(pt,ROC,2,FALSE),0)</f>
        <v>0</v>
      </c>
      <c r="AC322" s="14">
        <f>IF(AND($H322=pt,$F322=11),SUM($Q$7:Q322)*VLOOKUP(pt,ROC,2,FALSE),0)</f>
        <v>0</v>
      </c>
      <c r="AD322" s="14">
        <f t="shared" ca="1" si="222"/>
        <v>0</v>
      </c>
      <c r="AE322" s="14">
        <f ca="1">(MAX(sa-CF321*Flag_UL_Type,105%*SUM($I$7:I322),Z322)+AU322)*B322</f>
        <v>0</v>
      </c>
      <c r="AF322" s="136"/>
      <c r="AG322" s="18">
        <v>316</v>
      </c>
      <c r="AH322" s="30">
        <f t="shared" ca="1" si="201"/>
        <v>0</v>
      </c>
      <c r="AI322" s="58"/>
      <c r="AJ322" s="50">
        <f>IF(AND(Option_Sys_TopUp&gt;="Y",H322&gt;=sytp,H322&lt;=(dtp+sytp-1),F322=0,H322&lt;=ppt+1),atp,0)+IFERROR(VLOOKUP(H322,Input!$B$55:$C$61,2,0),0)*(F322=0)*(Option_TopUP="Y")*(Option_Sys_TopUp="N")*B322*(pt&gt;=H322+5)</f>
        <v>0</v>
      </c>
      <c r="AK322" s="50">
        <f t="shared" si="202"/>
        <v>0</v>
      </c>
      <c r="AL322" s="50">
        <f t="shared" si="223"/>
        <v>0</v>
      </c>
      <c r="AM322" s="50">
        <f t="shared" ca="1" si="203"/>
        <v>0</v>
      </c>
      <c r="AN322" s="50">
        <f>IF(B322=0,0,AT322*(_rpm1+(1+_emr1)*VLOOKUP(E322,Tab_Mort_Charge,IF(Input!$C$12="M",2,3),0))*(0.001*0.0833)*Flag_Mort_Rider_Charge*(AT322&gt;0))</f>
        <v>0</v>
      </c>
      <c r="AO322" s="50">
        <f t="shared" ca="1" si="224"/>
        <v>0</v>
      </c>
      <c r="AP322" s="50">
        <f t="shared" ca="1" si="231"/>
        <v>0</v>
      </c>
      <c r="AQ322" s="50">
        <f t="shared" ca="1" si="204"/>
        <v>0</v>
      </c>
      <c r="AR322" s="50">
        <f t="shared" ca="1" si="205"/>
        <v>0</v>
      </c>
      <c r="AS322" s="50">
        <f t="shared" si="206"/>
        <v>0</v>
      </c>
      <c r="AT322" s="50">
        <f ca="1">(MAX((MAX(AS322,105%*SUM($AJ$7:AJ322))-AM322*Flag_UL_Type),0)*B322)</f>
        <v>0</v>
      </c>
      <c r="AU322" s="50">
        <f ca="1">(MAX(AS322,AR322,105%*SUM($AJ$7:AJ322))*B322)</f>
        <v>0</v>
      </c>
      <c r="AV322" s="125"/>
      <c r="AW322" s="13"/>
      <c r="AX322" s="13"/>
      <c r="AY322" s="13"/>
      <c r="AZ322" s="13"/>
      <c r="BA322" s="13"/>
      <c r="BG322" s="51">
        <f t="shared" si="207"/>
        <v>0</v>
      </c>
      <c r="BH322" s="51">
        <f t="shared" si="208"/>
        <v>0</v>
      </c>
      <c r="BI322" s="51">
        <f t="shared" ca="1" si="209"/>
        <v>0</v>
      </c>
      <c r="BJ322" s="51">
        <f t="shared" ca="1" si="210"/>
        <v>0</v>
      </c>
      <c r="BK322" s="51">
        <f t="shared" si="211"/>
        <v>0</v>
      </c>
      <c r="BL322" s="51">
        <f t="shared" ca="1" si="212"/>
        <v>0</v>
      </c>
      <c r="BM322" s="51">
        <f t="shared" si="213"/>
        <v>0</v>
      </c>
      <c r="BN322" s="51">
        <f t="shared" si="214"/>
        <v>0</v>
      </c>
      <c r="BO322" s="51">
        <f t="shared" ca="1" si="215"/>
        <v>0</v>
      </c>
      <c r="BP322" s="51">
        <f t="shared" ca="1" si="216"/>
        <v>0</v>
      </c>
      <c r="BQ322" s="120"/>
      <c r="BR322" s="32"/>
      <c r="BS322" s="126"/>
      <c r="BT322" s="16"/>
      <c r="BU322" s="58"/>
      <c r="BW322" s="51">
        <f>VLOOKUP(H322,Charges!$AT$4:$AU$33,2,FALSE)*I322</f>
        <v>0</v>
      </c>
      <c r="BX322" s="51">
        <f t="shared" si="217"/>
        <v>0</v>
      </c>
      <c r="BY322" s="51">
        <f t="shared" si="225"/>
        <v>0</v>
      </c>
      <c r="BZ322" s="151"/>
      <c r="CA322" s="151"/>
      <c r="CB322" s="32"/>
      <c r="CC322" s="16">
        <f ca="1">SUM($N$7:$N322)</f>
        <v>0</v>
      </c>
      <c r="CD322" s="16">
        <f t="shared" ca="1" si="218"/>
        <v>0</v>
      </c>
      <c r="CE322" s="16">
        <f t="shared" ca="1" si="219"/>
        <v>0</v>
      </c>
      <c r="CF322" s="7">
        <f t="shared" ca="1" si="226"/>
        <v>0</v>
      </c>
    </row>
    <row r="323" spans="1:84" s="7" customFormat="1" x14ac:dyDescent="0.2">
      <c r="A323" s="149"/>
      <c r="B323" s="14">
        <f t="shared" si="188"/>
        <v>0</v>
      </c>
      <c r="C323" s="12">
        <f t="shared" si="189"/>
        <v>0</v>
      </c>
      <c r="D323" s="17">
        <f t="shared" si="227"/>
        <v>317</v>
      </c>
      <c r="E323" s="17">
        <f t="shared" ca="1" si="190"/>
        <v>86</v>
      </c>
      <c r="F323" s="12">
        <f t="shared" si="229"/>
        <v>4</v>
      </c>
      <c r="G323" s="12">
        <f t="shared" si="228"/>
        <v>53</v>
      </c>
      <c r="H323" s="17">
        <f t="shared" si="230"/>
        <v>27</v>
      </c>
      <c r="I323" s="29">
        <f t="shared" si="191"/>
        <v>0</v>
      </c>
      <c r="J323" s="211">
        <f>IFERROR(VLOOKUP(H323,Charges!$T$6:$U$35,2,0)*C323,0)</f>
        <v>0</v>
      </c>
      <c r="K323" s="29">
        <f t="shared" si="192"/>
        <v>0</v>
      </c>
      <c r="L323" s="29">
        <f t="shared" si="193"/>
        <v>0</v>
      </c>
      <c r="M323" s="147">
        <f t="shared" ca="1" si="194"/>
        <v>0</v>
      </c>
      <c r="N323" s="148">
        <f ca="1">IF(AND(Option_SPW="Y",Z322&gt;=SPW_Start_Min_FV,H323&gt;=Lock_In_Period,Z322&gt;SPW_Amount_pa+IF(option="Single",1/5*pr,2*pr),H323&gt;=SPW_Start_Year,H323&lt;=SPW_Start_Year+SPW_Duration-1,F323=0,age+H323&gt;=Legal_Age),SPW_Amount_pa,0)+IFERROR(VLOOKUP(H323,Input!$B$68:$C$74,2,0),0)*(F323=0)*(Option_PW="Y")*(Option_SPW="N")*(age+H323&gt;=Legal_Age)</f>
        <v>0</v>
      </c>
      <c r="O323" s="148">
        <f t="shared" ca="1" si="220"/>
        <v>0</v>
      </c>
      <c r="P323" s="14">
        <f ca="1">(MAX(MAX(sa-CF322*Flag_UL_Type,105%*SUM($I$7:I323))-(AD322+L323-N323)*Flag_UL_Type,0)*B323)</f>
        <v>0</v>
      </c>
      <c r="Q323" s="213">
        <f t="shared" si="195"/>
        <v>0</v>
      </c>
      <c r="R323" s="14">
        <f t="shared" ca="1" si="196"/>
        <v>0</v>
      </c>
      <c r="S323" s="14">
        <f t="shared" ca="1" si="197"/>
        <v>0</v>
      </c>
      <c r="T323" s="14">
        <f>IFERROR(IF(WoP_Flag="Y",IF(fq=1,VLOOKUP(ppt*fq-H323,Charges!$AN$41:$AO$59,2,FALSE),IF(fq=2,VLOOKUP(ppt*fq-G323,Charges!$AP$41:$AQ$79,2,FALSE),VLOOKUP(ppt*fq-D323,Charges!$AR$41:$AS$279,2,FALSE)))*pr/fq,0),0)</f>
        <v>0</v>
      </c>
      <c r="U323" s="14">
        <f ca="1">IFERROR(((T323*(VLOOKUP(Input!$D$18+H323-1,Tab_Mort_Charge,IF(Gender_2="M",2,3),FALSE)*(1+_emr2)+_rpm2)/IF(Model_Type="LA_PQIS",1000/0.0833,(12*1000))))*Flag_Mort_Rider_Charge*(T323&gt;0),0)</f>
        <v>0</v>
      </c>
      <c r="V323" s="34">
        <f>ROUND(MIN(IF(H323&gt;=7,Charges!$C$12*(1+Charges!$C$14)^((H323-7+1)),VLOOKUP(H323,Charges!$B$7:$C$12,2,0))*pr,Charges!$C$13)*B323,Round)</f>
        <v>0</v>
      </c>
      <c r="W323" s="14">
        <f t="shared" ca="1" si="198"/>
        <v>0</v>
      </c>
      <c r="X323" s="14">
        <f t="shared" ca="1" si="199"/>
        <v>0</v>
      </c>
      <c r="Y323" s="213">
        <f t="shared" ca="1" si="221"/>
        <v>0</v>
      </c>
      <c r="Z323" s="14">
        <f t="shared" ca="1" si="200"/>
        <v>0</v>
      </c>
      <c r="AA323" s="14">
        <f>IF(AND($H323=pt,$F323=11),SUM($K$7:K323)*VLOOKUP(pt,ROC,2,FALSE),0)</f>
        <v>0</v>
      </c>
      <c r="AB323" s="14">
        <f>IF(AND($H323=pt,$F323=11),SUM($V$7:V323)*VLOOKUP(pt,ROC,2,FALSE),0)</f>
        <v>0</v>
      </c>
      <c r="AC323" s="14">
        <f>IF(AND($H323=pt,$F323=11),SUM($Q$7:Q323)*VLOOKUP(pt,ROC,2,FALSE),0)</f>
        <v>0</v>
      </c>
      <c r="AD323" s="14">
        <f t="shared" ca="1" si="222"/>
        <v>0</v>
      </c>
      <c r="AE323" s="14">
        <f ca="1">(MAX(sa-CF322*Flag_UL_Type,105%*SUM($I$7:I323),Z323)+AU323)*B323</f>
        <v>0</v>
      </c>
      <c r="AF323" s="136"/>
      <c r="AG323" s="18">
        <v>317</v>
      </c>
      <c r="AH323" s="30">
        <f t="shared" ca="1" si="201"/>
        <v>0</v>
      </c>
      <c r="AI323" s="58"/>
      <c r="AJ323" s="50">
        <f>IF(AND(Option_Sys_TopUp&gt;="Y",H323&gt;=sytp,H323&lt;=(dtp+sytp-1),F323=0,H323&lt;=ppt+1),atp,0)+IFERROR(VLOOKUP(H323,Input!$B$55:$C$61,2,0),0)*(F323=0)*(Option_TopUP="Y")*(Option_Sys_TopUp="N")*B323*(pt&gt;=H323+5)</f>
        <v>0</v>
      </c>
      <c r="AK323" s="50">
        <f t="shared" si="202"/>
        <v>0</v>
      </c>
      <c r="AL323" s="50">
        <f t="shared" si="223"/>
        <v>0</v>
      </c>
      <c r="AM323" s="50">
        <f t="shared" ca="1" si="203"/>
        <v>0</v>
      </c>
      <c r="AN323" s="50">
        <f>IF(B323=0,0,AT323*(_rpm1+(1+_emr1)*VLOOKUP(E323,Tab_Mort_Charge,IF(Input!$C$12="M",2,3),0))*(0.001*0.0833)*Flag_Mort_Rider_Charge*(AT323&gt;0))</f>
        <v>0</v>
      </c>
      <c r="AO323" s="50">
        <f t="shared" ca="1" si="224"/>
        <v>0</v>
      </c>
      <c r="AP323" s="50">
        <f t="shared" ca="1" si="231"/>
        <v>0</v>
      </c>
      <c r="AQ323" s="50">
        <f t="shared" ca="1" si="204"/>
        <v>0</v>
      </c>
      <c r="AR323" s="50">
        <f t="shared" ca="1" si="205"/>
        <v>0</v>
      </c>
      <c r="AS323" s="50">
        <f t="shared" si="206"/>
        <v>0</v>
      </c>
      <c r="AT323" s="50">
        <f ca="1">(MAX((MAX(AS323,105%*SUM($AJ$7:AJ323))-AM323*Flag_UL_Type),0)*B323)</f>
        <v>0</v>
      </c>
      <c r="AU323" s="50">
        <f ca="1">(MAX(AS323,AR323,105%*SUM($AJ$7:AJ323))*B323)</f>
        <v>0</v>
      </c>
      <c r="AV323" s="125"/>
      <c r="AW323" s="13"/>
      <c r="AX323" s="13"/>
      <c r="AY323" s="13"/>
      <c r="AZ323" s="13"/>
      <c r="BA323" s="13"/>
      <c r="BG323" s="51">
        <f t="shared" si="207"/>
        <v>0</v>
      </c>
      <c r="BH323" s="51">
        <f t="shared" si="208"/>
        <v>0</v>
      </c>
      <c r="BI323" s="51">
        <f t="shared" ca="1" si="209"/>
        <v>0</v>
      </c>
      <c r="BJ323" s="51">
        <f t="shared" ca="1" si="210"/>
        <v>0</v>
      </c>
      <c r="BK323" s="51">
        <f t="shared" si="211"/>
        <v>0</v>
      </c>
      <c r="BL323" s="51">
        <f t="shared" ca="1" si="212"/>
        <v>0</v>
      </c>
      <c r="BM323" s="51">
        <f t="shared" si="213"/>
        <v>0</v>
      </c>
      <c r="BN323" s="51">
        <f t="shared" si="214"/>
        <v>0</v>
      </c>
      <c r="BO323" s="51">
        <f t="shared" ca="1" si="215"/>
        <v>0</v>
      </c>
      <c r="BP323" s="51">
        <f t="shared" ca="1" si="216"/>
        <v>0</v>
      </c>
      <c r="BQ323" s="120"/>
      <c r="BR323" s="32"/>
      <c r="BS323" s="126"/>
      <c r="BT323" s="16"/>
      <c r="BU323" s="58"/>
      <c r="BW323" s="51">
        <f>VLOOKUP(H323,Charges!$AT$4:$AU$33,2,FALSE)*I323</f>
        <v>0</v>
      </c>
      <c r="BX323" s="51">
        <f t="shared" si="217"/>
        <v>0</v>
      </c>
      <c r="BY323" s="51">
        <f t="shared" si="225"/>
        <v>0</v>
      </c>
      <c r="BZ323" s="151"/>
      <c r="CA323" s="151"/>
      <c r="CB323" s="32"/>
      <c r="CC323" s="16">
        <f ca="1">SUM($N$7:$N323)</f>
        <v>0</v>
      </c>
      <c r="CD323" s="16">
        <f t="shared" ca="1" si="218"/>
        <v>0</v>
      </c>
      <c r="CE323" s="16">
        <f t="shared" ca="1" si="219"/>
        <v>0</v>
      </c>
      <c r="CF323" s="7">
        <f t="shared" ca="1" si="226"/>
        <v>0</v>
      </c>
    </row>
    <row r="324" spans="1:84" s="7" customFormat="1" x14ac:dyDescent="0.2">
      <c r="A324" s="149"/>
      <c r="B324" s="14">
        <f t="shared" si="188"/>
        <v>0</v>
      </c>
      <c r="C324" s="12">
        <f t="shared" si="189"/>
        <v>0</v>
      </c>
      <c r="D324" s="17">
        <f t="shared" si="227"/>
        <v>318</v>
      </c>
      <c r="E324" s="17">
        <f t="shared" ca="1" si="190"/>
        <v>86</v>
      </c>
      <c r="F324" s="12">
        <f t="shared" si="229"/>
        <v>5</v>
      </c>
      <c r="G324" s="12">
        <f t="shared" si="228"/>
        <v>53</v>
      </c>
      <c r="H324" s="17">
        <f t="shared" si="230"/>
        <v>27</v>
      </c>
      <c r="I324" s="29">
        <f t="shared" si="191"/>
        <v>0</v>
      </c>
      <c r="J324" s="211">
        <f>IFERROR(VLOOKUP(H324,Charges!$T$6:$U$35,2,0)*C324,0)</f>
        <v>0</v>
      </c>
      <c r="K324" s="29">
        <f t="shared" si="192"/>
        <v>0</v>
      </c>
      <c r="L324" s="29">
        <f t="shared" si="193"/>
        <v>0</v>
      </c>
      <c r="M324" s="147">
        <f t="shared" ca="1" si="194"/>
        <v>0</v>
      </c>
      <c r="N324" s="148">
        <f ca="1">IF(AND(Option_SPW="Y",Z323&gt;=SPW_Start_Min_FV,H324&gt;=Lock_In_Period,Z323&gt;SPW_Amount_pa+IF(option="Single",1/5*pr,2*pr),H324&gt;=SPW_Start_Year,H324&lt;=SPW_Start_Year+SPW_Duration-1,F324=0,age+H324&gt;=Legal_Age),SPW_Amount_pa,0)+IFERROR(VLOOKUP(H324,Input!$B$68:$C$74,2,0),0)*(F324=0)*(Option_PW="Y")*(Option_SPW="N")*(age+H324&gt;=Legal_Age)</f>
        <v>0</v>
      </c>
      <c r="O324" s="148">
        <f t="shared" ca="1" si="220"/>
        <v>0</v>
      </c>
      <c r="P324" s="14">
        <f ca="1">(MAX(MAX(sa-CF323*Flag_UL_Type,105%*SUM($I$7:I324))-(AD323+L324-N324)*Flag_UL_Type,0)*B324)</f>
        <v>0</v>
      </c>
      <c r="Q324" s="213">
        <f t="shared" si="195"/>
        <v>0</v>
      </c>
      <c r="R324" s="14">
        <f t="shared" ca="1" si="196"/>
        <v>0</v>
      </c>
      <c r="S324" s="14">
        <f t="shared" ca="1" si="197"/>
        <v>0</v>
      </c>
      <c r="T324" s="14">
        <f>IFERROR(IF(WoP_Flag="Y",IF(fq=1,VLOOKUP(ppt*fq-H324,Charges!$AN$41:$AO$59,2,FALSE),IF(fq=2,VLOOKUP(ppt*fq-G324,Charges!$AP$41:$AQ$79,2,FALSE),VLOOKUP(ppt*fq-D324,Charges!$AR$41:$AS$279,2,FALSE)))*pr/fq,0),0)</f>
        <v>0</v>
      </c>
      <c r="U324" s="14">
        <f ca="1">IFERROR(((T324*(VLOOKUP(Input!$D$18+H324-1,Tab_Mort_Charge,IF(Gender_2="M",2,3),FALSE)*(1+_emr2)+_rpm2)/IF(Model_Type="LA_PQIS",1000/0.0833,(12*1000))))*Flag_Mort_Rider_Charge*(T324&gt;0),0)</f>
        <v>0</v>
      </c>
      <c r="V324" s="34">
        <f>ROUND(MIN(IF(H324&gt;=7,Charges!$C$12*(1+Charges!$C$14)^((H324-7+1)),VLOOKUP(H324,Charges!$B$7:$C$12,2,0))*pr,Charges!$C$13)*B324,Round)</f>
        <v>0</v>
      </c>
      <c r="W324" s="14">
        <f t="shared" ca="1" si="198"/>
        <v>0</v>
      </c>
      <c r="X324" s="14">
        <f t="shared" ca="1" si="199"/>
        <v>0</v>
      </c>
      <c r="Y324" s="213">
        <f t="shared" ca="1" si="221"/>
        <v>0</v>
      </c>
      <c r="Z324" s="14">
        <f t="shared" ca="1" si="200"/>
        <v>0</v>
      </c>
      <c r="AA324" s="14">
        <f>IF(AND($H324=pt,$F324=11),SUM($K$7:K324)*VLOOKUP(pt,ROC,2,FALSE),0)</f>
        <v>0</v>
      </c>
      <c r="AB324" s="14">
        <f>IF(AND($H324=pt,$F324=11),SUM($V$7:V324)*VLOOKUP(pt,ROC,2,FALSE),0)</f>
        <v>0</v>
      </c>
      <c r="AC324" s="14">
        <f>IF(AND($H324=pt,$F324=11),SUM($Q$7:Q324)*VLOOKUP(pt,ROC,2,FALSE),0)</f>
        <v>0</v>
      </c>
      <c r="AD324" s="14">
        <f t="shared" ca="1" si="222"/>
        <v>0</v>
      </c>
      <c r="AE324" s="14">
        <f ca="1">(MAX(sa-CF323*Flag_UL_Type,105%*SUM($I$7:I324),Z324)+AU324)*B324</f>
        <v>0</v>
      </c>
      <c r="AF324" s="136"/>
      <c r="AG324" s="18">
        <v>318</v>
      </c>
      <c r="AH324" s="30">
        <f t="shared" ca="1" si="201"/>
        <v>0</v>
      </c>
      <c r="AI324" s="58"/>
      <c r="AJ324" s="50">
        <f>IF(AND(Option_Sys_TopUp&gt;="Y",H324&gt;=sytp,H324&lt;=(dtp+sytp-1),F324=0,H324&lt;=ppt+1),atp,0)+IFERROR(VLOOKUP(H324,Input!$B$55:$C$61,2,0),0)*(F324=0)*(Option_TopUP="Y")*(Option_Sys_TopUp="N")*B324*(pt&gt;=H324+5)</f>
        <v>0</v>
      </c>
      <c r="AK324" s="50">
        <f t="shared" si="202"/>
        <v>0</v>
      </c>
      <c r="AL324" s="50">
        <f t="shared" si="223"/>
        <v>0</v>
      </c>
      <c r="AM324" s="50">
        <f t="shared" ca="1" si="203"/>
        <v>0</v>
      </c>
      <c r="AN324" s="50">
        <f>IF(B324=0,0,AT324*(_rpm1+(1+_emr1)*VLOOKUP(E324,Tab_Mort_Charge,IF(Input!$C$12="M",2,3),0))*(0.001*0.0833)*Flag_Mort_Rider_Charge*(AT324&gt;0))</f>
        <v>0</v>
      </c>
      <c r="AO324" s="50">
        <f t="shared" ca="1" si="224"/>
        <v>0</v>
      </c>
      <c r="AP324" s="50">
        <f t="shared" ca="1" si="231"/>
        <v>0</v>
      </c>
      <c r="AQ324" s="50">
        <f t="shared" ca="1" si="204"/>
        <v>0</v>
      </c>
      <c r="AR324" s="50">
        <f t="shared" ca="1" si="205"/>
        <v>0</v>
      </c>
      <c r="AS324" s="50">
        <f t="shared" si="206"/>
        <v>0</v>
      </c>
      <c r="AT324" s="50">
        <f ca="1">(MAX((MAX(AS324,105%*SUM($AJ$7:AJ324))-AM324*Flag_UL_Type),0)*B324)</f>
        <v>0</v>
      </c>
      <c r="AU324" s="50">
        <f ca="1">(MAX(AS324,AR324,105%*SUM($AJ$7:AJ324))*B324)</f>
        <v>0</v>
      </c>
      <c r="AV324" s="125"/>
      <c r="AW324" s="13"/>
      <c r="AX324" s="13"/>
      <c r="AY324" s="13"/>
      <c r="AZ324" s="13"/>
      <c r="BA324" s="13"/>
      <c r="BG324" s="51">
        <f t="shared" si="207"/>
        <v>0</v>
      </c>
      <c r="BH324" s="51">
        <f t="shared" si="208"/>
        <v>0</v>
      </c>
      <c r="BI324" s="51">
        <f t="shared" ca="1" si="209"/>
        <v>0</v>
      </c>
      <c r="BJ324" s="51">
        <f t="shared" ca="1" si="210"/>
        <v>0</v>
      </c>
      <c r="BK324" s="51">
        <f t="shared" si="211"/>
        <v>0</v>
      </c>
      <c r="BL324" s="51">
        <f t="shared" ca="1" si="212"/>
        <v>0</v>
      </c>
      <c r="BM324" s="51">
        <f t="shared" si="213"/>
        <v>0</v>
      </c>
      <c r="BN324" s="51">
        <f t="shared" si="214"/>
        <v>0</v>
      </c>
      <c r="BO324" s="51">
        <f t="shared" ca="1" si="215"/>
        <v>0</v>
      </c>
      <c r="BP324" s="51">
        <f t="shared" ca="1" si="216"/>
        <v>0</v>
      </c>
      <c r="BQ324" s="120"/>
      <c r="BR324" s="32"/>
      <c r="BS324" s="126"/>
      <c r="BT324" s="16"/>
      <c r="BU324" s="58"/>
      <c r="BW324" s="51">
        <f>VLOOKUP(H324,Charges!$AT$4:$AU$33,2,FALSE)*I324</f>
        <v>0</v>
      </c>
      <c r="BX324" s="51">
        <f t="shared" si="217"/>
        <v>0</v>
      </c>
      <c r="BY324" s="51">
        <f t="shared" si="225"/>
        <v>0</v>
      </c>
      <c r="BZ324" s="151"/>
      <c r="CA324" s="151"/>
      <c r="CB324" s="32"/>
      <c r="CC324" s="16">
        <f ca="1">SUM($N$7:$N324)</f>
        <v>0</v>
      </c>
      <c r="CD324" s="16">
        <f t="shared" ca="1" si="218"/>
        <v>0</v>
      </c>
      <c r="CE324" s="16">
        <f t="shared" ca="1" si="219"/>
        <v>0</v>
      </c>
      <c r="CF324" s="7">
        <f t="shared" ca="1" si="226"/>
        <v>0</v>
      </c>
    </row>
    <row r="325" spans="1:84" s="7" customFormat="1" x14ac:dyDescent="0.2">
      <c r="A325" s="149"/>
      <c r="B325" s="14">
        <f t="shared" si="188"/>
        <v>0</v>
      </c>
      <c r="C325" s="12">
        <f t="shared" si="189"/>
        <v>0</v>
      </c>
      <c r="D325" s="17">
        <f t="shared" si="227"/>
        <v>319</v>
      </c>
      <c r="E325" s="17">
        <f t="shared" ca="1" si="190"/>
        <v>86</v>
      </c>
      <c r="F325" s="12">
        <f t="shared" si="229"/>
        <v>6</v>
      </c>
      <c r="G325" s="12">
        <f t="shared" si="228"/>
        <v>54</v>
      </c>
      <c r="H325" s="17">
        <f t="shared" si="230"/>
        <v>27</v>
      </c>
      <c r="I325" s="29">
        <f t="shared" si="191"/>
        <v>0</v>
      </c>
      <c r="J325" s="211">
        <f>IFERROR(VLOOKUP(H325,Charges!$T$6:$U$35,2,0)*C325,0)</f>
        <v>0</v>
      </c>
      <c r="K325" s="29">
        <f t="shared" si="192"/>
        <v>0</v>
      </c>
      <c r="L325" s="29">
        <f t="shared" si="193"/>
        <v>0</v>
      </c>
      <c r="M325" s="147">
        <f t="shared" ca="1" si="194"/>
        <v>0</v>
      </c>
      <c r="N325" s="148">
        <f ca="1">IF(AND(Option_SPW="Y",Z324&gt;=SPW_Start_Min_FV,H325&gt;=Lock_In_Period,Z324&gt;SPW_Amount_pa+IF(option="Single",1/5*pr,2*pr),H325&gt;=SPW_Start_Year,H325&lt;=SPW_Start_Year+SPW_Duration-1,F325=0,age+H325&gt;=Legal_Age),SPW_Amount_pa,0)+IFERROR(VLOOKUP(H325,Input!$B$68:$C$74,2,0),0)*(F325=0)*(Option_PW="Y")*(Option_SPW="N")*(age+H325&gt;=Legal_Age)</f>
        <v>0</v>
      </c>
      <c r="O325" s="148">
        <f t="shared" ca="1" si="220"/>
        <v>0</v>
      </c>
      <c r="P325" s="14">
        <f ca="1">(MAX(MAX(sa-CF324*Flag_UL_Type,105%*SUM($I$7:I325))-(AD324+L325-N325)*Flag_UL_Type,0)*B325)</f>
        <v>0</v>
      </c>
      <c r="Q325" s="213">
        <f t="shared" si="195"/>
        <v>0</v>
      </c>
      <c r="R325" s="14">
        <f t="shared" ca="1" si="196"/>
        <v>0</v>
      </c>
      <c r="S325" s="14">
        <f t="shared" ca="1" si="197"/>
        <v>0</v>
      </c>
      <c r="T325" s="14">
        <f>IFERROR(IF(WoP_Flag="Y",IF(fq=1,VLOOKUP(ppt*fq-H325,Charges!$AN$41:$AO$59,2,FALSE),IF(fq=2,VLOOKUP(ppt*fq-G325,Charges!$AP$41:$AQ$79,2,FALSE),VLOOKUP(ppt*fq-D325,Charges!$AR$41:$AS$279,2,FALSE)))*pr/fq,0),0)</f>
        <v>0</v>
      </c>
      <c r="U325" s="14">
        <f ca="1">IFERROR(((T325*(VLOOKUP(Input!$D$18+H325-1,Tab_Mort_Charge,IF(Gender_2="M",2,3),FALSE)*(1+_emr2)+_rpm2)/IF(Model_Type="LA_PQIS",1000/0.0833,(12*1000))))*Flag_Mort_Rider_Charge*(T325&gt;0),0)</f>
        <v>0</v>
      </c>
      <c r="V325" s="34">
        <f>ROUND(MIN(IF(H325&gt;=7,Charges!$C$12*(1+Charges!$C$14)^((H325-7+1)),VLOOKUP(H325,Charges!$B$7:$C$12,2,0))*pr,Charges!$C$13)*B325,Round)</f>
        <v>0</v>
      </c>
      <c r="W325" s="14">
        <f t="shared" ca="1" si="198"/>
        <v>0</v>
      </c>
      <c r="X325" s="14">
        <f t="shared" ca="1" si="199"/>
        <v>0</v>
      </c>
      <c r="Y325" s="213">
        <f t="shared" ca="1" si="221"/>
        <v>0</v>
      </c>
      <c r="Z325" s="14">
        <f t="shared" ca="1" si="200"/>
        <v>0</v>
      </c>
      <c r="AA325" s="14">
        <f>IF(AND($H325=pt,$F325=11),SUM($K$7:K325)*VLOOKUP(pt,ROC,2,FALSE),0)</f>
        <v>0</v>
      </c>
      <c r="AB325" s="14">
        <f>IF(AND($H325=pt,$F325=11),SUM($V$7:V325)*VLOOKUP(pt,ROC,2,FALSE),0)</f>
        <v>0</v>
      </c>
      <c r="AC325" s="14">
        <f>IF(AND($H325=pt,$F325=11),SUM($Q$7:Q325)*VLOOKUP(pt,ROC,2,FALSE),0)</f>
        <v>0</v>
      </c>
      <c r="AD325" s="14">
        <f t="shared" ca="1" si="222"/>
        <v>0</v>
      </c>
      <c r="AE325" s="14">
        <f ca="1">(MAX(sa-CF324*Flag_UL_Type,105%*SUM($I$7:I325),Z325)+AU325)*B325</f>
        <v>0</v>
      </c>
      <c r="AF325" s="136"/>
      <c r="AG325" s="18">
        <v>319</v>
      </c>
      <c r="AH325" s="30">
        <f t="shared" ca="1" si="201"/>
        <v>0</v>
      </c>
      <c r="AI325" s="58"/>
      <c r="AJ325" s="50">
        <f>IF(AND(Option_Sys_TopUp&gt;="Y",H325&gt;=sytp,H325&lt;=(dtp+sytp-1),F325=0,H325&lt;=ppt+1),atp,0)+IFERROR(VLOOKUP(H325,Input!$B$55:$C$61,2,0),0)*(F325=0)*(Option_TopUP="Y")*(Option_Sys_TopUp="N")*B325*(pt&gt;=H325+5)</f>
        <v>0</v>
      </c>
      <c r="AK325" s="50">
        <f t="shared" si="202"/>
        <v>0</v>
      </c>
      <c r="AL325" s="50">
        <f t="shared" si="223"/>
        <v>0</v>
      </c>
      <c r="AM325" s="50">
        <f t="shared" ca="1" si="203"/>
        <v>0</v>
      </c>
      <c r="AN325" s="50">
        <f>IF(B325=0,0,AT325*(_rpm1+(1+_emr1)*VLOOKUP(E325,Tab_Mort_Charge,IF(Input!$C$12="M",2,3),0))*(0.001*0.0833)*Flag_Mort_Rider_Charge*(AT325&gt;0))</f>
        <v>0</v>
      </c>
      <c r="AO325" s="50">
        <f t="shared" ca="1" si="224"/>
        <v>0</v>
      </c>
      <c r="AP325" s="50">
        <f t="shared" ca="1" si="231"/>
        <v>0</v>
      </c>
      <c r="AQ325" s="50">
        <f t="shared" ca="1" si="204"/>
        <v>0</v>
      </c>
      <c r="AR325" s="50">
        <f t="shared" ca="1" si="205"/>
        <v>0</v>
      </c>
      <c r="AS325" s="50">
        <f t="shared" si="206"/>
        <v>0</v>
      </c>
      <c r="AT325" s="50">
        <f ca="1">(MAX((MAX(AS325,105%*SUM($AJ$7:AJ325))-AM325*Flag_UL_Type),0)*B325)</f>
        <v>0</v>
      </c>
      <c r="AU325" s="50">
        <f ca="1">(MAX(AS325,AR325,105%*SUM($AJ$7:AJ325))*B325)</f>
        <v>0</v>
      </c>
      <c r="AV325" s="125"/>
      <c r="AW325" s="13"/>
      <c r="AX325" s="13"/>
      <c r="AY325" s="13"/>
      <c r="AZ325" s="13"/>
      <c r="BA325" s="13"/>
      <c r="BG325" s="51">
        <f t="shared" si="207"/>
        <v>0</v>
      </c>
      <c r="BH325" s="51">
        <f t="shared" si="208"/>
        <v>0</v>
      </c>
      <c r="BI325" s="51">
        <f t="shared" ca="1" si="209"/>
        <v>0</v>
      </c>
      <c r="BJ325" s="51">
        <f t="shared" ca="1" si="210"/>
        <v>0</v>
      </c>
      <c r="BK325" s="51">
        <f t="shared" si="211"/>
        <v>0</v>
      </c>
      <c r="BL325" s="51">
        <f t="shared" ca="1" si="212"/>
        <v>0</v>
      </c>
      <c r="BM325" s="51">
        <f t="shared" si="213"/>
        <v>0</v>
      </c>
      <c r="BN325" s="51">
        <f t="shared" si="214"/>
        <v>0</v>
      </c>
      <c r="BO325" s="51">
        <f t="shared" ca="1" si="215"/>
        <v>0</v>
      </c>
      <c r="BP325" s="51">
        <f t="shared" ca="1" si="216"/>
        <v>0</v>
      </c>
      <c r="BQ325" s="120"/>
      <c r="BR325" s="32"/>
      <c r="BS325" s="126"/>
      <c r="BT325" s="16"/>
      <c r="BU325" s="58"/>
      <c r="BW325" s="51">
        <f>VLOOKUP(H325,Charges!$AT$4:$AU$33,2,FALSE)*I325</f>
        <v>0</v>
      </c>
      <c r="BX325" s="51">
        <f t="shared" si="217"/>
        <v>0</v>
      </c>
      <c r="BY325" s="51">
        <f t="shared" si="225"/>
        <v>0</v>
      </c>
      <c r="BZ325" s="151"/>
      <c r="CA325" s="151"/>
      <c r="CB325" s="32"/>
      <c r="CC325" s="16">
        <f ca="1">SUM($N$7:$N325)</f>
        <v>0</v>
      </c>
      <c r="CD325" s="16">
        <f t="shared" ca="1" si="218"/>
        <v>0</v>
      </c>
      <c r="CE325" s="16">
        <f t="shared" ca="1" si="219"/>
        <v>0</v>
      </c>
      <c r="CF325" s="7">
        <f t="shared" ca="1" si="226"/>
        <v>0</v>
      </c>
    </row>
    <row r="326" spans="1:84" s="7" customFormat="1" x14ac:dyDescent="0.2">
      <c r="A326" s="149"/>
      <c r="B326" s="14">
        <f t="shared" si="188"/>
        <v>0</v>
      </c>
      <c r="C326" s="12">
        <f t="shared" si="189"/>
        <v>0</v>
      </c>
      <c r="D326" s="17">
        <f t="shared" si="227"/>
        <v>320</v>
      </c>
      <c r="E326" s="17">
        <f t="shared" ca="1" si="190"/>
        <v>86</v>
      </c>
      <c r="F326" s="12">
        <f t="shared" si="229"/>
        <v>7</v>
      </c>
      <c r="G326" s="12">
        <f t="shared" si="228"/>
        <v>54</v>
      </c>
      <c r="H326" s="17">
        <f t="shared" si="230"/>
        <v>27</v>
      </c>
      <c r="I326" s="29">
        <f t="shared" si="191"/>
        <v>0</v>
      </c>
      <c r="J326" s="211">
        <f>IFERROR(VLOOKUP(H326,Charges!$T$6:$U$35,2,0)*C326,0)</f>
        <v>0</v>
      </c>
      <c r="K326" s="29">
        <f t="shared" si="192"/>
        <v>0</v>
      </c>
      <c r="L326" s="29">
        <f t="shared" si="193"/>
        <v>0</v>
      </c>
      <c r="M326" s="147">
        <f t="shared" ca="1" si="194"/>
        <v>0</v>
      </c>
      <c r="N326" s="148">
        <f ca="1">IF(AND(Option_SPW="Y",Z325&gt;=SPW_Start_Min_FV,H326&gt;=Lock_In_Period,Z325&gt;SPW_Amount_pa+IF(option="Single",1/5*pr,2*pr),H326&gt;=SPW_Start_Year,H326&lt;=SPW_Start_Year+SPW_Duration-1,F326=0,age+H326&gt;=Legal_Age),SPW_Amount_pa,0)+IFERROR(VLOOKUP(H326,Input!$B$68:$C$74,2,0),0)*(F326=0)*(Option_PW="Y")*(Option_SPW="N")*(age+H326&gt;=Legal_Age)</f>
        <v>0</v>
      </c>
      <c r="O326" s="148">
        <f t="shared" ca="1" si="220"/>
        <v>0</v>
      </c>
      <c r="P326" s="14">
        <f ca="1">(MAX(MAX(sa-CF325*Flag_UL_Type,105%*SUM($I$7:I326))-(AD325+L326-N326)*Flag_UL_Type,0)*B326)</f>
        <v>0</v>
      </c>
      <c r="Q326" s="213">
        <f t="shared" si="195"/>
        <v>0</v>
      </c>
      <c r="R326" s="14">
        <f t="shared" ca="1" si="196"/>
        <v>0</v>
      </c>
      <c r="S326" s="14">
        <f t="shared" ca="1" si="197"/>
        <v>0</v>
      </c>
      <c r="T326" s="14">
        <f>IFERROR(IF(WoP_Flag="Y",IF(fq=1,VLOOKUP(ppt*fq-H326,Charges!$AN$41:$AO$59,2,FALSE),IF(fq=2,VLOOKUP(ppt*fq-G326,Charges!$AP$41:$AQ$79,2,FALSE),VLOOKUP(ppt*fq-D326,Charges!$AR$41:$AS$279,2,FALSE)))*pr/fq,0),0)</f>
        <v>0</v>
      </c>
      <c r="U326" s="14">
        <f ca="1">IFERROR(((T326*(VLOOKUP(Input!$D$18+H326-1,Tab_Mort_Charge,IF(Gender_2="M",2,3),FALSE)*(1+_emr2)+_rpm2)/IF(Model_Type="LA_PQIS",1000/0.0833,(12*1000))))*Flag_Mort_Rider_Charge*(T326&gt;0),0)</f>
        <v>0</v>
      </c>
      <c r="V326" s="34">
        <f>ROUND(MIN(IF(H326&gt;=7,Charges!$C$12*(1+Charges!$C$14)^((H326-7+1)),VLOOKUP(H326,Charges!$B$7:$C$12,2,0))*pr,Charges!$C$13)*B326,Round)</f>
        <v>0</v>
      </c>
      <c r="W326" s="14">
        <f t="shared" ca="1" si="198"/>
        <v>0</v>
      </c>
      <c r="X326" s="14">
        <f t="shared" ca="1" si="199"/>
        <v>0</v>
      </c>
      <c r="Y326" s="213">
        <f t="shared" ca="1" si="221"/>
        <v>0</v>
      </c>
      <c r="Z326" s="14">
        <f t="shared" ca="1" si="200"/>
        <v>0</v>
      </c>
      <c r="AA326" s="14">
        <f>IF(AND($H326=pt,$F326=11),SUM($K$7:K326)*VLOOKUP(pt,ROC,2,FALSE),0)</f>
        <v>0</v>
      </c>
      <c r="AB326" s="14">
        <f>IF(AND($H326=pt,$F326=11),SUM($V$7:V326)*VLOOKUP(pt,ROC,2,FALSE),0)</f>
        <v>0</v>
      </c>
      <c r="AC326" s="14">
        <f>IF(AND($H326=pt,$F326=11),SUM($Q$7:Q326)*VLOOKUP(pt,ROC,2,FALSE),0)</f>
        <v>0</v>
      </c>
      <c r="AD326" s="14">
        <f t="shared" ca="1" si="222"/>
        <v>0</v>
      </c>
      <c r="AE326" s="14">
        <f ca="1">(MAX(sa-CF325*Flag_UL_Type,105%*SUM($I$7:I326),Z326)+AU326)*B326</f>
        <v>0</v>
      </c>
      <c r="AF326" s="136"/>
      <c r="AG326" s="18">
        <v>320</v>
      </c>
      <c r="AH326" s="30">
        <f t="shared" ca="1" si="201"/>
        <v>0</v>
      </c>
      <c r="AI326" s="58"/>
      <c r="AJ326" s="50">
        <f>IF(AND(Option_Sys_TopUp&gt;="Y",H326&gt;=sytp,H326&lt;=(dtp+sytp-1),F326=0,H326&lt;=ppt+1),atp,0)+IFERROR(VLOOKUP(H326,Input!$B$55:$C$61,2,0),0)*(F326=0)*(Option_TopUP="Y")*(Option_Sys_TopUp="N")*B326*(pt&gt;=H326+5)</f>
        <v>0</v>
      </c>
      <c r="AK326" s="50">
        <f t="shared" si="202"/>
        <v>0</v>
      </c>
      <c r="AL326" s="50">
        <f t="shared" si="223"/>
        <v>0</v>
      </c>
      <c r="AM326" s="50">
        <f t="shared" ca="1" si="203"/>
        <v>0</v>
      </c>
      <c r="AN326" s="50">
        <f>IF(B326=0,0,AT326*(_rpm1+(1+_emr1)*VLOOKUP(E326,Tab_Mort_Charge,IF(Input!$C$12="M",2,3),0))*(0.001*0.0833)*Flag_Mort_Rider_Charge*(AT326&gt;0))</f>
        <v>0</v>
      </c>
      <c r="AO326" s="50">
        <f t="shared" ca="1" si="224"/>
        <v>0</v>
      </c>
      <c r="AP326" s="50">
        <f t="shared" ca="1" si="231"/>
        <v>0</v>
      </c>
      <c r="AQ326" s="50">
        <f t="shared" ca="1" si="204"/>
        <v>0</v>
      </c>
      <c r="AR326" s="50">
        <f t="shared" ca="1" si="205"/>
        <v>0</v>
      </c>
      <c r="AS326" s="50">
        <f t="shared" si="206"/>
        <v>0</v>
      </c>
      <c r="AT326" s="50">
        <f ca="1">(MAX((MAX(AS326,105%*SUM($AJ$7:AJ326))-AM326*Flag_UL_Type),0)*B326)</f>
        <v>0</v>
      </c>
      <c r="AU326" s="50">
        <f ca="1">(MAX(AS326,AR326,105%*SUM($AJ$7:AJ326))*B326)</f>
        <v>0</v>
      </c>
      <c r="AV326" s="125"/>
      <c r="AW326" s="13"/>
      <c r="AX326" s="13"/>
      <c r="AY326" s="13"/>
      <c r="AZ326" s="13"/>
      <c r="BA326" s="13"/>
      <c r="BG326" s="51">
        <f t="shared" si="207"/>
        <v>0</v>
      </c>
      <c r="BH326" s="51">
        <f t="shared" si="208"/>
        <v>0</v>
      </c>
      <c r="BI326" s="51">
        <f t="shared" ca="1" si="209"/>
        <v>0</v>
      </c>
      <c r="BJ326" s="51">
        <f t="shared" ca="1" si="210"/>
        <v>0</v>
      </c>
      <c r="BK326" s="51">
        <f t="shared" si="211"/>
        <v>0</v>
      </c>
      <c r="BL326" s="51">
        <f t="shared" ca="1" si="212"/>
        <v>0</v>
      </c>
      <c r="BM326" s="51">
        <f t="shared" si="213"/>
        <v>0</v>
      </c>
      <c r="BN326" s="51">
        <f t="shared" si="214"/>
        <v>0</v>
      </c>
      <c r="BO326" s="51">
        <f t="shared" ca="1" si="215"/>
        <v>0</v>
      </c>
      <c r="BP326" s="51">
        <f t="shared" ca="1" si="216"/>
        <v>0</v>
      </c>
      <c r="BQ326" s="120"/>
      <c r="BR326" s="32"/>
      <c r="BS326" s="126"/>
      <c r="BT326" s="16"/>
      <c r="BU326" s="58"/>
      <c r="BW326" s="51">
        <f>VLOOKUP(H326,Charges!$AT$4:$AU$33,2,FALSE)*I326</f>
        <v>0</v>
      </c>
      <c r="BX326" s="51">
        <f t="shared" si="217"/>
        <v>0</v>
      </c>
      <c r="BY326" s="51">
        <f t="shared" si="225"/>
        <v>0</v>
      </c>
      <c r="BZ326" s="151"/>
      <c r="CA326" s="151"/>
      <c r="CB326" s="32"/>
      <c r="CC326" s="16">
        <f ca="1">SUM($N$7:$N326)</f>
        <v>0</v>
      </c>
      <c r="CD326" s="16">
        <f t="shared" ca="1" si="218"/>
        <v>0</v>
      </c>
      <c r="CE326" s="16">
        <f t="shared" ca="1" si="219"/>
        <v>0</v>
      </c>
      <c r="CF326" s="7">
        <f t="shared" ca="1" si="226"/>
        <v>0</v>
      </c>
    </row>
    <row r="327" spans="1:84" s="7" customFormat="1" x14ac:dyDescent="0.2">
      <c r="A327" s="149"/>
      <c r="B327" s="14">
        <f t="shared" ref="B327:B367" si="232">IF(H327&lt;=pt,1,0)</f>
        <v>0</v>
      </c>
      <c r="C327" s="12">
        <f t="shared" ref="C327:C367" si="233">IF(H327&lt;=ppt,1,0)</f>
        <v>0</v>
      </c>
      <c r="D327" s="17">
        <f t="shared" si="227"/>
        <v>321</v>
      </c>
      <c r="E327" s="17">
        <f t="shared" ref="E327:E367" ca="1" si="234">(age+(H327-1))</f>
        <v>86</v>
      </c>
      <c r="F327" s="12">
        <f t="shared" si="229"/>
        <v>8</v>
      </c>
      <c r="G327" s="12">
        <f t="shared" si="228"/>
        <v>54</v>
      </c>
      <c r="H327" s="17">
        <f t="shared" si="230"/>
        <v>27</v>
      </c>
      <c r="I327" s="29">
        <f t="shared" ref="I327:I367" si="235">IF(AND(H327&lt;=pt,H327&lt;=ppt,F327=0,fq=1),pr,IF(AND(H327&lt;=pt,H327&lt;=ppt,fq=2,MOD(F327,6)=0),pr/fq,IF(AND(H327&lt;=pt,H327&lt;=ppt,fq=12),pr/fq,0)))</f>
        <v>0</v>
      </c>
      <c r="J327" s="211">
        <f>IFERROR(VLOOKUP(H327,Charges!$T$6:$U$35,2,0)*C327,0)</f>
        <v>0</v>
      </c>
      <c r="K327" s="29">
        <f t="shared" ref="K327:K367" si="236">ROUND((100%-J327)*I327,Round)</f>
        <v>0</v>
      </c>
      <c r="L327" s="29">
        <f t="shared" ref="L327:L367" si="237">(I327-(K327+BG327*IF(Model_Type="Pricing_Unit",1,0)))*C327</f>
        <v>0</v>
      </c>
      <c r="M327" s="147">
        <f t="shared" ref="M327:M367" ca="1" si="238">IF(AND(OR(Option_PW="Y",Option_SPW="Y"),H327&gt;Lock_In_Period,H327&lt;=pt,(W327-IF(option="Single",1/5*pr,2*pr))&gt;0,(age+H327)&gt;=Legal_Age),(W326+L327-IF(option="Single",1/5*pr,2*pr)),0)</f>
        <v>0</v>
      </c>
      <c r="N327" s="148">
        <f ca="1">IF(AND(Option_SPW="Y",Z326&gt;=SPW_Start_Min_FV,H327&gt;=Lock_In_Period,Z326&gt;SPW_Amount_pa+IF(option="Single",1/5*pr,2*pr),H327&gt;=SPW_Start_Year,H327&lt;=SPW_Start_Year+SPW_Duration-1,F327=0,age+H327&gt;=Legal_Age),SPW_Amount_pa,0)+IFERROR(VLOOKUP(H327,Input!$B$68:$C$74,2,0),0)*(F327=0)*(Option_PW="Y")*(Option_SPW="N")*(age+H327&gt;=Legal_Age)</f>
        <v>0</v>
      </c>
      <c r="O327" s="148">
        <f t="shared" ca="1" si="220"/>
        <v>0</v>
      </c>
      <c r="P327" s="14">
        <f ca="1">(MAX(MAX(sa-CF326*Flag_UL_Type,105%*SUM($I$7:I327))-(AD326+L327-N327)*Flag_UL_Type,0)*B327)</f>
        <v>0</v>
      </c>
      <c r="Q327" s="213">
        <f t="shared" ref="Q327:Q367" si="239">IF(B327=0,0,ROUND(P327*(_rpm1+(1+_emr1)*VLOOKUP(E327,Tab_Mort_Charge,IF(Gender="M",2,3),0))*Flag_Mort_Rider_Charge*(P327&gt;0),Round))*(0.001*IF(Model_Type="LA_PQIS",0.0833,(1/12)))</f>
        <v>0</v>
      </c>
      <c r="R327" s="14">
        <f t="shared" ref="R327:R367" ca="1" si="240">IF(AND(B327,ADB_Flag="Y",age&lt;=ADB_MAX_AGE,age&gt;=ADB_MIN_AGE,E327&lt;=age+pt),sa_adb,0)</f>
        <v>0</v>
      </c>
      <c r="S327" s="14">
        <f t="shared" ref="S327:S367" ca="1" si="241">ROUND((adb_rate*(1+adb_emr)+adb_rpm)*R327*(0.001*IF(Model_Type="LA_PQIS",0.0833,(1/12)))*Flag_Mort_Rider_Charge*IF(age+H327-1&lt;Max_Maturity_Age,1,0),Round)</f>
        <v>0</v>
      </c>
      <c r="T327" s="14">
        <f>IFERROR(IF(WoP_Flag="Y",IF(fq=1,VLOOKUP(ppt*fq-H327,Charges!$AN$41:$AO$59,2,FALSE),IF(fq=2,VLOOKUP(ppt*fq-G327,Charges!$AP$41:$AQ$79,2,FALSE),VLOOKUP(ppt*fq-D327,Charges!$AR$41:$AS$279,2,FALSE)))*pr/fq,0),0)</f>
        <v>0</v>
      </c>
      <c r="U327" s="14">
        <f ca="1">IFERROR(((T327*(VLOOKUP(Input!$D$18+H327-1,Tab_Mort_Charge,IF(Gender_2="M",2,3),FALSE)*(1+_emr2)+_rpm2)/IF(Model_Type="LA_PQIS",1000/0.0833,(12*1000))))*Flag_Mort_Rider_Charge*(T327&gt;0),0)</f>
        <v>0</v>
      </c>
      <c r="V327" s="34">
        <f>ROUND(MIN(IF(H327&gt;=7,Charges!$C$12*(1+Charges!$C$14)^((H327-7+1)),VLOOKUP(H327,Charges!$B$7:$C$12,2,0))*pr,Charges!$C$13)*B327,Round)</f>
        <v>0</v>
      </c>
      <c r="W327" s="14">
        <f t="shared" ref="W327:W367" ca="1" si="242">+(AD326+L327-(N327+Q327+S327+U327+V327+BG327*IF(Model_Type="La_PQIS",1,0)+BH327+BK327+BI327+BJ327+BM327*IF(Model_Type="La_PQIS",1,0)))*B327</f>
        <v>0</v>
      </c>
      <c r="X327" s="14">
        <f t="shared" ref="X327:X367" ca="1" si="243">W327*(1+$F$3)</f>
        <v>0</v>
      </c>
      <c r="Y327" s="213">
        <f t="shared" ca="1" si="221"/>
        <v>0</v>
      </c>
      <c r="Z327" s="14">
        <f t="shared" ref="Z327:Z367" ca="1" si="244">X327-(Y327+BL327)</f>
        <v>0</v>
      </c>
      <c r="AA327" s="14">
        <f>IF(AND($H327=pt,$F327=11),SUM($K$7:K327)*VLOOKUP(pt,ROC,2,FALSE),0)</f>
        <v>0</v>
      </c>
      <c r="AB327" s="14">
        <f>IF(AND($H327=pt,$F327=11),SUM($V$7:V327)*VLOOKUP(pt,ROC,2,FALSE),0)</f>
        <v>0</v>
      </c>
      <c r="AC327" s="14">
        <f>IF(AND($H327=pt,$F327=11),SUM($Q$7:Q327)*VLOOKUP(pt,ROC,2,FALSE),0)</f>
        <v>0</v>
      </c>
      <c r="AD327" s="14">
        <f t="shared" ca="1" si="222"/>
        <v>0</v>
      </c>
      <c r="AE327" s="14">
        <f ca="1">(MAX(sa-CF326*Flag_UL_Type,105%*SUM($I$7:I327),Z327)+AU327)*B327</f>
        <v>0</v>
      </c>
      <c r="AF327" s="136"/>
      <c r="AG327" s="18">
        <v>321</v>
      </c>
      <c r="AH327" s="30">
        <f t="shared" ref="AH327:AH367" ca="1" si="245">(I327+AJ327)-IF(AG327=pt*12+1,AD326,0)-IF(AG327=pt*12+1,AR326,0)-N327</f>
        <v>0</v>
      </c>
      <c r="AI327" s="58"/>
      <c r="AJ327" s="50">
        <f>IF(AND(Option_Sys_TopUp&gt;="Y",H327&gt;=sytp,H327&lt;=(dtp+sytp-1),F327=0,H327&lt;=ppt+1),atp,0)+IFERROR(VLOOKUP(H327,Input!$B$55:$C$61,2,0),0)*(F327=0)*(Option_TopUP="Y")*(Option_Sys_TopUp="N")*B327*(pt&gt;=H327+5)</f>
        <v>0</v>
      </c>
      <c r="AK327" s="50">
        <f t="shared" ref="AK327:AK367" si="246">ROUND(allctp*AJ327,0)</f>
        <v>0</v>
      </c>
      <c r="AL327" s="50">
        <f t="shared" si="223"/>
        <v>0</v>
      </c>
      <c r="AM327" s="50">
        <f t="shared" ref="AM327:AM367" ca="1" si="247">AR326+AL327</f>
        <v>0</v>
      </c>
      <c r="AN327" s="50">
        <f>IF(B327=0,0,AT327*(_rpm1+(1+_emr1)*VLOOKUP(E327,Tab_Mort_Charge,IF(Input!$C$12="M",2,3),0))*(0.001*0.0833)*Flag_Mort_Rider_Charge*(AT327&gt;0))</f>
        <v>0</v>
      </c>
      <c r="AO327" s="50">
        <f t="shared" ca="1" si="224"/>
        <v>0</v>
      </c>
      <c r="AP327" s="50">
        <f t="shared" ca="1" si="231"/>
        <v>0</v>
      </c>
      <c r="AQ327" s="50">
        <f t="shared" ref="AQ327:AQ367" ca="1" si="248">AP327*$Y$2</f>
        <v>0</v>
      </c>
      <c r="AR327" s="50">
        <f t="shared" ref="AR327:AR367" ca="1" si="249">AP327-(AQ327+BO327)</f>
        <v>0</v>
      </c>
      <c r="AS327" s="50">
        <f t="shared" ref="AS327:AS367" si="250">(AJ327*TOPUP_Cover_Level+AS326)*B327</f>
        <v>0</v>
      </c>
      <c r="AT327" s="50">
        <f ca="1">(MAX((MAX(AS327,105%*SUM($AJ$7:AJ327))-AM327*Flag_UL_Type),0)*B327)</f>
        <v>0</v>
      </c>
      <c r="AU327" s="50">
        <f ca="1">(MAX(AS327,AR327,105%*SUM($AJ$7:AJ327))*B327)</f>
        <v>0</v>
      </c>
      <c r="AV327" s="125"/>
      <c r="AW327" s="13"/>
      <c r="AX327" s="13"/>
      <c r="AY327" s="13"/>
      <c r="AZ327" s="13"/>
      <c r="BA327" s="13"/>
      <c r="BG327" s="51">
        <f t="shared" ref="BG327:BG367" si="251">ROUND(K327*Service_Tax_Rate*Flag_Service_Tax,Round)+ROUND(K327*Cess1_Rate*Flag_Service_Tax,Round)+ROUND(K327*Cess2_Rate*Flag_Service_Tax,Round)</f>
        <v>0</v>
      </c>
      <c r="BH327" s="51">
        <f t="shared" ref="BH327:BH367" si="252">ROUND(Q327*Service_Tax_Rate*Flag_Service_Tax,Round)+ROUND(Q327*Cess1_Rate*Flag_Service_Tax,Round)+ROUND(Q327*Cess2_Rate*Flag_Service_Tax,Round)</f>
        <v>0</v>
      </c>
      <c r="BI327" s="51">
        <f t="shared" ref="BI327:BI367" ca="1" si="253">ROUND(S327*Service_Tax_Rate*Flag_Service_Tax,Round)+ROUND(S327*Cess1_Rate*Flag_Service_Tax,Round)+ROUND(S327*Cess2_Rate*Flag_Service_Tax,Round)</f>
        <v>0</v>
      </c>
      <c r="BJ327" s="51">
        <f t="shared" ref="BJ327:BJ367" ca="1" si="254">ROUND(U327*Service_Tax_Rate*Flag_Service_Tax,Round)+ROUND(U327*Cess1_Rate*Flag_Service_Tax,Round)+ROUND(U327*Cess2_Rate*Flag_Service_Tax,Round)</f>
        <v>0</v>
      </c>
      <c r="BK327" s="51">
        <f t="shared" ref="BK327:BK367" si="255">ROUND(V327*Service_Tax_Rate*Flag_Service_Tax,Round)+ROUND(V327*Cess1_Rate*Flag_Service_Tax,Round)+ROUND(V327*Cess2_Rate*Flag_Service_Tax,Round)</f>
        <v>0</v>
      </c>
      <c r="BL327" s="51">
        <f t="shared" ref="BL327:BL367" ca="1" si="256">Y327*Service_Tax_Rate*Flag_Service_Tax+Y327*Cess1_Rate*Flag_Service_Tax+Y327*Cess2_Rate*Flag_Service_Tax</f>
        <v>0</v>
      </c>
      <c r="BM327" s="51">
        <f t="shared" ref="BM327:BM367" si="257">ROUND(AK327*Service_Tax_Rate*Flag_Service_Tax,Round)+ROUND(AK327*Cess1_Rate*Flag_Service_Tax,Round)+ROUND(AK327*Cess2_Rate*Flag_Service_Tax,Round)</f>
        <v>0</v>
      </c>
      <c r="BN327" s="51">
        <f t="shared" ref="BN327:BN367" si="258">ROUND(AN327*Service_Tax_Rate*Flag_Service_Tax,Round)+ROUND(AN327*Cess1_Rate*Flag_Service_Tax,Round)+ROUND(AN327*Cess2_Rate*Flag_Service_Tax,Round)</f>
        <v>0</v>
      </c>
      <c r="BO327" s="51">
        <f t="shared" ref="BO327:BO367" ca="1" si="259">AQ327*Service_Tax_Rate*Flag_Service_Tax+AQ327*Cess1_Rate*Flag_Service_Tax+AQ327*Cess2_Rate*Flag_Service_Tax</f>
        <v>0</v>
      </c>
      <c r="BP327" s="51">
        <f t="shared" ref="BP327:BP367" ca="1" si="260">SUM(BG327:BO327)</f>
        <v>0</v>
      </c>
      <c r="BQ327" s="120"/>
      <c r="BR327" s="32"/>
      <c r="BS327" s="126"/>
      <c r="BT327" s="16"/>
      <c r="BU327" s="58"/>
      <c r="BW327" s="51">
        <f>VLOOKUP(H327,Charges!$AT$4:$AU$33,2,FALSE)*I327</f>
        <v>0</v>
      </c>
      <c r="BX327" s="51">
        <f t="shared" ref="BX327:BX367" si="261">AJ327*Commission_TOPUP</f>
        <v>0</v>
      </c>
      <c r="BY327" s="51">
        <f t="shared" si="225"/>
        <v>0</v>
      </c>
      <c r="BZ327" s="151"/>
      <c r="CA327" s="151"/>
      <c r="CB327" s="32"/>
      <c r="CC327" s="16">
        <f ca="1">SUM($N$7:$N327)</f>
        <v>0</v>
      </c>
      <c r="CD327" s="16">
        <f t="shared" ref="CD327:CD367" ca="1" si="262">IF(AND((B327=1)*(H327&gt;Lock_In_Period)),CC327-INDEX($CC$7:$CC$367,D327-24,1),0)*(E327&lt;60)</f>
        <v>0</v>
      </c>
      <c r="CE327" s="16">
        <f t="shared" ref="CE327:CE367" ca="1" si="263">(B327=1)*(H327&gt;Lock_In_Period)*(E327&gt;=60)*IFERROR((CC327-INDEX($CC$7:$CC$367,D327-24,1)),0)</f>
        <v>0</v>
      </c>
      <c r="CF327" s="7">
        <f t="shared" ca="1" si="226"/>
        <v>0</v>
      </c>
    </row>
    <row r="328" spans="1:84" s="7" customFormat="1" x14ac:dyDescent="0.2">
      <c r="A328" s="149"/>
      <c r="B328" s="14">
        <f t="shared" si="232"/>
        <v>0</v>
      </c>
      <c r="C328" s="12">
        <f t="shared" si="233"/>
        <v>0</v>
      </c>
      <c r="D328" s="17">
        <f t="shared" si="227"/>
        <v>322</v>
      </c>
      <c r="E328" s="17">
        <f t="shared" ca="1" si="234"/>
        <v>86</v>
      </c>
      <c r="F328" s="12">
        <f t="shared" si="229"/>
        <v>9</v>
      </c>
      <c r="G328" s="12">
        <f t="shared" si="228"/>
        <v>54</v>
      </c>
      <c r="H328" s="17">
        <f t="shared" si="230"/>
        <v>27</v>
      </c>
      <c r="I328" s="29">
        <f t="shared" si="235"/>
        <v>0</v>
      </c>
      <c r="J328" s="211">
        <f>IFERROR(VLOOKUP(H328,Charges!$T$6:$U$35,2,0)*C328,0)</f>
        <v>0</v>
      </c>
      <c r="K328" s="29">
        <f t="shared" si="236"/>
        <v>0</v>
      </c>
      <c r="L328" s="29">
        <f t="shared" si="237"/>
        <v>0</v>
      </c>
      <c r="M328" s="147">
        <f t="shared" ca="1" si="238"/>
        <v>0</v>
      </c>
      <c r="N328" s="148">
        <f ca="1">IF(AND(Option_SPW="Y",Z327&gt;=SPW_Start_Min_FV,H328&gt;=Lock_In_Period,Z327&gt;SPW_Amount_pa+IF(option="Single",1/5*pr,2*pr),H328&gt;=SPW_Start_Year,H328&lt;=SPW_Start_Year+SPW_Duration-1,F328=0,age+H328&gt;=Legal_Age),SPW_Amount_pa,0)+IFERROR(VLOOKUP(H328,Input!$B$68:$C$74,2,0),0)*(F328=0)*(Option_PW="Y")*(Option_SPW="N")*(age+H328&gt;=Legal_Age)</f>
        <v>0</v>
      </c>
      <c r="O328" s="148">
        <f t="shared" ref="O328:O367" ca="1" si="264">IF(N328&lt;=M328,0,1)</f>
        <v>0</v>
      </c>
      <c r="P328" s="14">
        <f ca="1">(MAX(MAX(sa-CF327*Flag_UL_Type,105%*SUM($I$7:I328))-(AD327+L328-N328)*Flag_UL_Type,0)*B328)</f>
        <v>0</v>
      </c>
      <c r="Q328" s="213">
        <f t="shared" si="239"/>
        <v>0</v>
      </c>
      <c r="R328" s="14">
        <f t="shared" ca="1" si="240"/>
        <v>0</v>
      </c>
      <c r="S328" s="14">
        <f t="shared" ca="1" si="241"/>
        <v>0</v>
      </c>
      <c r="T328" s="14">
        <f>IFERROR(IF(WoP_Flag="Y",IF(fq=1,VLOOKUP(ppt*fq-H328,Charges!$AN$41:$AO$59,2,FALSE),IF(fq=2,VLOOKUP(ppt*fq-G328,Charges!$AP$41:$AQ$79,2,FALSE),VLOOKUP(ppt*fq-D328,Charges!$AR$41:$AS$279,2,FALSE)))*pr/fq,0),0)</f>
        <v>0</v>
      </c>
      <c r="U328" s="14">
        <f ca="1">IFERROR(((T328*(VLOOKUP(Input!$D$18+H328-1,Tab_Mort_Charge,IF(Gender_2="M",2,3),FALSE)*(1+_emr2)+_rpm2)/IF(Model_Type="LA_PQIS",1000/0.0833,(12*1000))))*Flag_Mort_Rider_Charge*(T328&gt;0),0)</f>
        <v>0</v>
      </c>
      <c r="V328" s="34">
        <f>ROUND(MIN(IF(H328&gt;=7,Charges!$C$12*(1+Charges!$C$14)^((H328-7+1)),VLOOKUP(H328,Charges!$B$7:$C$12,2,0))*pr,Charges!$C$13)*B328,Round)</f>
        <v>0</v>
      </c>
      <c r="W328" s="14">
        <f t="shared" ca="1" si="242"/>
        <v>0</v>
      </c>
      <c r="X328" s="14">
        <f t="shared" ca="1" si="243"/>
        <v>0</v>
      </c>
      <c r="Y328" s="213">
        <f t="shared" ref="Y328:Y367" ca="1" si="265">X328*$Y$2</f>
        <v>0</v>
      </c>
      <c r="Z328" s="14">
        <f t="shared" ca="1" si="244"/>
        <v>0</v>
      </c>
      <c r="AA328" s="14">
        <f>IF(AND($H328=pt,$F328=11),SUM($K$7:K328)*VLOOKUP(pt,ROC,2,FALSE),0)</f>
        <v>0</v>
      </c>
      <c r="AB328" s="14">
        <f>IF(AND($H328=pt,$F328=11),SUM($V$7:V328)*VLOOKUP(pt,ROC,2,FALSE),0)</f>
        <v>0</v>
      </c>
      <c r="AC328" s="14">
        <f>IF(AND($H328=pt,$F328=11),SUM($Q$7:Q328)*VLOOKUP(pt,ROC,2,FALSE),0)</f>
        <v>0</v>
      </c>
      <c r="AD328" s="14">
        <f t="shared" ref="AD328:AD367" ca="1" si="266">Z328+AA328+AB328+AC328</f>
        <v>0</v>
      </c>
      <c r="AE328" s="14">
        <f ca="1">(MAX(sa-CF327*Flag_UL_Type,105%*SUM($I$7:I328),Z328)+AU328)*B328</f>
        <v>0</v>
      </c>
      <c r="AF328" s="136"/>
      <c r="AG328" s="18">
        <v>322</v>
      </c>
      <c r="AH328" s="30">
        <f t="shared" ca="1" si="245"/>
        <v>0</v>
      </c>
      <c r="AI328" s="58"/>
      <c r="AJ328" s="50">
        <f>IF(AND(Option_Sys_TopUp&gt;="Y",H328&gt;=sytp,H328&lt;=(dtp+sytp-1),F328=0,H328&lt;=ppt+1),atp,0)+IFERROR(VLOOKUP(H328,Input!$B$55:$C$61,2,0),0)*(F328=0)*(Option_TopUP="Y")*(Option_Sys_TopUp="N")*B328*(pt&gt;=H328+5)</f>
        <v>0</v>
      </c>
      <c r="AK328" s="50">
        <f t="shared" si="246"/>
        <v>0</v>
      </c>
      <c r="AL328" s="50">
        <f t="shared" ref="AL328:AL367" si="267">AJ328-(AK328+BM328*0)</f>
        <v>0</v>
      </c>
      <c r="AM328" s="50">
        <f t="shared" ca="1" si="247"/>
        <v>0</v>
      </c>
      <c r="AN328" s="50">
        <f>IF(B328=0,0,AT328*(_rpm1+(1+_emr1)*VLOOKUP(E328,Tab_Mort_Charge,IF(Input!$C$12="M",2,3),0))*(0.001*0.0833)*Flag_Mort_Rider_Charge*(AT328&gt;0))</f>
        <v>0</v>
      </c>
      <c r="AO328" s="50">
        <f t="shared" ref="AO328:AO367" ca="1" si="268">AM328-AN328-BM328*1-BN328*1</f>
        <v>0</v>
      </c>
      <c r="AP328" s="50">
        <f t="shared" ca="1" si="231"/>
        <v>0</v>
      </c>
      <c r="AQ328" s="50">
        <f t="shared" ca="1" si="248"/>
        <v>0</v>
      </c>
      <c r="AR328" s="50">
        <f t="shared" ca="1" si="249"/>
        <v>0</v>
      </c>
      <c r="AS328" s="50">
        <f t="shared" si="250"/>
        <v>0</v>
      </c>
      <c r="AT328" s="50">
        <f ca="1">(MAX((MAX(AS328,105%*SUM($AJ$7:AJ328))-AM328*Flag_UL_Type),0)*B328)</f>
        <v>0</v>
      </c>
      <c r="AU328" s="50">
        <f ca="1">(MAX(AS328,AR328,105%*SUM($AJ$7:AJ328))*B328)</f>
        <v>0</v>
      </c>
      <c r="AV328" s="125"/>
      <c r="AW328" s="13"/>
      <c r="AX328" s="13"/>
      <c r="AY328" s="13"/>
      <c r="AZ328" s="13"/>
      <c r="BA328" s="13"/>
      <c r="BG328" s="51">
        <f t="shared" si="251"/>
        <v>0</v>
      </c>
      <c r="BH328" s="51">
        <f t="shared" si="252"/>
        <v>0</v>
      </c>
      <c r="BI328" s="51">
        <f t="shared" ca="1" si="253"/>
        <v>0</v>
      </c>
      <c r="BJ328" s="51">
        <f t="shared" ca="1" si="254"/>
        <v>0</v>
      </c>
      <c r="BK328" s="51">
        <f t="shared" si="255"/>
        <v>0</v>
      </c>
      <c r="BL328" s="51">
        <f t="shared" ca="1" si="256"/>
        <v>0</v>
      </c>
      <c r="BM328" s="51">
        <f t="shared" si="257"/>
        <v>0</v>
      </c>
      <c r="BN328" s="51">
        <f t="shared" si="258"/>
        <v>0</v>
      </c>
      <c r="BO328" s="51">
        <f t="shared" ca="1" si="259"/>
        <v>0</v>
      </c>
      <c r="BP328" s="51">
        <f t="shared" ca="1" si="260"/>
        <v>0</v>
      </c>
      <c r="BQ328" s="120"/>
      <c r="BR328" s="32"/>
      <c r="BS328" s="126"/>
      <c r="BT328" s="16"/>
      <c r="BU328" s="58"/>
      <c r="BW328" s="51">
        <f>VLOOKUP(H328,Charges!$AT$4:$AU$33,2,FALSE)*I328</f>
        <v>0</v>
      </c>
      <c r="BX328" s="51">
        <f t="shared" si="261"/>
        <v>0</v>
      </c>
      <c r="BY328" s="51">
        <f t="shared" ref="BY328:BY367" si="269">SUM(BW328:BX328)</f>
        <v>0</v>
      </c>
      <c r="BZ328" s="151"/>
      <c r="CA328" s="151"/>
      <c r="CB328" s="32"/>
      <c r="CC328" s="16">
        <f ca="1">SUM($N$7:$N328)</f>
        <v>0</v>
      </c>
      <c r="CD328" s="16">
        <f t="shared" ca="1" si="262"/>
        <v>0</v>
      </c>
      <c r="CE328" s="16">
        <f t="shared" ca="1" si="263"/>
        <v>0</v>
      </c>
      <c r="CF328" s="7">
        <f t="shared" ref="CF328:CF367" ca="1" si="270">IF(E328&lt;60,CD328,CE328)</f>
        <v>0</v>
      </c>
    </row>
    <row r="329" spans="1:84" s="7" customFormat="1" x14ac:dyDescent="0.2">
      <c r="A329" s="149"/>
      <c r="B329" s="14">
        <f t="shared" si="232"/>
        <v>0</v>
      </c>
      <c r="C329" s="12">
        <f t="shared" si="233"/>
        <v>0</v>
      </c>
      <c r="D329" s="17">
        <f t="shared" ref="D329:D367" si="271">D328+1</f>
        <v>323</v>
      </c>
      <c r="E329" s="17">
        <f t="shared" ca="1" si="234"/>
        <v>86</v>
      </c>
      <c r="F329" s="12">
        <f t="shared" si="229"/>
        <v>10</v>
      </c>
      <c r="G329" s="12">
        <f t="shared" si="228"/>
        <v>54</v>
      </c>
      <c r="H329" s="17">
        <f t="shared" si="230"/>
        <v>27</v>
      </c>
      <c r="I329" s="29">
        <f t="shared" si="235"/>
        <v>0</v>
      </c>
      <c r="J329" s="211">
        <f>IFERROR(VLOOKUP(H329,Charges!$T$6:$U$35,2,0)*C329,0)</f>
        <v>0</v>
      </c>
      <c r="K329" s="29">
        <f t="shared" si="236"/>
        <v>0</v>
      </c>
      <c r="L329" s="29">
        <f t="shared" si="237"/>
        <v>0</v>
      </c>
      <c r="M329" s="147">
        <f t="shared" ca="1" si="238"/>
        <v>0</v>
      </c>
      <c r="N329" s="148">
        <f ca="1">IF(AND(Option_SPW="Y",Z328&gt;=SPW_Start_Min_FV,H329&gt;=Lock_In_Period,Z328&gt;SPW_Amount_pa+IF(option="Single",1/5*pr,2*pr),H329&gt;=SPW_Start_Year,H329&lt;=SPW_Start_Year+SPW_Duration-1,F329=0,age+H329&gt;=Legal_Age),SPW_Amount_pa,0)+IFERROR(VLOOKUP(H329,Input!$B$68:$C$74,2,0),0)*(F329=0)*(Option_PW="Y")*(Option_SPW="N")*(age+H329&gt;=Legal_Age)</f>
        <v>0</v>
      </c>
      <c r="O329" s="148">
        <f t="shared" ca="1" si="264"/>
        <v>0</v>
      </c>
      <c r="P329" s="14">
        <f ca="1">(MAX(MAX(sa-CF328*Flag_UL_Type,105%*SUM($I$7:I329))-(AD328+L329-N329)*Flag_UL_Type,0)*B329)</f>
        <v>0</v>
      </c>
      <c r="Q329" s="213">
        <f t="shared" si="239"/>
        <v>0</v>
      </c>
      <c r="R329" s="14">
        <f t="shared" ca="1" si="240"/>
        <v>0</v>
      </c>
      <c r="S329" s="14">
        <f t="shared" ca="1" si="241"/>
        <v>0</v>
      </c>
      <c r="T329" s="14">
        <f>IFERROR(IF(WoP_Flag="Y",IF(fq=1,VLOOKUP(ppt*fq-H329,Charges!$AN$41:$AO$59,2,FALSE),IF(fq=2,VLOOKUP(ppt*fq-G329,Charges!$AP$41:$AQ$79,2,FALSE),VLOOKUP(ppt*fq-D329,Charges!$AR$41:$AS$279,2,FALSE)))*pr/fq,0),0)</f>
        <v>0</v>
      </c>
      <c r="U329" s="14">
        <f ca="1">IFERROR(((T329*(VLOOKUP(Input!$D$18+H329-1,Tab_Mort_Charge,IF(Gender_2="M",2,3),FALSE)*(1+_emr2)+_rpm2)/IF(Model_Type="LA_PQIS",1000/0.0833,(12*1000))))*Flag_Mort_Rider_Charge*(T329&gt;0),0)</f>
        <v>0</v>
      </c>
      <c r="V329" s="34">
        <f>ROUND(MIN(IF(H329&gt;=7,Charges!$C$12*(1+Charges!$C$14)^((H329-7+1)),VLOOKUP(H329,Charges!$B$7:$C$12,2,0))*pr,Charges!$C$13)*B329,Round)</f>
        <v>0</v>
      </c>
      <c r="W329" s="14">
        <f t="shared" ca="1" si="242"/>
        <v>0</v>
      </c>
      <c r="X329" s="14">
        <f t="shared" ca="1" si="243"/>
        <v>0</v>
      </c>
      <c r="Y329" s="213">
        <f t="shared" ca="1" si="265"/>
        <v>0</v>
      </c>
      <c r="Z329" s="14">
        <f t="shared" ca="1" si="244"/>
        <v>0</v>
      </c>
      <c r="AA329" s="14">
        <f>IF(AND($H329=pt,$F329=11),SUM($K$7:K329)*VLOOKUP(pt,ROC,2,FALSE),0)</f>
        <v>0</v>
      </c>
      <c r="AB329" s="14">
        <f>IF(AND($H329=pt,$F329=11),SUM($V$7:V329)*VLOOKUP(pt,ROC,2,FALSE),0)</f>
        <v>0</v>
      </c>
      <c r="AC329" s="14">
        <f>IF(AND($H329=pt,$F329=11),SUM($Q$7:Q329)*VLOOKUP(pt,ROC,2,FALSE),0)</f>
        <v>0</v>
      </c>
      <c r="AD329" s="14">
        <f t="shared" ca="1" si="266"/>
        <v>0</v>
      </c>
      <c r="AE329" s="14">
        <f ca="1">(MAX(sa-CF328*Flag_UL_Type,105%*SUM($I$7:I329),Z329)+AU329)*B329</f>
        <v>0</v>
      </c>
      <c r="AF329" s="136"/>
      <c r="AG329" s="18">
        <v>323</v>
      </c>
      <c r="AH329" s="30">
        <f t="shared" ca="1" si="245"/>
        <v>0</v>
      </c>
      <c r="AI329" s="58"/>
      <c r="AJ329" s="50">
        <f>IF(AND(Option_Sys_TopUp&gt;="Y",H329&gt;=sytp,H329&lt;=(dtp+sytp-1),F329=0,H329&lt;=ppt+1),atp,0)+IFERROR(VLOOKUP(H329,Input!$B$55:$C$61,2,0),0)*(F329=0)*(Option_TopUP="Y")*(Option_Sys_TopUp="N")*B329*(pt&gt;=H329+5)</f>
        <v>0</v>
      </c>
      <c r="AK329" s="50">
        <f t="shared" si="246"/>
        <v>0</v>
      </c>
      <c r="AL329" s="50">
        <f t="shared" si="267"/>
        <v>0</v>
      </c>
      <c r="AM329" s="50">
        <f t="shared" ca="1" si="247"/>
        <v>0</v>
      </c>
      <c r="AN329" s="50">
        <f>IF(B329=0,0,AT329*(_rpm1+(1+_emr1)*VLOOKUP(E329,Tab_Mort_Charge,IF(Input!$C$12="M",2,3),0))*(0.001*0.0833)*Flag_Mort_Rider_Charge*(AT329&gt;0))</f>
        <v>0</v>
      </c>
      <c r="AO329" s="50">
        <f t="shared" ca="1" si="268"/>
        <v>0</v>
      </c>
      <c r="AP329" s="50">
        <f t="shared" ca="1" si="231"/>
        <v>0</v>
      </c>
      <c r="AQ329" s="50">
        <f t="shared" ca="1" si="248"/>
        <v>0</v>
      </c>
      <c r="AR329" s="50">
        <f t="shared" ca="1" si="249"/>
        <v>0</v>
      </c>
      <c r="AS329" s="50">
        <f t="shared" si="250"/>
        <v>0</v>
      </c>
      <c r="AT329" s="50">
        <f ca="1">(MAX((MAX(AS329,105%*SUM($AJ$7:AJ329))-AM329*Flag_UL_Type),0)*B329)</f>
        <v>0</v>
      </c>
      <c r="AU329" s="50">
        <f ca="1">(MAX(AS329,AR329,105%*SUM($AJ$7:AJ329))*B329)</f>
        <v>0</v>
      </c>
      <c r="AV329" s="125"/>
      <c r="AW329" s="13"/>
      <c r="AX329" s="13"/>
      <c r="AY329" s="13"/>
      <c r="AZ329" s="13"/>
      <c r="BA329" s="13"/>
      <c r="BG329" s="51">
        <f t="shared" si="251"/>
        <v>0</v>
      </c>
      <c r="BH329" s="51">
        <f t="shared" si="252"/>
        <v>0</v>
      </c>
      <c r="BI329" s="51">
        <f t="shared" ca="1" si="253"/>
        <v>0</v>
      </c>
      <c r="BJ329" s="51">
        <f t="shared" ca="1" si="254"/>
        <v>0</v>
      </c>
      <c r="BK329" s="51">
        <f t="shared" si="255"/>
        <v>0</v>
      </c>
      <c r="BL329" s="51">
        <f t="shared" ca="1" si="256"/>
        <v>0</v>
      </c>
      <c r="BM329" s="51">
        <f t="shared" si="257"/>
        <v>0</v>
      </c>
      <c r="BN329" s="51">
        <f t="shared" si="258"/>
        <v>0</v>
      </c>
      <c r="BO329" s="51">
        <f t="shared" ca="1" si="259"/>
        <v>0</v>
      </c>
      <c r="BP329" s="51">
        <f t="shared" ca="1" si="260"/>
        <v>0</v>
      </c>
      <c r="BQ329" s="120"/>
      <c r="BR329" s="32"/>
      <c r="BS329" s="126"/>
      <c r="BT329" s="16"/>
      <c r="BU329" s="58"/>
      <c r="BW329" s="51">
        <f>VLOOKUP(H329,Charges!$AT$4:$AU$33,2,FALSE)*I329</f>
        <v>0</v>
      </c>
      <c r="BX329" s="51">
        <f t="shared" si="261"/>
        <v>0</v>
      </c>
      <c r="BY329" s="51">
        <f t="shared" si="269"/>
        <v>0</v>
      </c>
      <c r="BZ329" s="151"/>
      <c r="CA329" s="151"/>
      <c r="CB329" s="32"/>
      <c r="CC329" s="16">
        <f ca="1">SUM($N$7:$N329)</f>
        <v>0</v>
      </c>
      <c r="CD329" s="16">
        <f t="shared" ca="1" si="262"/>
        <v>0</v>
      </c>
      <c r="CE329" s="16">
        <f t="shared" ca="1" si="263"/>
        <v>0</v>
      </c>
      <c r="CF329" s="7">
        <f t="shared" ca="1" si="270"/>
        <v>0</v>
      </c>
    </row>
    <row r="330" spans="1:84" s="7" customFormat="1" x14ac:dyDescent="0.2">
      <c r="A330" s="149"/>
      <c r="B330" s="14">
        <f t="shared" si="232"/>
        <v>0</v>
      </c>
      <c r="C330" s="12">
        <f t="shared" si="233"/>
        <v>0</v>
      </c>
      <c r="D330" s="17">
        <f t="shared" si="271"/>
        <v>324</v>
      </c>
      <c r="E330" s="17">
        <f t="shared" ca="1" si="234"/>
        <v>86</v>
      </c>
      <c r="F330" s="12">
        <f t="shared" si="229"/>
        <v>11</v>
      </c>
      <c r="G330" s="12">
        <f t="shared" si="228"/>
        <v>54</v>
      </c>
      <c r="H330" s="17">
        <f t="shared" si="230"/>
        <v>27</v>
      </c>
      <c r="I330" s="29">
        <f t="shared" si="235"/>
        <v>0</v>
      </c>
      <c r="J330" s="211">
        <f>IFERROR(VLOOKUP(H330,Charges!$T$6:$U$35,2,0)*C330,0)</f>
        <v>0</v>
      </c>
      <c r="K330" s="29">
        <f t="shared" si="236"/>
        <v>0</v>
      </c>
      <c r="L330" s="29">
        <f t="shared" si="237"/>
        <v>0</v>
      </c>
      <c r="M330" s="147">
        <f t="shared" ca="1" si="238"/>
        <v>0</v>
      </c>
      <c r="N330" s="148">
        <f ca="1">IF(AND(Option_SPW="Y",Z329&gt;=SPW_Start_Min_FV,H330&gt;=Lock_In_Period,Z329&gt;SPW_Amount_pa+IF(option="Single",1/5*pr,2*pr),H330&gt;=SPW_Start_Year,H330&lt;=SPW_Start_Year+SPW_Duration-1,F330=0,age+H330&gt;=Legal_Age),SPW_Amount_pa,0)+IFERROR(VLOOKUP(H330,Input!$B$68:$C$74,2,0),0)*(F330=0)*(Option_PW="Y")*(Option_SPW="N")*(age+H330&gt;=Legal_Age)</f>
        <v>0</v>
      </c>
      <c r="O330" s="148">
        <f t="shared" ca="1" si="264"/>
        <v>0</v>
      </c>
      <c r="P330" s="14">
        <f ca="1">(MAX(MAX(sa-CF329*Flag_UL_Type,105%*SUM($I$7:I330))-(AD329+L330-N330)*Flag_UL_Type,0)*B330)</f>
        <v>0</v>
      </c>
      <c r="Q330" s="213">
        <f t="shared" si="239"/>
        <v>0</v>
      </c>
      <c r="R330" s="14">
        <f t="shared" ca="1" si="240"/>
        <v>0</v>
      </c>
      <c r="S330" s="14">
        <f t="shared" ca="1" si="241"/>
        <v>0</v>
      </c>
      <c r="T330" s="14">
        <f>IFERROR(IF(WoP_Flag="Y",IF(fq=1,VLOOKUP(ppt*fq-H330,Charges!$AN$41:$AO$59,2,FALSE),IF(fq=2,VLOOKUP(ppt*fq-G330,Charges!$AP$41:$AQ$79,2,FALSE),VLOOKUP(ppt*fq-D330,Charges!$AR$41:$AS$279,2,FALSE)))*pr/fq,0),0)</f>
        <v>0</v>
      </c>
      <c r="U330" s="14">
        <f ca="1">IFERROR(((T330*(VLOOKUP(Input!$D$18+H330-1,Tab_Mort_Charge,IF(Gender_2="M",2,3),FALSE)*(1+_emr2)+_rpm2)/IF(Model_Type="LA_PQIS",1000/0.0833,(12*1000))))*Flag_Mort_Rider_Charge*(T330&gt;0),0)</f>
        <v>0</v>
      </c>
      <c r="V330" s="34">
        <f>ROUND(MIN(IF(H330&gt;=7,Charges!$C$12*(1+Charges!$C$14)^((H330-7+1)),VLOOKUP(H330,Charges!$B$7:$C$12,2,0))*pr,Charges!$C$13)*B330,Round)</f>
        <v>0</v>
      </c>
      <c r="W330" s="14">
        <f t="shared" ca="1" si="242"/>
        <v>0</v>
      </c>
      <c r="X330" s="14">
        <f t="shared" ca="1" si="243"/>
        <v>0</v>
      </c>
      <c r="Y330" s="213">
        <f t="shared" ca="1" si="265"/>
        <v>0</v>
      </c>
      <c r="Z330" s="14">
        <f t="shared" ca="1" si="244"/>
        <v>0</v>
      </c>
      <c r="AA330" s="14">
        <f>IF(AND($H330=pt,$F330=11),SUM($K$7:K330)*VLOOKUP(pt,ROC,2,FALSE),0)</f>
        <v>0</v>
      </c>
      <c r="AB330" s="14">
        <f>IF(AND($H330=pt,$F330=11),SUM($V$7:V330)*VLOOKUP(pt,ROC,2,FALSE),0)</f>
        <v>0</v>
      </c>
      <c r="AC330" s="14">
        <f>IF(AND($H330=pt,$F330=11),SUM($Q$7:Q330)*VLOOKUP(pt,ROC,2,FALSE),0)</f>
        <v>0</v>
      </c>
      <c r="AD330" s="14">
        <f t="shared" ca="1" si="266"/>
        <v>0</v>
      </c>
      <c r="AE330" s="14">
        <f ca="1">(MAX(sa-CF329*Flag_UL_Type,105%*SUM($I$7:I330),Z330)+AU330)*B330</f>
        <v>0</v>
      </c>
      <c r="AF330" s="136"/>
      <c r="AG330" s="18">
        <v>324</v>
      </c>
      <c r="AH330" s="30">
        <f t="shared" ca="1" si="245"/>
        <v>0</v>
      </c>
      <c r="AI330" s="58"/>
      <c r="AJ330" s="50">
        <f>IF(AND(Option_Sys_TopUp&gt;="Y",H330&gt;=sytp,H330&lt;=(dtp+sytp-1),F330=0,H330&lt;=ppt+1),atp,0)+IFERROR(VLOOKUP(H330,Input!$B$55:$C$61,2,0),0)*(F330=0)*(Option_TopUP="Y")*(Option_Sys_TopUp="N")*B330*(pt&gt;=H330+5)</f>
        <v>0</v>
      </c>
      <c r="AK330" s="50">
        <f t="shared" si="246"/>
        <v>0</v>
      </c>
      <c r="AL330" s="50">
        <f t="shared" si="267"/>
        <v>0</v>
      </c>
      <c r="AM330" s="50">
        <f t="shared" ca="1" si="247"/>
        <v>0</v>
      </c>
      <c r="AN330" s="50">
        <f>IF(B330=0,0,AT330*(_rpm1+(1+_emr1)*VLOOKUP(E330,Tab_Mort_Charge,IF(Input!$C$12="M",2,3),0))*(0.001*0.0833)*Flag_Mort_Rider_Charge*(AT330&gt;0))</f>
        <v>0</v>
      </c>
      <c r="AO330" s="50">
        <f t="shared" ca="1" si="268"/>
        <v>0</v>
      </c>
      <c r="AP330" s="50">
        <f t="shared" ca="1" si="231"/>
        <v>0</v>
      </c>
      <c r="AQ330" s="50">
        <f t="shared" ca="1" si="248"/>
        <v>0</v>
      </c>
      <c r="AR330" s="50">
        <f t="shared" ca="1" si="249"/>
        <v>0</v>
      </c>
      <c r="AS330" s="50">
        <f t="shared" si="250"/>
        <v>0</v>
      </c>
      <c r="AT330" s="50">
        <f ca="1">(MAX((MAX(AS330,105%*SUM($AJ$7:AJ330))-AM330*Flag_UL_Type),0)*B330)</f>
        <v>0</v>
      </c>
      <c r="AU330" s="50">
        <f ca="1">(MAX(AS330,AR330,105%*SUM($AJ$7:AJ330))*B330)</f>
        <v>0</v>
      </c>
      <c r="AV330" s="125"/>
      <c r="AW330" s="13"/>
      <c r="AX330" s="13"/>
      <c r="AY330" s="13"/>
      <c r="AZ330" s="13"/>
      <c r="BA330" s="13"/>
      <c r="BG330" s="51">
        <f t="shared" si="251"/>
        <v>0</v>
      </c>
      <c r="BH330" s="51">
        <f t="shared" si="252"/>
        <v>0</v>
      </c>
      <c r="BI330" s="51">
        <f t="shared" ca="1" si="253"/>
        <v>0</v>
      </c>
      <c r="BJ330" s="51">
        <f t="shared" ca="1" si="254"/>
        <v>0</v>
      </c>
      <c r="BK330" s="51">
        <f t="shared" si="255"/>
        <v>0</v>
      </c>
      <c r="BL330" s="51">
        <f t="shared" ca="1" si="256"/>
        <v>0</v>
      </c>
      <c r="BM330" s="51">
        <f t="shared" si="257"/>
        <v>0</v>
      </c>
      <c r="BN330" s="51">
        <f t="shared" si="258"/>
        <v>0</v>
      </c>
      <c r="BO330" s="51">
        <f t="shared" ca="1" si="259"/>
        <v>0</v>
      </c>
      <c r="BP330" s="51">
        <f t="shared" ca="1" si="260"/>
        <v>0</v>
      </c>
      <c r="BQ330" s="120"/>
      <c r="BR330" s="32"/>
      <c r="BS330" s="126"/>
      <c r="BT330" s="16"/>
      <c r="BU330" s="58"/>
      <c r="BW330" s="51">
        <f>VLOOKUP(H330,Charges!$AT$4:$AU$33,2,FALSE)*I330</f>
        <v>0</v>
      </c>
      <c r="BX330" s="51">
        <f t="shared" si="261"/>
        <v>0</v>
      </c>
      <c r="BY330" s="51">
        <f t="shared" si="269"/>
        <v>0</v>
      </c>
      <c r="BZ330" s="151"/>
      <c r="CA330" s="151"/>
      <c r="CB330" s="32"/>
      <c r="CC330" s="16">
        <f ca="1">SUM($N$7:$N330)</f>
        <v>0</v>
      </c>
      <c r="CD330" s="16">
        <f t="shared" ca="1" si="262"/>
        <v>0</v>
      </c>
      <c r="CE330" s="16">
        <f t="shared" ca="1" si="263"/>
        <v>0</v>
      </c>
      <c r="CF330" s="7">
        <f t="shared" ca="1" si="270"/>
        <v>0</v>
      </c>
    </row>
    <row r="331" spans="1:84" s="7" customFormat="1" x14ac:dyDescent="0.2">
      <c r="A331" s="149"/>
      <c r="B331" s="14">
        <f t="shared" si="232"/>
        <v>0</v>
      </c>
      <c r="C331" s="12">
        <f t="shared" si="233"/>
        <v>0</v>
      </c>
      <c r="D331" s="17">
        <f t="shared" si="271"/>
        <v>325</v>
      </c>
      <c r="E331" s="17">
        <f t="shared" ca="1" si="234"/>
        <v>87</v>
      </c>
      <c r="F331" s="12">
        <f t="shared" si="229"/>
        <v>0</v>
      </c>
      <c r="G331" s="12">
        <f t="shared" si="228"/>
        <v>55</v>
      </c>
      <c r="H331" s="17">
        <f t="shared" si="230"/>
        <v>28</v>
      </c>
      <c r="I331" s="29">
        <f t="shared" si="235"/>
        <v>0</v>
      </c>
      <c r="J331" s="211">
        <f>IFERROR(VLOOKUP(H331,Charges!$T$6:$U$35,2,0)*C331,0)</f>
        <v>0</v>
      </c>
      <c r="K331" s="29">
        <f t="shared" si="236"/>
        <v>0</v>
      </c>
      <c r="L331" s="29">
        <f t="shared" si="237"/>
        <v>0</v>
      </c>
      <c r="M331" s="147">
        <f t="shared" ca="1" si="238"/>
        <v>0</v>
      </c>
      <c r="N331" s="148">
        <f ca="1">IF(AND(Option_SPW="Y",Z330&gt;=SPW_Start_Min_FV,H331&gt;=Lock_In_Period,Z330&gt;SPW_Amount_pa+IF(option="Single",1/5*pr,2*pr),H331&gt;=SPW_Start_Year,H331&lt;=SPW_Start_Year+SPW_Duration-1,F331=0,age+H331&gt;=Legal_Age),SPW_Amount_pa,0)+IFERROR(VLOOKUP(H331,Input!$B$68:$C$74,2,0),0)*(F331=0)*(Option_PW="Y")*(Option_SPW="N")*(age+H331&gt;=Legal_Age)</f>
        <v>0</v>
      </c>
      <c r="O331" s="148">
        <f t="shared" ca="1" si="264"/>
        <v>0</v>
      </c>
      <c r="P331" s="14">
        <f ca="1">(MAX(MAX(sa-CF330*Flag_UL_Type,105%*SUM($I$7:I331))-(AD330+L331-N331)*Flag_UL_Type,0)*B331)</f>
        <v>0</v>
      </c>
      <c r="Q331" s="213">
        <f t="shared" si="239"/>
        <v>0</v>
      </c>
      <c r="R331" s="14">
        <f t="shared" ca="1" si="240"/>
        <v>0</v>
      </c>
      <c r="S331" s="14">
        <f t="shared" ca="1" si="241"/>
        <v>0</v>
      </c>
      <c r="T331" s="14">
        <f>IFERROR(IF(WoP_Flag="Y",IF(fq=1,VLOOKUP(ppt*fq-H331,Charges!$AN$41:$AO$59,2,FALSE),IF(fq=2,VLOOKUP(ppt*fq-G331,Charges!$AP$41:$AQ$79,2,FALSE),VLOOKUP(ppt*fq-D331,Charges!$AR$41:$AS$279,2,FALSE)))*pr/fq,0),0)</f>
        <v>0</v>
      </c>
      <c r="U331" s="14">
        <f ca="1">IFERROR(((T331*(VLOOKUP(Input!$D$18+H331-1,Tab_Mort_Charge,IF(Gender_2="M",2,3),FALSE)*(1+_emr2)+_rpm2)/IF(Model_Type="LA_PQIS",1000/0.0833,(12*1000))))*Flag_Mort_Rider_Charge*(T331&gt;0),0)</f>
        <v>0</v>
      </c>
      <c r="V331" s="34">
        <f>ROUND(MIN(IF(H331&gt;=7,Charges!$C$12*(1+Charges!$C$14)^((H331-7+1)),VLOOKUP(H331,Charges!$B$7:$C$12,2,0))*pr,Charges!$C$13)*B331,Round)</f>
        <v>0</v>
      </c>
      <c r="W331" s="14">
        <f t="shared" ca="1" si="242"/>
        <v>0</v>
      </c>
      <c r="X331" s="14">
        <f t="shared" ca="1" si="243"/>
        <v>0</v>
      </c>
      <c r="Y331" s="213">
        <f t="shared" ca="1" si="265"/>
        <v>0</v>
      </c>
      <c r="Z331" s="14">
        <f t="shared" ca="1" si="244"/>
        <v>0</v>
      </c>
      <c r="AA331" s="14">
        <f>IF(AND($H331=pt,$F331=11),SUM($K$7:K331)*VLOOKUP(pt,ROC,2,FALSE),0)</f>
        <v>0</v>
      </c>
      <c r="AB331" s="14">
        <f>IF(AND($H331=pt,$F331=11),SUM($V$7:V331)*VLOOKUP(pt,ROC,2,FALSE),0)</f>
        <v>0</v>
      </c>
      <c r="AC331" s="14">
        <f>IF(AND($H331=pt,$F331=11),SUM($Q$7:Q331)*VLOOKUP(pt,ROC,2,FALSE),0)</f>
        <v>0</v>
      </c>
      <c r="AD331" s="14">
        <f t="shared" ca="1" si="266"/>
        <v>0</v>
      </c>
      <c r="AE331" s="14">
        <f ca="1">(MAX(sa-CF330*Flag_UL_Type,105%*SUM($I$7:I331),Z331)+AU331)*B331</f>
        <v>0</v>
      </c>
      <c r="AF331" s="136"/>
      <c r="AG331" s="18">
        <v>325</v>
      </c>
      <c r="AH331" s="30">
        <f t="shared" ca="1" si="245"/>
        <v>0</v>
      </c>
      <c r="AI331" s="58"/>
      <c r="AJ331" s="50">
        <f>IF(AND(Option_Sys_TopUp&gt;="Y",H331&gt;=sytp,H331&lt;=(dtp+sytp-1),F331=0,H331&lt;=ppt+1),atp,0)+IFERROR(VLOOKUP(H331,Input!$B$55:$C$61,2,0),0)*(F331=0)*(Option_TopUP="Y")*(Option_Sys_TopUp="N")*B331*(pt&gt;=H331+5)</f>
        <v>0</v>
      </c>
      <c r="AK331" s="50">
        <f t="shared" si="246"/>
        <v>0</v>
      </c>
      <c r="AL331" s="50">
        <f t="shared" si="267"/>
        <v>0</v>
      </c>
      <c r="AM331" s="50">
        <f t="shared" ca="1" si="247"/>
        <v>0</v>
      </c>
      <c r="AN331" s="50">
        <f>IF(B331=0,0,AT331*(_rpm1+(1+_emr1)*VLOOKUP(E331,Tab_Mort_Charge,IF(Input!$C$12="M",2,3),0))*(0.001*0.0833)*Flag_Mort_Rider_Charge*(AT331&gt;0))</f>
        <v>0</v>
      </c>
      <c r="AO331" s="50">
        <f t="shared" ca="1" si="268"/>
        <v>0</v>
      </c>
      <c r="AP331" s="50">
        <f t="shared" ca="1" si="231"/>
        <v>0</v>
      </c>
      <c r="AQ331" s="50">
        <f t="shared" ca="1" si="248"/>
        <v>0</v>
      </c>
      <c r="AR331" s="50">
        <f t="shared" ca="1" si="249"/>
        <v>0</v>
      </c>
      <c r="AS331" s="50">
        <f t="shared" si="250"/>
        <v>0</v>
      </c>
      <c r="AT331" s="50">
        <f ca="1">(MAX((MAX(AS331,105%*SUM($AJ$7:AJ331))-AM331*Flag_UL_Type),0)*B331)</f>
        <v>0</v>
      </c>
      <c r="AU331" s="50">
        <f ca="1">(MAX(AS331,AR331,105%*SUM($AJ$7:AJ331))*B331)</f>
        <v>0</v>
      </c>
      <c r="AV331" s="125"/>
      <c r="AW331" s="13"/>
      <c r="AX331" s="13"/>
      <c r="AY331" s="13"/>
      <c r="AZ331" s="13"/>
      <c r="BA331" s="13"/>
      <c r="BG331" s="51">
        <f t="shared" si="251"/>
        <v>0</v>
      </c>
      <c r="BH331" s="51">
        <f t="shared" si="252"/>
        <v>0</v>
      </c>
      <c r="BI331" s="51">
        <f t="shared" ca="1" si="253"/>
        <v>0</v>
      </c>
      <c r="BJ331" s="51">
        <f t="shared" ca="1" si="254"/>
        <v>0</v>
      </c>
      <c r="BK331" s="51">
        <f t="shared" si="255"/>
        <v>0</v>
      </c>
      <c r="BL331" s="51">
        <f t="shared" ca="1" si="256"/>
        <v>0</v>
      </c>
      <c r="BM331" s="51">
        <f t="shared" si="257"/>
        <v>0</v>
      </c>
      <c r="BN331" s="51">
        <f t="shared" si="258"/>
        <v>0</v>
      </c>
      <c r="BO331" s="51">
        <f t="shared" ca="1" si="259"/>
        <v>0</v>
      </c>
      <c r="BP331" s="51">
        <f t="shared" ca="1" si="260"/>
        <v>0</v>
      </c>
      <c r="BQ331" s="120"/>
      <c r="BR331" s="32"/>
      <c r="BS331" s="126"/>
      <c r="BT331" s="16"/>
      <c r="BU331" s="58"/>
      <c r="BW331" s="51">
        <f>VLOOKUP(H331,Charges!$AT$4:$AU$33,2,FALSE)*I331</f>
        <v>0</v>
      </c>
      <c r="BX331" s="51">
        <f t="shared" si="261"/>
        <v>0</v>
      </c>
      <c r="BY331" s="51">
        <f t="shared" si="269"/>
        <v>0</v>
      </c>
      <c r="BZ331" s="151"/>
      <c r="CA331" s="151"/>
      <c r="CB331" s="32"/>
      <c r="CC331" s="16">
        <f ca="1">SUM($N$7:$N331)</f>
        <v>0</v>
      </c>
      <c r="CD331" s="16">
        <f t="shared" ca="1" si="262"/>
        <v>0</v>
      </c>
      <c r="CE331" s="16">
        <f t="shared" ca="1" si="263"/>
        <v>0</v>
      </c>
      <c r="CF331" s="7">
        <f t="shared" ca="1" si="270"/>
        <v>0</v>
      </c>
    </row>
    <row r="332" spans="1:84" s="7" customFormat="1" x14ac:dyDescent="0.2">
      <c r="A332" s="149"/>
      <c r="B332" s="14">
        <f t="shared" si="232"/>
        <v>0</v>
      </c>
      <c r="C332" s="12">
        <f t="shared" si="233"/>
        <v>0</v>
      </c>
      <c r="D332" s="17">
        <f t="shared" si="271"/>
        <v>326</v>
      </c>
      <c r="E332" s="17">
        <f t="shared" ca="1" si="234"/>
        <v>87</v>
      </c>
      <c r="F332" s="12">
        <f t="shared" si="229"/>
        <v>1</v>
      </c>
      <c r="G332" s="12">
        <f t="shared" si="228"/>
        <v>55</v>
      </c>
      <c r="H332" s="17">
        <f t="shared" si="230"/>
        <v>28</v>
      </c>
      <c r="I332" s="29">
        <f t="shared" si="235"/>
        <v>0</v>
      </c>
      <c r="J332" s="211">
        <f>IFERROR(VLOOKUP(H332,Charges!$T$6:$U$35,2,0)*C332,0)</f>
        <v>0</v>
      </c>
      <c r="K332" s="29">
        <f t="shared" si="236"/>
        <v>0</v>
      </c>
      <c r="L332" s="29">
        <f t="shared" si="237"/>
        <v>0</v>
      </c>
      <c r="M332" s="147">
        <f t="shared" ca="1" si="238"/>
        <v>0</v>
      </c>
      <c r="N332" s="148">
        <f ca="1">IF(AND(Option_SPW="Y",Z331&gt;=SPW_Start_Min_FV,H332&gt;=Lock_In_Period,Z331&gt;SPW_Amount_pa+IF(option="Single",1/5*pr,2*pr),H332&gt;=SPW_Start_Year,H332&lt;=SPW_Start_Year+SPW_Duration-1,F332=0,age+H332&gt;=Legal_Age),SPW_Amount_pa,0)+IFERROR(VLOOKUP(H332,Input!$B$68:$C$74,2,0),0)*(F332=0)*(Option_PW="Y")*(Option_SPW="N")*(age+H332&gt;=Legal_Age)</f>
        <v>0</v>
      </c>
      <c r="O332" s="148">
        <f t="shared" ca="1" si="264"/>
        <v>0</v>
      </c>
      <c r="P332" s="14">
        <f ca="1">(MAX(MAX(sa-CF331*Flag_UL_Type,105%*SUM($I$7:I332))-(AD331+L332-N332)*Flag_UL_Type,0)*B332)</f>
        <v>0</v>
      </c>
      <c r="Q332" s="213">
        <f t="shared" si="239"/>
        <v>0</v>
      </c>
      <c r="R332" s="14">
        <f t="shared" ca="1" si="240"/>
        <v>0</v>
      </c>
      <c r="S332" s="14">
        <f t="shared" ca="1" si="241"/>
        <v>0</v>
      </c>
      <c r="T332" s="14">
        <f>IFERROR(IF(WoP_Flag="Y",IF(fq=1,VLOOKUP(ppt*fq-H332,Charges!$AN$41:$AO$59,2,FALSE),IF(fq=2,VLOOKUP(ppt*fq-G332,Charges!$AP$41:$AQ$79,2,FALSE),VLOOKUP(ppt*fq-D332,Charges!$AR$41:$AS$279,2,FALSE)))*pr/fq,0),0)</f>
        <v>0</v>
      </c>
      <c r="U332" s="14">
        <f ca="1">IFERROR(((T332*(VLOOKUP(Input!$D$18+H332-1,Tab_Mort_Charge,IF(Gender_2="M",2,3),FALSE)*(1+_emr2)+_rpm2)/IF(Model_Type="LA_PQIS",1000/0.0833,(12*1000))))*Flag_Mort_Rider_Charge*(T332&gt;0),0)</f>
        <v>0</v>
      </c>
      <c r="V332" s="34">
        <f>ROUND(MIN(IF(H332&gt;=7,Charges!$C$12*(1+Charges!$C$14)^((H332-7+1)),VLOOKUP(H332,Charges!$B$7:$C$12,2,0))*pr,Charges!$C$13)*B332,Round)</f>
        <v>0</v>
      </c>
      <c r="W332" s="14">
        <f t="shared" ca="1" si="242"/>
        <v>0</v>
      </c>
      <c r="X332" s="14">
        <f t="shared" ca="1" si="243"/>
        <v>0</v>
      </c>
      <c r="Y332" s="213">
        <f t="shared" ca="1" si="265"/>
        <v>0</v>
      </c>
      <c r="Z332" s="14">
        <f t="shared" ca="1" si="244"/>
        <v>0</v>
      </c>
      <c r="AA332" s="14">
        <f>IF(AND($H332=pt,$F332=11),SUM($K$7:K332)*VLOOKUP(pt,ROC,2,FALSE),0)</f>
        <v>0</v>
      </c>
      <c r="AB332" s="14">
        <f>IF(AND($H332=pt,$F332=11),SUM($V$7:V332)*VLOOKUP(pt,ROC,2,FALSE),0)</f>
        <v>0</v>
      </c>
      <c r="AC332" s="14">
        <f>IF(AND($H332=pt,$F332=11),SUM($Q$7:Q332)*VLOOKUP(pt,ROC,2,FALSE),0)</f>
        <v>0</v>
      </c>
      <c r="AD332" s="14">
        <f t="shared" ca="1" si="266"/>
        <v>0</v>
      </c>
      <c r="AE332" s="14">
        <f ca="1">(MAX(sa-CF331*Flag_UL_Type,105%*SUM($I$7:I332),Z332)+AU332)*B332</f>
        <v>0</v>
      </c>
      <c r="AF332" s="136"/>
      <c r="AG332" s="18">
        <v>326</v>
      </c>
      <c r="AH332" s="30">
        <f t="shared" ca="1" si="245"/>
        <v>0</v>
      </c>
      <c r="AI332" s="58"/>
      <c r="AJ332" s="50">
        <f>IF(AND(Option_Sys_TopUp&gt;="Y",H332&gt;=sytp,H332&lt;=(dtp+sytp-1),F332=0,H332&lt;=ppt+1),atp,0)+IFERROR(VLOOKUP(H332,Input!$B$55:$C$61,2,0),0)*(F332=0)*(Option_TopUP="Y")*(Option_Sys_TopUp="N")*B332*(pt&gt;=H332+5)</f>
        <v>0</v>
      </c>
      <c r="AK332" s="50">
        <f t="shared" si="246"/>
        <v>0</v>
      </c>
      <c r="AL332" s="50">
        <f t="shared" si="267"/>
        <v>0</v>
      </c>
      <c r="AM332" s="50">
        <f t="shared" ca="1" si="247"/>
        <v>0</v>
      </c>
      <c r="AN332" s="50">
        <f>IF(B332=0,0,AT332*(_rpm1+(1+_emr1)*VLOOKUP(E332,Tab_Mort_Charge,IF(Input!$C$12="M",2,3),0))*(0.001*0.0833)*Flag_Mort_Rider_Charge*(AT332&gt;0))</f>
        <v>0</v>
      </c>
      <c r="AO332" s="50">
        <f t="shared" ca="1" si="268"/>
        <v>0</v>
      </c>
      <c r="AP332" s="50">
        <f t="shared" ca="1" si="231"/>
        <v>0</v>
      </c>
      <c r="AQ332" s="50">
        <f t="shared" ca="1" si="248"/>
        <v>0</v>
      </c>
      <c r="AR332" s="50">
        <f t="shared" ca="1" si="249"/>
        <v>0</v>
      </c>
      <c r="AS332" s="50">
        <f t="shared" si="250"/>
        <v>0</v>
      </c>
      <c r="AT332" s="50">
        <f ca="1">(MAX((MAX(AS332,105%*SUM($AJ$7:AJ332))-AM332*Flag_UL_Type),0)*B332)</f>
        <v>0</v>
      </c>
      <c r="AU332" s="50">
        <f ca="1">(MAX(AS332,AR332,105%*SUM($AJ$7:AJ332))*B332)</f>
        <v>0</v>
      </c>
      <c r="AV332" s="125"/>
      <c r="AW332" s="13"/>
      <c r="AX332" s="13"/>
      <c r="AY332" s="13"/>
      <c r="AZ332" s="13"/>
      <c r="BA332" s="13"/>
      <c r="BG332" s="51">
        <f t="shared" si="251"/>
        <v>0</v>
      </c>
      <c r="BH332" s="51">
        <f t="shared" si="252"/>
        <v>0</v>
      </c>
      <c r="BI332" s="51">
        <f t="shared" ca="1" si="253"/>
        <v>0</v>
      </c>
      <c r="BJ332" s="51">
        <f t="shared" ca="1" si="254"/>
        <v>0</v>
      </c>
      <c r="BK332" s="51">
        <f t="shared" si="255"/>
        <v>0</v>
      </c>
      <c r="BL332" s="51">
        <f t="shared" ca="1" si="256"/>
        <v>0</v>
      </c>
      <c r="BM332" s="51">
        <f t="shared" si="257"/>
        <v>0</v>
      </c>
      <c r="BN332" s="51">
        <f t="shared" si="258"/>
        <v>0</v>
      </c>
      <c r="BO332" s="51">
        <f t="shared" ca="1" si="259"/>
        <v>0</v>
      </c>
      <c r="BP332" s="51">
        <f t="shared" ca="1" si="260"/>
        <v>0</v>
      </c>
      <c r="BQ332" s="120"/>
      <c r="BR332" s="32"/>
      <c r="BS332" s="126"/>
      <c r="BT332" s="16"/>
      <c r="BU332" s="58"/>
      <c r="BW332" s="51">
        <f>VLOOKUP(H332,Charges!$AT$4:$AU$33,2,FALSE)*I332</f>
        <v>0</v>
      </c>
      <c r="BX332" s="51">
        <f t="shared" si="261"/>
        <v>0</v>
      </c>
      <c r="BY332" s="51">
        <f t="shared" si="269"/>
        <v>0</v>
      </c>
      <c r="BZ332" s="151"/>
      <c r="CA332" s="151"/>
      <c r="CB332" s="32"/>
      <c r="CC332" s="16">
        <f ca="1">SUM($N$7:$N332)</f>
        <v>0</v>
      </c>
      <c r="CD332" s="16">
        <f t="shared" ca="1" si="262"/>
        <v>0</v>
      </c>
      <c r="CE332" s="16">
        <f t="shared" ca="1" si="263"/>
        <v>0</v>
      </c>
      <c r="CF332" s="7">
        <f t="shared" ca="1" si="270"/>
        <v>0</v>
      </c>
    </row>
    <row r="333" spans="1:84" s="7" customFormat="1" x14ac:dyDescent="0.2">
      <c r="A333" s="149"/>
      <c r="B333" s="14">
        <f t="shared" si="232"/>
        <v>0</v>
      </c>
      <c r="C333" s="12">
        <f t="shared" si="233"/>
        <v>0</v>
      </c>
      <c r="D333" s="17">
        <f t="shared" si="271"/>
        <v>327</v>
      </c>
      <c r="E333" s="17">
        <f t="shared" ca="1" si="234"/>
        <v>87</v>
      </c>
      <c r="F333" s="12">
        <f t="shared" si="229"/>
        <v>2</v>
      </c>
      <c r="G333" s="12">
        <f t="shared" si="228"/>
        <v>55</v>
      </c>
      <c r="H333" s="17">
        <f t="shared" si="230"/>
        <v>28</v>
      </c>
      <c r="I333" s="29">
        <f t="shared" si="235"/>
        <v>0</v>
      </c>
      <c r="J333" s="211">
        <f>IFERROR(VLOOKUP(H333,Charges!$T$6:$U$35,2,0)*C333,0)</f>
        <v>0</v>
      </c>
      <c r="K333" s="29">
        <f t="shared" si="236"/>
        <v>0</v>
      </c>
      <c r="L333" s="29">
        <f t="shared" si="237"/>
        <v>0</v>
      </c>
      <c r="M333" s="147">
        <f t="shared" ca="1" si="238"/>
        <v>0</v>
      </c>
      <c r="N333" s="148">
        <f ca="1">IF(AND(Option_SPW="Y",Z332&gt;=SPW_Start_Min_FV,H333&gt;=Lock_In_Period,Z332&gt;SPW_Amount_pa+IF(option="Single",1/5*pr,2*pr),H333&gt;=SPW_Start_Year,H333&lt;=SPW_Start_Year+SPW_Duration-1,F333=0,age+H333&gt;=Legal_Age),SPW_Amount_pa,0)+IFERROR(VLOOKUP(H333,Input!$B$68:$C$74,2,0),0)*(F333=0)*(Option_PW="Y")*(Option_SPW="N")*(age+H333&gt;=Legal_Age)</f>
        <v>0</v>
      </c>
      <c r="O333" s="148">
        <f t="shared" ca="1" si="264"/>
        <v>0</v>
      </c>
      <c r="P333" s="14">
        <f ca="1">(MAX(MAX(sa-CF332*Flag_UL_Type,105%*SUM($I$7:I333))-(AD332+L333-N333)*Flag_UL_Type,0)*B333)</f>
        <v>0</v>
      </c>
      <c r="Q333" s="213">
        <f t="shared" si="239"/>
        <v>0</v>
      </c>
      <c r="R333" s="14">
        <f t="shared" ca="1" si="240"/>
        <v>0</v>
      </c>
      <c r="S333" s="14">
        <f t="shared" ca="1" si="241"/>
        <v>0</v>
      </c>
      <c r="T333" s="14">
        <f>IFERROR(IF(WoP_Flag="Y",IF(fq=1,VLOOKUP(ppt*fq-H333,Charges!$AN$41:$AO$59,2,FALSE),IF(fq=2,VLOOKUP(ppt*fq-G333,Charges!$AP$41:$AQ$79,2,FALSE),VLOOKUP(ppt*fq-D333,Charges!$AR$41:$AS$279,2,FALSE)))*pr/fq,0),0)</f>
        <v>0</v>
      </c>
      <c r="U333" s="14">
        <f ca="1">IFERROR(((T333*(VLOOKUP(Input!$D$18+H333-1,Tab_Mort_Charge,IF(Gender_2="M",2,3),FALSE)*(1+_emr2)+_rpm2)/IF(Model_Type="LA_PQIS",1000/0.0833,(12*1000))))*Flag_Mort_Rider_Charge*(T333&gt;0),0)</f>
        <v>0</v>
      </c>
      <c r="V333" s="34">
        <f>ROUND(MIN(IF(H333&gt;=7,Charges!$C$12*(1+Charges!$C$14)^((H333-7+1)),VLOOKUP(H333,Charges!$B$7:$C$12,2,0))*pr,Charges!$C$13)*B333,Round)</f>
        <v>0</v>
      </c>
      <c r="W333" s="14">
        <f t="shared" ca="1" si="242"/>
        <v>0</v>
      </c>
      <c r="X333" s="14">
        <f t="shared" ca="1" si="243"/>
        <v>0</v>
      </c>
      <c r="Y333" s="213">
        <f t="shared" ca="1" si="265"/>
        <v>0</v>
      </c>
      <c r="Z333" s="14">
        <f t="shared" ca="1" si="244"/>
        <v>0</v>
      </c>
      <c r="AA333" s="14">
        <f>IF(AND($H333=pt,$F333=11),SUM($K$7:K333)*VLOOKUP(pt,ROC,2,FALSE),0)</f>
        <v>0</v>
      </c>
      <c r="AB333" s="14">
        <f>IF(AND($H333=pt,$F333=11),SUM($V$7:V333)*VLOOKUP(pt,ROC,2,FALSE),0)</f>
        <v>0</v>
      </c>
      <c r="AC333" s="14">
        <f>IF(AND($H333=pt,$F333=11),SUM($Q$7:Q333)*VLOOKUP(pt,ROC,2,FALSE),0)</f>
        <v>0</v>
      </c>
      <c r="AD333" s="14">
        <f t="shared" ca="1" si="266"/>
        <v>0</v>
      </c>
      <c r="AE333" s="14">
        <f ca="1">(MAX(sa-CF332*Flag_UL_Type,105%*SUM($I$7:I333),Z333)+AU333)*B333</f>
        <v>0</v>
      </c>
      <c r="AF333" s="136"/>
      <c r="AG333" s="18">
        <v>327</v>
      </c>
      <c r="AH333" s="30">
        <f t="shared" ca="1" si="245"/>
        <v>0</v>
      </c>
      <c r="AI333" s="58"/>
      <c r="AJ333" s="50">
        <f>IF(AND(Option_Sys_TopUp&gt;="Y",H333&gt;=sytp,H333&lt;=(dtp+sytp-1),F333=0,H333&lt;=ppt+1),atp,0)+IFERROR(VLOOKUP(H333,Input!$B$55:$C$61,2,0),0)*(F333=0)*(Option_TopUP="Y")*(Option_Sys_TopUp="N")*B333*(pt&gt;=H333+5)</f>
        <v>0</v>
      </c>
      <c r="AK333" s="50">
        <f t="shared" si="246"/>
        <v>0</v>
      </c>
      <c r="AL333" s="50">
        <f t="shared" si="267"/>
        <v>0</v>
      </c>
      <c r="AM333" s="50">
        <f t="shared" ca="1" si="247"/>
        <v>0</v>
      </c>
      <c r="AN333" s="50">
        <f>IF(B333=0,0,AT333*(_rpm1+(1+_emr1)*VLOOKUP(E333,Tab_Mort_Charge,IF(Input!$C$12="M",2,3),0))*(0.001*0.0833)*Flag_Mort_Rider_Charge*(AT333&gt;0))</f>
        <v>0</v>
      </c>
      <c r="AO333" s="50">
        <f t="shared" ca="1" si="268"/>
        <v>0</v>
      </c>
      <c r="AP333" s="50">
        <f t="shared" ca="1" si="231"/>
        <v>0</v>
      </c>
      <c r="AQ333" s="50">
        <f t="shared" ca="1" si="248"/>
        <v>0</v>
      </c>
      <c r="AR333" s="50">
        <f t="shared" ca="1" si="249"/>
        <v>0</v>
      </c>
      <c r="AS333" s="50">
        <f t="shared" si="250"/>
        <v>0</v>
      </c>
      <c r="AT333" s="50">
        <f ca="1">(MAX((MAX(AS333,105%*SUM($AJ$7:AJ333))-AM333*Flag_UL_Type),0)*B333)</f>
        <v>0</v>
      </c>
      <c r="AU333" s="50">
        <f ca="1">(MAX(AS333,AR333,105%*SUM($AJ$7:AJ333))*B333)</f>
        <v>0</v>
      </c>
      <c r="AV333" s="125"/>
      <c r="AW333" s="13"/>
      <c r="AX333" s="13"/>
      <c r="AY333" s="13"/>
      <c r="AZ333" s="13"/>
      <c r="BA333" s="13"/>
      <c r="BG333" s="51">
        <f t="shared" si="251"/>
        <v>0</v>
      </c>
      <c r="BH333" s="51">
        <f t="shared" si="252"/>
        <v>0</v>
      </c>
      <c r="BI333" s="51">
        <f t="shared" ca="1" si="253"/>
        <v>0</v>
      </c>
      <c r="BJ333" s="51">
        <f t="shared" ca="1" si="254"/>
        <v>0</v>
      </c>
      <c r="BK333" s="51">
        <f t="shared" si="255"/>
        <v>0</v>
      </c>
      <c r="BL333" s="51">
        <f t="shared" ca="1" si="256"/>
        <v>0</v>
      </c>
      <c r="BM333" s="51">
        <f t="shared" si="257"/>
        <v>0</v>
      </c>
      <c r="BN333" s="51">
        <f t="shared" si="258"/>
        <v>0</v>
      </c>
      <c r="BO333" s="51">
        <f t="shared" ca="1" si="259"/>
        <v>0</v>
      </c>
      <c r="BP333" s="51">
        <f t="shared" ca="1" si="260"/>
        <v>0</v>
      </c>
      <c r="BQ333" s="120"/>
      <c r="BR333" s="32"/>
      <c r="BS333" s="126"/>
      <c r="BT333" s="16"/>
      <c r="BU333" s="58"/>
      <c r="BW333" s="51">
        <f>VLOOKUP(H333,Charges!$AT$4:$AU$33,2,FALSE)*I333</f>
        <v>0</v>
      </c>
      <c r="BX333" s="51">
        <f t="shared" si="261"/>
        <v>0</v>
      </c>
      <c r="BY333" s="51">
        <f t="shared" si="269"/>
        <v>0</v>
      </c>
      <c r="BZ333" s="151"/>
      <c r="CA333" s="151"/>
      <c r="CB333" s="32"/>
      <c r="CC333" s="16">
        <f ca="1">SUM($N$7:$N333)</f>
        <v>0</v>
      </c>
      <c r="CD333" s="16">
        <f t="shared" ca="1" si="262"/>
        <v>0</v>
      </c>
      <c r="CE333" s="16">
        <f t="shared" ca="1" si="263"/>
        <v>0</v>
      </c>
      <c r="CF333" s="7">
        <f t="shared" ca="1" si="270"/>
        <v>0</v>
      </c>
    </row>
    <row r="334" spans="1:84" s="7" customFormat="1" x14ac:dyDescent="0.2">
      <c r="A334" s="149"/>
      <c r="B334" s="14">
        <f t="shared" si="232"/>
        <v>0</v>
      </c>
      <c r="C334" s="12">
        <f t="shared" si="233"/>
        <v>0</v>
      </c>
      <c r="D334" s="17">
        <f t="shared" si="271"/>
        <v>328</v>
      </c>
      <c r="E334" s="17">
        <f t="shared" ca="1" si="234"/>
        <v>87</v>
      </c>
      <c r="F334" s="12">
        <f t="shared" si="229"/>
        <v>3</v>
      </c>
      <c r="G334" s="12">
        <f t="shared" ref="G334:G367" si="272">G328+1</f>
        <v>55</v>
      </c>
      <c r="H334" s="17">
        <f t="shared" si="230"/>
        <v>28</v>
      </c>
      <c r="I334" s="29">
        <f t="shared" si="235"/>
        <v>0</v>
      </c>
      <c r="J334" s="211">
        <f>IFERROR(VLOOKUP(H334,Charges!$T$6:$U$35,2,0)*C334,0)</f>
        <v>0</v>
      </c>
      <c r="K334" s="29">
        <f t="shared" si="236"/>
        <v>0</v>
      </c>
      <c r="L334" s="29">
        <f t="shared" si="237"/>
        <v>0</v>
      </c>
      <c r="M334" s="147">
        <f t="shared" ca="1" si="238"/>
        <v>0</v>
      </c>
      <c r="N334" s="148">
        <f ca="1">IF(AND(Option_SPW="Y",Z333&gt;=SPW_Start_Min_FV,H334&gt;=Lock_In_Period,Z333&gt;SPW_Amount_pa+IF(option="Single",1/5*pr,2*pr),H334&gt;=SPW_Start_Year,H334&lt;=SPW_Start_Year+SPW_Duration-1,F334=0,age+H334&gt;=Legal_Age),SPW_Amount_pa,0)+IFERROR(VLOOKUP(H334,Input!$B$68:$C$74,2,0),0)*(F334=0)*(Option_PW="Y")*(Option_SPW="N")*(age+H334&gt;=Legal_Age)</f>
        <v>0</v>
      </c>
      <c r="O334" s="148">
        <f t="shared" ca="1" si="264"/>
        <v>0</v>
      </c>
      <c r="P334" s="14">
        <f ca="1">(MAX(MAX(sa-CF333*Flag_UL_Type,105%*SUM($I$7:I334))-(AD333+L334-N334)*Flag_UL_Type,0)*B334)</f>
        <v>0</v>
      </c>
      <c r="Q334" s="213">
        <f t="shared" si="239"/>
        <v>0</v>
      </c>
      <c r="R334" s="14">
        <f t="shared" ca="1" si="240"/>
        <v>0</v>
      </c>
      <c r="S334" s="14">
        <f t="shared" ca="1" si="241"/>
        <v>0</v>
      </c>
      <c r="T334" s="14">
        <f>IFERROR(IF(WoP_Flag="Y",IF(fq=1,VLOOKUP(ppt*fq-H334,Charges!$AN$41:$AO$59,2,FALSE),IF(fq=2,VLOOKUP(ppt*fq-G334,Charges!$AP$41:$AQ$79,2,FALSE),VLOOKUP(ppt*fq-D334,Charges!$AR$41:$AS$279,2,FALSE)))*pr/fq,0),0)</f>
        <v>0</v>
      </c>
      <c r="U334" s="14">
        <f ca="1">IFERROR(((T334*(VLOOKUP(Input!$D$18+H334-1,Tab_Mort_Charge,IF(Gender_2="M",2,3),FALSE)*(1+_emr2)+_rpm2)/IF(Model_Type="LA_PQIS",1000/0.0833,(12*1000))))*Flag_Mort_Rider_Charge*(T334&gt;0),0)</f>
        <v>0</v>
      </c>
      <c r="V334" s="34">
        <f>ROUND(MIN(IF(H334&gt;=7,Charges!$C$12*(1+Charges!$C$14)^((H334-7+1)),VLOOKUP(H334,Charges!$B$7:$C$12,2,0))*pr,Charges!$C$13)*B334,Round)</f>
        <v>0</v>
      </c>
      <c r="W334" s="14">
        <f t="shared" ca="1" si="242"/>
        <v>0</v>
      </c>
      <c r="X334" s="14">
        <f t="shared" ca="1" si="243"/>
        <v>0</v>
      </c>
      <c r="Y334" s="213">
        <f t="shared" ca="1" si="265"/>
        <v>0</v>
      </c>
      <c r="Z334" s="14">
        <f t="shared" ca="1" si="244"/>
        <v>0</v>
      </c>
      <c r="AA334" s="14">
        <f>IF(AND($H334=pt,$F334=11),SUM($K$7:K334)*VLOOKUP(pt,ROC,2,FALSE),0)</f>
        <v>0</v>
      </c>
      <c r="AB334" s="14">
        <f>IF(AND($H334=pt,$F334=11),SUM($V$7:V334)*VLOOKUP(pt,ROC,2,FALSE),0)</f>
        <v>0</v>
      </c>
      <c r="AC334" s="14">
        <f>IF(AND($H334=pt,$F334=11),SUM($Q$7:Q334)*VLOOKUP(pt,ROC,2,FALSE),0)</f>
        <v>0</v>
      </c>
      <c r="AD334" s="14">
        <f t="shared" ca="1" si="266"/>
        <v>0</v>
      </c>
      <c r="AE334" s="14">
        <f ca="1">(MAX(sa-CF333*Flag_UL_Type,105%*SUM($I$7:I334),Z334)+AU334)*B334</f>
        <v>0</v>
      </c>
      <c r="AF334" s="136"/>
      <c r="AG334" s="18">
        <v>328</v>
      </c>
      <c r="AH334" s="30">
        <f t="shared" ca="1" si="245"/>
        <v>0</v>
      </c>
      <c r="AI334" s="58"/>
      <c r="AJ334" s="50">
        <f>IF(AND(Option_Sys_TopUp&gt;="Y",H334&gt;=sytp,H334&lt;=(dtp+sytp-1),F334=0,H334&lt;=ppt+1),atp,0)+IFERROR(VLOOKUP(H334,Input!$B$55:$C$61,2,0),0)*(F334=0)*(Option_TopUP="Y")*(Option_Sys_TopUp="N")*B334*(pt&gt;=H334+5)</f>
        <v>0</v>
      </c>
      <c r="AK334" s="50">
        <f t="shared" si="246"/>
        <v>0</v>
      </c>
      <c r="AL334" s="50">
        <f t="shared" si="267"/>
        <v>0</v>
      </c>
      <c r="AM334" s="50">
        <f t="shared" ca="1" si="247"/>
        <v>0</v>
      </c>
      <c r="AN334" s="50">
        <f>IF(B334=0,0,AT334*(_rpm1+(1+_emr1)*VLOOKUP(E334,Tab_Mort_Charge,IF(Input!$C$12="M",2,3),0))*(0.001*0.0833)*Flag_Mort_Rider_Charge*(AT334&gt;0))</f>
        <v>0</v>
      </c>
      <c r="AO334" s="50">
        <f t="shared" ca="1" si="268"/>
        <v>0</v>
      </c>
      <c r="AP334" s="50">
        <f t="shared" ca="1" si="231"/>
        <v>0</v>
      </c>
      <c r="AQ334" s="50">
        <f t="shared" ca="1" si="248"/>
        <v>0</v>
      </c>
      <c r="AR334" s="50">
        <f t="shared" ca="1" si="249"/>
        <v>0</v>
      </c>
      <c r="AS334" s="50">
        <f t="shared" si="250"/>
        <v>0</v>
      </c>
      <c r="AT334" s="50">
        <f ca="1">(MAX((MAX(AS334,105%*SUM($AJ$7:AJ334))-AM334*Flag_UL_Type),0)*B334)</f>
        <v>0</v>
      </c>
      <c r="AU334" s="50">
        <f ca="1">(MAX(AS334,AR334,105%*SUM($AJ$7:AJ334))*B334)</f>
        <v>0</v>
      </c>
      <c r="AV334" s="125"/>
      <c r="AW334" s="13"/>
      <c r="AX334" s="13"/>
      <c r="AY334" s="13"/>
      <c r="AZ334" s="13"/>
      <c r="BA334" s="13"/>
      <c r="BG334" s="51">
        <f t="shared" si="251"/>
        <v>0</v>
      </c>
      <c r="BH334" s="51">
        <f t="shared" si="252"/>
        <v>0</v>
      </c>
      <c r="BI334" s="51">
        <f t="shared" ca="1" si="253"/>
        <v>0</v>
      </c>
      <c r="BJ334" s="51">
        <f t="shared" ca="1" si="254"/>
        <v>0</v>
      </c>
      <c r="BK334" s="51">
        <f t="shared" si="255"/>
        <v>0</v>
      </c>
      <c r="BL334" s="51">
        <f t="shared" ca="1" si="256"/>
        <v>0</v>
      </c>
      <c r="BM334" s="51">
        <f t="shared" si="257"/>
        <v>0</v>
      </c>
      <c r="BN334" s="51">
        <f t="shared" si="258"/>
        <v>0</v>
      </c>
      <c r="BO334" s="51">
        <f t="shared" ca="1" si="259"/>
        <v>0</v>
      </c>
      <c r="BP334" s="51">
        <f t="shared" ca="1" si="260"/>
        <v>0</v>
      </c>
      <c r="BQ334" s="120"/>
      <c r="BR334" s="32"/>
      <c r="BS334" s="126"/>
      <c r="BT334" s="16"/>
      <c r="BU334" s="58"/>
      <c r="BW334" s="51">
        <f>VLOOKUP(H334,Charges!$AT$4:$AU$33,2,FALSE)*I334</f>
        <v>0</v>
      </c>
      <c r="BX334" s="51">
        <f t="shared" si="261"/>
        <v>0</v>
      </c>
      <c r="BY334" s="51">
        <f t="shared" si="269"/>
        <v>0</v>
      </c>
      <c r="BZ334" s="151"/>
      <c r="CA334" s="151"/>
      <c r="CB334" s="32"/>
      <c r="CC334" s="16">
        <f ca="1">SUM($N$7:$N334)</f>
        <v>0</v>
      </c>
      <c r="CD334" s="16">
        <f t="shared" ca="1" si="262"/>
        <v>0</v>
      </c>
      <c r="CE334" s="16">
        <f t="shared" ca="1" si="263"/>
        <v>0</v>
      </c>
      <c r="CF334" s="7">
        <f t="shared" ca="1" si="270"/>
        <v>0</v>
      </c>
    </row>
    <row r="335" spans="1:84" s="7" customFormat="1" x14ac:dyDescent="0.2">
      <c r="A335" s="149"/>
      <c r="B335" s="14">
        <f t="shared" si="232"/>
        <v>0</v>
      </c>
      <c r="C335" s="12">
        <f t="shared" si="233"/>
        <v>0</v>
      </c>
      <c r="D335" s="17">
        <f t="shared" si="271"/>
        <v>329</v>
      </c>
      <c r="E335" s="17">
        <f t="shared" ca="1" si="234"/>
        <v>87</v>
      </c>
      <c r="F335" s="12">
        <f t="shared" si="229"/>
        <v>4</v>
      </c>
      <c r="G335" s="12">
        <f t="shared" si="272"/>
        <v>55</v>
      </c>
      <c r="H335" s="17">
        <f t="shared" si="230"/>
        <v>28</v>
      </c>
      <c r="I335" s="29">
        <f t="shared" si="235"/>
        <v>0</v>
      </c>
      <c r="J335" s="211">
        <f>IFERROR(VLOOKUP(H335,Charges!$T$6:$U$35,2,0)*C335,0)</f>
        <v>0</v>
      </c>
      <c r="K335" s="29">
        <f t="shared" si="236"/>
        <v>0</v>
      </c>
      <c r="L335" s="29">
        <f t="shared" si="237"/>
        <v>0</v>
      </c>
      <c r="M335" s="147">
        <f t="shared" ca="1" si="238"/>
        <v>0</v>
      </c>
      <c r="N335" s="148">
        <f ca="1">IF(AND(Option_SPW="Y",Z334&gt;=SPW_Start_Min_FV,H335&gt;=Lock_In_Period,Z334&gt;SPW_Amount_pa+IF(option="Single",1/5*pr,2*pr),H335&gt;=SPW_Start_Year,H335&lt;=SPW_Start_Year+SPW_Duration-1,F335=0,age+H335&gt;=Legal_Age),SPW_Amount_pa,0)+IFERROR(VLOOKUP(H335,Input!$B$68:$C$74,2,0),0)*(F335=0)*(Option_PW="Y")*(Option_SPW="N")*(age+H335&gt;=Legal_Age)</f>
        <v>0</v>
      </c>
      <c r="O335" s="148">
        <f t="shared" ca="1" si="264"/>
        <v>0</v>
      </c>
      <c r="P335" s="14">
        <f ca="1">(MAX(MAX(sa-CF334*Flag_UL_Type,105%*SUM($I$7:I335))-(AD334+L335-N335)*Flag_UL_Type,0)*B335)</f>
        <v>0</v>
      </c>
      <c r="Q335" s="213">
        <f t="shared" si="239"/>
        <v>0</v>
      </c>
      <c r="R335" s="14">
        <f t="shared" ca="1" si="240"/>
        <v>0</v>
      </c>
      <c r="S335" s="14">
        <f t="shared" ca="1" si="241"/>
        <v>0</v>
      </c>
      <c r="T335" s="14">
        <f>IFERROR(IF(WoP_Flag="Y",IF(fq=1,VLOOKUP(ppt*fq-H335,Charges!$AN$41:$AO$59,2,FALSE),IF(fq=2,VLOOKUP(ppt*fq-G335,Charges!$AP$41:$AQ$79,2,FALSE),VLOOKUP(ppt*fq-D335,Charges!$AR$41:$AS$279,2,FALSE)))*pr/fq,0),0)</f>
        <v>0</v>
      </c>
      <c r="U335" s="14">
        <f ca="1">IFERROR(((T335*(VLOOKUP(Input!$D$18+H335-1,Tab_Mort_Charge,IF(Gender_2="M",2,3),FALSE)*(1+_emr2)+_rpm2)/IF(Model_Type="LA_PQIS",1000/0.0833,(12*1000))))*Flag_Mort_Rider_Charge*(T335&gt;0),0)</f>
        <v>0</v>
      </c>
      <c r="V335" s="34">
        <f>ROUND(MIN(IF(H335&gt;=7,Charges!$C$12*(1+Charges!$C$14)^((H335-7+1)),VLOOKUP(H335,Charges!$B$7:$C$12,2,0))*pr,Charges!$C$13)*B335,Round)</f>
        <v>0</v>
      </c>
      <c r="W335" s="14">
        <f t="shared" ca="1" si="242"/>
        <v>0</v>
      </c>
      <c r="X335" s="14">
        <f t="shared" ca="1" si="243"/>
        <v>0</v>
      </c>
      <c r="Y335" s="213">
        <f t="shared" ca="1" si="265"/>
        <v>0</v>
      </c>
      <c r="Z335" s="14">
        <f t="shared" ca="1" si="244"/>
        <v>0</v>
      </c>
      <c r="AA335" s="14">
        <f>IF(AND($H335=pt,$F335=11),SUM($K$7:K335)*VLOOKUP(pt,ROC,2,FALSE),0)</f>
        <v>0</v>
      </c>
      <c r="AB335" s="14">
        <f>IF(AND($H335=pt,$F335=11),SUM($V$7:V335)*VLOOKUP(pt,ROC,2,FALSE),0)</f>
        <v>0</v>
      </c>
      <c r="AC335" s="14">
        <f>IF(AND($H335=pt,$F335=11),SUM($Q$7:Q335)*VLOOKUP(pt,ROC,2,FALSE),0)</f>
        <v>0</v>
      </c>
      <c r="AD335" s="14">
        <f t="shared" ca="1" si="266"/>
        <v>0</v>
      </c>
      <c r="AE335" s="14">
        <f ca="1">(MAX(sa-CF334*Flag_UL_Type,105%*SUM($I$7:I335),Z335)+AU335)*B335</f>
        <v>0</v>
      </c>
      <c r="AF335" s="136"/>
      <c r="AG335" s="18">
        <v>329</v>
      </c>
      <c r="AH335" s="30">
        <f t="shared" ca="1" si="245"/>
        <v>0</v>
      </c>
      <c r="AI335" s="58"/>
      <c r="AJ335" s="50">
        <f>IF(AND(Option_Sys_TopUp&gt;="Y",H335&gt;=sytp,H335&lt;=(dtp+sytp-1),F335=0,H335&lt;=ppt+1),atp,0)+IFERROR(VLOOKUP(H335,Input!$B$55:$C$61,2,0),0)*(F335=0)*(Option_TopUP="Y")*(Option_Sys_TopUp="N")*B335*(pt&gt;=H335+5)</f>
        <v>0</v>
      </c>
      <c r="AK335" s="50">
        <f t="shared" si="246"/>
        <v>0</v>
      </c>
      <c r="AL335" s="50">
        <f t="shared" si="267"/>
        <v>0</v>
      </c>
      <c r="AM335" s="50">
        <f t="shared" ca="1" si="247"/>
        <v>0</v>
      </c>
      <c r="AN335" s="50">
        <f>IF(B335=0,0,AT335*(_rpm1+(1+_emr1)*VLOOKUP(E335,Tab_Mort_Charge,IF(Input!$C$12="M",2,3),0))*(0.001*0.0833)*Flag_Mort_Rider_Charge*(AT335&gt;0))</f>
        <v>0</v>
      </c>
      <c r="AO335" s="50">
        <f t="shared" ca="1" si="268"/>
        <v>0</v>
      </c>
      <c r="AP335" s="50">
        <f t="shared" ca="1" si="231"/>
        <v>0</v>
      </c>
      <c r="AQ335" s="50">
        <f t="shared" ca="1" si="248"/>
        <v>0</v>
      </c>
      <c r="AR335" s="50">
        <f t="shared" ca="1" si="249"/>
        <v>0</v>
      </c>
      <c r="AS335" s="50">
        <f t="shared" si="250"/>
        <v>0</v>
      </c>
      <c r="AT335" s="50">
        <f ca="1">(MAX((MAX(AS335,105%*SUM($AJ$7:AJ335))-AM335*Flag_UL_Type),0)*B335)</f>
        <v>0</v>
      </c>
      <c r="AU335" s="50">
        <f ca="1">(MAX(AS335,AR335,105%*SUM($AJ$7:AJ335))*B335)</f>
        <v>0</v>
      </c>
      <c r="AV335" s="125"/>
      <c r="AW335" s="13"/>
      <c r="AX335" s="13"/>
      <c r="AY335" s="13"/>
      <c r="AZ335" s="13"/>
      <c r="BA335" s="13"/>
      <c r="BG335" s="51">
        <f t="shared" si="251"/>
        <v>0</v>
      </c>
      <c r="BH335" s="51">
        <f t="shared" si="252"/>
        <v>0</v>
      </c>
      <c r="BI335" s="51">
        <f t="shared" ca="1" si="253"/>
        <v>0</v>
      </c>
      <c r="BJ335" s="51">
        <f t="shared" ca="1" si="254"/>
        <v>0</v>
      </c>
      <c r="BK335" s="51">
        <f t="shared" si="255"/>
        <v>0</v>
      </c>
      <c r="BL335" s="51">
        <f t="shared" ca="1" si="256"/>
        <v>0</v>
      </c>
      <c r="BM335" s="51">
        <f t="shared" si="257"/>
        <v>0</v>
      </c>
      <c r="BN335" s="51">
        <f t="shared" si="258"/>
        <v>0</v>
      </c>
      <c r="BO335" s="51">
        <f t="shared" ca="1" si="259"/>
        <v>0</v>
      </c>
      <c r="BP335" s="51">
        <f t="shared" ca="1" si="260"/>
        <v>0</v>
      </c>
      <c r="BQ335" s="120"/>
      <c r="BR335" s="32"/>
      <c r="BS335" s="126"/>
      <c r="BT335" s="16"/>
      <c r="BU335" s="58"/>
      <c r="BW335" s="51">
        <f>VLOOKUP(H335,Charges!$AT$4:$AU$33,2,FALSE)*I335</f>
        <v>0</v>
      </c>
      <c r="BX335" s="51">
        <f t="shared" si="261"/>
        <v>0</v>
      </c>
      <c r="BY335" s="51">
        <f t="shared" si="269"/>
        <v>0</v>
      </c>
      <c r="BZ335" s="151"/>
      <c r="CA335" s="151"/>
      <c r="CB335" s="32"/>
      <c r="CC335" s="16">
        <f ca="1">SUM($N$7:$N335)</f>
        <v>0</v>
      </c>
      <c r="CD335" s="16">
        <f t="shared" ca="1" si="262"/>
        <v>0</v>
      </c>
      <c r="CE335" s="16">
        <f t="shared" ca="1" si="263"/>
        <v>0</v>
      </c>
      <c r="CF335" s="7">
        <f t="shared" ca="1" si="270"/>
        <v>0</v>
      </c>
    </row>
    <row r="336" spans="1:84" s="7" customFormat="1" x14ac:dyDescent="0.2">
      <c r="A336" s="149"/>
      <c r="B336" s="14">
        <f t="shared" si="232"/>
        <v>0</v>
      </c>
      <c r="C336" s="12">
        <f t="shared" si="233"/>
        <v>0</v>
      </c>
      <c r="D336" s="17">
        <f t="shared" si="271"/>
        <v>330</v>
      </c>
      <c r="E336" s="17">
        <f t="shared" ca="1" si="234"/>
        <v>87</v>
      </c>
      <c r="F336" s="12">
        <f t="shared" si="229"/>
        <v>5</v>
      </c>
      <c r="G336" s="12">
        <f t="shared" si="272"/>
        <v>55</v>
      </c>
      <c r="H336" s="17">
        <f t="shared" si="230"/>
        <v>28</v>
      </c>
      <c r="I336" s="29">
        <f t="shared" si="235"/>
        <v>0</v>
      </c>
      <c r="J336" s="211">
        <f>IFERROR(VLOOKUP(H336,Charges!$T$6:$U$35,2,0)*C336,0)</f>
        <v>0</v>
      </c>
      <c r="K336" s="29">
        <f t="shared" si="236"/>
        <v>0</v>
      </c>
      <c r="L336" s="29">
        <f t="shared" si="237"/>
        <v>0</v>
      </c>
      <c r="M336" s="147">
        <f t="shared" ca="1" si="238"/>
        <v>0</v>
      </c>
      <c r="N336" s="148">
        <f ca="1">IF(AND(Option_SPW="Y",Z335&gt;=SPW_Start_Min_FV,H336&gt;=Lock_In_Period,Z335&gt;SPW_Amount_pa+IF(option="Single",1/5*pr,2*pr),H336&gt;=SPW_Start_Year,H336&lt;=SPW_Start_Year+SPW_Duration-1,F336=0,age+H336&gt;=Legal_Age),SPW_Amount_pa,0)+IFERROR(VLOOKUP(H336,Input!$B$68:$C$74,2,0),0)*(F336=0)*(Option_PW="Y")*(Option_SPW="N")*(age+H336&gt;=Legal_Age)</f>
        <v>0</v>
      </c>
      <c r="O336" s="148">
        <f t="shared" ca="1" si="264"/>
        <v>0</v>
      </c>
      <c r="P336" s="14">
        <f ca="1">(MAX(MAX(sa-CF335*Flag_UL_Type,105%*SUM($I$7:I336))-(AD335+L336-N336)*Flag_UL_Type,0)*B336)</f>
        <v>0</v>
      </c>
      <c r="Q336" s="213">
        <f t="shared" si="239"/>
        <v>0</v>
      </c>
      <c r="R336" s="14">
        <f t="shared" ca="1" si="240"/>
        <v>0</v>
      </c>
      <c r="S336" s="14">
        <f t="shared" ca="1" si="241"/>
        <v>0</v>
      </c>
      <c r="T336" s="14">
        <f>IFERROR(IF(WoP_Flag="Y",IF(fq=1,VLOOKUP(ppt*fq-H336,Charges!$AN$41:$AO$59,2,FALSE),IF(fq=2,VLOOKUP(ppt*fq-G336,Charges!$AP$41:$AQ$79,2,FALSE),VLOOKUP(ppt*fq-D336,Charges!$AR$41:$AS$279,2,FALSE)))*pr/fq,0),0)</f>
        <v>0</v>
      </c>
      <c r="U336" s="14">
        <f ca="1">IFERROR(((T336*(VLOOKUP(Input!$D$18+H336-1,Tab_Mort_Charge,IF(Gender_2="M",2,3),FALSE)*(1+_emr2)+_rpm2)/IF(Model_Type="LA_PQIS",1000/0.0833,(12*1000))))*Flag_Mort_Rider_Charge*(T336&gt;0),0)</f>
        <v>0</v>
      </c>
      <c r="V336" s="34">
        <f>ROUND(MIN(IF(H336&gt;=7,Charges!$C$12*(1+Charges!$C$14)^((H336-7+1)),VLOOKUP(H336,Charges!$B$7:$C$12,2,0))*pr,Charges!$C$13)*B336,Round)</f>
        <v>0</v>
      </c>
      <c r="W336" s="14">
        <f t="shared" ca="1" si="242"/>
        <v>0</v>
      </c>
      <c r="X336" s="14">
        <f t="shared" ca="1" si="243"/>
        <v>0</v>
      </c>
      <c r="Y336" s="213">
        <f t="shared" ca="1" si="265"/>
        <v>0</v>
      </c>
      <c r="Z336" s="14">
        <f t="shared" ca="1" si="244"/>
        <v>0</v>
      </c>
      <c r="AA336" s="14">
        <f>IF(AND($H336=pt,$F336=11),SUM($K$7:K336)*VLOOKUP(pt,ROC,2,FALSE),0)</f>
        <v>0</v>
      </c>
      <c r="AB336" s="14">
        <f>IF(AND($H336=pt,$F336=11),SUM($V$7:V336)*VLOOKUP(pt,ROC,2,FALSE),0)</f>
        <v>0</v>
      </c>
      <c r="AC336" s="14">
        <f>IF(AND($H336=pt,$F336=11),SUM($Q$7:Q336)*VLOOKUP(pt,ROC,2,FALSE),0)</f>
        <v>0</v>
      </c>
      <c r="AD336" s="14">
        <f t="shared" ca="1" si="266"/>
        <v>0</v>
      </c>
      <c r="AE336" s="14">
        <f ca="1">(MAX(sa-CF335*Flag_UL_Type,105%*SUM($I$7:I336),Z336)+AU336)*B336</f>
        <v>0</v>
      </c>
      <c r="AF336" s="136"/>
      <c r="AG336" s="18">
        <v>330</v>
      </c>
      <c r="AH336" s="30">
        <f t="shared" ca="1" si="245"/>
        <v>0</v>
      </c>
      <c r="AI336" s="58"/>
      <c r="AJ336" s="50">
        <f>IF(AND(Option_Sys_TopUp&gt;="Y",H336&gt;=sytp,H336&lt;=(dtp+sytp-1),F336=0,H336&lt;=ppt+1),atp,0)+IFERROR(VLOOKUP(H336,Input!$B$55:$C$61,2,0),0)*(F336=0)*(Option_TopUP="Y")*(Option_Sys_TopUp="N")*B336*(pt&gt;=H336+5)</f>
        <v>0</v>
      </c>
      <c r="AK336" s="50">
        <f t="shared" si="246"/>
        <v>0</v>
      </c>
      <c r="AL336" s="50">
        <f t="shared" si="267"/>
        <v>0</v>
      </c>
      <c r="AM336" s="50">
        <f t="shared" ca="1" si="247"/>
        <v>0</v>
      </c>
      <c r="AN336" s="50">
        <f>IF(B336=0,0,AT336*(_rpm1+(1+_emr1)*VLOOKUP(E336,Tab_Mort_Charge,IF(Input!$C$12="M",2,3),0))*(0.001*0.0833)*Flag_Mort_Rider_Charge*(AT336&gt;0))</f>
        <v>0</v>
      </c>
      <c r="AO336" s="50">
        <f t="shared" ca="1" si="268"/>
        <v>0</v>
      </c>
      <c r="AP336" s="50">
        <f t="shared" ca="1" si="231"/>
        <v>0</v>
      </c>
      <c r="AQ336" s="50">
        <f t="shared" ca="1" si="248"/>
        <v>0</v>
      </c>
      <c r="AR336" s="50">
        <f t="shared" ca="1" si="249"/>
        <v>0</v>
      </c>
      <c r="AS336" s="50">
        <f t="shared" si="250"/>
        <v>0</v>
      </c>
      <c r="AT336" s="50">
        <f ca="1">(MAX((MAX(AS336,105%*SUM($AJ$7:AJ336))-AM336*Flag_UL_Type),0)*B336)</f>
        <v>0</v>
      </c>
      <c r="AU336" s="50">
        <f ca="1">(MAX(AS336,AR336,105%*SUM($AJ$7:AJ336))*B336)</f>
        <v>0</v>
      </c>
      <c r="AV336" s="125"/>
      <c r="AW336" s="13"/>
      <c r="AX336" s="13"/>
      <c r="AY336" s="13"/>
      <c r="AZ336" s="13"/>
      <c r="BA336" s="13"/>
      <c r="BG336" s="51">
        <f t="shared" si="251"/>
        <v>0</v>
      </c>
      <c r="BH336" s="51">
        <f t="shared" si="252"/>
        <v>0</v>
      </c>
      <c r="BI336" s="51">
        <f t="shared" ca="1" si="253"/>
        <v>0</v>
      </c>
      <c r="BJ336" s="51">
        <f t="shared" ca="1" si="254"/>
        <v>0</v>
      </c>
      <c r="BK336" s="51">
        <f t="shared" si="255"/>
        <v>0</v>
      </c>
      <c r="BL336" s="51">
        <f t="shared" ca="1" si="256"/>
        <v>0</v>
      </c>
      <c r="BM336" s="51">
        <f t="shared" si="257"/>
        <v>0</v>
      </c>
      <c r="BN336" s="51">
        <f t="shared" si="258"/>
        <v>0</v>
      </c>
      <c r="BO336" s="51">
        <f t="shared" ca="1" si="259"/>
        <v>0</v>
      </c>
      <c r="BP336" s="51">
        <f t="shared" ca="1" si="260"/>
        <v>0</v>
      </c>
      <c r="BQ336" s="120"/>
      <c r="BR336" s="32"/>
      <c r="BS336" s="126"/>
      <c r="BT336" s="16"/>
      <c r="BU336" s="58"/>
      <c r="BW336" s="51">
        <f>VLOOKUP(H336,Charges!$AT$4:$AU$33,2,FALSE)*I336</f>
        <v>0</v>
      </c>
      <c r="BX336" s="51">
        <f t="shared" si="261"/>
        <v>0</v>
      </c>
      <c r="BY336" s="51">
        <f t="shared" si="269"/>
        <v>0</v>
      </c>
      <c r="BZ336" s="151"/>
      <c r="CA336" s="151"/>
      <c r="CB336" s="32"/>
      <c r="CC336" s="16">
        <f ca="1">SUM($N$7:$N336)</f>
        <v>0</v>
      </c>
      <c r="CD336" s="16">
        <f t="shared" ca="1" si="262"/>
        <v>0</v>
      </c>
      <c r="CE336" s="16">
        <f t="shared" ca="1" si="263"/>
        <v>0</v>
      </c>
      <c r="CF336" s="7">
        <f t="shared" ca="1" si="270"/>
        <v>0</v>
      </c>
    </row>
    <row r="337" spans="1:84" s="7" customFormat="1" x14ac:dyDescent="0.2">
      <c r="A337" s="149"/>
      <c r="B337" s="14">
        <f t="shared" si="232"/>
        <v>0</v>
      </c>
      <c r="C337" s="12">
        <f t="shared" si="233"/>
        <v>0</v>
      </c>
      <c r="D337" s="17">
        <f t="shared" si="271"/>
        <v>331</v>
      </c>
      <c r="E337" s="17">
        <f t="shared" ca="1" si="234"/>
        <v>87</v>
      </c>
      <c r="F337" s="12">
        <f t="shared" si="229"/>
        <v>6</v>
      </c>
      <c r="G337" s="12">
        <f t="shared" si="272"/>
        <v>56</v>
      </c>
      <c r="H337" s="17">
        <f t="shared" si="230"/>
        <v>28</v>
      </c>
      <c r="I337" s="29">
        <f t="shared" si="235"/>
        <v>0</v>
      </c>
      <c r="J337" s="211">
        <f>IFERROR(VLOOKUP(H337,Charges!$T$6:$U$35,2,0)*C337,0)</f>
        <v>0</v>
      </c>
      <c r="K337" s="29">
        <f t="shared" si="236"/>
        <v>0</v>
      </c>
      <c r="L337" s="29">
        <f t="shared" si="237"/>
        <v>0</v>
      </c>
      <c r="M337" s="147">
        <f t="shared" ca="1" si="238"/>
        <v>0</v>
      </c>
      <c r="N337" s="148">
        <f ca="1">IF(AND(Option_SPW="Y",Z336&gt;=SPW_Start_Min_FV,H337&gt;=Lock_In_Period,Z336&gt;SPW_Amount_pa+IF(option="Single",1/5*pr,2*pr),H337&gt;=SPW_Start_Year,H337&lt;=SPW_Start_Year+SPW_Duration-1,F337=0,age+H337&gt;=Legal_Age),SPW_Amount_pa,0)+IFERROR(VLOOKUP(H337,Input!$B$68:$C$74,2,0),0)*(F337=0)*(Option_PW="Y")*(Option_SPW="N")*(age+H337&gt;=Legal_Age)</f>
        <v>0</v>
      </c>
      <c r="O337" s="148">
        <f t="shared" ca="1" si="264"/>
        <v>0</v>
      </c>
      <c r="P337" s="14">
        <f ca="1">(MAX(MAX(sa-CF336*Flag_UL_Type,105%*SUM($I$7:I337))-(AD336+L337-N337)*Flag_UL_Type,0)*B337)</f>
        <v>0</v>
      </c>
      <c r="Q337" s="213">
        <f t="shared" si="239"/>
        <v>0</v>
      </c>
      <c r="R337" s="14">
        <f t="shared" ca="1" si="240"/>
        <v>0</v>
      </c>
      <c r="S337" s="14">
        <f t="shared" ca="1" si="241"/>
        <v>0</v>
      </c>
      <c r="T337" s="14">
        <f>IFERROR(IF(WoP_Flag="Y",IF(fq=1,VLOOKUP(ppt*fq-H337,Charges!$AN$41:$AO$59,2,FALSE),IF(fq=2,VLOOKUP(ppt*fq-G337,Charges!$AP$41:$AQ$79,2,FALSE),VLOOKUP(ppt*fq-D337,Charges!$AR$41:$AS$279,2,FALSE)))*pr/fq,0),0)</f>
        <v>0</v>
      </c>
      <c r="U337" s="14">
        <f ca="1">IFERROR(((T337*(VLOOKUP(Input!$D$18+H337-1,Tab_Mort_Charge,IF(Gender_2="M",2,3),FALSE)*(1+_emr2)+_rpm2)/IF(Model_Type="LA_PQIS",1000/0.0833,(12*1000))))*Flag_Mort_Rider_Charge*(T337&gt;0),0)</f>
        <v>0</v>
      </c>
      <c r="V337" s="34">
        <f>ROUND(MIN(IF(H337&gt;=7,Charges!$C$12*(1+Charges!$C$14)^((H337-7+1)),VLOOKUP(H337,Charges!$B$7:$C$12,2,0))*pr,Charges!$C$13)*B337,Round)</f>
        <v>0</v>
      </c>
      <c r="W337" s="14">
        <f t="shared" ca="1" si="242"/>
        <v>0</v>
      </c>
      <c r="X337" s="14">
        <f t="shared" ca="1" si="243"/>
        <v>0</v>
      </c>
      <c r="Y337" s="213">
        <f t="shared" ca="1" si="265"/>
        <v>0</v>
      </c>
      <c r="Z337" s="14">
        <f t="shared" ca="1" si="244"/>
        <v>0</v>
      </c>
      <c r="AA337" s="14">
        <f>IF(AND($H337=pt,$F337=11),SUM($K$7:K337)*VLOOKUP(pt,ROC,2,FALSE),0)</f>
        <v>0</v>
      </c>
      <c r="AB337" s="14">
        <f>IF(AND($H337=pt,$F337=11),SUM($V$7:V337)*VLOOKUP(pt,ROC,2,FALSE),0)</f>
        <v>0</v>
      </c>
      <c r="AC337" s="14">
        <f>IF(AND($H337=pt,$F337=11),SUM($Q$7:Q337)*VLOOKUP(pt,ROC,2,FALSE),0)</f>
        <v>0</v>
      </c>
      <c r="AD337" s="14">
        <f t="shared" ca="1" si="266"/>
        <v>0</v>
      </c>
      <c r="AE337" s="14">
        <f ca="1">(MAX(sa-CF336*Flag_UL_Type,105%*SUM($I$7:I337),Z337)+AU337)*B337</f>
        <v>0</v>
      </c>
      <c r="AF337" s="136"/>
      <c r="AG337" s="18">
        <v>331</v>
      </c>
      <c r="AH337" s="30">
        <f t="shared" ca="1" si="245"/>
        <v>0</v>
      </c>
      <c r="AI337" s="58"/>
      <c r="AJ337" s="50">
        <f>IF(AND(Option_Sys_TopUp&gt;="Y",H337&gt;=sytp,H337&lt;=(dtp+sytp-1),F337=0,H337&lt;=ppt+1),atp,0)+IFERROR(VLOOKUP(H337,Input!$B$55:$C$61,2,0),0)*(F337=0)*(Option_TopUP="Y")*(Option_Sys_TopUp="N")*B337*(pt&gt;=H337+5)</f>
        <v>0</v>
      </c>
      <c r="AK337" s="50">
        <f t="shared" si="246"/>
        <v>0</v>
      </c>
      <c r="AL337" s="50">
        <f t="shared" si="267"/>
        <v>0</v>
      </c>
      <c r="AM337" s="50">
        <f t="shared" ca="1" si="247"/>
        <v>0</v>
      </c>
      <c r="AN337" s="50">
        <f>IF(B337=0,0,AT337*(_rpm1+(1+_emr1)*VLOOKUP(E337,Tab_Mort_Charge,IF(Input!$C$12="M",2,3),0))*(0.001*0.0833)*Flag_Mort_Rider_Charge*(AT337&gt;0))</f>
        <v>0</v>
      </c>
      <c r="AO337" s="50">
        <f t="shared" ca="1" si="268"/>
        <v>0</v>
      </c>
      <c r="AP337" s="50">
        <f t="shared" ca="1" si="231"/>
        <v>0</v>
      </c>
      <c r="AQ337" s="50">
        <f t="shared" ca="1" si="248"/>
        <v>0</v>
      </c>
      <c r="AR337" s="50">
        <f t="shared" ca="1" si="249"/>
        <v>0</v>
      </c>
      <c r="AS337" s="50">
        <f t="shared" si="250"/>
        <v>0</v>
      </c>
      <c r="AT337" s="50">
        <f ca="1">(MAX((MAX(AS337,105%*SUM($AJ$7:AJ337))-AM337*Flag_UL_Type),0)*B337)</f>
        <v>0</v>
      </c>
      <c r="AU337" s="50">
        <f ca="1">(MAX(AS337,AR337,105%*SUM($AJ$7:AJ337))*B337)</f>
        <v>0</v>
      </c>
      <c r="AV337" s="125"/>
      <c r="AW337" s="13"/>
      <c r="AX337" s="13"/>
      <c r="AY337" s="13"/>
      <c r="AZ337" s="13"/>
      <c r="BA337" s="13"/>
      <c r="BG337" s="51">
        <f t="shared" si="251"/>
        <v>0</v>
      </c>
      <c r="BH337" s="51">
        <f t="shared" si="252"/>
        <v>0</v>
      </c>
      <c r="BI337" s="51">
        <f t="shared" ca="1" si="253"/>
        <v>0</v>
      </c>
      <c r="BJ337" s="51">
        <f t="shared" ca="1" si="254"/>
        <v>0</v>
      </c>
      <c r="BK337" s="51">
        <f t="shared" si="255"/>
        <v>0</v>
      </c>
      <c r="BL337" s="51">
        <f t="shared" ca="1" si="256"/>
        <v>0</v>
      </c>
      <c r="BM337" s="51">
        <f t="shared" si="257"/>
        <v>0</v>
      </c>
      <c r="BN337" s="51">
        <f t="shared" si="258"/>
        <v>0</v>
      </c>
      <c r="BO337" s="51">
        <f t="shared" ca="1" si="259"/>
        <v>0</v>
      </c>
      <c r="BP337" s="51">
        <f t="shared" ca="1" si="260"/>
        <v>0</v>
      </c>
      <c r="BQ337" s="120"/>
      <c r="BR337" s="32"/>
      <c r="BS337" s="126"/>
      <c r="BT337" s="16"/>
      <c r="BU337" s="58"/>
      <c r="BW337" s="51">
        <f>VLOOKUP(H337,Charges!$AT$4:$AU$33,2,FALSE)*I337</f>
        <v>0</v>
      </c>
      <c r="BX337" s="51">
        <f t="shared" si="261"/>
        <v>0</v>
      </c>
      <c r="BY337" s="51">
        <f t="shared" si="269"/>
        <v>0</v>
      </c>
      <c r="BZ337" s="151"/>
      <c r="CA337" s="151"/>
      <c r="CB337" s="32"/>
      <c r="CC337" s="16">
        <f ca="1">SUM($N$7:$N337)</f>
        <v>0</v>
      </c>
      <c r="CD337" s="16">
        <f t="shared" ca="1" si="262"/>
        <v>0</v>
      </c>
      <c r="CE337" s="16">
        <f t="shared" ca="1" si="263"/>
        <v>0</v>
      </c>
      <c r="CF337" s="7">
        <f t="shared" ca="1" si="270"/>
        <v>0</v>
      </c>
    </row>
    <row r="338" spans="1:84" s="7" customFormat="1" x14ac:dyDescent="0.2">
      <c r="A338" s="149"/>
      <c r="B338" s="14">
        <f t="shared" si="232"/>
        <v>0</v>
      </c>
      <c r="C338" s="12">
        <f t="shared" si="233"/>
        <v>0</v>
      </c>
      <c r="D338" s="17">
        <f t="shared" si="271"/>
        <v>332</v>
      </c>
      <c r="E338" s="17">
        <f t="shared" ca="1" si="234"/>
        <v>87</v>
      </c>
      <c r="F338" s="12">
        <f t="shared" si="229"/>
        <v>7</v>
      </c>
      <c r="G338" s="12">
        <f t="shared" si="272"/>
        <v>56</v>
      </c>
      <c r="H338" s="17">
        <f t="shared" si="230"/>
        <v>28</v>
      </c>
      <c r="I338" s="29">
        <f t="shared" si="235"/>
        <v>0</v>
      </c>
      <c r="J338" s="211">
        <f>IFERROR(VLOOKUP(H338,Charges!$T$6:$U$35,2,0)*C338,0)</f>
        <v>0</v>
      </c>
      <c r="K338" s="29">
        <f t="shared" si="236"/>
        <v>0</v>
      </c>
      <c r="L338" s="29">
        <f t="shared" si="237"/>
        <v>0</v>
      </c>
      <c r="M338" s="147">
        <f t="shared" ca="1" si="238"/>
        <v>0</v>
      </c>
      <c r="N338" s="148">
        <f ca="1">IF(AND(Option_SPW="Y",Z337&gt;=SPW_Start_Min_FV,H338&gt;=Lock_In_Period,Z337&gt;SPW_Amount_pa+IF(option="Single",1/5*pr,2*pr),H338&gt;=SPW_Start_Year,H338&lt;=SPW_Start_Year+SPW_Duration-1,F338=0,age+H338&gt;=Legal_Age),SPW_Amount_pa,0)+IFERROR(VLOOKUP(H338,Input!$B$68:$C$74,2,0),0)*(F338=0)*(Option_PW="Y")*(Option_SPW="N")*(age+H338&gt;=Legal_Age)</f>
        <v>0</v>
      </c>
      <c r="O338" s="148">
        <f t="shared" ca="1" si="264"/>
        <v>0</v>
      </c>
      <c r="P338" s="14">
        <f ca="1">(MAX(MAX(sa-CF337*Flag_UL_Type,105%*SUM($I$7:I338))-(AD337+L338-N338)*Flag_UL_Type,0)*B338)</f>
        <v>0</v>
      </c>
      <c r="Q338" s="213">
        <f t="shared" si="239"/>
        <v>0</v>
      </c>
      <c r="R338" s="14">
        <f t="shared" ca="1" si="240"/>
        <v>0</v>
      </c>
      <c r="S338" s="14">
        <f t="shared" ca="1" si="241"/>
        <v>0</v>
      </c>
      <c r="T338" s="14">
        <f>IFERROR(IF(WoP_Flag="Y",IF(fq=1,VLOOKUP(ppt*fq-H338,Charges!$AN$41:$AO$59,2,FALSE),IF(fq=2,VLOOKUP(ppt*fq-G338,Charges!$AP$41:$AQ$79,2,FALSE),VLOOKUP(ppt*fq-D338,Charges!$AR$41:$AS$279,2,FALSE)))*pr/fq,0),0)</f>
        <v>0</v>
      </c>
      <c r="U338" s="14">
        <f ca="1">IFERROR(((T338*(VLOOKUP(Input!$D$18+H338-1,Tab_Mort_Charge,IF(Gender_2="M",2,3),FALSE)*(1+_emr2)+_rpm2)/IF(Model_Type="LA_PQIS",1000/0.0833,(12*1000))))*Flag_Mort_Rider_Charge*(T338&gt;0),0)</f>
        <v>0</v>
      </c>
      <c r="V338" s="34">
        <f>ROUND(MIN(IF(H338&gt;=7,Charges!$C$12*(1+Charges!$C$14)^((H338-7+1)),VLOOKUP(H338,Charges!$B$7:$C$12,2,0))*pr,Charges!$C$13)*B338,Round)</f>
        <v>0</v>
      </c>
      <c r="W338" s="14">
        <f t="shared" ca="1" si="242"/>
        <v>0</v>
      </c>
      <c r="X338" s="14">
        <f t="shared" ca="1" si="243"/>
        <v>0</v>
      </c>
      <c r="Y338" s="213">
        <f t="shared" ca="1" si="265"/>
        <v>0</v>
      </c>
      <c r="Z338" s="14">
        <f t="shared" ca="1" si="244"/>
        <v>0</v>
      </c>
      <c r="AA338" s="14">
        <f>IF(AND($H338=pt,$F338=11),SUM($K$7:K338)*VLOOKUP(pt,ROC,2,FALSE),0)</f>
        <v>0</v>
      </c>
      <c r="AB338" s="14">
        <f>IF(AND($H338=pt,$F338=11),SUM($V$7:V338)*VLOOKUP(pt,ROC,2,FALSE),0)</f>
        <v>0</v>
      </c>
      <c r="AC338" s="14">
        <f>IF(AND($H338=pt,$F338=11),SUM($Q$7:Q338)*VLOOKUP(pt,ROC,2,FALSE),0)</f>
        <v>0</v>
      </c>
      <c r="AD338" s="14">
        <f t="shared" ca="1" si="266"/>
        <v>0</v>
      </c>
      <c r="AE338" s="14">
        <f ca="1">(MAX(sa-CF337*Flag_UL_Type,105%*SUM($I$7:I338),Z338)+AU338)*B338</f>
        <v>0</v>
      </c>
      <c r="AF338" s="136"/>
      <c r="AG338" s="18">
        <v>332</v>
      </c>
      <c r="AH338" s="30">
        <f t="shared" ca="1" si="245"/>
        <v>0</v>
      </c>
      <c r="AI338" s="58"/>
      <c r="AJ338" s="50">
        <f>IF(AND(Option_Sys_TopUp&gt;="Y",H338&gt;=sytp,H338&lt;=(dtp+sytp-1),F338=0,H338&lt;=ppt+1),atp,0)+IFERROR(VLOOKUP(H338,Input!$B$55:$C$61,2,0),0)*(F338=0)*(Option_TopUP="Y")*(Option_Sys_TopUp="N")*B338*(pt&gt;=H338+5)</f>
        <v>0</v>
      </c>
      <c r="AK338" s="50">
        <f t="shared" si="246"/>
        <v>0</v>
      </c>
      <c r="AL338" s="50">
        <f t="shared" si="267"/>
        <v>0</v>
      </c>
      <c r="AM338" s="50">
        <f t="shared" ca="1" si="247"/>
        <v>0</v>
      </c>
      <c r="AN338" s="50">
        <f>IF(B338=0,0,AT338*(_rpm1+(1+_emr1)*VLOOKUP(E338,Tab_Mort_Charge,IF(Input!$C$12="M",2,3),0))*(0.001*0.0833)*Flag_Mort_Rider_Charge*(AT338&gt;0))</f>
        <v>0</v>
      </c>
      <c r="AO338" s="50">
        <f t="shared" ca="1" si="268"/>
        <v>0</v>
      </c>
      <c r="AP338" s="50">
        <f t="shared" ca="1" si="231"/>
        <v>0</v>
      </c>
      <c r="AQ338" s="50">
        <f t="shared" ca="1" si="248"/>
        <v>0</v>
      </c>
      <c r="AR338" s="50">
        <f t="shared" ca="1" si="249"/>
        <v>0</v>
      </c>
      <c r="AS338" s="50">
        <f t="shared" si="250"/>
        <v>0</v>
      </c>
      <c r="AT338" s="50">
        <f ca="1">(MAX((MAX(AS338,105%*SUM($AJ$7:AJ338))-AM338*Flag_UL_Type),0)*B338)</f>
        <v>0</v>
      </c>
      <c r="AU338" s="50">
        <f ca="1">(MAX(AS338,AR338,105%*SUM($AJ$7:AJ338))*B338)</f>
        <v>0</v>
      </c>
      <c r="AV338" s="125"/>
      <c r="AW338" s="13"/>
      <c r="AX338" s="13"/>
      <c r="AY338" s="13"/>
      <c r="AZ338" s="13"/>
      <c r="BA338" s="13"/>
      <c r="BG338" s="51">
        <f t="shared" si="251"/>
        <v>0</v>
      </c>
      <c r="BH338" s="51">
        <f t="shared" si="252"/>
        <v>0</v>
      </c>
      <c r="BI338" s="51">
        <f t="shared" ca="1" si="253"/>
        <v>0</v>
      </c>
      <c r="BJ338" s="51">
        <f t="shared" ca="1" si="254"/>
        <v>0</v>
      </c>
      <c r="BK338" s="51">
        <f t="shared" si="255"/>
        <v>0</v>
      </c>
      <c r="BL338" s="51">
        <f t="shared" ca="1" si="256"/>
        <v>0</v>
      </c>
      <c r="BM338" s="51">
        <f t="shared" si="257"/>
        <v>0</v>
      </c>
      <c r="BN338" s="51">
        <f t="shared" si="258"/>
        <v>0</v>
      </c>
      <c r="BO338" s="51">
        <f t="shared" ca="1" si="259"/>
        <v>0</v>
      </c>
      <c r="BP338" s="51">
        <f t="shared" ca="1" si="260"/>
        <v>0</v>
      </c>
      <c r="BQ338" s="120"/>
      <c r="BR338" s="32"/>
      <c r="BS338" s="126"/>
      <c r="BT338" s="16"/>
      <c r="BU338" s="58"/>
      <c r="BW338" s="51">
        <f>VLOOKUP(H338,Charges!$AT$4:$AU$33,2,FALSE)*I338</f>
        <v>0</v>
      </c>
      <c r="BX338" s="51">
        <f t="shared" si="261"/>
        <v>0</v>
      </c>
      <c r="BY338" s="51">
        <f t="shared" si="269"/>
        <v>0</v>
      </c>
      <c r="BZ338" s="151"/>
      <c r="CA338" s="151"/>
      <c r="CB338" s="32"/>
      <c r="CC338" s="16">
        <f ca="1">SUM($N$7:$N338)</f>
        <v>0</v>
      </c>
      <c r="CD338" s="16">
        <f t="shared" ca="1" si="262"/>
        <v>0</v>
      </c>
      <c r="CE338" s="16">
        <f t="shared" ca="1" si="263"/>
        <v>0</v>
      </c>
      <c r="CF338" s="7">
        <f t="shared" ca="1" si="270"/>
        <v>0</v>
      </c>
    </row>
    <row r="339" spans="1:84" s="7" customFormat="1" x14ac:dyDescent="0.2">
      <c r="A339" s="149"/>
      <c r="B339" s="14">
        <f t="shared" si="232"/>
        <v>0</v>
      </c>
      <c r="C339" s="12">
        <f t="shared" si="233"/>
        <v>0</v>
      </c>
      <c r="D339" s="17">
        <f t="shared" si="271"/>
        <v>333</v>
      </c>
      <c r="E339" s="17">
        <f t="shared" ca="1" si="234"/>
        <v>87</v>
      </c>
      <c r="F339" s="12">
        <f t="shared" si="229"/>
        <v>8</v>
      </c>
      <c r="G339" s="12">
        <f t="shared" si="272"/>
        <v>56</v>
      </c>
      <c r="H339" s="17">
        <f t="shared" si="230"/>
        <v>28</v>
      </c>
      <c r="I339" s="29">
        <f t="shared" si="235"/>
        <v>0</v>
      </c>
      <c r="J339" s="211">
        <f>IFERROR(VLOOKUP(H339,Charges!$T$6:$U$35,2,0)*C339,0)</f>
        <v>0</v>
      </c>
      <c r="K339" s="29">
        <f t="shared" si="236"/>
        <v>0</v>
      </c>
      <c r="L339" s="29">
        <f t="shared" si="237"/>
        <v>0</v>
      </c>
      <c r="M339" s="147">
        <f t="shared" ca="1" si="238"/>
        <v>0</v>
      </c>
      <c r="N339" s="148">
        <f ca="1">IF(AND(Option_SPW="Y",Z338&gt;=SPW_Start_Min_FV,H339&gt;=Lock_In_Period,Z338&gt;SPW_Amount_pa+IF(option="Single",1/5*pr,2*pr),H339&gt;=SPW_Start_Year,H339&lt;=SPW_Start_Year+SPW_Duration-1,F339=0,age+H339&gt;=Legal_Age),SPW_Amount_pa,0)+IFERROR(VLOOKUP(H339,Input!$B$68:$C$74,2,0),0)*(F339=0)*(Option_PW="Y")*(Option_SPW="N")*(age+H339&gt;=Legal_Age)</f>
        <v>0</v>
      </c>
      <c r="O339" s="148">
        <f t="shared" ca="1" si="264"/>
        <v>0</v>
      </c>
      <c r="P339" s="14">
        <f ca="1">(MAX(MAX(sa-CF338*Flag_UL_Type,105%*SUM($I$7:I339))-(AD338+L339-N339)*Flag_UL_Type,0)*B339)</f>
        <v>0</v>
      </c>
      <c r="Q339" s="213">
        <f t="shared" si="239"/>
        <v>0</v>
      </c>
      <c r="R339" s="14">
        <f t="shared" ca="1" si="240"/>
        <v>0</v>
      </c>
      <c r="S339" s="14">
        <f t="shared" ca="1" si="241"/>
        <v>0</v>
      </c>
      <c r="T339" s="14">
        <f>IFERROR(IF(WoP_Flag="Y",IF(fq=1,VLOOKUP(ppt*fq-H339,Charges!$AN$41:$AO$59,2,FALSE),IF(fq=2,VLOOKUP(ppt*fq-G339,Charges!$AP$41:$AQ$79,2,FALSE),VLOOKUP(ppt*fq-D339,Charges!$AR$41:$AS$279,2,FALSE)))*pr/fq,0),0)</f>
        <v>0</v>
      </c>
      <c r="U339" s="14">
        <f ca="1">IFERROR(((T339*(VLOOKUP(Input!$D$18+H339-1,Tab_Mort_Charge,IF(Gender_2="M",2,3),FALSE)*(1+_emr2)+_rpm2)/IF(Model_Type="LA_PQIS",1000/0.0833,(12*1000))))*Flag_Mort_Rider_Charge*(T339&gt;0),0)</f>
        <v>0</v>
      </c>
      <c r="V339" s="34">
        <f>ROUND(MIN(IF(H339&gt;=7,Charges!$C$12*(1+Charges!$C$14)^((H339-7+1)),VLOOKUP(H339,Charges!$B$7:$C$12,2,0))*pr,Charges!$C$13)*B339,Round)</f>
        <v>0</v>
      </c>
      <c r="W339" s="14">
        <f t="shared" ca="1" si="242"/>
        <v>0</v>
      </c>
      <c r="X339" s="14">
        <f t="shared" ca="1" si="243"/>
        <v>0</v>
      </c>
      <c r="Y339" s="213">
        <f t="shared" ca="1" si="265"/>
        <v>0</v>
      </c>
      <c r="Z339" s="14">
        <f t="shared" ca="1" si="244"/>
        <v>0</v>
      </c>
      <c r="AA339" s="14">
        <f>IF(AND($H339=pt,$F339=11),SUM($K$7:K339)*VLOOKUP(pt,ROC,2,FALSE),0)</f>
        <v>0</v>
      </c>
      <c r="AB339" s="14">
        <f>IF(AND($H339=pt,$F339=11),SUM($V$7:V339)*VLOOKUP(pt,ROC,2,FALSE),0)</f>
        <v>0</v>
      </c>
      <c r="AC339" s="14">
        <f>IF(AND($H339=pt,$F339=11),SUM($Q$7:Q339)*VLOOKUP(pt,ROC,2,FALSE),0)</f>
        <v>0</v>
      </c>
      <c r="AD339" s="14">
        <f t="shared" ca="1" si="266"/>
        <v>0</v>
      </c>
      <c r="AE339" s="14">
        <f ca="1">(MAX(sa-CF338*Flag_UL_Type,105%*SUM($I$7:I339),Z339)+AU339)*B339</f>
        <v>0</v>
      </c>
      <c r="AF339" s="136"/>
      <c r="AG339" s="18">
        <v>333</v>
      </c>
      <c r="AH339" s="30">
        <f t="shared" ca="1" si="245"/>
        <v>0</v>
      </c>
      <c r="AI339" s="58"/>
      <c r="AJ339" s="50">
        <f>IF(AND(Option_Sys_TopUp&gt;="Y",H339&gt;=sytp,H339&lt;=(dtp+sytp-1),F339=0,H339&lt;=ppt+1),atp,0)+IFERROR(VLOOKUP(H339,Input!$B$55:$C$61,2,0),0)*(F339=0)*(Option_TopUP="Y")*(Option_Sys_TopUp="N")*B339*(pt&gt;=H339+5)</f>
        <v>0</v>
      </c>
      <c r="AK339" s="50">
        <f t="shared" si="246"/>
        <v>0</v>
      </c>
      <c r="AL339" s="50">
        <f t="shared" si="267"/>
        <v>0</v>
      </c>
      <c r="AM339" s="50">
        <f t="shared" ca="1" si="247"/>
        <v>0</v>
      </c>
      <c r="AN339" s="50">
        <f>IF(B339=0,0,AT339*(_rpm1+(1+_emr1)*VLOOKUP(E339,Tab_Mort_Charge,IF(Input!$C$12="M",2,3),0))*(0.001*0.0833)*Flag_Mort_Rider_Charge*(AT339&gt;0))</f>
        <v>0</v>
      </c>
      <c r="AO339" s="50">
        <f t="shared" ca="1" si="268"/>
        <v>0</v>
      </c>
      <c r="AP339" s="50">
        <f t="shared" ca="1" si="231"/>
        <v>0</v>
      </c>
      <c r="AQ339" s="50">
        <f t="shared" ca="1" si="248"/>
        <v>0</v>
      </c>
      <c r="AR339" s="50">
        <f t="shared" ca="1" si="249"/>
        <v>0</v>
      </c>
      <c r="AS339" s="50">
        <f t="shared" si="250"/>
        <v>0</v>
      </c>
      <c r="AT339" s="50">
        <f ca="1">(MAX((MAX(AS339,105%*SUM($AJ$7:AJ339))-AM339*Flag_UL_Type),0)*B339)</f>
        <v>0</v>
      </c>
      <c r="AU339" s="50">
        <f ca="1">(MAX(AS339,AR339,105%*SUM($AJ$7:AJ339))*B339)</f>
        <v>0</v>
      </c>
      <c r="AV339" s="125"/>
      <c r="AW339" s="13"/>
      <c r="AX339" s="13"/>
      <c r="AY339" s="13"/>
      <c r="AZ339" s="13"/>
      <c r="BA339" s="13"/>
      <c r="BG339" s="51">
        <f t="shared" si="251"/>
        <v>0</v>
      </c>
      <c r="BH339" s="51">
        <f t="shared" si="252"/>
        <v>0</v>
      </c>
      <c r="BI339" s="51">
        <f t="shared" ca="1" si="253"/>
        <v>0</v>
      </c>
      <c r="BJ339" s="51">
        <f t="shared" ca="1" si="254"/>
        <v>0</v>
      </c>
      <c r="BK339" s="51">
        <f t="shared" si="255"/>
        <v>0</v>
      </c>
      <c r="BL339" s="51">
        <f t="shared" ca="1" si="256"/>
        <v>0</v>
      </c>
      <c r="BM339" s="51">
        <f t="shared" si="257"/>
        <v>0</v>
      </c>
      <c r="BN339" s="51">
        <f t="shared" si="258"/>
        <v>0</v>
      </c>
      <c r="BO339" s="51">
        <f t="shared" ca="1" si="259"/>
        <v>0</v>
      </c>
      <c r="BP339" s="51">
        <f t="shared" ca="1" si="260"/>
        <v>0</v>
      </c>
      <c r="BQ339" s="120"/>
      <c r="BR339" s="32"/>
      <c r="BS339" s="126"/>
      <c r="BT339" s="16"/>
      <c r="BU339" s="58"/>
      <c r="BW339" s="51">
        <f>VLOOKUP(H339,Charges!$AT$4:$AU$33,2,FALSE)*I339</f>
        <v>0</v>
      </c>
      <c r="BX339" s="51">
        <f t="shared" si="261"/>
        <v>0</v>
      </c>
      <c r="BY339" s="51">
        <f t="shared" si="269"/>
        <v>0</v>
      </c>
      <c r="BZ339" s="151"/>
      <c r="CA339" s="151"/>
      <c r="CB339" s="32"/>
      <c r="CC339" s="16">
        <f ca="1">SUM($N$7:$N339)</f>
        <v>0</v>
      </c>
      <c r="CD339" s="16">
        <f t="shared" ca="1" si="262"/>
        <v>0</v>
      </c>
      <c r="CE339" s="16">
        <f t="shared" ca="1" si="263"/>
        <v>0</v>
      </c>
      <c r="CF339" s="7">
        <f t="shared" ca="1" si="270"/>
        <v>0</v>
      </c>
    </row>
    <row r="340" spans="1:84" s="7" customFormat="1" x14ac:dyDescent="0.2">
      <c r="A340" s="149"/>
      <c r="B340" s="14">
        <f t="shared" si="232"/>
        <v>0</v>
      </c>
      <c r="C340" s="12">
        <f t="shared" si="233"/>
        <v>0</v>
      </c>
      <c r="D340" s="17">
        <f t="shared" si="271"/>
        <v>334</v>
      </c>
      <c r="E340" s="17">
        <f t="shared" ca="1" si="234"/>
        <v>87</v>
      </c>
      <c r="F340" s="12">
        <f t="shared" ref="F340:F367" si="273">F328</f>
        <v>9</v>
      </c>
      <c r="G340" s="12">
        <f t="shared" si="272"/>
        <v>56</v>
      </c>
      <c r="H340" s="17">
        <f t="shared" ref="H340:H367" si="274">+H328+1</f>
        <v>28</v>
      </c>
      <c r="I340" s="29">
        <f t="shared" si="235"/>
        <v>0</v>
      </c>
      <c r="J340" s="211">
        <f>IFERROR(VLOOKUP(H340,Charges!$T$6:$U$35,2,0)*C340,0)</f>
        <v>0</v>
      </c>
      <c r="K340" s="29">
        <f t="shared" si="236"/>
        <v>0</v>
      </c>
      <c r="L340" s="29">
        <f t="shared" si="237"/>
        <v>0</v>
      </c>
      <c r="M340" s="147">
        <f t="shared" ca="1" si="238"/>
        <v>0</v>
      </c>
      <c r="N340" s="148">
        <f ca="1">IF(AND(Option_SPW="Y",Z339&gt;=SPW_Start_Min_FV,H340&gt;=Lock_In_Period,Z339&gt;SPW_Amount_pa+IF(option="Single",1/5*pr,2*pr),H340&gt;=SPW_Start_Year,H340&lt;=SPW_Start_Year+SPW_Duration-1,F340=0,age+H340&gt;=Legal_Age),SPW_Amount_pa,0)+IFERROR(VLOOKUP(H340,Input!$B$68:$C$74,2,0),0)*(F340=0)*(Option_PW="Y")*(Option_SPW="N")*(age+H340&gt;=Legal_Age)</f>
        <v>0</v>
      </c>
      <c r="O340" s="148">
        <f t="shared" ca="1" si="264"/>
        <v>0</v>
      </c>
      <c r="P340" s="14">
        <f ca="1">(MAX(MAX(sa-CF339*Flag_UL_Type,105%*SUM($I$7:I340))-(AD339+L340-N340)*Flag_UL_Type,0)*B340)</f>
        <v>0</v>
      </c>
      <c r="Q340" s="213">
        <f t="shared" si="239"/>
        <v>0</v>
      </c>
      <c r="R340" s="14">
        <f t="shared" ca="1" si="240"/>
        <v>0</v>
      </c>
      <c r="S340" s="14">
        <f t="shared" ca="1" si="241"/>
        <v>0</v>
      </c>
      <c r="T340" s="14">
        <f>IFERROR(IF(WoP_Flag="Y",IF(fq=1,VLOOKUP(ppt*fq-H340,Charges!$AN$41:$AO$59,2,FALSE),IF(fq=2,VLOOKUP(ppt*fq-G340,Charges!$AP$41:$AQ$79,2,FALSE),VLOOKUP(ppt*fq-D340,Charges!$AR$41:$AS$279,2,FALSE)))*pr/fq,0),0)</f>
        <v>0</v>
      </c>
      <c r="U340" s="14">
        <f ca="1">IFERROR(((T340*(VLOOKUP(Input!$D$18+H340-1,Tab_Mort_Charge,IF(Gender_2="M",2,3),FALSE)*(1+_emr2)+_rpm2)/IF(Model_Type="LA_PQIS",1000/0.0833,(12*1000))))*Flag_Mort_Rider_Charge*(T340&gt;0),0)</f>
        <v>0</v>
      </c>
      <c r="V340" s="34">
        <f>ROUND(MIN(IF(H340&gt;=7,Charges!$C$12*(1+Charges!$C$14)^((H340-7+1)),VLOOKUP(H340,Charges!$B$7:$C$12,2,0))*pr,Charges!$C$13)*B340,Round)</f>
        <v>0</v>
      </c>
      <c r="W340" s="14">
        <f t="shared" ca="1" si="242"/>
        <v>0</v>
      </c>
      <c r="X340" s="14">
        <f t="shared" ca="1" si="243"/>
        <v>0</v>
      </c>
      <c r="Y340" s="213">
        <f t="shared" ca="1" si="265"/>
        <v>0</v>
      </c>
      <c r="Z340" s="14">
        <f t="shared" ca="1" si="244"/>
        <v>0</v>
      </c>
      <c r="AA340" s="14">
        <f>IF(AND($H340=pt,$F340=11),SUM($K$7:K340)*VLOOKUP(pt,ROC,2,FALSE),0)</f>
        <v>0</v>
      </c>
      <c r="AB340" s="14">
        <f>IF(AND($H340=pt,$F340=11),SUM($V$7:V340)*VLOOKUP(pt,ROC,2,FALSE),0)</f>
        <v>0</v>
      </c>
      <c r="AC340" s="14">
        <f>IF(AND($H340=pt,$F340=11),SUM($Q$7:Q340)*VLOOKUP(pt,ROC,2,FALSE),0)</f>
        <v>0</v>
      </c>
      <c r="AD340" s="14">
        <f t="shared" ca="1" si="266"/>
        <v>0</v>
      </c>
      <c r="AE340" s="14">
        <f ca="1">(MAX(sa-CF339*Flag_UL_Type,105%*SUM($I$7:I340),Z340)+AU340)*B340</f>
        <v>0</v>
      </c>
      <c r="AF340" s="136"/>
      <c r="AG340" s="18">
        <v>334</v>
      </c>
      <c r="AH340" s="30">
        <f t="shared" ca="1" si="245"/>
        <v>0</v>
      </c>
      <c r="AI340" s="58"/>
      <c r="AJ340" s="50">
        <f>IF(AND(Option_Sys_TopUp&gt;="Y",H340&gt;=sytp,H340&lt;=(dtp+sytp-1),F340=0,H340&lt;=ppt+1),atp,0)+IFERROR(VLOOKUP(H340,Input!$B$55:$C$61,2,0),0)*(F340=0)*(Option_TopUP="Y")*(Option_Sys_TopUp="N")*B340*(pt&gt;=H340+5)</f>
        <v>0</v>
      </c>
      <c r="AK340" s="50">
        <f t="shared" si="246"/>
        <v>0</v>
      </c>
      <c r="AL340" s="50">
        <f t="shared" si="267"/>
        <v>0</v>
      </c>
      <c r="AM340" s="50">
        <f t="shared" ca="1" si="247"/>
        <v>0</v>
      </c>
      <c r="AN340" s="50">
        <f>IF(B340=0,0,AT340*(_rpm1+(1+_emr1)*VLOOKUP(E340,Tab_Mort_Charge,IF(Input!$C$12="M",2,3),0))*(0.001*0.0833)*Flag_Mort_Rider_Charge*(AT340&gt;0))</f>
        <v>0</v>
      </c>
      <c r="AO340" s="50">
        <f t="shared" ca="1" si="268"/>
        <v>0</v>
      </c>
      <c r="AP340" s="50">
        <f t="shared" ca="1" si="231"/>
        <v>0</v>
      </c>
      <c r="AQ340" s="50">
        <f t="shared" ca="1" si="248"/>
        <v>0</v>
      </c>
      <c r="AR340" s="50">
        <f t="shared" ca="1" si="249"/>
        <v>0</v>
      </c>
      <c r="AS340" s="50">
        <f t="shared" si="250"/>
        <v>0</v>
      </c>
      <c r="AT340" s="50">
        <f ca="1">(MAX((MAX(AS340,105%*SUM($AJ$7:AJ340))-AM340*Flag_UL_Type),0)*B340)</f>
        <v>0</v>
      </c>
      <c r="AU340" s="50">
        <f ca="1">(MAX(AS340,AR340,105%*SUM($AJ$7:AJ340))*B340)</f>
        <v>0</v>
      </c>
      <c r="AV340" s="125"/>
      <c r="AW340" s="13"/>
      <c r="AX340" s="13"/>
      <c r="AY340" s="13"/>
      <c r="AZ340" s="13"/>
      <c r="BA340" s="13"/>
      <c r="BG340" s="51">
        <f t="shared" si="251"/>
        <v>0</v>
      </c>
      <c r="BH340" s="51">
        <f t="shared" si="252"/>
        <v>0</v>
      </c>
      <c r="BI340" s="51">
        <f t="shared" ca="1" si="253"/>
        <v>0</v>
      </c>
      <c r="BJ340" s="51">
        <f t="shared" ca="1" si="254"/>
        <v>0</v>
      </c>
      <c r="BK340" s="51">
        <f t="shared" si="255"/>
        <v>0</v>
      </c>
      <c r="BL340" s="51">
        <f t="shared" ca="1" si="256"/>
        <v>0</v>
      </c>
      <c r="BM340" s="51">
        <f t="shared" si="257"/>
        <v>0</v>
      </c>
      <c r="BN340" s="51">
        <f t="shared" si="258"/>
        <v>0</v>
      </c>
      <c r="BO340" s="51">
        <f t="shared" ca="1" si="259"/>
        <v>0</v>
      </c>
      <c r="BP340" s="51">
        <f t="shared" ca="1" si="260"/>
        <v>0</v>
      </c>
      <c r="BQ340" s="120"/>
      <c r="BR340" s="32"/>
      <c r="BS340" s="126"/>
      <c r="BT340" s="16"/>
      <c r="BU340" s="58"/>
      <c r="BW340" s="51">
        <f>VLOOKUP(H340,Charges!$AT$4:$AU$33,2,FALSE)*I340</f>
        <v>0</v>
      </c>
      <c r="BX340" s="51">
        <f t="shared" si="261"/>
        <v>0</v>
      </c>
      <c r="BY340" s="51">
        <f t="shared" si="269"/>
        <v>0</v>
      </c>
      <c r="BZ340" s="151"/>
      <c r="CA340" s="151"/>
      <c r="CB340" s="32"/>
      <c r="CC340" s="16">
        <f ca="1">SUM($N$7:$N340)</f>
        <v>0</v>
      </c>
      <c r="CD340" s="16">
        <f t="shared" ca="1" si="262"/>
        <v>0</v>
      </c>
      <c r="CE340" s="16">
        <f t="shared" ca="1" si="263"/>
        <v>0</v>
      </c>
      <c r="CF340" s="7">
        <f t="shared" ca="1" si="270"/>
        <v>0</v>
      </c>
    </row>
    <row r="341" spans="1:84" s="7" customFormat="1" x14ac:dyDescent="0.2">
      <c r="A341" s="149"/>
      <c r="B341" s="14">
        <f t="shared" si="232"/>
        <v>0</v>
      </c>
      <c r="C341" s="12">
        <f t="shared" si="233"/>
        <v>0</v>
      </c>
      <c r="D341" s="17">
        <f t="shared" si="271"/>
        <v>335</v>
      </c>
      <c r="E341" s="17">
        <f t="shared" ca="1" si="234"/>
        <v>87</v>
      </c>
      <c r="F341" s="12">
        <f t="shared" si="273"/>
        <v>10</v>
      </c>
      <c r="G341" s="12">
        <f t="shared" si="272"/>
        <v>56</v>
      </c>
      <c r="H341" s="17">
        <f t="shared" si="274"/>
        <v>28</v>
      </c>
      <c r="I341" s="29">
        <f t="shared" si="235"/>
        <v>0</v>
      </c>
      <c r="J341" s="211">
        <f>IFERROR(VLOOKUP(H341,Charges!$T$6:$U$35,2,0)*C341,0)</f>
        <v>0</v>
      </c>
      <c r="K341" s="29">
        <f t="shared" si="236"/>
        <v>0</v>
      </c>
      <c r="L341" s="29">
        <f t="shared" si="237"/>
        <v>0</v>
      </c>
      <c r="M341" s="147">
        <f t="shared" ca="1" si="238"/>
        <v>0</v>
      </c>
      <c r="N341" s="148">
        <f ca="1">IF(AND(Option_SPW="Y",Z340&gt;=SPW_Start_Min_FV,H341&gt;=Lock_In_Period,Z340&gt;SPW_Amount_pa+IF(option="Single",1/5*pr,2*pr),H341&gt;=SPW_Start_Year,H341&lt;=SPW_Start_Year+SPW_Duration-1,F341=0,age+H341&gt;=Legal_Age),SPW_Amount_pa,0)+IFERROR(VLOOKUP(H341,Input!$B$68:$C$74,2,0),0)*(F341=0)*(Option_PW="Y")*(Option_SPW="N")*(age+H341&gt;=Legal_Age)</f>
        <v>0</v>
      </c>
      <c r="O341" s="148">
        <f t="shared" ca="1" si="264"/>
        <v>0</v>
      </c>
      <c r="P341" s="14">
        <f ca="1">(MAX(MAX(sa-CF340*Flag_UL_Type,105%*SUM($I$7:I341))-(AD340+L341-N341)*Flag_UL_Type,0)*B341)</f>
        <v>0</v>
      </c>
      <c r="Q341" s="213">
        <f t="shared" si="239"/>
        <v>0</v>
      </c>
      <c r="R341" s="14">
        <f t="shared" ca="1" si="240"/>
        <v>0</v>
      </c>
      <c r="S341" s="14">
        <f t="shared" ca="1" si="241"/>
        <v>0</v>
      </c>
      <c r="T341" s="14">
        <f>IFERROR(IF(WoP_Flag="Y",IF(fq=1,VLOOKUP(ppt*fq-H341,Charges!$AN$41:$AO$59,2,FALSE),IF(fq=2,VLOOKUP(ppt*fq-G341,Charges!$AP$41:$AQ$79,2,FALSE),VLOOKUP(ppt*fq-D341,Charges!$AR$41:$AS$279,2,FALSE)))*pr/fq,0),0)</f>
        <v>0</v>
      </c>
      <c r="U341" s="14">
        <f ca="1">IFERROR(((T341*(VLOOKUP(Input!$D$18+H341-1,Tab_Mort_Charge,IF(Gender_2="M",2,3),FALSE)*(1+_emr2)+_rpm2)/IF(Model_Type="LA_PQIS",1000/0.0833,(12*1000))))*Flag_Mort_Rider_Charge*(T341&gt;0),0)</f>
        <v>0</v>
      </c>
      <c r="V341" s="34">
        <f>ROUND(MIN(IF(H341&gt;=7,Charges!$C$12*(1+Charges!$C$14)^((H341-7+1)),VLOOKUP(H341,Charges!$B$7:$C$12,2,0))*pr,Charges!$C$13)*B341,Round)</f>
        <v>0</v>
      </c>
      <c r="W341" s="14">
        <f t="shared" ca="1" si="242"/>
        <v>0</v>
      </c>
      <c r="X341" s="14">
        <f t="shared" ca="1" si="243"/>
        <v>0</v>
      </c>
      <c r="Y341" s="213">
        <f t="shared" ca="1" si="265"/>
        <v>0</v>
      </c>
      <c r="Z341" s="14">
        <f t="shared" ca="1" si="244"/>
        <v>0</v>
      </c>
      <c r="AA341" s="14">
        <f>IF(AND($H341=pt,$F341=11),SUM($K$7:K341)*VLOOKUP(pt,ROC,2,FALSE),0)</f>
        <v>0</v>
      </c>
      <c r="AB341" s="14">
        <f>IF(AND($H341=pt,$F341=11),SUM($V$7:V341)*VLOOKUP(pt,ROC,2,FALSE),0)</f>
        <v>0</v>
      </c>
      <c r="AC341" s="14">
        <f>IF(AND($H341=pt,$F341=11),SUM($Q$7:Q341)*VLOOKUP(pt,ROC,2,FALSE),0)</f>
        <v>0</v>
      </c>
      <c r="AD341" s="14">
        <f t="shared" ca="1" si="266"/>
        <v>0</v>
      </c>
      <c r="AE341" s="14">
        <f ca="1">(MAX(sa-CF340*Flag_UL_Type,105%*SUM($I$7:I341),Z341)+AU341)*B341</f>
        <v>0</v>
      </c>
      <c r="AF341" s="136"/>
      <c r="AG341" s="18">
        <v>335</v>
      </c>
      <c r="AH341" s="30">
        <f t="shared" ca="1" si="245"/>
        <v>0</v>
      </c>
      <c r="AI341" s="58"/>
      <c r="AJ341" s="50">
        <f>IF(AND(Option_Sys_TopUp&gt;="Y",H341&gt;=sytp,H341&lt;=(dtp+sytp-1),F341=0,H341&lt;=ppt+1),atp,0)+IFERROR(VLOOKUP(H341,Input!$B$55:$C$61,2,0),0)*(F341=0)*(Option_TopUP="Y")*(Option_Sys_TopUp="N")*B341*(pt&gt;=H341+5)</f>
        <v>0</v>
      </c>
      <c r="AK341" s="50">
        <f t="shared" si="246"/>
        <v>0</v>
      </c>
      <c r="AL341" s="50">
        <f t="shared" si="267"/>
        <v>0</v>
      </c>
      <c r="AM341" s="50">
        <f t="shared" ca="1" si="247"/>
        <v>0</v>
      </c>
      <c r="AN341" s="50">
        <f>IF(B341=0,0,AT341*(_rpm1+(1+_emr1)*VLOOKUP(E341,Tab_Mort_Charge,IF(Input!$C$12="M",2,3),0))*(0.001*0.0833)*Flag_Mort_Rider_Charge*(AT341&gt;0))</f>
        <v>0</v>
      </c>
      <c r="AO341" s="50">
        <f t="shared" ca="1" si="268"/>
        <v>0</v>
      </c>
      <c r="AP341" s="50">
        <f t="shared" ca="1" si="231"/>
        <v>0</v>
      </c>
      <c r="AQ341" s="50">
        <f t="shared" ca="1" si="248"/>
        <v>0</v>
      </c>
      <c r="AR341" s="50">
        <f t="shared" ca="1" si="249"/>
        <v>0</v>
      </c>
      <c r="AS341" s="50">
        <f t="shared" si="250"/>
        <v>0</v>
      </c>
      <c r="AT341" s="50">
        <f ca="1">(MAX((MAX(AS341,105%*SUM($AJ$7:AJ341))-AM341*Flag_UL_Type),0)*B341)</f>
        <v>0</v>
      </c>
      <c r="AU341" s="50">
        <f ca="1">(MAX(AS341,AR341,105%*SUM($AJ$7:AJ341))*B341)</f>
        <v>0</v>
      </c>
      <c r="AV341" s="125"/>
      <c r="AW341" s="13"/>
      <c r="AX341" s="13"/>
      <c r="AY341" s="13"/>
      <c r="AZ341" s="13"/>
      <c r="BA341" s="13"/>
      <c r="BG341" s="51">
        <f t="shared" si="251"/>
        <v>0</v>
      </c>
      <c r="BH341" s="51">
        <f t="shared" si="252"/>
        <v>0</v>
      </c>
      <c r="BI341" s="51">
        <f t="shared" ca="1" si="253"/>
        <v>0</v>
      </c>
      <c r="BJ341" s="51">
        <f t="shared" ca="1" si="254"/>
        <v>0</v>
      </c>
      <c r="BK341" s="51">
        <f t="shared" si="255"/>
        <v>0</v>
      </c>
      <c r="BL341" s="51">
        <f t="shared" ca="1" si="256"/>
        <v>0</v>
      </c>
      <c r="BM341" s="51">
        <f t="shared" si="257"/>
        <v>0</v>
      </c>
      <c r="BN341" s="51">
        <f t="shared" si="258"/>
        <v>0</v>
      </c>
      <c r="BO341" s="51">
        <f t="shared" ca="1" si="259"/>
        <v>0</v>
      </c>
      <c r="BP341" s="51">
        <f t="shared" ca="1" si="260"/>
        <v>0</v>
      </c>
      <c r="BQ341" s="120"/>
      <c r="BR341" s="32"/>
      <c r="BS341" s="126"/>
      <c r="BT341" s="16"/>
      <c r="BU341" s="58"/>
      <c r="BW341" s="51">
        <f>VLOOKUP(H341,Charges!$AT$4:$AU$33,2,FALSE)*I341</f>
        <v>0</v>
      </c>
      <c r="BX341" s="51">
        <f t="shared" si="261"/>
        <v>0</v>
      </c>
      <c r="BY341" s="51">
        <f t="shared" si="269"/>
        <v>0</v>
      </c>
      <c r="BZ341" s="151"/>
      <c r="CA341" s="151"/>
      <c r="CB341" s="32"/>
      <c r="CC341" s="16">
        <f ca="1">SUM($N$7:$N341)</f>
        <v>0</v>
      </c>
      <c r="CD341" s="16">
        <f t="shared" ca="1" si="262"/>
        <v>0</v>
      </c>
      <c r="CE341" s="16">
        <f t="shared" ca="1" si="263"/>
        <v>0</v>
      </c>
      <c r="CF341" s="7">
        <f t="shared" ca="1" si="270"/>
        <v>0</v>
      </c>
    </row>
    <row r="342" spans="1:84" s="7" customFormat="1" x14ac:dyDescent="0.2">
      <c r="A342" s="149"/>
      <c r="B342" s="14">
        <f t="shared" si="232"/>
        <v>0</v>
      </c>
      <c r="C342" s="12">
        <f t="shared" si="233"/>
        <v>0</v>
      </c>
      <c r="D342" s="17">
        <f t="shared" si="271"/>
        <v>336</v>
      </c>
      <c r="E342" s="17">
        <f t="shared" ca="1" si="234"/>
        <v>87</v>
      </c>
      <c r="F342" s="12">
        <f t="shared" si="273"/>
        <v>11</v>
      </c>
      <c r="G342" s="12">
        <f t="shared" si="272"/>
        <v>56</v>
      </c>
      <c r="H342" s="17">
        <f t="shared" si="274"/>
        <v>28</v>
      </c>
      <c r="I342" s="29">
        <f t="shared" si="235"/>
        <v>0</v>
      </c>
      <c r="J342" s="211">
        <f>IFERROR(VLOOKUP(H342,Charges!$T$6:$U$35,2,0)*C342,0)</f>
        <v>0</v>
      </c>
      <c r="K342" s="29">
        <f t="shared" si="236"/>
        <v>0</v>
      </c>
      <c r="L342" s="29">
        <f t="shared" si="237"/>
        <v>0</v>
      </c>
      <c r="M342" s="147">
        <f t="shared" ca="1" si="238"/>
        <v>0</v>
      </c>
      <c r="N342" s="148">
        <f ca="1">IF(AND(Option_SPW="Y",Z341&gt;=SPW_Start_Min_FV,H342&gt;=Lock_In_Period,Z341&gt;SPW_Amount_pa+IF(option="Single",1/5*pr,2*pr),H342&gt;=SPW_Start_Year,H342&lt;=SPW_Start_Year+SPW_Duration-1,F342=0,age+H342&gt;=Legal_Age),SPW_Amount_pa,0)+IFERROR(VLOOKUP(H342,Input!$B$68:$C$74,2,0),0)*(F342=0)*(Option_PW="Y")*(Option_SPW="N")*(age+H342&gt;=Legal_Age)</f>
        <v>0</v>
      </c>
      <c r="O342" s="148">
        <f t="shared" ca="1" si="264"/>
        <v>0</v>
      </c>
      <c r="P342" s="14">
        <f ca="1">(MAX(MAX(sa-CF341*Flag_UL_Type,105%*SUM($I$7:I342))-(AD341+L342-N342)*Flag_UL_Type,0)*B342)</f>
        <v>0</v>
      </c>
      <c r="Q342" s="213">
        <f t="shared" si="239"/>
        <v>0</v>
      </c>
      <c r="R342" s="14">
        <f t="shared" ca="1" si="240"/>
        <v>0</v>
      </c>
      <c r="S342" s="14">
        <f t="shared" ca="1" si="241"/>
        <v>0</v>
      </c>
      <c r="T342" s="14">
        <f>IFERROR(IF(WoP_Flag="Y",IF(fq=1,VLOOKUP(ppt*fq-H342,Charges!$AN$41:$AO$59,2,FALSE),IF(fq=2,VLOOKUP(ppt*fq-G342,Charges!$AP$41:$AQ$79,2,FALSE),VLOOKUP(ppt*fq-D342,Charges!$AR$41:$AS$279,2,FALSE)))*pr/fq,0),0)</f>
        <v>0</v>
      </c>
      <c r="U342" s="14">
        <f ca="1">IFERROR(((T342*(VLOOKUP(Input!$D$18+H342-1,Tab_Mort_Charge,IF(Gender_2="M",2,3),FALSE)*(1+_emr2)+_rpm2)/IF(Model_Type="LA_PQIS",1000/0.0833,(12*1000))))*Flag_Mort_Rider_Charge*(T342&gt;0),0)</f>
        <v>0</v>
      </c>
      <c r="V342" s="34">
        <f>ROUND(MIN(IF(H342&gt;=7,Charges!$C$12*(1+Charges!$C$14)^((H342-7+1)),VLOOKUP(H342,Charges!$B$7:$C$12,2,0))*pr,Charges!$C$13)*B342,Round)</f>
        <v>0</v>
      </c>
      <c r="W342" s="14">
        <f t="shared" ca="1" si="242"/>
        <v>0</v>
      </c>
      <c r="X342" s="14">
        <f t="shared" ca="1" si="243"/>
        <v>0</v>
      </c>
      <c r="Y342" s="213">
        <f t="shared" ca="1" si="265"/>
        <v>0</v>
      </c>
      <c r="Z342" s="14">
        <f t="shared" ca="1" si="244"/>
        <v>0</v>
      </c>
      <c r="AA342" s="14">
        <f>IF(AND($H342=pt,$F342=11),SUM($K$7:K342)*VLOOKUP(pt,ROC,2,FALSE),0)</f>
        <v>0</v>
      </c>
      <c r="AB342" s="14">
        <f>IF(AND($H342=pt,$F342=11),SUM($V$7:V342)*VLOOKUP(pt,ROC,2,FALSE),0)</f>
        <v>0</v>
      </c>
      <c r="AC342" s="14">
        <f>IF(AND($H342=pt,$F342=11),SUM($Q$7:Q342)*VLOOKUP(pt,ROC,2,FALSE),0)</f>
        <v>0</v>
      </c>
      <c r="AD342" s="14">
        <f t="shared" ca="1" si="266"/>
        <v>0</v>
      </c>
      <c r="AE342" s="14">
        <f ca="1">(MAX(sa-CF341*Flag_UL_Type,105%*SUM($I$7:I342),Z342)+AU342)*B342</f>
        <v>0</v>
      </c>
      <c r="AF342" s="136"/>
      <c r="AG342" s="18">
        <v>336</v>
      </c>
      <c r="AH342" s="30">
        <f t="shared" ca="1" si="245"/>
        <v>0</v>
      </c>
      <c r="AI342" s="58"/>
      <c r="AJ342" s="50">
        <f>IF(AND(Option_Sys_TopUp&gt;="Y",H342&gt;=sytp,H342&lt;=(dtp+sytp-1),F342=0,H342&lt;=ppt+1),atp,0)+IFERROR(VLOOKUP(H342,Input!$B$55:$C$61,2,0),0)*(F342=0)*(Option_TopUP="Y")*(Option_Sys_TopUp="N")*B342*(pt&gt;=H342+5)</f>
        <v>0</v>
      </c>
      <c r="AK342" s="50">
        <f t="shared" si="246"/>
        <v>0</v>
      </c>
      <c r="AL342" s="50">
        <f t="shared" si="267"/>
        <v>0</v>
      </c>
      <c r="AM342" s="50">
        <f t="shared" ca="1" si="247"/>
        <v>0</v>
      </c>
      <c r="AN342" s="50">
        <f>IF(B342=0,0,AT342*(_rpm1+(1+_emr1)*VLOOKUP(E342,Tab_Mort_Charge,IF(Input!$C$12="M",2,3),0))*(0.001*0.0833)*Flag_Mort_Rider_Charge*(AT342&gt;0))</f>
        <v>0</v>
      </c>
      <c r="AO342" s="50">
        <f t="shared" ca="1" si="268"/>
        <v>0</v>
      </c>
      <c r="AP342" s="50">
        <f t="shared" ca="1" si="231"/>
        <v>0</v>
      </c>
      <c r="AQ342" s="50">
        <f t="shared" ca="1" si="248"/>
        <v>0</v>
      </c>
      <c r="AR342" s="50">
        <f t="shared" ca="1" si="249"/>
        <v>0</v>
      </c>
      <c r="AS342" s="50">
        <f t="shared" si="250"/>
        <v>0</v>
      </c>
      <c r="AT342" s="50">
        <f ca="1">(MAX((MAX(AS342,105%*SUM($AJ$7:AJ342))-AM342*Flag_UL_Type),0)*B342)</f>
        <v>0</v>
      </c>
      <c r="AU342" s="50">
        <f ca="1">(MAX(AS342,AR342,105%*SUM($AJ$7:AJ342))*B342)</f>
        <v>0</v>
      </c>
      <c r="AV342" s="125"/>
      <c r="AW342" s="13"/>
      <c r="AX342" s="13"/>
      <c r="AY342" s="13"/>
      <c r="AZ342" s="13"/>
      <c r="BA342" s="13"/>
      <c r="BG342" s="51">
        <f t="shared" si="251"/>
        <v>0</v>
      </c>
      <c r="BH342" s="51">
        <f t="shared" si="252"/>
        <v>0</v>
      </c>
      <c r="BI342" s="51">
        <f t="shared" ca="1" si="253"/>
        <v>0</v>
      </c>
      <c r="BJ342" s="51">
        <f t="shared" ca="1" si="254"/>
        <v>0</v>
      </c>
      <c r="BK342" s="51">
        <f t="shared" si="255"/>
        <v>0</v>
      </c>
      <c r="BL342" s="51">
        <f t="shared" ca="1" si="256"/>
        <v>0</v>
      </c>
      <c r="BM342" s="51">
        <f t="shared" si="257"/>
        <v>0</v>
      </c>
      <c r="BN342" s="51">
        <f t="shared" si="258"/>
        <v>0</v>
      </c>
      <c r="BO342" s="51">
        <f t="shared" ca="1" si="259"/>
        <v>0</v>
      </c>
      <c r="BP342" s="51">
        <f t="shared" ca="1" si="260"/>
        <v>0</v>
      </c>
      <c r="BQ342" s="120"/>
      <c r="BR342" s="32"/>
      <c r="BS342" s="126"/>
      <c r="BT342" s="16"/>
      <c r="BU342" s="58"/>
      <c r="BW342" s="51">
        <f>VLOOKUP(H342,Charges!$AT$4:$AU$33,2,FALSE)*I342</f>
        <v>0</v>
      </c>
      <c r="BX342" s="51">
        <f t="shared" si="261"/>
        <v>0</v>
      </c>
      <c r="BY342" s="51">
        <f t="shared" si="269"/>
        <v>0</v>
      </c>
      <c r="BZ342" s="151"/>
      <c r="CA342" s="151"/>
      <c r="CB342" s="32"/>
      <c r="CC342" s="16">
        <f ca="1">SUM($N$7:$N342)</f>
        <v>0</v>
      </c>
      <c r="CD342" s="16">
        <f t="shared" ca="1" si="262"/>
        <v>0</v>
      </c>
      <c r="CE342" s="16">
        <f t="shared" ca="1" si="263"/>
        <v>0</v>
      </c>
      <c r="CF342" s="7">
        <f t="shared" ca="1" si="270"/>
        <v>0</v>
      </c>
    </row>
    <row r="343" spans="1:84" s="7" customFormat="1" x14ac:dyDescent="0.2">
      <c r="A343" s="149"/>
      <c r="B343" s="14">
        <f t="shared" si="232"/>
        <v>0</v>
      </c>
      <c r="C343" s="12">
        <f t="shared" si="233"/>
        <v>0</v>
      </c>
      <c r="D343" s="17">
        <f t="shared" si="271"/>
        <v>337</v>
      </c>
      <c r="E343" s="17">
        <f t="shared" ca="1" si="234"/>
        <v>88</v>
      </c>
      <c r="F343" s="12">
        <f t="shared" si="273"/>
        <v>0</v>
      </c>
      <c r="G343" s="12">
        <f t="shared" si="272"/>
        <v>57</v>
      </c>
      <c r="H343" s="17">
        <f t="shared" si="274"/>
        <v>29</v>
      </c>
      <c r="I343" s="29">
        <f t="shared" si="235"/>
        <v>0</v>
      </c>
      <c r="J343" s="211">
        <f>IFERROR(VLOOKUP(H343,Charges!$T$6:$U$35,2,0)*C343,0)</f>
        <v>0</v>
      </c>
      <c r="K343" s="29">
        <f t="shared" si="236"/>
        <v>0</v>
      </c>
      <c r="L343" s="29">
        <f t="shared" si="237"/>
        <v>0</v>
      </c>
      <c r="M343" s="147">
        <f t="shared" ca="1" si="238"/>
        <v>0</v>
      </c>
      <c r="N343" s="148">
        <f ca="1">IF(AND(Option_SPW="Y",Z342&gt;=SPW_Start_Min_FV,H343&gt;=Lock_In_Period,Z342&gt;SPW_Amount_pa+IF(option="Single",1/5*pr,2*pr),H343&gt;=SPW_Start_Year,H343&lt;=SPW_Start_Year+SPW_Duration-1,F343=0,age+H343&gt;=Legal_Age),SPW_Amount_pa,0)+IFERROR(VLOOKUP(H343,Input!$B$68:$C$74,2,0),0)*(F343=0)*(Option_PW="Y")*(Option_SPW="N")*(age+H343&gt;=Legal_Age)</f>
        <v>0</v>
      </c>
      <c r="O343" s="148">
        <f t="shared" ca="1" si="264"/>
        <v>0</v>
      </c>
      <c r="P343" s="14">
        <f ca="1">(MAX(MAX(sa-CF342*Flag_UL_Type,105%*SUM($I$7:I343))-(AD342+L343-N343)*Flag_UL_Type,0)*B343)</f>
        <v>0</v>
      </c>
      <c r="Q343" s="213">
        <f t="shared" si="239"/>
        <v>0</v>
      </c>
      <c r="R343" s="14">
        <f t="shared" ca="1" si="240"/>
        <v>0</v>
      </c>
      <c r="S343" s="14">
        <f t="shared" ca="1" si="241"/>
        <v>0</v>
      </c>
      <c r="T343" s="14">
        <f>IFERROR(IF(WoP_Flag="Y",IF(fq=1,VLOOKUP(ppt*fq-H343,Charges!$AN$41:$AO$59,2,FALSE),IF(fq=2,VLOOKUP(ppt*fq-G343,Charges!$AP$41:$AQ$79,2,FALSE),VLOOKUP(ppt*fq-D343,Charges!$AR$41:$AS$279,2,FALSE)))*pr/fq,0),0)</f>
        <v>0</v>
      </c>
      <c r="U343" s="14">
        <f ca="1">IFERROR(((T343*(VLOOKUP(Input!$D$18+H343-1,Tab_Mort_Charge,IF(Gender_2="M",2,3),FALSE)*(1+_emr2)+_rpm2)/IF(Model_Type="LA_PQIS",1000/0.0833,(12*1000))))*Flag_Mort_Rider_Charge*(T343&gt;0),0)</f>
        <v>0</v>
      </c>
      <c r="V343" s="34">
        <f>ROUND(MIN(IF(H343&gt;=7,Charges!$C$12*(1+Charges!$C$14)^((H343-7+1)),VLOOKUP(H343,Charges!$B$7:$C$12,2,0))*pr,Charges!$C$13)*B343,Round)</f>
        <v>0</v>
      </c>
      <c r="W343" s="14">
        <f t="shared" ca="1" si="242"/>
        <v>0</v>
      </c>
      <c r="X343" s="14">
        <f t="shared" ca="1" si="243"/>
        <v>0</v>
      </c>
      <c r="Y343" s="213">
        <f t="shared" ca="1" si="265"/>
        <v>0</v>
      </c>
      <c r="Z343" s="14">
        <f t="shared" ca="1" si="244"/>
        <v>0</v>
      </c>
      <c r="AA343" s="14">
        <f>IF(AND($H343=pt,$F343=11),SUM($K$7:K343)*VLOOKUP(pt,ROC,2,FALSE),0)</f>
        <v>0</v>
      </c>
      <c r="AB343" s="14">
        <f>IF(AND($H343=pt,$F343=11),SUM($V$7:V343)*VLOOKUP(pt,ROC,2,FALSE),0)</f>
        <v>0</v>
      </c>
      <c r="AC343" s="14">
        <f>IF(AND($H343=pt,$F343=11),SUM($Q$7:Q343)*VLOOKUP(pt,ROC,2,FALSE),0)</f>
        <v>0</v>
      </c>
      <c r="AD343" s="14">
        <f t="shared" ca="1" si="266"/>
        <v>0</v>
      </c>
      <c r="AE343" s="14">
        <f ca="1">(MAX(sa-CF342*Flag_UL_Type,105%*SUM($I$7:I343),Z343)+AU343)*B343</f>
        <v>0</v>
      </c>
      <c r="AF343" s="136"/>
      <c r="AG343" s="18">
        <v>337</v>
      </c>
      <c r="AH343" s="30">
        <f t="shared" ca="1" si="245"/>
        <v>0</v>
      </c>
      <c r="AI343" s="58"/>
      <c r="AJ343" s="50">
        <f>IF(AND(Option_Sys_TopUp&gt;="Y",H343&gt;=sytp,H343&lt;=(dtp+sytp-1),F343=0,H343&lt;=ppt+1),atp,0)+IFERROR(VLOOKUP(H343,Input!$B$55:$C$61,2,0),0)*(F343=0)*(Option_TopUP="Y")*(Option_Sys_TopUp="N")*B343*(pt&gt;=H343+5)</f>
        <v>0</v>
      </c>
      <c r="AK343" s="50">
        <f t="shared" si="246"/>
        <v>0</v>
      </c>
      <c r="AL343" s="50">
        <f t="shared" si="267"/>
        <v>0</v>
      </c>
      <c r="AM343" s="50">
        <f t="shared" ca="1" si="247"/>
        <v>0</v>
      </c>
      <c r="AN343" s="50">
        <f>IF(B343=0,0,AT343*(_rpm1+(1+_emr1)*VLOOKUP(E343,Tab_Mort_Charge,IF(Input!$C$12="M",2,3),0))*(0.001*0.0833)*Flag_Mort_Rider_Charge*(AT343&gt;0))</f>
        <v>0</v>
      </c>
      <c r="AO343" s="50">
        <f t="shared" ca="1" si="268"/>
        <v>0</v>
      </c>
      <c r="AP343" s="50">
        <f t="shared" ca="1" si="231"/>
        <v>0</v>
      </c>
      <c r="AQ343" s="50">
        <f t="shared" ca="1" si="248"/>
        <v>0</v>
      </c>
      <c r="AR343" s="50">
        <f t="shared" ca="1" si="249"/>
        <v>0</v>
      </c>
      <c r="AS343" s="50">
        <f t="shared" si="250"/>
        <v>0</v>
      </c>
      <c r="AT343" s="50">
        <f ca="1">(MAX((MAX(AS343,105%*SUM($AJ$7:AJ343))-AM343*Flag_UL_Type),0)*B343)</f>
        <v>0</v>
      </c>
      <c r="AU343" s="50">
        <f ca="1">(MAX(AS343,AR343,105%*SUM($AJ$7:AJ343))*B343)</f>
        <v>0</v>
      </c>
      <c r="AV343" s="125"/>
      <c r="AW343" s="13"/>
      <c r="AX343" s="13"/>
      <c r="AY343" s="13"/>
      <c r="AZ343" s="13"/>
      <c r="BA343" s="13"/>
      <c r="BG343" s="51">
        <f t="shared" si="251"/>
        <v>0</v>
      </c>
      <c r="BH343" s="51">
        <f t="shared" si="252"/>
        <v>0</v>
      </c>
      <c r="BI343" s="51">
        <f t="shared" ca="1" si="253"/>
        <v>0</v>
      </c>
      <c r="BJ343" s="51">
        <f t="shared" ca="1" si="254"/>
        <v>0</v>
      </c>
      <c r="BK343" s="51">
        <f t="shared" si="255"/>
        <v>0</v>
      </c>
      <c r="BL343" s="51">
        <f t="shared" ca="1" si="256"/>
        <v>0</v>
      </c>
      <c r="BM343" s="51">
        <f t="shared" si="257"/>
        <v>0</v>
      </c>
      <c r="BN343" s="51">
        <f t="shared" si="258"/>
        <v>0</v>
      </c>
      <c r="BO343" s="51">
        <f t="shared" ca="1" si="259"/>
        <v>0</v>
      </c>
      <c r="BP343" s="51">
        <f t="shared" ca="1" si="260"/>
        <v>0</v>
      </c>
      <c r="BQ343" s="120"/>
      <c r="BR343" s="32"/>
      <c r="BS343" s="126"/>
      <c r="BT343" s="16"/>
      <c r="BU343" s="58"/>
      <c r="BW343" s="51">
        <f>VLOOKUP(H343,Charges!$AT$4:$AU$33,2,FALSE)*I343</f>
        <v>0</v>
      </c>
      <c r="BX343" s="51">
        <f t="shared" si="261"/>
        <v>0</v>
      </c>
      <c r="BY343" s="51">
        <f t="shared" si="269"/>
        <v>0</v>
      </c>
      <c r="BZ343" s="151"/>
      <c r="CA343" s="151"/>
      <c r="CB343" s="32"/>
      <c r="CC343" s="16">
        <f ca="1">SUM($N$7:$N343)</f>
        <v>0</v>
      </c>
      <c r="CD343" s="16">
        <f t="shared" ca="1" si="262"/>
        <v>0</v>
      </c>
      <c r="CE343" s="16">
        <f t="shared" ca="1" si="263"/>
        <v>0</v>
      </c>
      <c r="CF343" s="7">
        <f t="shared" ca="1" si="270"/>
        <v>0</v>
      </c>
    </row>
    <row r="344" spans="1:84" s="7" customFormat="1" x14ac:dyDescent="0.2">
      <c r="A344" s="149"/>
      <c r="B344" s="14">
        <f t="shared" si="232"/>
        <v>0</v>
      </c>
      <c r="C344" s="12">
        <f t="shared" si="233"/>
        <v>0</v>
      </c>
      <c r="D344" s="17">
        <f t="shared" si="271"/>
        <v>338</v>
      </c>
      <c r="E344" s="17">
        <f t="shared" ca="1" si="234"/>
        <v>88</v>
      </c>
      <c r="F344" s="12">
        <f t="shared" si="273"/>
        <v>1</v>
      </c>
      <c r="G344" s="12">
        <f t="shared" si="272"/>
        <v>57</v>
      </c>
      <c r="H344" s="17">
        <f t="shared" si="274"/>
        <v>29</v>
      </c>
      <c r="I344" s="29">
        <f t="shared" si="235"/>
        <v>0</v>
      </c>
      <c r="J344" s="211">
        <f>IFERROR(VLOOKUP(H344,Charges!$T$6:$U$35,2,0)*C344,0)</f>
        <v>0</v>
      </c>
      <c r="K344" s="29">
        <f t="shared" si="236"/>
        <v>0</v>
      </c>
      <c r="L344" s="29">
        <f t="shared" si="237"/>
        <v>0</v>
      </c>
      <c r="M344" s="147">
        <f t="shared" ca="1" si="238"/>
        <v>0</v>
      </c>
      <c r="N344" s="148">
        <f ca="1">IF(AND(Option_SPW="Y",Z343&gt;=SPW_Start_Min_FV,H344&gt;=Lock_In_Period,Z343&gt;SPW_Amount_pa+IF(option="Single",1/5*pr,2*pr),H344&gt;=SPW_Start_Year,H344&lt;=SPW_Start_Year+SPW_Duration-1,F344=0,age+H344&gt;=Legal_Age),SPW_Amount_pa,0)+IFERROR(VLOOKUP(H344,Input!$B$68:$C$74,2,0),0)*(F344=0)*(Option_PW="Y")*(Option_SPW="N")*(age+H344&gt;=Legal_Age)</f>
        <v>0</v>
      </c>
      <c r="O344" s="148">
        <f t="shared" ca="1" si="264"/>
        <v>0</v>
      </c>
      <c r="P344" s="14">
        <f ca="1">(MAX(MAX(sa-CF343*Flag_UL_Type,105%*SUM($I$7:I344))-(AD343+L344-N344)*Flag_UL_Type,0)*B344)</f>
        <v>0</v>
      </c>
      <c r="Q344" s="213">
        <f t="shared" si="239"/>
        <v>0</v>
      </c>
      <c r="R344" s="14">
        <f t="shared" ca="1" si="240"/>
        <v>0</v>
      </c>
      <c r="S344" s="14">
        <f t="shared" ca="1" si="241"/>
        <v>0</v>
      </c>
      <c r="T344" s="14">
        <f>IFERROR(IF(WoP_Flag="Y",IF(fq=1,VLOOKUP(ppt*fq-H344,Charges!$AN$41:$AO$59,2,FALSE),IF(fq=2,VLOOKUP(ppt*fq-G344,Charges!$AP$41:$AQ$79,2,FALSE),VLOOKUP(ppt*fq-D344,Charges!$AR$41:$AS$279,2,FALSE)))*pr/fq,0),0)</f>
        <v>0</v>
      </c>
      <c r="U344" s="14">
        <f ca="1">IFERROR(((T344*(VLOOKUP(Input!$D$18+H344-1,Tab_Mort_Charge,IF(Gender_2="M",2,3),FALSE)*(1+_emr2)+_rpm2)/IF(Model_Type="LA_PQIS",1000/0.0833,(12*1000))))*Flag_Mort_Rider_Charge*(T344&gt;0),0)</f>
        <v>0</v>
      </c>
      <c r="V344" s="34">
        <f>ROUND(MIN(IF(H344&gt;=7,Charges!$C$12*(1+Charges!$C$14)^((H344-7+1)),VLOOKUP(H344,Charges!$B$7:$C$12,2,0))*pr,Charges!$C$13)*B344,Round)</f>
        <v>0</v>
      </c>
      <c r="W344" s="14">
        <f t="shared" ca="1" si="242"/>
        <v>0</v>
      </c>
      <c r="X344" s="14">
        <f t="shared" ca="1" si="243"/>
        <v>0</v>
      </c>
      <c r="Y344" s="213">
        <f t="shared" ca="1" si="265"/>
        <v>0</v>
      </c>
      <c r="Z344" s="14">
        <f t="shared" ca="1" si="244"/>
        <v>0</v>
      </c>
      <c r="AA344" s="14">
        <f>IF(AND($H344=pt,$F344=11),SUM($K$7:K344)*VLOOKUP(pt,ROC,2,FALSE),0)</f>
        <v>0</v>
      </c>
      <c r="AB344" s="14">
        <f>IF(AND($H344=pt,$F344=11),SUM($V$7:V344)*VLOOKUP(pt,ROC,2,FALSE),0)</f>
        <v>0</v>
      </c>
      <c r="AC344" s="14">
        <f>IF(AND($H344=pt,$F344=11),SUM($Q$7:Q344)*VLOOKUP(pt,ROC,2,FALSE),0)</f>
        <v>0</v>
      </c>
      <c r="AD344" s="14">
        <f t="shared" ca="1" si="266"/>
        <v>0</v>
      </c>
      <c r="AE344" s="14">
        <f ca="1">(MAX(sa-CF343*Flag_UL_Type,105%*SUM($I$7:I344),Z344)+AU344)*B344</f>
        <v>0</v>
      </c>
      <c r="AF344" s="136"/>
      <c r="AG344" s="18">
        <v>338</v>
      </c>
      <c r="AH344" s="30">
        <f t="shared" ca="1" si="245"/>
        <v>0</v>
      </c>
      <c r="AI344" s="58"/>
      <c r="AJ344" s="50">
        <f>IF(AND(Option_Sys_TopUp&gt;="Y",H344&gt;=sytp,H344&lt;=(dtp+sytp-1),F344=0,H344&lt;=ppt+1),atp,0)+IFERROR(VLOOKUP(H344,Input!$B$55:$C$61,2,0),0)*(F344=0)*(Option_TopUP="Y")*(Option_Sys_TopUp="N")*B344*(pt&gt;=H344+5)</f>
        <v>0</v>
      </c>
      <c r="AK344" s="50">
        <f t="shared" si="246"/>
        <v>0</v>
      </c>
      <c r="AL344" s="50">
        <f t="shared" si="267"/>
        <v>0</v>
      </c>
      <c r="AM344" s="50">
        <f t="shared" ca="1" si="247"/>
        <v>0</v>
      </c>
      <c r="AN344" s="50">
        <f>IF(B344=0,0,AT344*(_rpm1+(1+_emr1)*VLOOKUP(E344,Tab_Mort_Charge,IF(Input!$C$12="M",2,3),0))*(0.001*0.0833)*Flag_Mort_Rider_Charge*(AT344&gt;0))</f>
        <v>0</v>
      </c>
      <c r="AO344" s="50">
        <f t="shared" ca="1" si="268"/>
        <v>0</v>
      </c>
      <c r="AP344" s="50">
        <f t="shared" ca="1" si="231"/>
        <v>0</v>
      </c>
      <c r="AQ344" s="50">
        <f t="shared" ca="1" si="248"/>
        <v>0</v>
      </c>
      <c r="AR344" s="50">
        <f t="shared" ca="1" si="249"/>
        <v>0</v>
      </c>
      <c r="AS344" s="50">
        <f t="shared" si="250"/>
        <v>0</v>
      </c>
      <c r="AT344" s="50">
        <f ca="1">(MAX((MAX(AS344,105%*SUM($AJ$7:AJ344))-AM344*Flag_UL_Type),0)*B344)</f>
        <v>0</v>
      </c>
      <c r="AU344" s="50">
        <f ca="1">(MAX(AS344,AR344,105%*SUM($AJ$7:AJ344))*B344)</f>
        <v>0</v>
      </c>
      <c r="AV344" s="125"/>
      <c r="AW344" s="13"/>
      <c r="AX344" s="13"/>
      <c r="AY344" s="13"/>
      <c r="AZ344" s="13"/>
      <c r="BA344" s="13"/>
      <c r="BG344" s="51">
        <f t="shared" si="251"/>
        <v>0</v>
      </c>
      <c r="BH344" s="51">
        <f t="shared" si="252"/>
        <v>0</v>
      </c>
      <c r="BI344" s="51">
        <f t="shared" ca="1" si="253"/>
        <v>0</v>
      </c>
      <c r="BJ344" s="51">
        <f t="shared" ca="1" si="254"/>
        <v>0</v>
      </c>
      <c r="BK344" s="51">
        <f t="shared" si="255"/>
        <v>0</v>
      </c>
      <c r="BL344" s="51">
        <f t="shared" ca="1" si="256"/>
        <v>0</v>
      </c>
      <c r="BM344" s="51">
        <f t="shared" si="257"/>
        <v>0</v>
      </c>
      <c r="BN344" s="51">
        <f t="shared" si="258"/>
        <v>0</v>
      </c>
      <c r="BO344" s="51">
        <f t="shared" ca="1" si="259"/>
        <v>0</v>
      </c>
      <c r="BP344" s="51">
        <f t="shared" ca="1" si="260"/>
        <v>0</v>
      </c>
      <c r="BQ344" s="120"/>
      <c r="BR344" s="32"/>
      <c r="BS344" s="126"/>
      <c r="BT344" s="16"/>
      <c r="BU344" s="58"/>
      <c r="BW344" s="51">
        <f>VLOOKUP(H344,Charges!$AT$4:$AU$33,2,FALSE)*I344</f>
        <v>0</v>
      </c>
      <c r="BX344" s="51">
        <f t="shared" si="261"/>
        <v>0</v>
      </c>
      <c r="BY344" s="51">
        <f t="shared" si="269"/>
        <v>0</v>
      </c>
      <c r="BZ344" s="151"/>
      <c r="CA344" s="151"/>
      <c r="CB344" s="32"/>
      <c r="CC344" s="16">
        <f ca="1">SUM($N$7:$N344)</f>
        <v>0</v>
      </c>
      <c r="CD344" s="16">
        <f t="shared" ca="1" si="262"/>
        <v>0</v>
      </c>
      <c r="CE344" s="16">
        <f t="shared" ca="1" si="263"/>
        <v>0</v>
      </c>
      <c r="CF344" s="7">
        <f t="shared" ca="1" si="270"/>
        <v>0</v>
      </c>
    </row>
    <row r="345" spans="1:84" s="7" customFormat="1" x14ac:dyDescent="0.2">
      <c r="A345" s="149"/>
      <c r="B345" s="14">
        <f t="shared" si="232"/>
        <v>0</v>
      </c>
      <c r="C345" s="12">
        <f t="shared" si="233"/>
        <v>0</v>
      </c>
      <c r="D345" s="17">
        <f t="shared" si="271"/>
        <v>339</v>
      </c>
      <c r="E345" s="17">
        <f t="shared" ca="1" si="234"/>
        <v>88</v>
      </c>
      <c r="F345" s="12">
        <f t="shared" si="273"/>
        <v>2</v>
      </c>
      <c r="G345" s="12">
        <f t="shared" si="272"/>
        <v>57</v>
      </c>
      <c r="H345" s="17">
        <f t="shared" si="274"/>
        <v>29</v>
      </c>
      <c r="I345" s="29">
        <f t="shared" si="235"/>
        <v>0</v>
      </c>
      <c r="J345" s="211">
        <f>IFERROR(VLOOKUP(H345,Charges!$T$6:$U$35,2,0)*C345,0)</f>
        <v>0</v>
      </c>
      <c r="K345" s="29">
        <f t="shared" si="236"/>
        <v>0</v>
      </c>
      <c r="L345" s="29">
        <f t="shared" si="237"/>
        <v>0</v>
      </c>
      <c r="M345" s="147">
        <f t="shared" ca="1" si="238"/>
        <v>0</v>
      </c>
      <c r="N345" s="148">
        <f ca="1">IF(AND(Option_SPW="Y",Z344&gt;=SPW_Start_Min_FV,H345&gt;=Lock_In_Period,Z344&gt;SPW_Amount_pa+IF(option="Single",1/5*pr,2*pr),H345&gt;=SPW_Start_Year,H345&lt;=SPW_Start_Year+SPW_Duration-1,F345=0,age+H345&gt;=Legal_Age),SPW_Amount_pa,0)+IFERROR(VLOOKUP(H345,Input!$B$68:$C$74,2,0),0)*(F345=0)*(Option_PW="Y")*(Option_SPW="N")*(age+H345&gt;=Legal_Age)</f>
        <v>0</v>
      </c>
      <c r="O345" s="148">
        <f t="shared" ca="1" si="264"/>
        <v>0</v>
      </c>
      <c r="P345" s="14">
        <f ca="1">(MAX(MAX(sa-CF344*Flag_UL_Type,105%*SUM($I$7:I345))-(AD344+L345-N345)*Flag_UL_Type,0)*B345)</f>
        <v>0</v>
      </c>
      <c r="Q345" s="213">
        <f t="shared" si="239"/>
        <v>0</v>
      </c>
      <c r="R345" s="14">
        <f t="shared" ca="1" si="240"/>
        <v>0</v>
      </c>
      <c r="S345" s="14">
        <f t="shared" ca="1" si="241"/>
        <v>0</v>
      </c>
      <c r="T345" s="14">
        <f>IFERROR(IF(WoP_Flag="Y",IF(fq=1,VLOOKUP(ppt*fq-H345,Charges!$AN$41:$AO$59,2,FALSE),IF(fq=2,VLOOKUP(ppt*fq-G345,Charges!$AP$41:$AQ$79,2,FALSE),VLOOKUP(ppt*fq-D345,Charges!$AR$41:$AS$279,2,FALSE)))*pr/fq,0),0)</f>
        <v>0</v>
      </c>
      <c r="U345" s="14">
        <f ca="1">IFERROR(((T345*(VLOOKUP(Input!$D$18+H345-1,Tab_Mort_Charge,IF(Gender_2="M",2,3),FALSE)*(1+_emr2)+_rpm2)/IF(Model_Type="LA_PQIS",1000/0.0833,(12*1000))))*Flag_Mort_Rider_Charge*(T345&gt;0),0)</f>
        <v>0</v>
      </c>
      <c r="V345" s="34">
        <f>ROUND(MIN(IF(H345&gt;=7,Charges!$C$12*(1+Charges!$C$14)^((H345-7+1)),VLOOKUP(H345,Charges!$B$7:$C$12,2,0))*pr,Charges!$C$13)*B345,Round)</f>
        <v>0</v>
      </c>
      <c r="W345" s="14">
        <f t="shared" ca="1" si="242"/>
        <v>0</v>
      </c>
      <c r="X345" s="14">
        <f t="shared" ca="1" si="243"/>
        <v>0</v>
      </c>
      <c r="Y345" s="213">
        <f t="shared" ca="1" si="265"/>
        <v>0</v>
      </c>
      <c r="Z345" s="14">
        <f t="shared" ca="1" si="244"/>
        <v>0</v>
      </c>
      <c r="AA345" s="14">
        <f>IF(AND($H345=pt,$F345=11),SUM($K$7:K345)*VLOOKUP(pt,ROC,2,FALSE),0)</f>
        <v>0</v>
      </c>
      <c r="AB345" s="14">
        <f>IF(AND($H345=pt,$F345=11),SUM($V$7:V345)*VLOOKUP(pt,ROC,2,FALSE),0)</f>
        <v>0</v>
      </c>
      <c r="AC345" s="14">
        <f>IF(AND($H345=pt,$F345=11),SUM($Q$7:Q345)*VLOOKUP(pt,ROC,2,FALSE),0)</f>
        <v>0</v>
      </c>
      <c r="AD345" s="14">
        <f t="shared" ca="1" si="266"/>
        <v>0</v>
      </c>
      <c r="AE345" s="14">
        <f ca="1">(MAX(sa-CF344*Flag_UL_Type,105%*SUM($I$7:I345),Z345)+AU345)*B345</f>
        <v>0</v>
      </c>
      <c r="AF345" s="136"/>
      <c r="AG345" s="18">
        <v>339</v>
      </c>
      <c r="AH345" s="30">
        <f t="shared" ca="1" si="245"/>
        <v>0</v>
      </c>
      <c r="AI345" s="58"/>
      <c r="AJ345" s="50">
        <f>IF(AND(Option_Sys_TopUp&gt;="Y",H345&gt;=sytp,H345&lt;=(dtp+sytp-1),F345=0,H345&lt;=ppt+1),atp,0)+IFERROR(VLOOKUP(H345,Input!$B$55:$C$61,2,0),0)*(F345=0)*(Option_TopUP="Y")*(Option_Sys_TopUp="N")*B345*(pt&gt;=H345+5)</f>
        <v>0</v>
      </c>
      <c r="AK345" s="50">
        <f t="shared" si="246"/>
        <v>0</v>
      </c>
      <c r="AL345" s="50">
        <f t="shared" si="267"/>
        <v>0</v>
      </c>
      <c r="AM345" s="50">
        <f t="shared" ca="1" si="247"/>
        <v>0</v>
      </c>
      <c r="AN345" s="50">
        <f>IF(B345=0,0,AT345*(_rpm1+(1+_emr1)*VLOOKUP(E345,Tab_Mort_Charge,IF(Input!$C$12="M",2,3),0))*(0.001*0.0833)*Flag_Mort_Rider_Charge*(AT345&gt;0))</f>
        <v>0</v>
      </c>
      <c r="AO345" s="50">
        <f t="shared" ca="1" si="268"/>
        <v>0</v>
      </c>
      <c r="AP345" s="50">
        <f t="shared" ca="1" si="231"/>
        <v>0</v>
      </c>
      <c r="AQ345" s="50">
        <f t="shared" ca="1" si="248"/>
        <v>0</v>
      </c>
      <c r="AR345" s="50">
        <f t="shared" ca="1" si="249"/>
        <v>0</v>
      </c>
      <c r="AS345" s="50">
        <f t="shared" si="250"/>
        <v>0</v>
      </c>
      <c r="AT345" s="50">
        <f ca="1">(MAX((MAX(AS345,105%*SUM($AJ$7:AJ345))-AM345*Flag_UL_Type),0)*B345)</f>
        <v>0</v>
      </c>
      <c r="AU345" s="50">
        <f ca="1">(MAX(AS345,AR345,105%*SUM($AJ$7:AJ345))*B345)</f>
        <v>0</v>
      </c>
      <c r="AV345" s="125"/>
      <c r="AW345" s="13"/>
      <c r="AX345" s="13"/>
      <c r="AY345" s="13"/>
      <c r="AZ345" s="13"/>
      <c r="BA345" s="13"/>
      <c r="BG345" s="51">
        <f t="shared" si="251"/>
        <v>0</v>
      </c>
      <c r="BH345" s="51">
        <f t="shared" si="252"/>
        <v>0</v>
      </c>
      <c r="BI345" s="51">
        <f t="shared" ca="1" si="253"/>
        <v>0</v>
      </c>
      <c r="BJ345" s="51">
        <f t="shared" ca="1" si="254"/>
        <v>0</v>
      </c>
      <c r="BK345" s="51">
        <f t="shared" si="255"/>
        <v>0</v>
      </c>
      <c r="BL345" s="51">
        <f t="shared" ca="1" si="256"/>
        <v>0</v>
      </c>
      <c r="BM345" s="51">
        <f t="shared" si="257"/>
        <v>0</v>
      </c>
      <c r="BN345" s="51">
        <f t="shared" si="258"/>
        <v>0</v>
      </c>
      <c r="BO345" s="51">
        <f t="shared" ca="1" si="259"/>
        <v>0</v>
      </c>
      <c r="BP345" s="51">
        <f t="shared" ca="1" si="260"/>
        <v>0</v>
      </c>
      <c r="BQ345" s="120"/>
      <c r="BR345" s="32"/>
      <c r="BS345" s="126"/>
      <c r="BT345" s="16"/>
      <c r="BU345" s="58"/>
      <c r="BW345" s="51">
        <f>VLOOKUP(H345,Charges!$AT$4:$AU$33,2,FALSE)*I345</f>
        <v>0</v>
      </c>
      <c r="BX345" s="51">
        <f t="shared" si="261"/>
        <v>0</v>
      </c>
      <c r="BY345" s="51">
        <f t="shared" si="269"/>
        <v>0</v>
      </c>
      <c r="BZ345" s="151"/>
      <c r="CA345" s="151"/>
      <c r="CB345" s="32"/>
      <c r="CC345" s="16">
        <f ca="1">SUM($N$7:$N345)</f>
        <v>0</v>
      </c>
      <c r="CD345" s="16">
        <f t="shared" ca="1" si="262"/>
        <v>0</v>
      </c>
      <c r="CE345" s="16">
        <f t="shared" ca="1" si="263"/>
        <v>0</v>
      </c>
      <c r="CF345" s="7">
        <f t="shared" ca="1" si="270"/>
        <v>0</v>
      </c>
    </row>
    <row r="346" spans="1:84" s="7" customFormat="1" x14ac:dyDescent="0.2">
      <c r="A346" s="149"/>
      <c r="B346" s="14">
        <f t="shared" si="232"/>
        <v>0</v>
      </c>
      <c r="C346" s="12">
        <f t="shared" si="233"/>
        <v>0</v>
      </c>
      <c r="D346" s="17">
        <f t="shared" si="271"/>
        <v>340</v>
      </c>
      <c r="E346" s="17">
        <f t="shared" ca="1" si="234"/>
        <v>88</v>
      </c>
      <c r="F346" s="12">
        <f t="shared" si="273"/>
        <v>3</v>
      </c>
      <c r="G346" s="12">
        <f t="shared" si="272"/>
        <v>57</v>
      </c>
      <c r="H346" s="17">
        <f t="shared" si="274"/>
        <v>29</v>
      </c>
      <c r="I346" s="29">
        <f t="shared" si="235"/>
        <v>0</v>
      </c>
      <c r="J346" s="211">
        <f>IFERROR(VLOOKUP(H346,Charges!$T$6:$U$35,2,0)*C346,0)</f>
        <v>0</v>
      </c>
      <c r="K346" s="29">
        <f t="shared" si="236"/>
        <v>0</v>
      </c>
      <c r="L346" s="29">
        <f t="shared" si="237"/>
        <v>0</v>
      </c>
      <c r="M346" s="147">
        <f t="shared" ca="1" si="238"/>
        <v>0</v>
      </c>
      <c r="N346" s="148">
        <f ca="1">IF(AND(Option_SPW="Y",Z345&gt;=SPW_Start_Min_FV,H346&gt;=Lock_In_Period,Z345&gt;SPW_Amount_pa+IF(option="Single",1/5*pr,2*pr),H346&gt;=SPW_Start_Year,H346&lt;=SPW_Start_Year+SPW_Duration-1,F346=0,age+H346&gt;=Legal_Age),SPW_Amount_pa,0)+IFERROR(VLOOKUP(H346,Input!$B$68:$C$74,2,0),0)*(F346=0)*(Option_PW="Y")*(Option_SPW="N")*(age+H346&gt;=Legal_Age)</f>
        <v>0</v>
      </c>
      <c r="O346" s="148">
        <f t="shared" ca="1" si="264"/>
        <v>0</v>
      </c>
      <c r="P346" s="14">
        <f ca="1">(MAX(MAX(sa-CF345*Flag_UL_Type,105%*SUM($I$7:I346))-(AD345+L346-N346)*Flag_UL_Type,0)*B346)</f>
        <v>0</v>
      </c>
      <c r="Q346" s="213">
        <f t="shared" si="239"/>
        <v>0</v>
      </c>
      <c r="R346" s="14">
        <f t="shared" ca="1" si="240"/>
        <v>0</v>
      </c>
      <c r="S346" s="14">
        <f t="shared" ca="1" si="241"/>
        <v>0</v>
      </c>
      <c r="T346" s="14">
        <f>IFERROR(IF(WoP_Flag="Y",IF(fq=1,VLOOKUP(ppt*fq-H346,Charges!$AN$41:$AO$59,2,FALSE),IF(fq=2,VLOOKUP(ppt*fq-G346,Charges!$AP$41:$AQ$79,2,FALSE),VLOOKUP(ppt*fq-D346,Charges!$AR$41:$AS$279,2,FALSE)))*pr/fq,0),0)</f>
        <v>0</v>
      </c>
      <c r="U346" s="14">
        <f ca="1">IFERROR(((T346*(VLOOKUP(Input!$D$18+H346-1,Tab_Mort_Charge,IF(Gender_2="M",2,3),FALSE)*(1+_emr2)+_rpm2)/IF(Model_Type="LA_PQIS",1000/0.0833,(12*1000))))*Flag_Mort_Rider_Charge*(T346&gt;0),0)</f>
        <v>0</v>
      </c>
      <c r="V346" s="34">
        <f>ROUND(MIN(IF(H346&gt;=7,Charges!$C$12*(1+Charges!$C$14)^((H346-7+1)),VLOOKUP(H346,Charges!$B$7:$C$12,2,0))*pr,Charges!$C$13)*B346,Round)</f>
        <v>0</v>
      </c>
      <c r="W346" s="14">
        <f t="shared" ca="1" si="242"/>
        <v>0</v>
      </c>
      <c r="X346" s="14">
        <f t="shared" ca="1" si="243"/>
        <v>0</v>
      </c>
      <c r="Y346" s="213">
        <f t="shared" ca="1" si="265"/>
        <v>0</v>
      </c>
      <c r="Z346" s="14">
        <f t="shared" ca="1" si="244"/>
        <v>0</v>
      </c>
      <c r="AA346" s="14">
        <f>IF(AND($H346=pt,$F346=11),SUM($K$7:K346)*VLOOKUP(pt,ROC,2,FALSE),0)</f>
        <v>0</v>
      </c>
      <c r="AB346" s="14">
        <f>IF(AND($H346=pt,$F346=11),SUM($V$7:V346)*VLOOKUP(pt,ROC,2,FALSE),0)</f>
        <v>0</v>
      </c>
      <c r="AC346" s="14">
        <f>IF(AND($H346=pt,$F346=11),SUM($Q$7:Q346)*VLOOKUP(pt,ROC,2,FALSE),0)</f>
        <v>0</v>
      </c>
      <c r="AD346" s="14">
        <f t="shared" ca="1" si="266"/>
        <v>0</v>
      </c>
      <c r="AE346" s="14">
        <f ca="1">(MAX(sa-CF345*Flag_UL_Type,105%*SUM($I$7:I346),Z346)+AU346)*B346</f>
        <v>0</v>
      </c>
      <c r="AF346" s="136"/>
      <c r="AG346" s="18">
        <v>340</v>
      </c>
      <c r="AH346" s="30">
        <f t="shared" ca="1" si="245"/>
        <v>0</v>
      </c>
      <c r="AI346" s="58"/>
      <c r="AJ346" s="50">
        <f>IF(AND(Option_Sys_TopUp&gt;="Y",H346&gt;=sytp,H346&lt;=(dtp+sytp-1),F346=0,H346&lt;=ppt+1),atp,0)+IFERROR(VLOOKUP(H346,Input!$B$55:$C$61,2,0),0)*(F346=0)*(Option_TopUP="Y")*(Option_Sys_TopUp="N")*B346*(pt&gt;=H346+5)</f>
        <v>0</v>
      </c>
      <c r="AK346" s="50">
        <f t="shared" si="246"/>
        <v>0</v>
      </c>
      <c r="AL346" s="50">
        <f t="shared" si="267"/>
        <v>0</v>
      </c>
      <c r="AM346" s="50">
        <f t="shared" ca="1" si="247"/>
        <v>0</v>
      </c>
      <c r="AN346" s="50">
        <f>IF(B346=0,0,AT346*(_rpm1+(1+_emr1)*VLOOKUP(E346,Tab_Mort_Charge,IF(Input!$C$12="M",2,3),0))*(0.001*0.0833)*Flag_Mort_Rider_Charge*(AT346&gt;0))</f>
        <v>0</v>
      </c>
      <c r="AO346" s="50">
        <f t="shared" ca="1" si="268"/>
        <v>0</v>
      </c>
      <c r="AP346" s="50">
        <f t="shared" ca="1" si="231"/>
        <v>0</v>
      </c>
      <c r="AQ346" s="50">
        <f t="shared" ca="1" si="248"/>
        <v>0</v>
      </c>
      <c r="AR346" s="50">
        <f t="shared" ca="1" si="249"/>
        <v>0</v>
      </c>
      <c r="AS346" s="50">
        <f t="shared" si="250"/>
        <v>0</v>
      </c>
      <c r="AT346" s="50">
        <f ca="1">(MAX((MAX(AS346,105%*SUM($AJ$7:AJ346))-AM346*Flag_UL_Type),0)*B346)</f>
        <v>0</v>
      </c>
      <c r="AU346" s="50">
        <f ca="1">(MAX(AS346,AR346,105%*SUM($AJ$7:AJ346))*B346)</f>
        <v>0</v>
      </c>
      <c r="AV346" s="125"/>
      <c r="AW346" s="13"/>
      <c r="AX346" s="13"/>
      <c r="AY346" s="13"/>
      <c r="AZ346" s="13"/>
      <c r="BA346" s="13"/>
      <c r="BG346" s="51">
        <f t="shared" si="251"/>
        <v>0</v>
      </c>
      <c r="BH346" s="51">
        <f t="shared" si="252"/>
        <v>0</v>
      </c>
      <c r="BI346" s="51">
        <f t="shared" ca="1" si="253"/>
        <v>0</v>
      </c>
      <c r="BJ346" s="51">
        <f t="shared" ca="1" si="254"/>
        <v>0</v>
      </c>
      <c r="BK346" s="51">
        <f t="shared" si="255"/>
        <v>0</v>
      </c>
      <c r="BL346" s="51">
        <f t="shared" ca="1" si="256"/>
        <v>0</v>
      </c>
      <c r="BM346" s="51">
        <f t="shared" si="257"/>
        <v>0</v>
      </c>
      <c r="BN346" s="51">
        <f t="shared" si="258"/>
        <v>0</v>
      </c>
      <c r="BO346" s="51">
        <f t="shared" ca="1" si="259"/>
        <v>0</v>
      </c>
      <c r="BP346" s="51">
        <f t="shared" ca="1" si="260"/>
        <v>0</v>
      </c>
      <c r="BQ346" s="120"/>
      <c r="BR346" s="32"/>
      <c r="BS346" s="126"/>
      <c r="BT346" s="16"/>
      <c r="BU346" s="58"/>
      <c r="BW346" s="51">
        <f>VLOOKUP(H346,Charges!$AT$4:$AU$33,2,FALSE)*I346</f>
        <v>0</v>
      </c>
      <c r="BX346" s="51">
        <f t="shared" si="261"/>
        <v>0</v>
      </c>
      <c r="BY346" s="51">
        <f t="shared" si="269"/>
        <v>0</v>
      </c>
      <c r="BZ346" s="151"/>
      <c r="CA346" s="151"/>
      <c r="CB346" s="32"/>
      <c r="CC346" s="16">
        <f ca="1">SUM($N$7:$N346)</f>
        <v>0</v>
      </c>
      <c r="CD346" s="16">
        <f t="shared" ca="1" si="262"/>
        <v>0</v>
      </c>
      <c r="CE346" s="16">
        <f t="shared" ca="1" si="263"/>
        <v>0</v>
      </c>
      <c r="CF346" s="7">
        <f t="shared" ca="1" si="270"/>
        <v>0</v>
      </c>
    </row>
    <row r="347" spans="1:84" s="7" customFormat="1" x14ac:dyDescent="0.2">
      <c r="A347" s="149"/>
      <c r="B347" s="14">
        <f t="shared" si="232"/>
        <v>0</v>
      </c>
      <c r="C347" s="12">
        <f t="shared" si="233"/>
        <v>0</v>
      </c>
      <c r="D347" s="17">
        <f t="shared" si="271"/>
        <v>341</v>
      </c>
      <c r="E347" s="17">
        <f t="shared" ca="1" si="234"/>
        <v>88</v>
      </c>
      <c r="F347" s="12">
        <f t="shared" si="273"/>
        <v>4</v>
      </c>
      <c r="G347" s="12">
        <f t="shared" si="272"/>
        <v>57</v>
      </c>
      <c r="H347" s="17">
        <f t="shared" si="274"/>
        <v>29</v>
      </c>
      <c r="I347" s="29">
        <f t="shared" si="235"/>
        <v>0</v>
      </c>
      <c r="J347" s="211">
        <f>IFERROR(VLOOKUP(H347,Charges!$T$6:$U$35,2,0)*C347,0)</f>
        <v>0</v>
      </c>
      <c r="K347" s="29">
        <f t="shared" si="236"/>
        <v>0</v>
      </c>
      <c r="L347" s="29">
        <f t="shared" si="237"/>
        <v>0</v>
      </c>
      <c r="M347" s="147">
        <f t="shared" ca="1" si="238"/>
        <v>0</v>
      </c>
      <c r="N347" s="148">
        <f ca="1">IF(AND(Option_SPW="Y",Z346&gt;=SPW_Start_Min_FV,H347&gt;=Lock_In_Period,Z346&gt;SPW_Amount_pa+IF(option="Single",1/5*pr,2*pr),H347&gt;=SPW_Start_Year,H347&lt;=SPW_Start_Year+SPW_Duration-1,F347=0,age+H347&gt;=Legal_Age),SPW_Amount_pa,0)+IFERROR(VLOOKUP(H347,Input!$B$68:$C$74,2,0),0)*(F347=0)*(Option_PW="Y")*(Option_SPW="N")*(age+H347&gt;=Legal_Age)</f>
        <v>0</v>
      </c>
      <c r="O347" s="148">
        <f t="shared" ca="1" si="264"/>
        <v>0</v>
      </c>
      <c r="P347" s="14">
        <f ca="1">(MAX(MAX(sa-CF346*Flag_UL_Type,105%*SUM($I$7:I347))-(AD346+L347-N347)*Flag_UL_Type,0)*B347)</f>
        <v>0</v>
      </c>
      <c r="Q347" s="213">
        <f t="shared" si="239"/>
        <v>0</v>
      </c>
      <c r="R347" s="14">
        <f t="shared" ca="1" si="240"/>
        <v>0</v>
      </c>
      <c r="S347" s="14">
        <f t="shared" ca="1" si="241"/>
        <v>0</v>
      </c>
      <c r="T347" s="14">
        <f>IFERROR(IF(WoP_Flag="Y",IF(fq=1,VLOOKUP(ppt*fq-H347,Charges!$AN$41:$AO$59,2,FALSE),IF(fq=2,VLOOKUP(ppt*fq-G347,Charges!$AP$41:$AQ$79,2,FALSE),VLOOKUP(ppt*fq-D347,Charges!$AR$41:$AS$279,2,FALSE)))*pr/fq,0),0)</f>
        <v>0</v>
      </c>
      <c r="U347" s="14">
        <f ca="1">IFERROR(((T347*(VLOOKUP(Input!$D$18+H347-1,Tab_Mort_Charge,IF(Gender_2="M",2,3),FALSE)*(1+_emr2)+_rpm2)/IF(Model_Type="LA_PQIS",1000/0.0833,(12*1000))))*Flag_Mort_Rider_Charge*(T347&gt;0),0)</f>
        <v>0</v>
      </c>
      <c r="V347" s="34">
        <f>ROUND(MIN(IF(H347&gt;=7,Charges!$C$12*(1+Charges!$C$14)^((H347-7+1)),VLOOKUP(H347,Charges!$B$7:$C$12,2,0))*pr,Charges!$C$13)*B347,Round)</f>
        <v>0</v>
      </c>
      <c r="W347" s="14">
        <f t="shared" ca="1" si="242"/>
        <v>0</v>
      </c>
      <c r="X347" s="14">
        <f t="shared" ca="1" si="243"/>
        <v>0</v>
      </c>
      <c r="Y347" s="213">
        <f t="shared" ca="1" si="265"/>
        <v>0</v>
      </c>
      <c r="Z347" s="14">
        <f t="shared" ca="1" si="244"/>
        <v>0</v>
      </c>
      <c r="AA347" s="14">
        <f>IF(AND($H347=pt,$F347=11),SUM($K$7:K347)*VLOOKUP(pt,ROC,2,FALSE),0)</f>
        <v>0</v>
      </c>
      <c r="AB347" s="14">
        <f>IF(AND($H347=pt,$F347=11),SUM($V$7:V347)*VLOOKUP(pt,ROC,2,FALSE),0)</f>
        <v>0</v>
      </c>
      <c r="AC347" s="14">
        <f>IF(AND($H347=pt,$F347=11),SUM($Q$7:Q347)*VLOOKUP(pt,ROC,2,FALSE),0)</f>
        <v>0</v>
      </c>
      <c r="AD347" s="14">
        <f t="shared" ca="1" si="266"/>
        <v>0</v>
      </c>
      <c r="AE347" s="14">
        <f ca="1">(MAX(sa-CF346*Flag_UL_Type,105%*SUM($I$7:I347),Z347)+AU347)*B347</f>
        <v>0</v>
      </c>
      <c r="AF347" s="136"/>
      <c r="AG347" s="18">
        <v>341</v>
      </c>
      <c r="AH347" s="30">
        <f t="shared" ca="1" si="245"/>
        <v>0</v>
      </c>
      <c r="AI347" s="58"/>
      <c r="AJ347" s="50">
        <f>IF(AND(Option_Sys_TopUp&gt;="Y",H347&gt;=sytp,H347&lt;=(dtp+sytp-1),F347=0,H347&lt;=ppt+1),atp,0)+IFERROR(VLOOKUP(H347,Input!$B$55:$C$61,2,0),0)*(F347=0)*(Option_TopUP="Y")*(Option_Sys_TopUp="N")*B347*(pt&gt;=H347+5)</f>
        <v>0</v>
      </c>
      <c r="AK347" s="50">
        <f t="shared" si="246"/>
        <v>0</v>
      </c>
      <c r="AL347" s="50">
        <f t="shared" si="267"/>
        <v>0</v>
      </c>
      <c r="AM347" s="50">
        <f t="shared" ca="1" si="247"/>
        <v>0</v>
      </c>
      <c r="AN347" s="50">
        <f>IF(B347=0,0,AT347*(_rpm1+(1+_emr1)*VLOOKUP(E347,Tab_Mort_Charge,IF(Input!$C$12="M",2,3),0))*(0.001*0.0833)*Flag_Mort_Rider_Charge*(AT347&gt;0))</f>
        <v>0</v>
      </c>
      <c r="AO347" s="50">
        <f t="shared" ca="1" si="268"/>
        <v>0</v>
      </c>
      <c r="AP347" s="50">
        <f t="shared" ca="1" si="231"/>
        <v>0</v>
      </c>
      <c r="AQ347" s="50">
        <f t="shared" ca="1" si="248"/>
        <v>0</v>
      </c>
      <c r="AR347" s="50">
        <f t="shared" ca="1" si="249"/>
        <v>0</v>
      </c>
      <c r="AS347" s="50">
        <f t="shared" si="250"/>
        <v>0</v>
      </c>
      <c r="AT347" s="50">
        <f ca="1">(MAX((MAX(AS347,105%*SUM($AJ$7:AJ347))-AM347*Flag_UL_Type),0)*B347)</f>
        <v>0</v>
      </c>
      <c r="AU347" s="50">
        <f ca="1">(MAX(AS347,AR347,105%*SUM($AJ$7:AJ347))*B347)</f>
        <v>0</v>
      </c>
      <c r="AV347" s="125"/>
      <c r="AW347" s="13"/>
      <c r="AX347" s="13"/>
      <c r="AY347" s="13"/>
      <c r="AZ347" s="13"/>
      <c r="BA347" s="13"/>
      <c r="BG347" s="51">
        <f t="shared" si="251"/>
        <v>0</v>
      </c>
      <c r="BH347" s="51">
        <f t="shared" si="252"/>
        <v>0</v>
      </c>
      <c r="BI347" s="51">
        <f t="shared" ca="1" si="253"/>
        <v>0</v>
      </c>
      <c r="BJ347" s="51">
        <f t="shared" ca="1" si="254"/>
        <v>0</v>
      </c>
      <c r="BK347" s="51">
        <f t="shared" si="255"/>
        <v>0</v>
      </c>
      <c r="BL347" s="51">
        <f t="shared" ca="1" si="256"/>
        <v>0</v>
      </c>
      <c r="BM347" s="51">
        <f t="shared" si="257"/>
        <v>0</v>
      </c>
      <c r="BN347" s="51">
        <f t="shared" si="258"/>
        <v>0</v>
      </c>
      <c r="BO347" s="51">
        <f t="shared" ca="1" si="259"/>
        <v>0</v>
      </c>
      <c r="BP347" s="51">
        <f t="shared" ca="1" si="260"/>
        <v>0</v>
      </c>
      <c r="BQ347" s="120"/>
      <c r="BR347" s="32"/>
      <c r="BS347" s="126"/>
      <c r="BT347" s="16"/>
      <c r="BU347" s="58"/>
      <c r="BW347" s="51">
        <f>VLOOKUP(H347,Charges!$AT$4:$AU$33,2,FALSE)*I347</f>
        <v>0</v>
      </c>
      <c r="BX347" s="51">
        <f t="shared" si="261"/>
        <v>0</v>
      </c>
      <c r="BY347" s="51">
        <f t="shared" si="269"/>
        <v>0</v>
      </c>
      <c r="BZ347" s="151"/>
      <c r="CA347" s="151"/>
      <c r="CB347" s="32"/>
      <c r="CC347" s="16">
        <f ca="1">SUM($N$7:$N347)</f>
        <v>0</v>
      </c>
      <c r="CD347" s="16">
        <f t="shared" ca="1" si="262"/>
        <v>0</v>
      </c>
      <c r="CE347" s="16">
        <f t="shared" ca="1" si="263"/>
        <v>0</v>
      </c>
      <c r="CF347" s="7">
        <f t="shared" ca="1" si="270"/>
        <v>0</v>
      </c>
    </row>
    <row r="348" spans="1:84" s="7" customFormat="1" x14ac:dyDescent="0.2">
      <c r="A348" s="149"/>
      <c r="B348" s="14">
        <f t="shared" si="232"/>
        <v>0</v>
      </c>
      <c r="C348" s="12">
        <f t="shared" si="233"/>
        <v>0</v>
      </c>
      <c r="D348" s="17">
        <f t="shared" si="271"/>
        <v>342</v>
      </c>
      <c r="E348" s="17">
        <f t="shared" ca="1" si="234"/>
        <v>88</v>
      </c>
      <c r="F348" s="12">
        <f t="shared" si="273"/>
        <v>5</v>
      </c>
      <c r="G348" s="12">
        <f t="shared" si="272"/>
        <v>57</v>
      </c>
      <c r="H348" s="17">
        <f t="shared" si="274"/>
        <v>29</v>
      </c>
      <c r="I348" s="29">
        <f t="shared" si="235"/>
        <v>0</v>
      </c>
      <c r="J348" s="211">
        <f>IFERROR(VLOOKUP(H348,Charges!$T$6:$U$35,2,0)*C348,0)</f>
        <v>0</v>
      </c>
      <c r="K348" s="29">
        <f t="shared" si="236"/>
        <v>0</v>
      </c>
      <c r="L348" s="29">
        <f t="shared" si="237"/>
        <v>0</v>
      </c>
      <c r="M348" s="147">
        <f t="shared" ca="1" si="238"/>
        <v>0</v>
      </c>
      <c r="N348" s="148">
        <f ca="1">IF(AND(Option_SPW="Y",Z347&gt;=SPW_Start_Min_FV,H348&gt;=Lock_In_Period,Z347&gt;SPW_Amount_pa+IF(option="Single",1/5*pr,2*pr),H348&gt;=SPW_Start_Year,H348&lt;=SPW_Start_Year+SPW_Duration-1,F348=0,age+H348&gt;=Legal_Age),SPW_Amount_pa,0)+IFERROR(VLOOKUP(H348,Input!$B$68:$C$74,2,0),0)*(F348=0)*(Option_PW="Y")*(Option_SPW="N")*(age+H348&gt;=Legal_Age)</f>
        <v>0</v>
      </c>
      <c r="O348" s="148">
        <f t="shared" ca="1" si="264"/>
        <v>0</v>
      </c>
      <c r="P348" s="14">
        <f ca="1">(MAX(MAX(sa-CF347*Flag_UL_Type,105%*SUM($I$7:I348))-(AD347+L348-N348)*Flag_UL_Type,0)*B348)</f>
        <v>0</v>
      </c>
      <c r="Q348" s="213">
        <f t="shared" si="239"/>
        <v>0</v>
      </c>
      <c r="R348" s="14">
        <f t="shared" ca="1" si="240"/>
        <v>0</v>
      </c>
      <c r="S348" s="14">
        <f t="shared" ca="1" si="241"/>
        <v>0</v>
      </c>
      <c r="T348" s="14">
        <f>IFERROR(IF(WoP_Flag="Y",IF(fq=1,VLOOKUP(ppt*fq-H348,Charges!$AN$41:$AO$59,2,FALSE),IF(fq=2,VLOOKUP(ppt*fq-G348,Charges!$AP$41:$AQ$79,2,FALSE),VLOOKUP(ppt*fq-D348,Charges!$AR$41:$AS$279,2,FALSE)))*pr/fq,0),0)</f>
        <v>0</v>
      </c>
      <c r="U348" s="14">
        <f ca="1">IFERROR(((T348*(VLOOKUP(Input!$D$18+H348-1,Tab_Mort_Charge,IF(Gender_2="M",2,3),FALSE)*(1+_emr2)+_rpm2)/IF(Model_Type="LA_PQIS",1000/0.0833,(12*1000))))*Flag_Mort_Rider_Charge*(T348&gt;0),0)</f>
        <v>0</v>
      </c>
      <c r="V348" s="34">
        <f>ROUND(MIN(IF(H348&gt;=7,Charges!$C$12*(1+Charges!$C$14)^((H348-7+1)),VLOOKUP(H348,Charges!$B$7:$C$12,2,0))*pr,Charges!$C$13)*B348,Round)</f>
        <v>0</v>
      </c>
      <c r="W348" s="14">
        <f t="shared" ca="1" si="242"/>
        <v>0</v>
      </c>
      <c r="X348" s="14">
        <f t="shared" ca="1" si="243"/>
        <v>0</v>
      </c>
      <c r="Y348" s="213">
        <f t="shared" ca="1" si="265"/>
        <v>0</v>
      </c>
      <c r="Z348" s="14">
        <f t="shared" ca="1" si="244"/>
        <v>0</v>
      </c>
      <c r="AA348" s="14">
        <f>IF(AND($H348=pt,$F348=11),SUM($K$7:K348)*VLOOKUP(pt,ROC,2,FALSE),0)</f>
        <v>0</v>
      </c>
      <c r="AB348" s="14">
        <f>IF(AND($H348=pt,$F348=11),SUM($V$7:V348)*VLOOKUP(pt,ROC,2,FALSE),0)</f>
        <v>0</v>
      </c>
      <c r="AC348" s="14">
        <f>IF(AND($H348=pt,$F348=11),SUM($Q$7:Q348)*VLOOKUP(pt,ROC,2,FALSE),0)</f>
        <v>0</v>
      </c>
      <c r="AD348" s="14">
        <f t="shared" ca="1" si="266"/>
        <v>0</v>
      </c>
      <c r="AE348" s="14">
        <f ca="1">(MAX(sa-CF347*Flag_UL_Type,105%*SUM($I$7:I348),Z348)+AU348)*B348</f>
        <v>0</v>
      </c>
      <c r="AF348" s="136"/>
      <c r="AG348" s="18">
        <v>342</v>
      </c>
      <c r="AH348" s="30">
        <f t="shared" ca="1" si="245"/>
        <v>0</v>
      </c>
      <c r="AI348" s="58"/>
      <c r="AJ348" s="50">
        <f>IF(AND(Option_Sys_TopUp&gt;="Y",H348&gt;=sytp,H348&lt;=(dtp+sytp-1),F348=0,H348&lt;=ppt+1),atp,0)+IFERROR(VLOOKUP(H348,Input!$B$55:$C$61,2,0),0)*(F348=0)*(Option_TopUP="Y")*(Option_Sys_TopUp="N")*B348*(pt&gt;=H348+5)</f>
        <v>0</v>
      </c>
      <c r="AK348" s="50">
        <f t="shared" si="246"/>
        <v>0</v>
      </c>
      <c r="AL348" s="50">
        <f t="shared" si="267"/>
        <v>0</v>
      </c>
      <c r="AM348" s="50">
        <f t="shared" ca="1" si="247"/>
        <v>0</v>
      </c>
      <c r="AN348" s="50">
        <f>IF(B348=0,0,AT348*(_rpm1+(1+_emr1)*VLOOKUP(E348,Tab_Mort_Charge,IF(Input!$C$12="M",2,3),0))*(0.001*0.0833)*Flag_Mort_Rider_Charge*(AT348&gt;0))</f>
        <v>0</v>
      </c>
      <c r="AO348" s="50">
        <f t="shared" ca="1" si="268"/>
        <v>0</v>
      </c>
      <c r="AP348" s="50">
        <f t="shared" ref="AP348:AP367" ca="1" si="275">AO348*(1+$F$3)*B348</f>
        <v>0</v>
      </c>
      <c r="AQ348" s="50">
        <f t="shared" ca="1" si="248"/>
        <v>0</v>
      </c>
      <c r="AR348" s="50">
        <f t="shared" ca="1" si="249"/>
        <v>0</v>
      </c>
      <c r="AS348" s="50">
        <f t="shared" si="250"/>
        <v>0</v>
      </c>
      <c r="AT348" s="50">
        <f ca="1">(MAX((MAX(AS348,105%*SUM($AJ$7:AJ348))-AM348*Flag_UL_Type),0)*B348)</f>
        <v>0</v>
      </c>
      <c r="AU348" s="50">
        <f ca="1">(MAX(AS348,AR348,105%*SUM($AJ$7:AJ348))*B348)</f>
        <v>0</v>
      </c>
      <c r="AV348" s="125"/>
      <c r="AW348" s="13"/>
      <c r="AX348" s="13"/>
      <c r="AY348" s="13"/>
      <c r="AZ348" s="13"/>
      <c r="BA348" s="13"/>
      <c r="BG348" s="51">
        <f t="shared" si="251"/>
        <v>0</v>
      </c>
      <c r="BH348" s="51">
        <f t="shared" si="252"/>
        <v>0</v>
      </c>
      <c r="BI348" s="51">
        <f t="shared" ca="1" si="253"/>
        <v>0</v>
      </c>
      <c r="BJ348" s="51">
        <f t="shared" ca="1" si="254"/>
        <v>0</v>
      </c>
      <c r="BK348" s="51">
        <f t="shared" si="255"/>
        <v>0</v>
      </c>
      <c r="BL348" s="51">
        <f t="shared" ca="1" si="256"/>
        <v>0</v>
      </c>
      <c r="BM348" s="51">
        <f t="shared" si="257"/>
        <v>0</v>
      </c>
      <c r="BN348" s="51">
        <f t="shared" si="258"/>
        <v>0</v>
      </c>
      <c r="BO348" s="51">
        <f t="shared" ca="1" si="259"/>
        <v>0</v>
      </c>
      <c r="BP348" s="51">
        <f t="shared" ca="1" si="260"/>
        <v>0</v>
      </c>
      <c r="BQ348" s="120"/>
      <c r="BR348" s="32"/>
      <c r="BS348" s="126"/>
      <c r="BT348" s="16"/>
      <c r="BU348" s="58"/>
      <c r="BW348" s="51">
        <f>VLOOKUP(H348,Charges!$AT$4:$AU$33,2,FALSE)*I348</f>
        <v>0</v>
      </c>
      <c r="BX348" s="51">
        <f t="shared" si="261"/>
        <v>0</v>
      </c>
      <c r="BY348" s="51">
        <f t="shared" si="269"/>
        <v>0</v>
      </c>
      <c r="BZ348" s="151"/>
      <c r="CA348" s="151"/>
      <c r="CB348" s="32"/>
      <c r="CC348" s="16">
        <f ca="1">SUM($N$7:$N348)</f>
        <v>0</v>
      </c>
      <c r="CD348" s="16">
        <f t="shared" ca="1" si="262"/>
        <v>0</v>
      </c>
      <c r="CE348" s="16">
        <f t="shared" ca="1" si="263"/>
        <v>0</v>
      </c>
      <c r="CF348" s="7">
        <f t="shared" ca="1" si="270"/>
        <v>0</v>
      </c>
    </row>
    <row r="349" spans="1:84" s="7" customFormat="1" x14ac:dyDescent="0.2">
      <c r="A349" s="149"/>
      <c r="B349" s="14">
        <f t="shared" si="232"/>
        <v>0</v>
      </c>
      <c r="C349" s="12">
        <f t="shared" si="233"/>
        <v>0</v>
      </c>
      <c r="D349" s="17">
        <f t="shared" si="271"/>
        <v>343</v>
      </c>
      <c r="E349" s="17">
        <f t="shared" ca="1" si="234"/>
        <v>88</v>
      </c>
      <c r="F349" s="12">
        <f t="shared" si="273"/>
        <v>6</v>
      </c>
      <c r="G349" s="12">
        <f t="shared" si="272"/>
        <v>58</v>
      </c>
      <c r="H349" s="17">
        <f t="shared" si="274"/>
        <v>29</v>
      </c>
      <c r="I349" s="29">
        <f t="shared" si="235"/>
        <v>0</v>
      </c>
      <c r="J349" s="211">
        <f>IFERROR(VLOOKUP(H349,Charges!$T$6:$U$35,2,0)*C349,0)</f>
        <v>0</v>
      </c>
      <c r="K349" s="29">
        <f t="shared" si="236"/>
        <v>0</v>
      </c>
      <c r="L349" s="29">
        <f t="shared" si="237"/>
        <v>0</v>
      </c>
      <c r="M349" s="147">
        <f t="shared" ca="1" si="238"/>
        <v>0</v>
      </c>
      <c r="N349" s="148">
        <f ca="1">IF(AND(Option_SPW="Y",Z348&gt;=SPW_Start_Min_FV,H349&gt;=Lock_In_Period,Z348&gt;SPW_Amount_pa+IF(option="Single",1/5*pr,2*pr),H349&gt;=SPW_Start_Year,H349&lt;=SPW_Start_Year+SPW_Duration-1,F349=0,age+H349&gt;=Legal_Age),SPW_Amount_pa,0)+IFERROR(VLOOKUP(H349,Input!$B$68:$C$74,2,0),0)*(F349=0)*(Option_PW="Y")*(Option_SPW="N")*(age+H349&gt;=Legal_Age)</f>
        <v>0</v>
      </c>
      <c r="O349" s="148">
        <f t="shared" ca="1" si="264"/>
        <v>0</v>
      </c>
      <c r="P349" s="14">
        <f ca="1">(MAX(MAX(sa-CF348*Flag_UL_Type,105%*SUM($I$7:I349))-(AD348+L349-N349)*Flag_UL_Type,0)*B349)</f>
        <v>0</v>
      </c>
      <c r="Q349" s="213">
        <f t="shared" si="239"/>
        <v>0</v>
      </c>
      <c r="R349" s="14">
        <f t="shared" ca="1" si="240"/>
        <v>0</v>
      </c>
      <c r="S349" s="14">
        <f t="shared" ca="1" si="241"/>
        <v>0</v>
      </c>
      <c r="T349" s="14">
        <f>IFERROR(IF(WoP_Flag="Y",IF(fq=1,VLOOKUP(ppt*fq-H349,Charges!$AN$41:$AO$59,2,FALSE),IF(fq=2,VLOOKUP(ppt*fq-G349,Charges!$AP$41:$AQ$79,2,FALSE),VLOOKUP(ppt*fq-D349,Charges!$AR$41:$AS$279,2,FALSE)))*pr/fq,0),0)</f>
        <v>0</v>
      </c>
      <c r="U349" s="14">
        <f ca="1">IFERROR(((T349*(VLOOKUP(Input!$D$18+H349-1,Tab_Mort_Charge,IF(Gender_2="M",2,3),FALSE)*(1+_emr2)+_rpm2)/IF(Model_Type="LA_PQIS",1000/0.0833,(12*1000))))*Flag_Mort_Rider_Charge*(T349&gt;0),0)</f>
        <v>0</v>
      </c>
      <c r="V349" s="34">
        <f>ROUND(MIN(IF(H349&gt;=7,Charges!$C$12*(1+Charges!$C$14)^((H349-7+1)),VLOOKUP(H349,Charges!$B$7:$C$12,2,0))*pr,Charges!$C$13)*B349,Round)</f>
        <v>0</v>
      </c>
      <c r="W349" s="14">
        <f t="shared" ca="1" si="242"/>
        <v>0</v>
      </c>
      <c r="X349" s="14">
        <f t="shared" ca="1" si="243"/>
        <v>0</v>
      </c>
      <c r="Y349" s="213">
        <f t="shared" ca="1" si="265"/>
        <v>0</v>
      </c>
      <c r="Z349" s="14">
        <f t="shared" ca="1" si="244"/>
        <v>0</v>
      </c>
      <c r="AA349" s="14">
        <f>IF(AND($H349=pt,$F349=11),SUM($K$7:K349)*VLOOKUP(pt,ROC,2,FALSE),0)</f>
        <v>0</v>
      </c>
      <c r="AB349" s="14">
        <f>IF(AND($H349=pt,$F349=11),SUM($V$7:V349)*VLOOKUP(pt,ROC,2,FALSE),0)</f>
        <v>0</v>
      </c>
      <c r="AC349" s="14">
        <f>IF(AND($H349=pt,$F349=11),SUM($Q$7:Q349)*VLOOKUP(pt,ROC,2,FALSE),0)</f>
        <v>0</v>
      </c>
      <c r="AD349" s="14">
        <f t="shared" ca="1" si="266"/>
        <v>0</v>
      </c>
      <c r="AE349" s="14">
        <f ca="1">(MAX(sa-CF348*Flag_UL_Type,105%*SUM($I$7:I349),Z349)+AU349)*B349</f>
        <v>0</v>
      </c>
      <c r="AF349" s="136"/>
      <c r="AG349" s="18">
        <v>343</v>
      </c>
      <c r="AH349" s="30">
        <f t="shared" ca="1" si="245"/>
        <v>0</v>
      </c>
      <c r="AI349" s="58"/>
      <c r="AJ349" s="50">
        <f>IF(AND(Option_Sys_TopUp&gt;="Y",H349&gt;=sytp,H349&lt;=(dtp+sytp-1),F349=0,H349&lt;=ppt+1),atp,0)+IFERROR(VLOOKUP(H349,Input!$B$55:$C$61,2,0),0)*(F349=0)*(Option_TopUP="Y")*(Option_Sys_TopUp="N")*B349*(pt&gt;=H349+5)</f>
        <v>0</v>
      </c>
      <c r="AK349" s="50">
        <f t="shared" si="246"/>
        <v>0</v>
      </c>
      <c r="AL349" s="50">
        <f t="shared" si="267"/>
        <v>0</v>
      </c>
      <c r="AM349" s="50">
        <f t="shared" ca="1" si="247"/>
        <v>0</v>
      </c>
      <c r="AN349" s="50">
        <f>IF(B349=0,0,AT349*(_rpm1+(1+_emr1)*VLOOKUP(E349,Tab_Mort_Charge,IF(Input!$C$12="M",2,3),0))*(0.001*0.0833)*Flag_Mort_Rider_Charge*(AT349&gt;0))</f>
        <v>0</v>
      </c>
      <c r="AO349" s="50">
        <f t="shared" ca="1" si="268"/>
        <v>0</v>
      </c>
      <c r="AP349" s="50">
        <f t="shared" ca="1" si="275"/>
        <v>0</v>
      </c>
      <c r="AQ349" s="50">
        <f t="shared" ca="1" si="248"/>
        <v>0</v>
      </c>
      <c r="AR349" s="50">
        <f t="shared" ca="1" si="249"/>
        <v>0</v>
      </c>
      <c r="AS349" s="50">
        <f t="shared" si="250"/>
        <v>0</v>
      </c>
      <c r="AT349" s="50">
        <f ca="1">(MAX((MAX(AS349,105%*SUM($AJ$7:AJ349))-AM349*Flag_UL_Type),0)*B349)</f>
        <v>0</v>
      </c>
      <c r="AU349" s="50">
        <f ca="1">(MAX(AS349,AR349,105%*SUM($AJ$7:AJ349))*B349)</f>
        <v>0</v>
      </c>
      <c r="AV349" s="125"/>
      <c r="AW349" s="13"/>
      <c r="AX349" s="13"/>
      <c r="AY349" s="13"/>
      <c r="AZ349" s="13"/>
      <c r="BA349" s="13"/>
      <c r="BG349" s="51">
        <f t="shared" si="251"/>
        <v>0</v>
      </c>
      <c r="BH349" s="51">
        <f t="shared" si="252"/>
        <v>0</v>
      </c>
      <c r="BI349" s="51">
        <f t="shared" ca="1" si="253"/>
        <v>0</v>
      </c>
      <c r="BJ349" s="51">
        <f t="shared" ca="1" si="254"/>
        <v>0</v>
      </c>
      <c r="BK349" s="51">
        <f t="shared" si="255"/>
        <v>0</v>
      </c>
      <c r="BL349" s="51">
        <f t="shared" ca="1" si="256"/>
        <v>0</v>
      </c>
      <c r="BM349" s="51">
        <f t="shared" si="257"/>
        <v>0</v>
      </c>
      <c r="BN349" s="51">
        <f t="shared" si="258"/>
        <v>0</v>
      </c>
      <c r="BO349" s="51">
        <f t="shared" ca="1" si="259"/>
        <v>0</v>
      </c>
      <c r="BP349" s="51">
        <f t="shared" ca="1" si="260"/>
        <v>0</v>
      </c>
      <c r="BQ349" s="120"/>
      <c r="BR349" s="32"/>
      <c r="BS349" s="126"/>
      <c r="BT349" s="16"/>
      <c r="BU349" s="58"/>
      <c r="BW349" s="51">
        <f>VLOOKUP(H349,Charges!$AT$4:$AU$33,2,FALSE)*I349</f>
        <v>0</v>
      </c>
      <c r="BX349" s="51">
        <f t="shared" si="261"/>
        <v>0</v>
      </c>
      <c r="BY349" s="51">
        <f t="shared" si="269"/>
        <v>0</v>
      </c>
      <c r="BZ349" s="151"/>
      <c r="CA349" s="151"/>
      <c r="CB349" s="32"/>
      <c r="CC349" s="16">
        <f ca="1">SUM($N$7:$N349)</f>
        <v>0</v>
      </c>
      <c r="CD349" s="16">
        <f t="shared" ca="1" si="262"/>
        <v>0</v>
      </c>
      <c r="CE349" s="16">
        <f t="shared" ca="1" si="263"/>
        <v>0</v>
      </c>
      <c r="CF349" s="7">
        <f t="shared" ca="1" si="270"/>
        <v>0</v>
      </c>
    </row>
    <row r="350" spans="1:84" s="7" customFormat="1" x14ac:dyDescent="0.2">
      <c r="A350" s="149"/>
      <c r="B350" s="14">
        <f t="shared" si="232"/>
        <v>0</v>
      </c>
      <c r="C350" s="12">
        <f t="shared" si="233"/>
        <v>0</v>
      </c>
      <c r="D350" s="17">
        <f t="shared" si="271"/>
        <v>344</v>
      </c>
      <c r="E350" s="17">
        <f t="shared" ca="1" si="234"/>
        <v>88</v>
      </c>
      <c r="F350" s="12">
        <f t="shared" si="273"/>
        <v>7</v>
      </c>
      <c r="G350" s="12">
        <f t="shared" si="272"/>
        <v>58</v>
      </c>
      <c r="H350" s="17">
        <f t="shared" si="274"/>
        <v>29</v>
      </c>
      <c r="I350" s="29">
        <f t="shared" si="235"/>
        <v>0</v>
      </c>
      <c r="J350" s="211">
        <f>IFERROR(VLOOKUP(H350,Charges!$T$6:$U$35,2,0)*C350,0)</f>
        <v>0</v>
      </c>
      <c r="K350" s="29">
        <f t="shared" si="236"/>
        <v>0</v>
      </c>
      <c r="L350" s="29">
        <f t="shared" si="237"/>
        <v>0</v>
      </c>
      <c r="M350" s="147">
        <f t="shared" ca="1" si="238"/>
        <v>0</v>
      </c>
      <c r="N350" s="148">
        <f ca="1">IF(AND(Option_SPW="Y",Z349&gt;=SPW_Start_Min_FV,H350&gt;=Lock_In_Period,Z349&gt;SPW_Amount_pa+IF(option="Single",1/5*pr,2*pr),H350&gt;=SPW_Start_Year,H350&lt;=SPW_Start_Year+SPW_Duration-1,F350=0,age+H350&gt;=Legal_Age),SPW_Amount_pa,0)+IFERROR(VLOOKUP(H350,Input!$B$68:$C$74,2,0),0)*(F350=0)*(Option_PW="Y")*(Option_SPW="N")*(age+H350&gt;=Legal_Age)</f>
        <v>0</v>
      </c>
      <c r="O350" s="148">
        <f t="shared" ca="1" si="264"/>
        <v>0</v>
      </c>
      <c r="P350" s="14">
        <f ca="1">(MAX(MAX(sa-CF349*Flag_UL_Type,105%*SUM($I$7:I350))-(AD349+L350-N350)*Flag_UL_Type,0)*B350)</f>
        <v>0</v>
      </c>
      <c r="Q350" s="213">
        <f t="shared" si="239"/>
        <v>0</v>
      </c>
      <c r="R350" s="14">
        <f t="shared" ca="1" si="240"/>
        <v>0</v>
      </c>
      <c r="S350" s="14">
        <f t="shared" ca="1" si="241"/>
        <v>0</v>
      </c>
      <c r="T350" s="14">
        <f>IFERROR(IF(WoP_Flag="Y",IF(fq=1,VLOOKUP(ppt*fq-H350,Charges!$AN$41:$AO$59,2,FALSE),IF(fq=2,VLOOKUP(ppt*fq-G350,Charges!$AP$41:$AQ$79,2,FALSE),VLOOKUP(ppt*fq-D350,Charges!$AR$41:$AS$279,2,FALSE)))*pr/fq,0),0)</f>
        <v>0</v>
      </c>
      <c r="U350" s="14">
        <f ca="1">IFERROR(((T350*(VLOOKUP(Input!$D$18+H350-1,Tab_Mort_Charge,IF(Gender_2="M",2,3),FALSE)*(1+_emr2)+_rpm2)/IF(Model_Type="LA_PQIS",1000/0.0833,(12*1000))))*Flag_Mort_Rider_Charge*(T350&gt;0),0)</f>
        <v>0</v>
      </c>
      <c r="V350" s="34">
        <f>ROUND(MIN(IF(H350&gt;=7,Charges!$C$12*(1+Charges!$C$14)^((H350-7+1)),VLOOKUP(H350,Charges!$B$7:$C$12,2,0))*pr,Charges!$C$13)*B350,Round)</f>
        <v>0</v>
      </c>
      <c r="W350" s="14">
        <f t="shared" ca="1" si="242"/>
        <v>0</v>
      </c>
      <c r="X350" s="14">
        <f t="shared" ca="1" si="243"/>
        <v>0</v>
      </c>
      <c r="Y350" s="213">
        <f t="shared" ca="1" si="265"/>
        <v>0</v>
      </c>
      <c r="Z350" s="14">
        <f t="shared" ca="1" si="244"/>
        <v>0</v>
      </c>
      <c r="AA350" s="14">
        <f>IF(AND($H350=pt,$F350=11),SUM($K$7:K350)*VLOOKUP(pt,ROC,2,FALSE),0)</f>
        <v>0</v>
      </c>
      <c r="AB350" s="14">
        <f>IF(AND($H350=pt,$F350=11),SUM($V$7:V350)*VLOOKUP(pt,ROC,2,FALSE),0)</f>
        <v>0</v>
      </c>
      <c r="AC350" s="14">
        <f>IF(AND($H350=pt,$F350=11),SUM($Q$7:Q350)*VLOOKUP(pt,ROC,2,FALSE),0)</f>
        <v>0</v>
      </c>
      <c r="AD350" s="14">
        <f t="shared" ca="1" si="266"/>
        <v>0</v>
      </c>
      <c r="AE350" s="14">
        <f ca="1">(MAX(sa-CF349*Flag_UL_Type,105%*SUM($I$7:I350),Z350)+AU350)*B350</f>
        <v>0</v>
      </c>
      <c r="AF350" s="136"/>
      <c r="AG350" s="18">
        <v>344</v>
      </c>
      <c r="AH350" s="30">
        <f t="shared" ca="1" si="245"/>
        <v>0</v>
      </c>
      <c r="AI350" s="58"/>
      <c r="AJ350" s="50">
        <f>IF(AND(Option_Sys_TopUp&gt;="Y",H350&gt;=sytp,H350&lt;=(dtp+sytp-1),F350=0,H350&lt;=ppt+1),atp,0)+IFERROR(VLOOKUP(H350,Input!$B$55:$C$61,2,0),0)*(F350=0)*(Option_TopUP="Y")*(Option_Sys_TopUp="N")*B350*(pt&gt;=H350+5)</f>
        <v>0</v>
      </c>
      <c r="AK350" s="50">
        <f t="shared" si="246"/>
        <v>0</v>
      </c>
      <c r="AL350" s="50">
        <f t="shared" si="267"/>
        <v>0</v>
      </c>
      <c r="AM350" s="50">
        <f t="shared" ca="1" si="247"/>
        <v>0</v>
      </c>
      <c r="AN350" s="50">
        <f>IF(B350=0,0,AT350*(_rpm1+(1+_emr1)*VLOOKUP(E350,Tab_Mort_Charge,IF(Input!$C$12="M",2,3),0))*(0.001*0.0833)*Flag_Mort_Rider_Charge*(AT350&gt;0))</f>
        <v>0</v>
      </c>
      <c r="AO350" s="50">
        <f t="shared" ca="1" si="268"/>
        <v>0</v>
      </c>
      <c r="AP350" s="50">
        <f t="shared" ca="1" si="275"/>
        <v>0</v>
      </c>
      <c r="AQ350" s="50">
        <f t="shared" ca="1" si="248"/>
        <v>0</v>
      </c>
      <c r="AR350" s="50">
        <f t="shared" ca="1" si="249"/>
        <v>0</v>
      </c>
      <c r="AS350" s="50">
        <f t="shared" si="250"/>
        <v>0</v>
      </c>
      <c r="AT350" s="50">
        <f ca="1">(MAX((MAX(AS350,105%*SUM($AJ$7:AJ350))-AM350*Flag_UL_Type),0)*B350)</f>
        <v>0</v>
      </c>
      <c r="AU350" s="50">
        <f ca="1">(MAX(AS350,AR350,105%*SUM($AJ$7:AJ350))*B350)</f>
        <v>0</v>
      </c>
      <c r="AV350" s="125"/>
      <c r="AW350" s="13"/>
      <c r="AX350" s="13"/>
      <c r="AY350" s="13"/>
      <c r="AZ350" s="13"/>
      <c r="BA350" s="13"/>
      <c r="BG350" s="51">
        <f t="shared" si="251"/>
        <v>0</v>
      </c>
      <c r="BH350" s="51">
        <f t="shared" si="252"/>
        <v>0</v>
      </c>
      <c r="BI350" s="51">
        <f t="shared" ca="1" si="253"/>
        <v>0</v>
      </c>
      <c r="BJ350" s="51">
        <f t="shared" ca="1" si="254"/>
        <v>0</v>
      </c>
      <c r="BK350" s="51">
        <f t="shared" si="255"/>
        <v>0</v>
      </c>
      <c r="BL350" s="51">
        <f t="shared" ca="1" si="256"/>
        <v>0</v>
      </c>
      <c r="BM350" s="51">
        <f t="shared" si="257"/>
        <v>0</v>
      </c>
      <c r="BN350" s="51">
        <f t="shared" si="258"/>
        <v>0</v>
      </c>
      <c r="BO350" s="51">
        <f t="shared" ca="1" si="259"/>
        <v>0</v>
      </c>
      <c r="BP350" s="51">
        <f t="shared" ca="1" si="260"/>
        <v>0</v>
      </c>
      <c r="BQ350" s="120"/>
      <c r="BR350" s="32"/>
      <c r="BS350" s="126"/>
      <c r="BT350" s="16"/>
      <c r="BU350" s="58"/>
      <c r="BW350" s="51">
        <f>VLOOKUP(H350,Charges!$AT$4:$AU$33,2,FALSE)*I350</f>
        <v>0</v>
      </c>
      <c r="BX350" s="51">
        <f t="shared" si="261"/>
        <v>0</v>
      </c>
      <c r="BY350" s="51">
        <f t="shared" si="269"/>
        <v>0</v>
      </c>
      <c r="BZ350" s="151"/>
      <c r="CA350" s="151"/>
      <c r="CB350" s="32"/>
      <c r="CC350" s="16">
        <f ca="1">SUM($N$7:$N350)</f>
        <v>0</v>
      </c>
      <c r="CD350" s="16">
        <f t="shared" ca="1" si="262"/>
        <v>0</v>
      </c>
      <c r="CE350" s="16">
        <f t="shared" ca="1" si="263"/>
        <v>0</v>
      </c>
      <c r="CF350" s="7">
        <f t="shared" ca="1" si="270"/>
        <v>0</v>
      </c>
    </row>
    <row r="351" spans="1:84" s="7" customFormat="1" x14ac:dyDescent="0.2">
      <c r="A351" s="149"/>
      <c r="B351" s="14">
        <f t="shared" si="232"/>
        <v>0</v>
      </c>
      <c r="C351" s="12">
        <f t="shared" si="233"/>
        <v>0</v>
      </c>
      <c r="D351" s="17">
        <f t="shared" si="271"/>
        <v>345</v>
      </c>
      <c r="E351" s="17">
        <f t="shared" ca="1" si="234"/>
        <v>88</v>
      </c>
      <c r="F351" s="12">
        <f t="shared" si="273"/>
        <v>8</v>
      </c>
      <c r="G351" s="12">
        <f t="shared" si="272"/>
        <v>58</v>
      </c>
      <c r="H351" s="17">
        <f t="shared" si="274"/>
        <v>29</v>
      </c>
      <c r="I351" s="29">
        <f t="shared" si="235"/>
        <v>0</v>
      </c>
      <c r="J351" s="211">
        <f>IFERROR(VLOOKUP(H351,Charges!$T$6:$U$35,2,0)*C351,0)</f>
        <v>0</v>
      </c>
      <c r="K351" s="29">
        <f t="shared" si="236"/>
        <v>0</v>
      </c>
      <c r="L351" s="29">
        <f t="shared" si="237"/>
        <v>0</v>
      </c>
      <c r="M351" s="147">
        <f t="shared" ca="1" si="238"/>
        <v>0</v>
      </c>
      <c r="N351" s="148">
        <f ca="1">IF(AND(Option_SPW="Y",Z350&gt;=SPW_Start_Min_FV,H351&gt;=Lock_In_Period,Z350&gt;SPW_Amount_pa+IF(option="Single",1/5*pr,2*pr),H351&gt;=SPW_Start_Year,H351&lt;=SPW_Start_Year+SPW_Duration-1,F351=0,age+H351&gt;=Legal_Age),SPW_Amount_pa,0)+IFERROR(VLOOKUP(H351,Input!$B$68:$C$74,2,0),0)*(F351=0)*(Option_PW="Y")*(Option_SPW="N")*(age+H351&gt;=Legal_Age)</f>
        <v>0</v>
      </c>
      <c r="O351" s="148">
        <f t="shared" ca="1" si="264"/>
        <v>0</v>
      </c>
      <c r="P351" s="14">
        <f ca="1">(MAX(MAX(sa-CF350*Flag_UL_Type,105%*SUM($I$7:I351))-(AD350+L351-N351)*Flag_UL_Type,0)*B351)</f>
        <v>0</v>
      </c>
      <c r="Q351" s="213">
        <f t="shared" si="239"/>
        <v>0</v>
      </c>
      <c r="R351" s="14">
        <f t="shared" ca="1" si="240"/>
        <v>0</v>
      </c>
      <c r="S351" s="14">
        <f t="shared" ca="1" si="241"/>
        <v>0</v>
      </c>
      <c r="T351" s="14">
        <f>IFERROR(IF(WoP_Flag="Y",IF(fq=1,VLOOKUP(ppt*fq-H351,Charges!$AN$41:$AO$59,2,FALSE),IF(fq=2,VLOOKUP(ppt*fq-G351,Charges!$AP$41:$AQ$79,2,FALSE),VLOOKUP(ppt*fq-D351,Charges!$AR$41:$AS$279,2,FALSE)))*pr/fq,0),0)</f>
        <v>0</v>
      </c>
      <c r="U351" s="14">
        <f ca="1">IFERROR(((T351*(VLOOKUP(Input!$D$18+H351-1,Tab_Mort_Charge,IF(Gender_2="M",2,3),FALSE)*(1+_emr2)+_rpm2)/IF(Model_Type="LA_PQIS",1000/0.0833,(12*1000))))*Flag_Mort_Rider_Charge*(T351&gt;0),0)</f>
        <v>0</v>
      </c>
      <c r="V351" s="34">
        <f>ROUND(MIN(IF(H351&gt;=7,Charges!$C$12*(1+Charges!$C$14)^((H351-7+1)),VLOOKUP(H351,Charges!$B$7:$C$12,2,0))*pr,Charges!$C$13)*B351,Round)</f>
        <v>0</v>
      </c>
      <c r="W351" s="14">
        <f t="shared" ca="1" si="242"/>
        <v>0</v>
      </c>
      <c r="X351" s="14">
        <f t="shared" ca="1" si="243"/>
        <v>0</v>
      </c>
      <c r="Y351" s="213">
        <f t="shared" ca="1" si="265"/>
        <v>0</v>
      </c>
      <c r="Z351" s="14">
        <f t="shared" ca="1" si="244"/>
        <v>0</v>
      </c>
      <c r="AA351" s="14">
        <f>IF(AND($H351=pt,$F351=11),SUM($K$7:K351)*VLOOKUP(pt,ROC,2,FALSE),0)</f>
        <v>0</v>
      </c>
      <c r="AB351" s="14">
        <f>IF(AND($H351=pt,$F351=11),SUM($V$7:V351)*VLOOKUP(pt,ROC,2,FALSE),0)</f>
        <v>0</v>
      </c>
      <c r="AC351" s="14">
        <f>IF(AND($H351=pt,$F351=11),SUM($Q$7:Q351)*VLOOKUP(pt,ROC,2,FALSE),0)</f>
        <v>0</v>
      </c>
      <c r="AD351" s="14">
        <f t="shared" ca="1" si="266"/>
        <v>0</v>
      </c>
      <c r="AE351" s="14">
        <f ca="1">(MAX(sa-CF350*Flag_UL_Type,105%*SUM($I$7:I351),Z351)+AU351)*B351</f>
        <v>0</v>
      </c>
      <c r="AF351" s="136"/>
      <c r="AG351" s="18">
        <v>345</v>
      </c>
      <c r="AH351" s="30">
        <f t="shared" ca="1" si="245"/>
        <v>0</v>
      </c>
      <c r="AI351" s="58"/>
      <c r="AJ351" s="50">
        <f>IF(AND(Option_Sys_TopUp&gt;="Y",H351&gt;=sytp,H351&lt;=(dtp+sytp-1),F351=0,H351&lt;=ppt+1),atp,0)+IFERROR(VLOOKUP(H351,Input!$B$55:$C$61,2,0),0)*(F351=0)*(Option_TopUP="Y")*(Option_Sys_TopUp="N")*B351*(pt&gt;=H351+5)</f>
        <v>0</v>
      </c>
      <c r="AK351" s="50">
        <f t="shared" si="246"/>
        <v>0</v>
      </c>
      <c r="AL351" s="50">
        <f t="shared" si="267"/>
        <v>0</v>
      </c>
      <c r="AM351" s="50">
        <f t="shared" ca="1" si="247"/>
        <v>0</v>
      </c>
      <c r="AN351" s="50">
        <f>IF(B351=0,0,AT351*(_rpm1+(1+_emr1)*VLOOKUP(E351,Tab_Mort_Charge,IF(Input!$C$12="M",2,3),0))*(0.001*0.0833)*Flag_Mort_Rider_Charge*(AT351&gt;0))</f>
        <v>0</v>
      </c>
      <c r="AO351" s="50">
        <f t="shared" ca="1" si="268"/>
        <v>0</v>
      </c>
      <c r="AP351" s="50">
        <f t="shared" ca="1" si="275"/>
        <v>0</v>
      </c>
      <c r="AQ351" s="50">
        <f t="shared" ca="1" si="248"/>
        <v>0</v>
      </c>
      <c r="AR351" s="50">
        <f t="shared" ca="1" si="249"/>
        <v>0</v>
      </c>
      <c r="AS351" s="50">
        <f t="shared" si="250"/>
        <v>0</v>
      </c>
      <c r="AT351" s="50">
        <f ca="1">(MAX((MAX(AS351,105%*SUM($AJ$7:AJ351))-AM351*Flag_UL_Type),0)*B351)</f>
        <v>0</v>
      </c>
      <c r="AU351" s="50">
        <f ca="1">(MAX(AS351,AR351,105%*SUM($AJ$7:AJ351))*B351)</f>
        <v>0</v>
      </c>
      <c r="AV351" s="125"/>
      <c r="AW351" s="13"/>
      <c r="AX351" s="13"/>
      <c r="AY351" s="13"/>
      <c r="AZ351" s="13"/>
      <c r="BA351" s="13"/>
      <c r="BG351" s="51">
        <f t="shared" si="251"/>
        <v>0</v>
      </c>
      <c r="BH351" s="51">
        <f t="shared" si="252"/>
        <v>0</v>
      </c>
      <c r="BI351" s="51">
        <f t="shared" ca="1" si="253"/>
        <v>0</v>
      </c>
      <c r="BJ351" s="51">
        <f t="shared" ca="1" si="254"/>
        <v>0</v>
      </c>
      <c r="BK351" s="51">
        <f t="shared" si="255"/>
        <v>0</v>
      </c>
      <c r="BL351" s="51">
        <f t="shared" ca="1" si="256"/>
        <v>0</v>
      </c>
      <c r="BM351" s="51">
        <f t="shared" si="257"/>
        <v>0</v>
      </c>
      <c r="BN351" s="51">
        <f t="shared" si="258"/>
        <v>0</v>
      </c>
      <c r="BO351" s="51">
        <f t="shared" ca="1" si="259"/>
        <v>0</v>
      </c>
      <c r="BP351" s="51">
        <f t="shared" ca="1" si="260"/>
        <v>0</v>
      </c>
      <c r="BQ351" s="120"/>
      <c r="BR351" s="32"/>
      <c r="BS351" s="126"/>
      <c r="BT351" s="16"/>
      <c r="BU351" s="58"/>
      <c r="BW351" s="51">
        <f>VLOOKUP(H351,Charges!$AT$4:$AU$33,2,FALSE)*I351</f>
        <v>0</v>
      </c>
      <c r="BX351" s="51">
        <f t="shared" si="261"/>
        <v>0</v>
      </c>
      <c r="BY351" s="51">
        <f t="shared" si="269"/>
        <v>0</v>
      </c>
      <c r="BZ351" s="151"/>
      <c r="CA351" s="151"/>
      <c r="CB351" s="32"/>
      <c r="CC351" s="16">
        <f ca="1">SUM($N$7:$N351)</f>
        <v>0</v>
      </c>
      <c r="CD351" s="16">
        <f t="shared" ca="1" si="262"/>
        <v>0</v>
      </c>
      <c r="CE351" s="16">
        <f t="shared" ca="1" si="263"/>
        <v>0</v>
      </c>
      <c r="CF351" s="7">
        <f t="shared" ca="1" si="270"/>
        <v>0</v>
      </c>
    </row>
    <row r="352" spans="1:84" s="7" customFormat="1" x14ac:dyDescent="0.2">
      <c r="A352" s="149"/>
      <c r="B352" s="14">
        <f t="shared" si="232"/>
        <v>0</v>
      </c>
      <c r="C352" s="12">
        <f t="shared" si="233"/>
        <v>0</v>
      </c>
      <c r="D352" s="17">
        <f t="shared" si="271"/>
        <v>346</v>
      </c>
      <c r="E352" s="17">
        <f t="shared" ca="1" si="234"/>
        <v>88</v>
      </c>
      <c r="F352" s="12">
        <f t="shared" si="273"/>
        <v>9</v>
      </c>
      <c r="G352" s="12">
        <f t="shared" si="272"/>
        <v>58</v>
      </c>
      <c r="H352" s="17">
        <f t="shared" si="274"/>
        <v>29</v>
      </c>
      <c r="I352" s="29">
        <f t="shared" si="235"/>
        <v>0</v>
      </c>
      <c r="J352" s="211">
        <f>IFERROR(VLOOKUP(H352,Charges!$T$6:$U$35,2,0)*C352,0)</f>
        <v>0</v>
      </c>
      <c r="K352" s="29">
        <f t="shared" si="236"/>
        <v>0</v>
      </c>
      <c r="L352" s="29">
        <f t="shared" si="237"/>
        <v>0</v>
      </c>
      <c r="M352" s="147">
        <f t="shared" ca="1" si="238"/>
        <v>0</v>
      </c>
      <c r="N352" s="148">
        <f ca="1">IF(AND(Option_SPW="Y",Z351&gt;=SPW_Start_Min_FV,H352&gt;=Lock_In_Period,Z351&gt;SPW_Amount_pa+IF(option="Single",1/5*pr,2*pr),H352&gt;=SPW_Start_Year,H352&lt;=SPW_Start_Year+SPW_Duration-1,F352=0,age+H352&gt;=Legal_Age),SPW_Amount_pa,0)+IFERROR(VLOOKUP(H352,Input!$B$68:$C$74,2,0),0)*(F352=0)*(Option_PW="Y")*(Option_SPW="N")*(age+H352&gt;=Legal_Age)</f>
        <v>0</v>
      </c>
      <c r="O352" s="148">
        <f t="shared" ca="1" si="264"/>
        <v>0</v>
      </c>
      <c r="P352" s="14">
        <f ca="1">(MAX(MAX(sa-CF351*Flag_UL_Type,105%*SUM($I$7:I352))-(AD351+L352-N352)*Flag_UL_Type,0)*B352)</f>
        <v>0</v>
      </c>
      <c r="Q352" s="213">
        <f t="shared" si="239"/>
        <v>0</v>
      </c>
      <c r="R352" s="14">
        <f t="shared" ca="1" si="240"/>
        <v>0</v>
      </c>
      <c r="S352" s="14">
        <f t="shared" ca="1" si="241"/>
        <v>0</v>
      </c>
      <c r="T352" s="14">
        <f>IFERROR(IF(WoP_Flag="Y",IF(fq=1,VLOOKUP(ppt*fq-H352,Charges!$AN$41:$AO$59,2,FALSE),IF(fq=2,VLOOKUP(ppt*fq-G352,Charges!$AP$41:$AQ$79,2,FALSE),VLOOKUP(ppt*fq-D352,Charges!$AR$41:$AS$279,2,FALSE)))*pr/fq,0),0)</f>
        <v>0</v>
      </c>
      <c r="U352" s="14">
        <f ca="1">IFERROR(((T352*(VLOOKUP(Input!$D$18+H352-1,Tab_Mort_Charge,IF(Gender_2="M",2,3),FALSE)*(1+_emr2)+_rpm2)/IF(Model_Type="LA_PQIS",1000/0.0833,(12*1000))))*Flag_Mort_Rider_Charge*(T352&gt;0),0)</f>
        <v>0</v>
      </c>
      <c r="V352" s="34">
        <f>ROUND(MIN(IF(H352&gt;=7,Charges!$C$12*(1+Charges!$C$14)^((H352-7+1)),VLOOKUP(H352,Charges!$B$7:$C$12,2,0))*pr,Charges!$C$13)*B352,Round)</f>
        <v>0</v>
      </c>
      <c r="W352" s="14">
        <f t="shared" ca="1" si="242"/>
        <v>0</v>
      </c>
      <c r="X352" s="14">
        <f t="shared" ca="1" si="243"/>
        <v>0</v>
      </c>
      <c r="Y352" s="213">
        <f t="shared" ca="1" si="265"/>
        <v>0</v>
      </c>
      <c r="Z352" s="14">
        <f t="shared" ca="1" si="244"/>
        <v>0</v>
      </c>
      <c r="AA352" s="14">
        <f>IF(AND($H352=pt,$F352=11),SUM($K$7:K352)*VLOOKUP(pt,ROC,2,FALSE),0)</f>
        <v>0</v>
      </c>
      <c r="AB352" s="14">
        <f>IF(AND($H352=pt,$F352=11),SUM($V$7:V352)*VLOOKUP(pt,ROC,2,FALSE),0)</f>
        <v>0</v>
      </c>
      <c r="AC352" s="14">
        <f>IF(AND($H352=pt,$F352=11),SUM($Q$7:Q352)*VLOOKUP(pt,ROC,2,FALSE),0)</f>
        <v>0</v>
      </c>
      <c r="AD352" s="14">
        <f t="shared" ca="1" si="266"/>
        <v>0</v>
      </c>
      <c r="AE352" s="14">
        <f ca="1">(MAX(sa-CF351*Flag_UL_Type,105%*SUM($I$7:I352),Z352)+AU352)*B352</f>
        <v>0</v>
      </c>
      <c r="AF352" s="136"/>
      <c r="AG352" s="18">
        <v>346</v>
      </c>
      <c r="AH352" s="30">
        <f t="shared" ca="1" si="245"/>
        <v>0</v>
      </c>
      <c r="AI352" s="58"/>
      <c r="AJ352" s="50">
        <f>IF(AND(Option_Sys_TopUp&gt;="Y",H352&gt;=sytp,H352&lt;=(dtp+sytp-1),F352=0,H352&lt;=ppt+1),atp,0)+IFERROR(VLOOKUP(H352,Input!$B$55:$C$61,2,0),0)*(F352=0)*(Option_TopUP="Y")*(Option_Sys_TopUp="N")*B352*(pt&gt;=H352+5)</f>
        <v>0</v>
      </c>
      <c r="AK352" s="50">
        <f t="shared" si="246"/>
        <v>0</v>
      </c>
      <c r="AL352" s="50">
        <f t="shared" si="267"/>
        <v>0</v>
      </c>
      <c r="AM352" s="50">
        <f t="shared" ca="1" si="247"/>
        <v>0</v>
      </c>
      <c r="AN352" s="50">
        <f>IF(B352=0,0,AT352*(_rpm1+(1+_emr1)*VLOOKUP(E352,Tab_Mort_Charge,IF(Input!$C$12="M",2,3),0))*(0.001*0.0833)*Flag_Mort_Rider_Charge*(AT352&gt;0))</f>
        <v>0</v>
      </c>
      <c r="AO352" s="50">
        <f t="shared" ca="1" si="268"/>
        <v>0</v>
      </c>
      <c r="AP352" s="50">
        <f t="shared" ca="1" si="275"/>
        <v>0</v>
      </c>
      <c r="AQ352" s="50">
        <f t="shared" ca="1" si="248"/>
        <v>0</v>
      </c>
      <c r="AR352" s="50">
        <f t="shared" ca="1" si="249"/>
        <v>0</v>
      </c>
      <c r="AS352" s="50">
        <f t="shared" si="250"/>
        <v>0</v>
      </c>
      <c r="AT352" s="50">
        <f ca="1">(MAX((MAX(AS352,105%*SUM($AJ$7:AJ352))-AM352*Flag_UL_Type),0)*B352)</f>
        <v>0</v>
      </c>
      <c r="AU352" s="50">
        <f ca="1">(MAX(AS352,AR352,105%*SUM($AJ$7:AJ352))*B352)</f>
        <v>0</v>
      </c>
      <c r="AV352" s="125"/>
      <c r="AW352" s="13"/>
      <c r="AX352" s="13"/>
      <c r="AY352" s="13"/>
      <c r="AZ352" s="13"/>
      <c r="BA352" s="13"/>
      <c r="BG352" s="51">
        <f t="shared" si="251"/>
        <v>0</v>
      </c>
      <c r="BH352" s="51">
        <f t="shared" si="252"/>
        <v>0</v>
      </c>
      <c r="BI352" s="51">
        <f t="shared" ca="1" si="253"/>
        <v>0</v>
      </c>
      <c r="BJ352" s="51">
        <f t="shared" ca="1" si="254"/>
        <v>0</v>
      </c>
      <c r="BK352" s="51">
        <f t="shared" si="255"/>
        <v>0</v>
      </c>
      <c r="BL352" s="51">
        <f t="shared" ca="1" si="256"/>
        <v>0</v>
      </c>
      <c r="BM352" s="51">
        <f t="shared" si="257"/>
        <v>0</v>
      </c>
      <c r="BN352" s="51">
        <f t="shared" si="258"/>
        <v>0</v>
      </c>
      <c r="BO352" s="51">
        <f t="shared" ca="1" si="259"/>
        <v>0</v>
      </c>
      <c r="BP352" s="51">
        <f t="shared" ca="1" si="260"/>
        <v>0</v>
      </c>
      <c r="BQ352" s="120"/>
      <c r="BR352" s="32"/>
      <c r="BS352" s="126"/>
      <c r="BT352" s="16"/>
      <c r="BU352" s="58"/>
      <c r="BW352" s="51">
        <f>VLOOKUP(H352,Charges!$AT$4:$AU$33,2,FALSE)*I352</f>
        <v>0</v>
      </c>
      <c r="BX352" s="51">
        <f t="shared" si="261"/>
        <v>0</v>
      </c>
      <c r="BY352" s="51">
        <f t="shared" si="269"/>
        <v>0</v>
      </c>
      <c r="BZ352" s="151"/>
      <c r="CA352" s="151"/>
      <c r="CB352" s="32"/>
      <c r="CC352" s="16">
        <f ca="1">SUM($N$7:$N352)</f>
        <v>0</v>
      </c>
      <c r="CD352" s="16">
        <f t="shared" ca="1" si="262"/>
        <v>0</v>
      </c>
      <c r="CE352" s="16">
        <f t="shared" ca="1" si="263"/>
        <v>0</v>
      </c>
      <c r="CF352" s="7">
        <f t="shared" ca="1" si="270"/>
        <v>0</v>
      </c>
    </row>
    <row r="353" spans="1:84" s="7" customFormat="1" x14ac:dyDescent="0.2">
      <c r="A353" s="149"/>
      <c r="B353" s="14">
        <f t="shared" si="232"/>
        <v>0</v>
      </c>
      <c r="C353" s="12">
        <f t="shared" si="233"/>
        <v>0</v>
      </c>
      <c r="D353" s="17">
        <f t="shared" si="271"/>
        <v>347</v>
      </c>
      <c r="E353" s="17">
        <f t="shared" ca="1" si="234"/>
        <v>88</v>
      </c>
      <c r="F353" s="12">
        <f t="shared" si="273"/>
        <v>10</v>
      </c>
      <c r="G353" s="12">
        <f t="shared" si="272"/>
        <v>58</v>
      </c>
      <c r="H353" s="17">
        <f t="shared" si="274"/>
        <v>29</v>
      </c>
      <c r="I353" s="29">
        <f t="shared" si="235"/>
        <v>0</v>
      </c>
      <c r="J353" s="211">
        <f>IFERROR(VLOOKUP(H353,Charges!$T$6:$U$35,2,0)*C353,0)</f>
        <v>0</v>
      </c>
      <c r="K353" s="29">
        <f t="shared" si="236"/>
        <v>0</v>
      </c>
      <c r="L353" s="29">
        <f t="shared" si="237"/>
        <v>0</v>
      </c>
      <c r="M353" s="147">
        <f t="shared" ca="1" si="238"/>
        <v>0</v>
      </c>
      <c r="N353" s="148">
        <f ca="1">IF(AND(Option_SPW="Y",Z352&gt;=SPW_Start_Min_FV,H353&gt;=Lock_In_Period,Z352&gt;SPW_Amount_pa+IF(option="Single",1/5*pr,2*pr),H353&gt;=SPW_Start_Year,H353&lt;=SPW_Start_Year+SPW_Duration-1,F353=0,age+H353&gt;=Legal_Age),SPW_Amount_pa,0)+IFERROR(VLOOKUP(H353,Input!$B$68:$C$74,2,0),0)*(F353=0)*(Option_PW="Y")*(Option_SPW="N")*(age+H353&gt;=Legal_Age)</f>
        <v>0</v>
      </c>
      <c r="O353" s="148">
        <f t="shared" ca="1" si="264"/>
        <v>0</v>
      </c>
      <c r="P353" s="14">
        <f ca="1">(MAX(MAX(sa-CF352*Flag_UL_Type,105%*SUM($I$7:I353))-(AD352+L353-N353)*Flag_UL_Type,0)*B353)</f>
        <v>0</v>
      </c>
      <c r="Q353" s="213">
        <f t="shared" si="239"/>
        <v>0</v>
      </c>
      <c r="R353" s="14">
        <f t="shared" ca="1" si="240"/>
        <v>0</v>
      </c>
      <c r="S353" s="14">
        <f t="shared" ca="1" si="241"/>
        <v>0</v>
      </c>
      <c r="T353" s="14">
        <f>IFERROR(IF(WoP_Flag="Y",IF(fq=1,VLOOKUP(ppt*fq-H353,Charges!$AN$41:$AO$59,2,FALSE),IF(fq=2,VLOOKUP(ppt*fq-G353,Charges!$AP$41:$AQ$79,2,FALSE),VLOOKUP(ppt*fq-D353,Charges!$AR$41:$AS$279,2,FALSE)))*pr/fq,0),0)</f>
        <v>0</v>
      </c>
      <c r="U353" s="14">
        <f ca="1">IFERROR(((T353*(VLOOKUP(Input!$D$18+H353-1,Tab_Mort_Charge,IF(Gender_2="M",2,3),FALSE)*(1+_emr2)+_rpm2)/IF(Model_Type="LA_PQIS",1000/0.0833,(12*1000))))*Flag_Mort_Rider_Charge*(T353&gt;0),0)</f>
        <v>0</v>
      </c>
      <c r="V353" s="34">
        <f>ROUND(MIN(IF(H353&gt;=7,Charges!$C$12*(1+Charges!$C$14)^((H353-7+1)),VLOOKUP(H353,Charges!$B$7:$C$12,2,0))*pr,Charges!$C$13)*B353,Round)</f>
        <v>0</v>
      </c>
      <c r="W353" s="14">
        <f t="shared" ca="1" si="242"/>
        <v>0</v>
      </c>
      <c r="X353" s="14">
        <f t="shared" ca="1" si="243"/>
        <v>0</v>
      </c>
      <c r="Y353" s="213">
        <f t="shared" ca="1" si="265"/>
        <v>0</v>
      </c>
      <c r="Z353" s="14">
        <f t="shared" ca="1" si="244"/>
        <v>0</v>
      </c>
      <c r="AA353" s="14">
        <f>IF(AND($H353=pt,$F353=11),SUM($K$7:K353)*VLOOKUP(pt,ROC,2,FALSE),0)</f>
        <v>0</v>
      </c>
      <c r="AB353" s="14">
        <f>IF(AND($H353=pt,$F353=11),SUM($V$7:V353)*VLOOKUP(pt,ROC,2,FALSE),0)</f>
        <v>0</v>
      </c>
      <c r="AC353" s="14">
        <f>IF(AND($H353=pt,$F353=11),SUM($Q$7:Q353)*VLOOKUP(pt,ROC,2,FALSE),0)</f>
        <v>0</v>
      </c>
      <c r="AD353" s="14">
        <f t="shared" ca="1" si="266"/>
        <v>0</v>
      </c>
      <c r="AE353" s="14">
        <f ca="1">(MAX(sa-CF352*Flag_UL_Type,105%*SUM($I$7:I353),Z353)+AU353)*B353</f>
        <v>0</v>
      </c>
      <c r="AF353" s="136"/>
      <c r="AG353" s="18">
        <v>347</v>
      </c>
      <c r="AH353" s="30">
        <f t="shared" ca="1" si="245"/>
        <v>0</v>
      </c>
      <c r="AI353" s="58"/>
      <c r="AJ353" s="50">
        <f>IF(AND(Option_Sys_TopUp&gt;="Y",H353&gt;=sytp,H353&lt;=(dtp+sytp-1),F353=0,H353&lt;=ppt+1),atp,0)+IFERROR(VLOOKUP(H353,Input!$B$55:$C$61,2,0),0)*(F353=0)*(Option_TopUP="Y")*(Option_Sys_TopUp="N")*B353*(pt&gt;=H353+5)</f>
        <v>0</v>
      </c>
      <c r="AK353" s="50">
        <f t="shared" si="246"/>
        <v>0</v>
      </c>
      <c r="AL353" s="50">
        <f t="shared" si="267"/>
        <v>0</v>
      </c>
      <c r="AM353" s="50">
        <f t="shared" ca="1" si="247"/>
        <v>0</v>
      </c>
      <c r="AN353" s="50">
        <f>IF(B353=0,0,AT353*(_rpm1+(1+_emr1)*VLOOKUP(E353,Tab_Mort_Charge,IF(Input!$C$12="M",2,3),0))*(0.001*0.0833)*Flag_Mort_Rider_Charge*(AT353&gt;0))</f>
        <v>0</v>
      </c>
      <c r="AO353" s="50">
        <f t="shared" ca="1" si="268"/>
        <v>0</v>
      </c>
      <c r="AP353" s="50">
        <f t="shared" ca="1" si="275"/>
        <v>0</v>
      </c>
      <c r="AQ353" s="50">
        <f t="shared" ca="1" si="248"/>
        <v>0</v>
      </c>
      <c r="AR353" s="50">
        <f t="shared" ca="1" si="249"/>
        <v>0</v>
      </c>
      <c r="AS353" s="50">
        <f t="shared" si="250"/>
        <v>0</v>
      </c>
      <c r="AT353" s="50">
        <f ca="1">(MAX((MAX(AS353,105%*SUM($AJ$7:AJ353))-AM353*Flag_UL_Type),0)*B353)</f>
        <v>0</v>
      </c>
      <c r="AU353" s="50">
        <f ca="1">(MAX(AS353,AR353,105%*SUM($AJ$7:AJ353))*B353)</f>
        <v>0</v>
      </c>
      <c r="AV353" s="125"/>
      <c r="AW353" s="13"/>
      <c r="AX353" s="13"/>
      <c r="AY353" s="13"/>
      <c r="AZ353" s="13"/>
      <c r="BA353" s="13"/>
      <c r="BG353" s="51">
        <f t="shared" si="251"/>
        <v>0</v>
      </c>
      <c r="BH353" s="51">
        <f t="shared" si="252"/>
        <v>0</v>
      </c>
      <c r="BI353" s="51">
        <f t="shared" ca="1" si="253"/>
        <v>0</v>
      </c>
      <c r="BJ353" s="51">
        <f t="shared" ca="1" si="254"/>
        <v>0</v>
      </c>
      <c r="BK353" s="51">
        <f t="shared" si="255"/>
        <v>0</v>
      </c>
      <c r="BL353" s="51">
        <f t="shared" ca="1" si="256"/>
        <v>0</v>
      </c>
      <c r="BM353" s="51">
        <f t="shared" si="257"/>
        <v>0</v>
      </c>
      <c r="BN353" s="51">
        <f t="shared" si="258"/>
        <v>0</v>
      </c>
      <c r="BO353" s="51">
        <f t="shared" ca="1" si="259"/>
        <v>0</v>
      </c>
      <c r="BP353" s="51">
        <f t="shared" ca="1" si="260"/>
        <v>0</v>
      </c>
      <c r="BQ353" s="120"/>
      <c r="BR353" s="32"/>
      <c r="BS353" s="126"/>
      <c r="BT353" s="16"/>
      <c r="BU353" s="58"/>
      <c r="BW353" s="51">
        <f>VLOOKUP(H353,Charges!$AT$4:$AU$33,2,FALSE)*I353</f>
        <v>0</v>
      </c>
      <c r="BX353" s="51">
        <f t="shared" si="261"/>
        <v>0</v>
      </c>
      <c r="BY353" s="51">
        <f t="shared" si="269"/>
        <v>0</v>
      </c>
      <c r="BZ353" s="151"/>
      <c r="CA353" s="151"/>
      <c r="CB353" s="32"/>
      <c r="CC353" s="16">
        <f ca="1">SUM($N$7:$N353)</f>
        <v>0</v>
      </c>
      <c r="CD353" s="16">
        <f t="shared" ca="1" si="262"/>
        <v>0</v>
      </c>
      <c r="CE353" s="16">
        <f t="shared" ca="1" si="263"/>
        <v>0</v>
      </c>
      <c r="CF353" s="7">
        <f t="shared" ca="1" si="270"/>
        <v>0</v>
      </c>
    </row>
    <row r="354" spans="1:84" s="7" customFormat="1" x14ac:dyDescent="0.2">
      <c r="A354" s="149"/>
      <c r="B354" s="14">
        <f t="shared" si="232"/>
        <v>0</v>
      </c>
      <c r="C354" s="12">
        <f t="shared" si="233"/>
        <v>0</v>
      </c>
      <c r="D354" s="17">
        <f t="shared" si="271"/>
        <v>348</v>
      </c>
      <c r="E354" s="17">
        <f t="shared" ca="1" si="234"/>
        <v>88</v>
      </c>
      <c r="F354" s="12">
        <f t="shared" si="273"/>
        <v>11</v>
      </c>
      <c r="G354" s="12">
        <f t="shared" si="272"/>
        <v>58</v>
      </c>
      <c r="H354" s="17">
        <f t="shared" si="274"/>
        <v>29</v>
      </c>
      <c r="I354" s="29">
        <f t="shared" si="235"/>
        <v>0</v>
      </c>
      <c r="J354" s="211">
        <f>IFERROR(VLOOKUP(H354,Charges!$T$6:$U$35,2,0)*C354,0)</f>
        <v>0</v>
      </c>
      <c r="K354" s="29">
        <f t="shared" si="236"/>
        <v>0</v>
      </c>
      <c r="L354" s="29">
        <f t="shared" si="237"/>
        <v>0</v>
      </c>
      <c r="M354" s="147">
        <f t="shared" ca="1" si="238"/>
        <v>0</v>
      </c>
      <c r="N354" s="148">
        <f ca="1">IF(AND(Option_SPW="Y",Z353&gt;=SPW_Start_Min_FV,H354&gt;=Lock_In_Period,Z353&gt;SPW_Amount_pa+IF(option="Single",1/5*pr,2*pr),H354&gt;=SPW_Start_Year,H354&lt;=SPW_Start_Year+SPW_Duration-1,F354=0,age+H354&gt;=Legal_Age),SPW_Amount_pa,0)+IFERROR(VLOOKUP(H354,Input!$B$68:$C$74,2,0),0)*(F354=0)*(Option_PW="Y")*(Option_SPW="N")*(age+H354&gt;=Legal_Age)</f>
        <v>0</v>
      </c>
      <c r="O354" s="148">
        <f t="shared" ca="1" si="264"/>
        <v>0</v>
      </c>
      <c r="P354" s="14">
        <f ca="1">(MAX(MAX(sa-CF353*Flag_UL_Type,105%*SUM($I$7:I354))-(AD353+L354-N354)*Flag_UL_Type,0)*B354)</f>
        <v>0</v>
      </c>
      <c r="Q354" s="213">
        <f t="shared" si="239"/>
        <v>0</v>
      </c>
      <c r="R354" s="14">
        <f t="shared" ca="1" si="240"/>
        <v>0</v>
      </c>
      <c r="S354" s="14">
        <f t="shared" ca="1" si="241"/>
        <v>0</v>
      </c>
      <c r="T354" s="14">
        <f>IFERROR(IF(WoP_Flag="Y",IF(fq=1,VLOOKUP(ppt*fq-H354,Charges!$AN$41:$AO$59,2,FALSE),IF(fq=2,VLOOKUP(ppt*fq-G354,Charges!$AP$41:$AQ$79,2,FALSE),VLOOKUP(ppt*fq-D354,Charges!$AR$41:$AS$279,2,FALSE)))*pr/fq,0),0)</f>
        <v>0</v>
      </c>
      <c r="U354" s="14">
        <f ca="1">IFERROR(((T354*(VLOOKUP(Input!$D$18+H354-1,Tab_Mort_Charge,IF(Gender_2="M",2,3),FALSE)*(1+_emr2)+_rpm2)/IF(Model_Type="LA_PQIS",1000/0.0833,(12*1000))))*Flag_Mort_Rider_Charge*(T354&gt;0),0)</f>
        <v>0</v>
      </c>
      <c r="V354" s="34">
        <f>ROUND(MIN(IF(H354&gt;=7,Charges!$C$12*(1+Charges!$C$14)^((H354-7+1)),VLOOKUP(H354,Charges!$B$7:$C$12,2,0))*pr,Charges!$C$13)*B354,Round)</f>
        <v>0</v>
      </c>
      <c r="W354" s="14">
        <f t="shared" ca="1" si="242"/>
        <v>0</v>
      </c>
      <c r="X354" s="14">
        <f t="shared" ca="1" si="243"/>
        <v>0</v>
      </c>
      <c r="Y354" s="213">
        <f t="shared" ca="1" si="265"/>
        <v>0</v>
      </c>
      <c r="Z354" s="14">
        <f t="shared" ca="1" si="244"/>
        <v>0</v>
      </c>
      <c r="AA354" s="14">
        <f>IF(AND($H354=pt,$F354=11),SUM($K$7:K354)*VLOOKUP(pt,ROC,2,FALSE),0)</f>
        <v>0</v>
      </c>
      <c r="AB354" s="14">
        <f>IF(AND($H354=pt,$F354=11),SUM($V$7:V354)*VLOOKUP(pt,ROC,2,FALSE),0)</f>
        <v>0</v>
      </c>
      <c r="AC354" s="14">
        <f>IF(AND($H354=pt,$F354=11),SUM($Q$7:Q354)*VLOOKUP(pt,ROC,2,FALSE),0)</f>
        <v>0</v>
      </c>
      <c r="AD354" s="14">
        <f t="shared" ca="1" si="266"/>
        <v>0</v>
      </c>
      <c r="AE354" s="14">
        <f ca="1">(MAX(sa-CF353*Flag_UL_Type,105%*SUM($I$7:I354),Z354)+AU354)*B354</f>
        <v>0</v>
      </c>
      <c r="AF354" s="136"/>
      <c r="AG354" s="18">
        <v>348</v>
      </c>
      <c r="AH354" s="30">
        <f t="shared" ca="1" si="245"/>
        <v>0</v>
      </c>
      <c r="AI354" s="58"/>
      <c r="AJ354" s="50">
        <f>IF(AND(Option_Sys_TopUp&gt;="Y",H354&gt;=sytp,H354&lt;=(dtp+sytp-1),F354=0,H354&lt;=ppt+1),atp,0)+IFERROR(VLOOKUP(H354,Input!$B$55:$C$61,2,0),0)*(F354=0)*(Option_TopUP="Y")*(Option_Sys_TopUp="N")*B354*(pt&gt;=H354+5)</f>
        <v>0</v>
      </c>
      <c r="AK354" s="50">
        <f t="shared" si="246"/>
        <v>0</v>
      </c>
      <c r="AL354" s="50">
        <f t="shared" si="267"/>
        <v>0</v>
      </c>
      <c r="AM354" s="50">
        <f t="shared" ca="1" si="247"/>
        <v>0</v>
      </c>
      <c r="AN354" s="50">
        <f>IF(B354=0,0,AT354*(_rpm1+(1+_emr1)*VLOOKUP(E354,Tab_Mort_Charge,IF(Input!$C$12="M",2,3),0))*(0.001*0.0833)*Flag_Mort_Rider_Charge*(AT354&gt;0))</f>
        <v>0</v>
      </c>
      <c r="AO354" s="50">
        <f t="shared" ca="1" si="268"/>
        <v>0</v>
      </c>
      <c r="AP354" s="50">
        <f t="shared" ca="1" si="275"/>
        <v>0</v>
      </c>
      <c r="AQ354" s="50">
        <f t="shared" ca="1" si="248"/>
        <v>0</v>
      </c>
      <c r="AR354" s="50">
        <f t="shared" ca="1" si="249"/>
        <v>0</v>
      </c>
      <c r="AS354" s="50">
        <f t="shared" si="250"/>
        <v>0</v>
      </c>
      <c r="AT354" s="50">
        <f ca="1">(MAX((MAX(AS354,105%*SUM($AJ$7:AJ354))-AM354*Flag_UL_Type),0)*B354)</f>
        <v>0</v>
      </c>
      <c r="AU354" s="50">
        <f ca="1">(MAX(AS354,AR354,105%*SUM($AJ$7:AJ354))*B354)</f>
        <v>0</v>
      </c>
      <c r="AV354" s="125"/>
      <c r="AW354" s="13"/>
      <c r="AX354" s="13"/>
      <c r="AY354" s="13"/>
      <c r="AZ354" s="13"/>
      <c r="BA354" s="13"/>
      <c r="BG354" s="51">
        <f t="shared" si="251"/>
        <v>0</v>
      </c>
      <c r="BH354" s="51">
        <f t="shared" si="252"/>
        <v>0</v>
      </c>
      <c r="BI354" s="51">
        <f t="shared" ca="1" si="253"/>
        <v>0</v>
      </c>
      <c r="BJ354" s="51">
        <f t="shared" ca="1" si="254"/>
        <v>0</v>
      </c>
      <c r="BK354" s="51">
        <f t="shared" si="255"/>
        <v>0</v>
      </c>
      <c r="BL354" s="51">
        <f t="shared" ca="1" si="256"/>
        <v>0</v>
      </c>
      <c r="BM354" s="51">
        <f t="shared" si="257"/>
        <v>0</v>
      </c>
      <c r="BN354" s="51">
        <f t="shared" si="258"/>
        <v>0</v>
      </c>
      <c r="BO354" s="51">
        <f t="shared" ca="1" si="259"/>
        <v>0</v>
      </c>
      <c r="BP354" s="51">
        <f t="shared" ca="1" si="260"/>
        <v>0</v>
      </c>
      <c r="BQ354" s="120"/>
      <c r="BR354" s="32"/>
      <c r="BS354" s="126"/>
      <c r="BT354" s="16"/>
      <c r="BU354" s="58"/>
      <c r="BW354" s="51">
        <f>VLOOKUP(H354,Charges!$AT$4:$AU$33,2,FALSE)*I354</f>
        <v>0</v>
      </c>
      <c r="BX354" s="51">
        <f t="shared" si="261"/>
        <v>0</v>
      </c>
      <c r="BY354" s="51">
        <f t="shared" si="269"/>
        <v>0</v>
      </c>
      <c r="BZ354" s="151"/>
      <c r="CA354" s="151"/>
      <c r="CB354" s="32"/>
      <c r="CC354" s="16">
        <f ca="1">SUM($N$7:$N354)</f>
        <v>0</v>
      </c>
      <c r="CD354" s="16">
        <f t="shared" ca="1" si="262"/>
        <v>0</v>
      </c>
      <c r="CE354" s="16">
        <f t="shared" ca="1" si="263"/>
        <v>0</v>
      </c>
      <c r="CF354" s="7">
        <f t="shared" ca="1" si="270"/>
        <v>0</v>
      </c>
    </row>
    <row r="355" spans="1:84" s="7" customFormat="1" x14ac:dyDescent="0.2">
      <c r="A355" s="149"/>
      <c r="B355" s="14">
        <f t="shared" si="232"/>
        <v>0</v>
      </c>
      <c r="C355" s="12">
        <f t="shared" si="233"/>
        <v>0</v>
      </c>
      <c r="D355" s="17">
        <f t="shared" si="271"/>
        <v>349</v>
      </c>
      <c r="E355" s="17">
        <f t="shared" ca="1" si="234"/>
        <v>89</v>
      </c>
      <c r="F355" s="12">
        <f t="shared" si="273"/>
        <v>0</v>
      </c>
      <c r="G355" s="12">
        <f t="shared" si="272"/>
        <v>59</v>
      </c>
      <c r="H355" s="17">
        <f t="shared" si="274"/>
        <v>30</v>
      </c>
      <c r="I355" s="29">
        <f t="shared" si="235"/>
        <v>0</v>
      </c>
      <c r="J355" s="211">
        <f>IFERROR(VLOOKUP(H355,Charges!$T$6:$U$35,2,0)*C355,0)</f>
        <v>0</v>
      </c>
      <c r="K355" s="29">
        <f t="shared" si="236"/>
        <v>0</v>
      </c>
      <c r="L355" s="29">
        <f t="shared" si="237"/>
        <v>0</v>
      </c>
      <c r="M355" s="147">
        <f t="shared" ca="1" si="238"/>
        <v>0</v>
      </c>
      <c r="N355" s="148">
        <f ca="1">IF(AND(Option_SPW="Y",Z354&gt;=SPW_Start_Min_FV,H355&gt;=Lock_In_Period,Z354&gt;SPW_Amount_pa+IF(option="Single",1/5*pr,2*pr),H355&gt;=SPW_Start_Year,H355&lt;=SPW_Start_Year+SPW_Duration-1,F355=0,age+H355&gt;=Legal_Age),SPW_Amount_pa,0)+IFERROR(VLOOKUP(H355,Input!$B$68:$C$74,2,0),0)*(F355=0)*(Option_PW="Y")*(Option_SPW="N")*(age+H355&gt;=Legal_Age)</f>
        <v>0</v>
      </c>
      <c r="O355" s="148">
        <f t="shared" ca="1" si="264"/>
        <v>0</v>
      </c>
      <c r="P355" s="14">
        <f ca="1">(MAX(MAX(sa-CF354*Flag_UL_Type,105%*SUM($I$7:I355))-(AD354+L355-N355)*Flag_UL_Type,0)*B355)</f>
        <v>0</v>
      </c>
      <c r="Q355" s="213">
        <f t="shared" si="239"/>
        <v>0</v>
      </c>
      <c r="R355" s="14">
        <f t="shared" ca="1" si="240"/>
        <v>0</v>
      </c>
      <c r="S355" s="14">
        <f t="shared" ca="1" si="241"/>
        <v>0</v>
      </c>
      <c r="T355" s="14">
        <f>IFERROR(IF(WoP_Flag="Y",IF(fq=1,VLOOKUP(ppt*fq-H355,Charges!$AN$41:$AO$59,2,FALSE),IF(fq=2,VLOOKUP(ppt*fq-G355,Charges!$AP$41:$AQ$79,2,FALSE),VLOOKUP(ppt*fq-D355,Charges!$AR$41:$AS$279,2,FALSE)))*pr/fq,0),0)</f>
        <v>0</v>
      </c>
      <c r="U355" s="14">
        <f ca="1">IFERROR(((T355*(VLOOKUP(Input!$D$18+H355-1,Tab_Mort_Charge,IF(Gender_2="M",2,3),FALSE)*(1+_emr2)+_rpm2)/IF(Model_Type="LA_PQIS",1000/0.0833,(12*1000))))*Flag_Mort_Rider_Charge*(T355&gt;0),0)</f>
        <v>0</v>
      </c>
      <c r="V355" s="34">
        <f>ROUND(MIN(IF(H355&gt;=7,Charges!$C$12*(1+Charges!$C$14)^((H355-7+1)),VLOOKUP(H355,Charges!$B$7:$C$12,2,0))*pr,Charges!$C$13)*B355,Round)</f>
        <v>0</v>
      </c>
      <c r="W355" s="14">
        <f t="shared" ca="1" si="242"/>
        <v>0</v>
      </c>
      <c r="X355" s="14">
        <f t="shared" ca="1" si="243"/>
        <v>0</v>
      </c>
      <c r="Y355" s="213">
        <f t="shared" ca="1" si="265"/>
        <v>0</v>
      </c>
      <c r="Z355" s="14">
        <f t="shared" ca="1" si="244"/>
        <v>0</v>
      </c>
      <c r="AA355" s="14">
        <f>IF(AND($H355=pt,$F355=11),SUM($K$7:K355)*VLOOKUP(pt,ROC,2,FALSE),0)</f>
        <v>0</v>
      </c>
      <c r="AB355" s="14">
        <f>IF(AND($H355=pt,$F355=11),SUM($V$7:V355)*VLOOKUP(pt,ROC,2,FALSE),0)</f>
        <v>0</v>
      </c>
      <c r="AC355" s="14">
        <f>IF(AND($H355=pt,$F355=11),SUM($Q$7:Q355)*VLOOKUP(pt,ROC,2,FALSE),0)</f>
        <v>0</v>
      </c>
      <c r="AD355" s="14">
        <f t="shared" ca="1" si="266"/>
        <v>0</v>
      </c>
      <c r="AE355" s="14">
        <f ca="1">(MAX(sa-CF354*Flag_UL_Type,105%*SUM($I$7:I355),Z355)+AU355)*B355</f>
        <v>0</v>
      </c>
      <c r="AF355" s="136"/>
      <c r="AG355" s="18">
        <v>349</v>
      </c>
      <c r="AH355" s="30">
        <f t="shared" ca="1" si="245"/>
        <v>0</v>
      </c>
      <c r="AI355" s="58"/>
      <c r="AJ355" s="50">
        <f>IF(AND(Option_Sys_TopUp&gt;="Y",H355&gt;=sytp,H355&lt;=(dtp+sytp-1),F355=0,H355&lt;=ppt+1),atp,0)+IFERROR(VLOOKUP(H355,Input!$B$55:$C$61,2,0),0)*(F355=0)*(Option_TopUP="Y")*(Option_Sys_TopUp="N")*B355*(pt&gt;=H355+5)</f>
        <v>0</v>
      </c>
      <c r="AK355" s="50">
        <f t="shared" si="246"/>
        <v>0</v>
      </c>
      <c r="AL355" s="50">
        <f t="shared" si="267"/>
        <v>0</v>
      </c>
      <c r="AM355" s="50">
        <f t="shared" ca="1" si="247"/>
        <v>0</v>
      </c>
      <c r="AN355" s="50">
        <f>IF(B355=0,0,AT355*(_rpm1+(1+_emr1)*VLOOKUP(E355,Tab_Mort_Charge,IF(Input!$C$12="M",2,3),0))*(0.001*0.0833)*Flag_Mort_Rider_Charge*(AT355&gt;0))</f>
        <v>0</v>
      </c>
      <c r="AO355" s="50">
        <f t="shared" ca="1" si="268"/>
        <v>0</v>
      </c>
      <c r="AP355" s="50">
        <f t="shared" ca="1" si="275"/>
        <v>0</v>
      </c>
      <c r="AQ355" s="50">
        <f t="shared" ca="1" si="248"/>
        <v>0</v>
      </c>
      <c r="AR355" s="50">
        <f t="shared" ca="1" si="249"/>
        <v>0</v>
      </c>
      <c r="AS355" s="50">
        <f t="shared" si="250"/>
        <v>0</v>
      </c>
      <c r="AT355" s="50">
        <f ca="1">(MAX((MAX(AS355,105%*SUM($AJ$7:AJ355))-AM355*Flag_UL_Type),0)*B355)</f>
        <v>0</v>
      </c>
      <c r="AU355" s="50">
        <f ca="1">(MAX(AS355,AR355,105%*SUM($AJ$7:AJ355))*B355)</f>
        <v>0</v>
      </c>
      <c r="AV355" s="125"/>
      <c r="AW355" s="13"/>
      <c r="AX355" s="13"/>
      <c r="AY355" s="13"/>
      <c r="AZ355" s="13"/>
      <c r="BA355" s="13"/>
      <c r="BG355" s="51">
        <f t="shared" si="251"/>
        <v>0</v>
      </c>
      <c r="BH355" s="51">
        <f t="shared" si="252"/>
        <v>0</v>
      </c>
      <c r="BI355" s="51">
        <f t="shared" ca="1" si="253"/>
        <v>0</v>
      </c>
      <c r="BJ355" s="51">
        <f t="shared" ca="1" si="254"/>
        <v>0</v>
      </c>
      <c r="BK355" s="51">
        <f t="shared" si="255"/>
        <v>0</v>
      </c>
      <c r="BL355" s="51">
        <f t="shared" ca="1" si="256"/>
        <v>0</v>
      </c>
      <c r="BM355" s="51">
        <f t="shared" si="257"/>
        <v>0</v>
      </c>
      <c r="BN355" s="51">
        <f t="shared" si="258"/>
        <v>0</v>
      </c>
      <c r="BO355" s="51">
        <f t="shared" ca="1" si="259"/>
        <v>0</v>
      </c>
      <c r="BP355" s="51">
        <f t="shared" ca="1" si="260"/>
        <v>0</v>
      </c>
      <c r="BQ355" s="120"/>
      <c r="BR355" s="32"/>
      <c r="BS355" s="126"/>
      <c r="BT355" s="16"/>
      <c r="BU355" s="58"/>
      <c r="BW355" s="51">
        <f>VLOOKUP(H355,Charges!$AT$4:$AU$33,2,FALSE)*I355</f>
        <v>0</v>
      </c>
      <c r="BX355" s="51">
        <f t="shared" si="261"/>
        <v>0</v>
      </c>
      <c r="BY355" s="51">
        <f t="shared" si="269"/>
        <v>0</v>
      </c>
      <c r="BZ355" s="151"/>
      <c r="CA355" s="151"/>
      <c r="CB355" s="32"/>
      <c r="CC355" s="16">
        <f ca="1">SUM($N$7:$N355)</f>
        <v>0</v>
      </c>
      <c r="CD355" s="16">
        <f t="shared" ca="1" si="262"/>
        <v>0</v>
      </c>
      <c r="CE355" s="16">
        <f t="shared" ca="1" si="263"/>
        <v>0</v>
      </c>
      <c r="CF355" s="7">
        <f t="shared" ca="1" si="270"/>
        <v>0</v>
      </c>
    </row>
    <row r="356" spans="1:84" s="7" customFormat="1" x14ac:dyDescent="0.2">
      <c r="A356" s="149"/>
      <c r="B356" s="14">
        <f t="shared" si="232"/>
        <v>0</v>
      </c>
      <c r="C356" s="12">
        <f t="shared" si="233"/>
        <v>0</v>
      </c>
      <c r="D356" s="17">
        <f t="shared" si="271"/>
        <v>350</v>
      </c>
      <c r="E356" s="17">
        <f t="shared" ca="1" si="234"/>
        <v>89</v>
      </c>
      <c r="F356" s="12">
        <f t="shared" si="273"/>
        <v>1</v>
      </c>
      <c r="G356" s="12">
        <f t="shared" si="272"/>
        <v>59</v>
      </c>
      <c r="H356" s="17">
        <f t="shared" si="274"/>
        <v>30</v>
      </c>
      <c r="I356" s="29">
        <f t="shared" si="235"/>
        <v>0</v>
      </c>
      <c r="J356" s="211">
        <f>IFERROR(VLOOKUP(H356,Charges!$T$6:$U$35,2,0)*C356,0)</f>
        <v>0</v>
      </c>
      <c r="K356" s="29">
        <f t="shared" si="236"/>
        <v>0</v>
      </c>
      <c r="L356" s="29">
        <f t="shared" si="237"/>
        <v>0</v>
      </c>
      <c r="M356" s="147">
        <f t="shared" ca="1" si="238"/>
        <v>0</v>
      </c>
      <c r="N356" s="148">
        <f ca="1">IF(AND(Option_SPW="Y",Z355&gt;=SPW_Start_Min_FV,H356&gt;=Lock_In_Period,Z355&gt;SPW_Amount_pa+IF(option="Single",1/5*pr,2*pr),H356&gt;=SPW_Start_Year,H356&lt;=SPW_Start_Year+SPW_Duration-1,F356=0,age+H356&gt;=Legal_Age),SPW_Amount_pa,0)+IFERROR(VLOOKUP(H356,Input!$B$68:$C$74,2,0),0)*(F356=0)*(Option_PW="Y")*(Option_SPW="N")*(age+H356&gt;=Legal_Age)</f>
        <v>0</v>
      </c>
      <c r="O356" s="148">
        <f t="shared" ca="1" si="264"/>
        <v>0</v>
      </c>
      <c r="P356" s="14">
        <f ca="1">(MAX(MAX(sa-CF355*Flag_UL_Type,105%*SUM($I$7:I356))-(AD355+L356-N356)*Flag_UL_Type,0)*B356)</f>
        <v>0</v>
      </c>
      <c r="Q356" s="213">
        <f t="shared" si="239"/>
        <v>0</v>
      </c>
      <c r="R356" s="14">
        <f t="shared" ca="1" si="240"/>
        <v>0</v>
      </c>
      <c r="S356" s="14">
        <f t="shared" ca="1" si="241"/>
        <v>0</v>
      </c>
      <c r="T356" s="14">
        <f>IFERROR(IF(WoP_Flag="Y",IF(fq=1,VLOOKUP(ppt*fq-H356,Charges!$AN$41:$AO$59,2,FALSE),IF(fq=2,VLOOKUP(ppt*fq-G356,Charges!$AP$41:$AQ$79,2,FALSE),VLOOKUP(ppt*fq-D356,Charges!$AR$41:$AS$279,2,FALSE)))*pr/fq,0),0)</f>
        <v>0</v>
      </c>
      <c r="U356" s="14">
        <f ca="1">IFERROR(((T356*(VLOOKUP(Input!$D$18+H356-1,Tab_Mort_Charge,IF(Gender_2="M",2,3),FALSE)*(1+_emr2)+_rpm2)/IF(Model_Type="LA_PQIS",1000/0.0833,(12*1000))))*Flag_Mort_Rider_Charge*(T356&gt;0),0)</f>
        <v>0</v>
      </c>
      <c r="V356" s="34">
        <f>ROUND(MIN(IF(H356&gt;=7,Charges!$C$12*(1+Charges!$C$14)^((H356-7+1)),VLOOKUP(H356,Charges!$B$7:$C$12,2,0))*pr,Charges!$C$13)*B356,Round)</f>
        <v>0</v>
      </c>
      <c r="W356" s="14">
        <f t="shared" ca="1" si="242"/>
        <v>0</v>
      </c>
      <c r="X356" s="14">
        <f t="shared" ca="1" si="243"/>
        <v>0</v>
      </c>
      <c r="Y356" s="213">
        <f t="shared" ca="1" si="265"/>
        <v>0</v>
      </c>
      <c r="Z356" s="14">
        <f t="shared" ca="1" si="244"/>
        <v>0</v>
      </c>
      <c r="AA356" s="14">
        <f>IF(AND($H356=pt,$F356=11),SUM($K$7:K356)*VLOOKUP(pt,ROC,2,FALSE),0)</f>
        <v>0</v>
      </c>
      <c r="AB356" s="14">
        <f>IF(AND($H356=pt,$F356=11),SUM($V$7:V356)*VLOOKUP(pt,ROC,2,FALSE),0)</f>
        <v>0</v>
      </c>
      <c r="AC356" s="14">
        <f>IF(AND($H356=pt,$F356=11),SUM($Q$7:Q356)*VLOOKUP(pt,ROC,2,FALSE),0)</f>
        <v>0</v>
      </c>
      <c r="AD356" s="14">
        <f t="shared" ca="1" si="266"/>
        <v>0</v>
      </c>
      <c r="AE356" s="14">
        <f ca="1">(MAX(sa-CF355*Flag_UL_Type,105%*SUM($I$7:I356),Z356)+AU356)*B356</f>
        <v>0</v>
      </c>
      <c r="AF356" s="136"/>
      <c r="AG356" s="18">
        <v>350</v>
      </c>
      <c r="AH356" s="30">
        <f t="shared" ca="1" si="245"/>
        <v>0</v>
      </c>
      <c r="AI356" s="58"/>
      <c r="AJ356" s="50">
        <f>IF(AND(Option_Sys_TopUp&gt;="Y",H356&gt;=sytp,H356&lt;=(dtp+sytp-1),F356=0,H356&lt;=ppt+1),atp,0)+IFERROR(VLOOKUP(H356,Input!$B$55:$C$61,2,0),0)*(F356=0)*(Option_TopUP="Y")*(Option_Sys_TopUp="N")*B356*(pt&gt;=H356+5)</f>
        <v>0</v>
      </c>
      <c r="AK356" s="50">
        <f t="shared" si="246"/>
        <v>0</v>
      </c>
      <c r="AL356" s="50">
        <f t="shared" si="267"/>
        <v>0</v>
      </c>
      <c r="AM356" s="50">
        <f t="shared" ca="1" si="247"/>
        <v>0</v>
      </c>
      <c r="AN356" s="50">
        <f>IF(B356=0,0,AT356*(_rpm1+(1+_emr1)*VLOOKUP(E356,Tab_Mort_Charge,IF(Input!$C$12="M",2,3),0))*(0.001*0.0833)*Flag_Mort_Rider_Charge*(AT356&gt;0))</f>
        <v>0</v>
      </c>
      <c r="AO356" s="50">
        <f t="shared" ca="1" si="268"/>
        <v>0</v>
      </c>
      <c r="AP356" s="50">
        <f t="shared" ca="1" si="275"/>
        <v>0</v>
      </c>
      <c r="AQ356" s="50">
        <f t="shared" ca="1" si="248"/>
        <v>0</v>
      </c>
      <c r="AR356" s="50">
        <f t="shared" ca="1" si="249"/>
        <v>0</v>
      </c>
      <c r="AS356" s="50">
        <f t="shared" si="250"/>
        <v>0</v>
      </c>
      <c r="AT356" s="50">
        <f ca="1">(MAX((MAX(AS356,105%*SUM($AJ$7:AJ356))-AM356*Flag_UL_Type),0)*B356)</f>
        <v>0</v>
      </c>
      <c r="AU356" s="50">
        <f ca="1">(MAX(AS356,AR356,105%*SUM($AJ$7:AJ356))*B356)</f>
        <v>0</v>
      </c>
      <c r="AV356" s="125"/>
      <c r="AW356" s="13"/>
      <c r="AX356" s="13"/>
      <c r="AY356" s="13"/>
      <c r="AZ356" s="13"/>
      <c r="BA356" s="13"/>
      <c r="BG356" s="51">
        <f t="shared" si="251"/>
        <v>0</v>
      </c>
      <c r="BH356" s="51">
        <f t="shared" si="252"/>
        <v>0</v>
      </c>
      <c r="BI356" s="51">
        <f t="shared" ca="1" si="253"/>
        <v>0</v>
      </c>
      <c r="BJ356" s="51">
        <f t="shared" ca="1" si="254"/>
        <v>0</v>
      </c>
      <c r="BK356" s="51">
        <f t="shared" si="255"/>
        <v>0</v>
      </c>
      <c r="BL356" s="51">
        <f t="shared" ca="1" si="256"/>
        <v>0</v>
      </c>
      <c r="BM356" s="51">
        <f t="shared" si="257"/>
        <v>0</v>
      </c>
      <c r="BN356" s="51">
        <f t="shared" si="258"/>
        <v>0</v>
      </c>
      <c r="BO356" s="51">
        <f t="shared" ca="1" si="259"/>
        <v>0</v>
      </c>
      <c r="BP356" s="51">
        <f t="shared" ca="1" si="260"/>
        <v>0</v>
      </c>
      <c r="BQ356" s="120"/>
      <c r="BR356" s="32"/>
      <c r="BS356" s="126"/>
      <c r="BT356" s="16"/>
      <c r="BU356" s="58"/>
      <c r="BW356" s="51">
        <f>VLOOKUP(H356,Charges!$AT$4:$AU$33,2,FALSE)*I356</f>
        <v>0</v>
      </c>
      <c r="BX356" s="51">
        <f t="shared" si="261"/>
        <v>0</v>
      </c>
      <c r="BY356" s="51">
        <f t="shared" si="269"/>
        <v>0</v>
      </c>
      <c r="BZ356" s="151"/>
      <c r="CA356" s="151"/>
      <c r="CB356" s="32"/>
      <c r="CC356" s="16">
        <f ca="1">SUM($N$7:$N356)</f>
        <v>0</v>
      </c>
      <c r="CD356" s="16">
        <f t="shared" ca="1" si="262"/>
        <v>0</v>
      </c>
      <c r="CE356" s="16">
        <f t="shared" ca="1" si="263"/>
        <v>0</v>
      </c>
      <c r="CF356" s="7">
        <f t="shared" ca="1" si="270"/>
        <v>0</v>
      </c>
    </row>
    <row r="357" spans="1:84" s="7" customFormat="1" x14ac:dyDescent="0.2">
      <c r="A357" s="149"/>
      <c r="B357" s="14">
        <f t="shared" si="232"/>
        <v>0</v>
      </c>
      <c r="C357" s="12">
        <f t="shared" si="233"/>
        <v>0</v>
      </c>
      <c r="D357" s="17">
        <f t="shared" si="271"/>
        <v>351</v>
      </c>
      <c r="E357" s="17">
        <f t="shared" ca="1" si="234"/>
        <v>89</v>
      </c>
      <c r="F357" s="12">
        <f t="shared" si="273"/>
        <v>2</v>
      </c>
      <c r="G357" s="12">
        <f t="shared" si="272"/>
        <v>59</v>
      </c>
      <c r="H357" s="17">
        <f t="shared" si="274"/>
        <v>30</v>
      </c>
      <c r="I357" s="29">
        <f t="shared" si="235"/>
        <v>0</v>
      </c>
      <c r="J357" s="211">
        <f>IFERROR(VLOOKUP(H357,Charges!$T$6:$U$35,2,0)*C357,0)</f>
        <v>0</v>
      </c>
      <c r="K357" s="29">
        <f t="shared" si="236"/>
        <v>0</v>
      </c>
      <c r="L357" s="29">
        <f t="shared" si="237"/>
        <v>0</v>
      </c>
      <c r="M357" s="147">
        <f t="shared" ca="1" si="238"/>
        <v>0</v>
      </c>
      <c r="N357" s="148">
        <f ca="1">IF(AND(Option_SPW="Y",Z356&gt;=SPW_Start_Min_FV,H357&gt;=Lock_In_Period,Z356&gt;SPW_Amount_pa+IF(option="Single",1/5*pr,2*pr),H357&gt;=SPW_Start_Year,H357&lt;=SPW_Start_Year+SPW_Duration-1,F357=0,age+H357&gt;=Legal_Age),SPW_Amount_pa,0)+IFERROR(VLOOKUP(H357,Input!$B$68:$C$74,2,0),0)*(F357=0)*(Option_PW="Y")*(Option_SPW="N")*(age+H357&gt;=Legal_Age)</f>
        <v>0</v>
      </c>
      <c r="O357" s="148">
        <f t="shared" ca="1" si="264"/>
        <v>0</v>
      </c>
      <c r="P357" s="14">
        <f ca="1">(MAX(MAX(sa-CF356*Flag_UL_Type,105%*SUM($I$7:I357))-(AD356+L357-N357)*Flag_UL_Type,0)*B357)</f>
        <v>0</v>
      </c>
      <c r="Q357" s="213">
        <f t="shared" si="239"/>
        <v>0</v>
      </c>
      <c r="R357" s="14">
        <f t="shared" ca="1" si="240"/>
        <v>0</v>
      </c>
      <c r="S357" s="14">
        <f t="shared" ca="1" si="241"/>
        <v>0</v>
      </c>
      <c r="T357" s="14">
        <f>IFERROR(IF(WoP_Flag="Y",IF(fq=1,VLOOKUP(ppt*fq-H357,Charges!$AN$41:$AO$59,2,FALSE),IF(fq=2,VLOOKUP(ppt*fq-G357,Charges!$AP$41:$AQ$79,2,FALSE),VLOOKUP(ppt*fq-D357,Charges!$AR$41:$AS$279,2,FALSE)))*pr/fq,0),0)</f>
        <v>0</v>
      </c>
      <c r="U357" s="14">
        <f ca="1">IFERROR(((T357*(VLOOKUP(Input!$D$18+H357-1,Tab_Mort_Charge,IF(Gender_2="M",2,3),FALSE)*(1+_emr2)+_rpm2)/IF(Model_Type="LA_PQIS",1000/0.0833,(12*1000))))*Flag_Mort_Rider_Charge*(T357&gt;0),0)</f>
        <v>0</v>
      </c>
      <c r="V357" s="34">
        <f>ROUND(MIN(IF(H357&gt;=7,Charges!$C$12*(1+Charges!$C$14)^((H357-7+1)),VLOOKUP(H357,Charges!$B$7:$C$12,2,0))*pr,Charges!$C$13)*B357,Round)</f>
        <v>0</v>
      </c>
      <c r="W357" s="14">
        <f t="shared" ca="1" si="242"/>
        <v>0</v>
      </c>
      <c r="X357" s="14">
        <f t="shared" ca="1" si="243"/>
        <v>0</v>
      </c>
      <c r="Y357" s="213">
        <f t="shared" ca="1" si="265"/>
        <v>0</v>
      </c>
      <c r="Z357" s="14">
        <f t="shared" ca="1" si="244"/>
        <v>0</v>
      </c>
      <c r="AA357" s="14">
        <f>IF(AND($H357=pt,$F357=11),SUM($K$7:K357)*VLOOKUP(pt,ROC,2,FALSE),0)</f>
        <v>0</v>
      </c>
      <c r="AB357" s="14">
        <f>IF(AND($H357=pt,$F357=11),SUM($V$7:V357)*VLOOKUP(pt,ROC,2,FALSE),0)</f>
        <v>0</v>
      </c>
      <c r="AC357" s="14">
        <f>IF(AND($H357=pt,$F357=11),SUM($Q$7:Q357)*VLOOKUP(pt,ROC,2,FALSE),0)</f>
        <v>0</v>
      </c>
      <c r="AD357" s="14">
        <f t="shared" ca="1" si="266"/>
        <v>0</v>
      </c>
      <c r="AE357" s="14">
        <f ca="1">(MAX(sa-CF356*Flag_UL_Type,105%*SUM($I$7:I357),Z357)+AU357)*B357</f>
        <v>0</v>
      </c>
      <c r="AF357" s="136"/>
      <c r="AG357" s="18">
        <v>351</v>
      </c>
      <c r="AH357" s="30">
        <f t="shared" ca="1" si="245"/>
        <v>0</v>
      </c>
      <c r="AI357" s="58"/>
      <c r="AJ357" s="50">
        <f>IF(AND(Option_Sys_TopUp&gt;="Y",H357&gt;=sytp,H357&lt;=(dtp+sytp-1),F357=0,H357&lt;=ppt+1),atp,0)+IFERROR(VLOOKUP(H357,Input!$B$55:$C$61,2,0),0)*(F357=0)*(Option_TopUP="Y")*(Option_Sys_TopUp="N")*B357*(pt&gt;=H357+5)</f>
        <v>0</v>
      </c>
      <c r="AK357" s="50">
        <f t="shared" si="246"/>
        <v>0</v>
      </c>
      <c r="AL357" s="50">
        <f t="shared" si="267"/>
        <v>0</v>
      </c>
      <c r="AM357" s="50">
        <f t="shared" ca="1" si="247"/>
        <v>0</v>
      </c>
      <c r="AN357" s="50">
        <f>IF(B357=0,0,AT357*(_rpm1+(1+_emr1)*VLOOKUP(E357,Tab_Mort_Charge,IF(Input!$C$12="M",2,3),0))*(0.001*0.0833)*Flag_Mort_Rider_Charge*(AT357&gt;0))</f>
        <v>0</v>
      </c>
      <c r="AO357" s="50">
        <f t="shared" ca="1" si="268"/>
        <v>0</v>
      </c>
      <c r="AP357" s="50">
        <f t="shared" ca="1" si="275"/>
        <v>0</v>
      </c>
      <c r="AQ357" s="50">
        <f t="shared" ca="1" si="248"/>
        <v>0</v>
      </c>
      <c r="AR357" s="50">
        <f t="shared" ca="1" si="249"/>
        <v>0</v>
      </c>
      <c r="AS357" s="50">
        <f t="shared" si="250"/>
        <v>0</v>
      </c>
      <c r="AT357" s="50">
        <f ca="1">(MAX((MAX(AS357,105%*SUM($AJ$7:AJ357))-AM357*Flag_UL_Type),0)*B357)</f>
        <v>0</v>
      </c>
      <c r="AU357" s="50">
        <f ca="1">(MAX(AS357,AR357,105%*SUM($AJ$7:AJ357))*B357)</f>
        <v>0</v>
      </c>
      <c r="AV357" s="125"/>
      <c r="AW357" s="13"/>
      <c r="AX357" s="13"/>
      <c r="AY357" s="13"/>
      <c r="AZ357" s="13"/>
      <c r="BA357" s="13"/>
      <c r="BG357" s="51">
        <f t="shared" si="251"/>
        <v>0</v>
      </c>
      <c r="BH357" s="51">
        <f t="shared" si="252"/>
        <v>0</v>
      </c>
      <c r="BI357" s="51">
        <f t="shared" ca="1" si="253"/>
        <v>0</v>
      </c>
      <c r="BJ357" s="51">
        <f t="shared" ca="1" si="254"/>
        <v>0</v>
      </c>
      <c r="BK357" s="51">
        <f t="shared" si="255"/>
        <v>0</v>
      </c>
      <c r="BL357" s="51">
        <f t="shared" ca="1" si="256"/>
        <v>0</v>
      </c>
      <c r="BM357" s="51">
        <f t="shared" si="257"/>
        <v>0</v>
      </c>
      <c r="BN357" s="51">
        <f t="shared" si="258"/>
        <v>0</v>
      </c>
      <c r="BO357" s="51">
        <f t="shared" ca="1" si="259"/>
        <v>0</v>
      </c>
      <c r="BP357" s="51">
        <f t="shared" ca="1" si="260"/>
        <v>0</v>
      </c>
      <c r="BQ357" s="120"/>
      <c r="BR357" s="32"/>
      <c r="BS357" s="126"/>
      <c r="BT357" s="16"/>
      <c r="BU357" s="58"/>
      <c r="BW357" s="51">
        <f>VLOOKUP(H357,Charges!$AT$4:$AU$33,2,FALSE)*I357</f>
        <v>0</v>
      </c>
      <c r="BX357" s="51">
        <f t="shared" si="261"/>
        <v>0</v>
      </c>
      <c r="BY357" s="51">
        <f t="shared" si="269"/>
        <v>0</v>
      </c>
      <c r="BZ357" s="151"/>
      <c r="CA357" s="151"/>
      <c r="CB357" s="32"/>
      <c r="CC357" s="16">
        <f ca="1">SUM($N$7:$N357)</f>
        <v>0</v>
      </c>
      <c r="CD357" s="16">
        <f t="shared" ca="1" si="262"/>
        <v>0</v>
      </c>
      <c r="CE357" s="16">
        <f t="shared" ca="1" si="263"/>
        <v>0</v>
      </c>
      <c r="CF357" s="7">
        <f t="shared" ca="1" si="270"/>
        <v>0</v>
      </c>
    </row>
    <row r="358" spans="1:84" s="7" customFormat="1" x14ac:dyDescent="0.2">
      <c r="A358" s="149"/>
      <c r="B358" s="14">
        <f t="shared" si="232"/>
        <v>0</v>
      </c>
      <c r="C358" s="12">
        <f t="shared" si="233"/>
        <v>0</v>
      </c>
      <c r="D358" s="17">
        <f t="shared" si="271"/>
        <v>352</v>
      </c>
      <c r="E358" s="17">
        <f t="shared" ca="1" si="234"/>
        <v>89</v>
      </c>
      <c r="F358" s="12">
        <f t="shared" si="273"/>
        <v>3</v>
      </c>
      <c r="G358" s="12">
        <f t="shared" si="272"/>
        <v>59</v>
      </c>
      <c r="H358" s="17">
        <f t="shared" si="274"/>
        <v>30</v>
      </c>
      <c r="I358" s="29">
        <f t="shared" si="235"/>
        <v>0</v>
      </c>
      <c r="J358" s="211">
        <f>IFERROR(VLOOKUP(H358,Charges!$T$6:$U$35,2,0)*C358,0)</f>
        <v>0</v>
      </c>
      <c r="K358" s="29">
        <f t="shared" si="236"/>
        <v>0</v>
      </c>
      <c r="L358" s="29">
        <f t="shared" si="237"/>
        <v>0</v>
      </c>
      <c r="M358" s="147">
        <f t="shared" ca="1" si="238"/>
        <v>0</v>
      </c>
      <c r="N358" s="148">
        <f ca="1">IF(AND(Option_SPW="Y",Z357&gt;=SPW_Start_Min_FV,H358&gt;=Lock_In_Period,Z357&gt;SPW_Amount_pa+IF(option="Single",1/5*pr,2*pr),H358&gt;=SPW_Start_Year,H358&lt;=SPW_Start_Year+SPW_Duration-1,F358=0,age+H358&gt;=Legal_Age),SPW_Amount_pa,0)+IFERROR(VLOOKUP(H358,Input!$B$68:$C$74,2,0),0)*(F358=0)*(Option_PW="Y")*(Option_SPW="N")*(age+H358&gt;=Legal_Age)</f>
        <v>0</v>
      </c>
      <c r="O358" s="148">
        <f t="shared" ca="1" si="264"/>
        <v>0</v>
      </c>
      <c r="P358" s="14">
        <f ca="1">(MAX(MAX(sa-CF357*Flag_UL_Type,105%*SUM($I$7:I358))-(AD357+L358-N358)*Flag_UL_Type,0)*B358)</f>
        <v>0</v>
      </c>
      <c r="Q358" s="213">
        <f t="shared" si="239"/>
        <v>0</v>
      </c>
      <c r="R358" s="14">
        <f t="shared" ca="1" si="240"/>
        <v>0</v>
      </c>
      <c r="S358" s="14">
        <f t="shared" ca="1" si="241"/>
        <v>0</v>
      </c>
      <c r="T358" s="14">
        <f>IFERROR(IF(WoP_Flag="Y",IF(fq=1,VLOOKUP(ppt*fq-H358,Charges!$AN$41:$AO$59,2,FALSE),IF(fq=2,VLOOKUP(ppt*fq-G358,Charges!$AP$41:$AQ$79,2,FALSE),VLOOKUP(ppt*fq-D358,Charges!$AR$41:$AS$279,2,FALSE)))*pr/fq,0),0)</f>
        <v>0</v>
      </c>
      <c r="U358" s="14">
        <f ca="1">IFERROR(((T358*(VLOOKUP(Input!$D$18+H358-1,Tab_Mort_Charge,IF(Gender_2="M",2,3),FALSE)*(1+_emr2)+_rpm2)/IF(Model_Type="LA_PQIS",1000/0.0833,(12*1000))))*Flag_Mort_Rider_Charge*(T358&gt;0),0)</f>
        <v>0</v>
      </c>
      <c r="V358" s="34">
        <f>ROUND(MIN(IF(H358&gt;=7,Charges!$C$12*(1+Charges!$C$14)^((H358-7+1)),VLOOKUP(H358,Charges!$B$7:$C$12,2,0))*pr,Charges!$C$13)*B358,Round)</f>
        <v>0</v>
      </c>
      <c r="W358" s="14">
        <f t="shared" ca="1" si="242"/>
        <v>0</v>
      </c>
      <c r="X358" s="14">
        <f t="shared" ca="1" si="243"/>
        <v>0</v>
      </c>
      <c r="Y358" s="213">
        <f t="shared" ca="1" si="265"/>
        <v>0</v>
      </c>
      <c r="Z358" s="14">
        <f t="shared" ca="1" si="244"/>
        <v>0</v>
      </c>
      <c r="AA358" s="14">
        <f>IF(AND($H358=pt,$F358=11),SUM($K$7:K358)*VLOOKUP(pt,ROC,2,FALSE),0)</f>
        <v>0</v>
      </c>
      <c r="AB358" s="14">
        <f>IF(AND($H358=pt,$F358=11),SUM($V$7:V358)*VLOOKUP(pt,ROC,2,FALSE),0)</f>
        <v>0</v>
      </c>
      <c r="AC358" s="14">
        <f>IF(AND($H358=pt,$F358=11),SUM($Q$7:Q358)*VLOOKUP(pt,ROC,2,FALSE),0)</f>
        <v>0</v>
      </c>
      <c r="AD358" s="14">
        <f t="shared" ca="1" si="266"/>
        <v>0</v>
      </c>
      <c r="AE358" s="14">
        <f ca="1">(MAX(sa-CF357*Flag_UL_Type,105%*SUM($I$7:I358),Z358)+AU358)*B358</f>
        <v>0</v>
      </c>
      <c r="AF358" s="136"/>
      <c r="AG358" s="18">
        <v>352</v>
      </c>
      <c r="AH358" s="30">
        <f t="shared" ca="1" si="245"/>
        <v>0</v>
      </c>
      <c r="AI358" s="58"/>
      <c r="AJ358" s="50">
        <f>IF(AND(Option_Sys_TopUp&gt;="Y",H358&gt;=sytp,H358&lt;=(dtp+sytp-1),F358=0,H358&lt;=ppt+1),atp,0)+IFERROR(VLOOKUP(H358,Input!$B$55:$C$61,2,0),0)*(F358=0)*(Option_TopUP="Y")*(Option_Sys_TopUp="N")*B358*(pt&gt;=H358+5)</f>
        <v>0</v>
      </c>
      <c r="AK358" s="50">
        <f t="shared" si="246"/>
        <v>0</v>
      </c>
      <c r="AL358" s="50">
        <f t="shared" si="267"/>
        <v>0</v>
      </c>
      <c r="AM358" s="50">
        <f t="shared" ca="1" si="247"/>
        <v>0</v>
      </c>
      <c r="AN358" s="50">
        <f>IF(B358=0,0,AT358*(_rpm1+(1+_emr1)*VLOOKUP(E358,Tab_Mort_Charge,IF(Input!$C$12="M",2,3),0))*(0.001*0.0833)*Flag_Mort_Rider_Charge*(AT358&gt;0))</f>
        <v>0</v>
      </c>
      <c r="AO358" s="50">
        <f t="shared" ca="1" si="268"/>
        <v>0</v>
      </c>
      <c r="AP358" s="50">
        <f t="shared" ca="1" si="275"/>
        <v>0</v>
      </c>
      <c r="AQ358" s="50">
        <f t="shared" ca="1" si="248"/>
        <v>0</v>
      </c>
      <c r="AR358" s="50">
        <f t="shared" ca="1" si="249"/>
        <v>0</v>
      </c>
      <c r="AS358" s="50">
        <f t="shared" si="250"/>
        <v>0</v>
      </c>
      <c r="AT358" s="50">
        <f ca="1">(MAX((MAX(AS358,105%*SUM($AJ$7:AJ358))-AM358*Flag_UL_Type),0)*B358)</f>
        <v>0</v>
      </c>
      <c r="AU358" s="50">
        <f ca="1">(MAX(AS358,AR358,105%*SUM($AJ$7:AJ358))*B358)</f>
        <v>0</v>
      </c>
      <c r="AV358" s="125"/>
      <c r="AW358" s="13"/>
      <c r="AX358" s="13"/>
      <c r="AY358" s="13"/>
      <c r="AZ358" s="13"/>
      <c r="BA358" s="13"/>
      <c r="BG358" s="51">
        <f t="shared" si="251"/>
        <v>0</v>
      </c>
      <c r="BH358" s="51">
        <f t="shared" si="252"/>
        <v>0</v>
      </c>
      <c r="BI358" s="51">
        <f t="shared" ca="1" si="253"/>
        <v>0</v>
      </c>
      <c r="BJ358" s="51">
        <f t="shared" ca="1" si="254"/>
        <v>0</v>
      </c>
      <c r="BK358" s="51">
        <f t="shared" si="255"/>
        <v>0</v>
      </c>
      <c r="BL358" s="51">
        <f t="shared" ca="1" si="256"/>
        <v>0</v>
      </c>
      <c r="BM358" s="51">
        <f t="shared" si="257"/>
        <v>0</v>
      </c>
      <c r="BN358" s="51">
        <f t="shared" si="258"/>
        <v>0</v>
      </c>
      <c r="BO358" s="51">
        <f t="shared" ca="1" si="259"/>
        <v>0</v>
      </c>
      <c r="BP358" s="51">
        <f t="shared" ca="1" si="260"/>
        <v>0</v>
      </c>
      <c r="BQ358" s="120"/>
      <c r="BR358" s="32"/>
      <c r="BS358" s="126"/>
      <c r="BT358" s="16"/>
      <c r="BU358" s="58"/>
      <c r="BW358" s="51">
        <f>VLOOKUP(H358,Charges!$AT$4:$AU$33,2,FALSE)*I358</f>
        <v>0</v>
      </c>
      <c r="BX358" s="51">
        <f t="shared" si="261"/>
        <v>0</v>
      </c>
      <c r="BY358" s="51">
        <f t="shared" si="269"/>
        <v>0</v>
      </c>
      <c r="BZ358" s="151"/>
      <c r="CA358" s="151"/>
      <c r="CB358" s="32"/>
      <c r="CC358" s="16">
        <f ca="1">SUM($N$7:$N358)</f>
        <v>0</v>
      </c>
      <c r="CD358" s="16">
        <f t="shared" ca="1" si="262"/>
        <v>0</v>
      </c>
      <c r="CE358" s="16">
        <f t="shared" ca="1" si="263"/>
        <v>0</v>
      </c>
      <c r="CF358" s="7">
        <f t="shared" ca="1" si="270"/>
        <v>0</v>
      </c>
    </row>
    <row r="359" spans="1:84" s="7" customFormat="1" x14ac:dyDescent="0.2">
      <c r="A359" s="149"/>
      <c r="B359" s="14">
        <f t="shared" si="232"/>
        <v>0</v>
      </c>
      <c r="C359" s="12">
        <f t="shared" si="233"/>
        <v>0</v>
      </c>
      <c r="D359" s="17">
        <f t="shared" si="271"/>
        <v>353</v>
      </c>
      <c r="E359" s="17">
        <f t="shared" ca="1" si="234"/>
        <v>89</v>
      </c>
      <c r="F359" s="12">
        <f t="shared" si="273"/>
        <v>4</v>
      </c>
      <c r="G359" s="12">
        <f t="shared" si="272"/>
        <v>59</v>
      </c>
      <c r="H359" s="17">
        <f t="shared" si="274"/>
        <v>30</v>
      </c>
      <c r="I359" s="29">
        <f t="shared" si="235"/>
        <v>0</v>
      </c>
      <c r="J359" s="211">
        <f>IFERROR(VLOOKUP(H359,Charges!$T$6:$U$35,2,0)*C359,0)</f>
        <v>0</v>
      </c>
      <c r="K359" s="29">
        <f t="shared" si="236"/>
        <v>0</v>
      </c>
      <c r="L359" s="29">
        <f t="shared" si="237"/>
        <v>0</v>
      </c>
      <c r="M359" s="147">
        <f t="shared" ca="1" si="238"/>
        <v>0</v>
      </c>
      <c r="N359" s="148">
        <f ca="1">IF(AND(Option_SPW="Y",Z358&gt;=SPW_Start_Min_FV,H359&gt;=Lock_In_Period,Z358&gt;SPW_Amount_pa+IF(option="Single",1/5*pr,2*pr),H359&gt;=SPW_Start_Year,H359&lt;=SPW_Start_Year+SPW_Duration-1,F359=0,age+H359&gt;=Legal_Age),SPW_Amount_pa,0)+IFERROR(VLOOKUP(H359,Input!$B$68:$C$74,2,0),0)*(F359=0)*(Option_PW="Y")*(Option_SPW="N")*(age+H359&gt;=Legal_Age)</f>
        <v>0</v>
      </c>
      <c r="O359" s="148">
        <f t="shared" ca="1" si="264"/>
        <v>0</v>
      </c>
      <c r="P359" s="14">
        <f ca="1">(MAX(MAX(sa-CF358*Flag_UL_Type,105%*SUM($I$7:I359))-(AD358+L359-N359)*Flag_UL_Type,0)*B359)</f>
        <v>0</v>
      </c>
      <c r="Q359" s="213">
        <f t="shared" si="239"/>
        <v>0</v>
      </c>
      <c r="R359" s="14">
        <f t="shared" ca="1" si="240"/>
        <v>0</v>
      </c>
      <c r="S359" s="14">
        <f t="shared" ca="1" si="241"/>
        <v>0</v>
      </c>
      <c r="T359" s="14">
        <f>IFERROR(IF(WoP_Flag="Y",IF(fq=1,VLOOKUP(ppt*fq-H359,Charges!$AN$41:$AO$59,2,FALSE),IF(fq=2,VLOOKUP(ppt*fq-G359,Charges!$AP$41:$AQ$79,2,FALSE),VLOOKUP(ppt*fq-D359,Charges!$AR$41:$AS$279,2,FALSE)))*pr/fq,0),0)</f>
        <v>0</v>
      </c>
      <c r="U359" s="14">
        <f ca="1">IFERROR(((T359*(VLOOKUP(Input!$D$18+H359-1,Tab_Mort_Charge,IF(Gender_2="M",2,3),FALSE)*(1+_emr2)+_rpm2)/IF(Model_Type="LA_PQIS",1000/0.0833,(12*1000))))*Flag_Mort_Rider_Charge*(T359&gt;0),0)</f>
        <v>0</v>
      </c>
      <c r="V359" s="34">
        <f>ROUND(MIN(IF(H359&gt;=7,Charges!$C$12*(1+Charges!$C$14)^((H359-7+1)),VLOOKUP(H359,Charges!$B$7:$C$12,2,0))*pr,Charges!$C$13)*B359,Round)</f>
        <v>0</v>
      </c>
      <c r="W359" s="14">
        <f t="shared" ca="1" si="242"/>
        <v>0</v>
      </c>
      <c r="X359" s="14">
        <f t="shared" ca="1" si="243"/>
        <v>0</v>
      </c>
      <c r="Y359" s="213">
        <f t="shared" ca="1" si="265"/>
        <v>0</v>
      </c>
      <c r="Z359" s="14">
        <f t="shared" ca="1" si="244"/>
        <v>0</v>
      </c>
      <c r="AA359" s="14">
        <f>IF(AND($H359=pt,$F359=11),SUM($K$7:K359)*VLOOKUP(pt,ROC,2,FALSE),0)</f>
        <v>0</v>
      </c>
      <c r="AB359" s="14">
        <f>IF(AND($H359=pt,$F359=11),SUM($V$7:V359)*VLOOKUP(pt,ROC,2,FALSE),0)</f>
        <v>0</v>
      </c>
      <c r="AC359" s="14">
        <f>IF(AND($H359=pt,$F359=11),SUM($Q$7:Q359)*VLOOKUP(pt,ROC,2,FALSE),0)</f>
        <v>0</v>
      </c>
      <c r="AD359" s="14">
        <f t="shared" ca="1" si="266"/>
        <v>0</v>
      </c>
      <c r="AE359" s="14">
        <f ca="1">(MAX(sa-CF358*Flag_UL_Type,105%*SUM($I$7:I359),Z359)+AU359)*B359</f>
        <v>0</v>
      </c>
      <c r="AF359" s="136"/>
      <c r="AG359" s="18">
        <v>353</v>
      </c>
      <c r="AH359" s="30">
        <f t="shared" ca="1" si="245"/>
        <v>0</v>
      </c>
      <c r="AI359" s="58"/>
      <c r="AJ359" s="50">
        <f>IF(AND(Option_Sys_TopUp&gt;="Y",H359&gt;=sytp,H359&lt;=(dtp+sytp-1),F359=0,H359&lt;=ppt+1),atp,0)+IFERROR(VLOOKUP(H359,Input!$B$55:$C$61,2,0),0)*(F359=0)*(Option_TopUP="Y")*(Option_Sys_TopUp="N")*B359*(pt&gt;=H359+5)</f>
        <v>0</v>
      </c>
      <c r="AK359" s="50">
        <f t="shared" si="246"/>
        <v>0</v>
      </c>
      <c r="AL359" s="50">
        <f t="shared" si="267"/>
        <v>0</v>
      </c>
      <c r="AM359" s="50">
        <f t="shared" ca="1" si="247"/>
        <v>0</v>
      </c>
      <c r="AN359" s="50">
        <f>IF(B359=0,0,AT359*(_rpm1+(1+_emr1)*VLOOKUP(E359,Tab_Mort_Charge,IF(Input!$C$12="M",2,3),0))*(0.001*0.0833)*Flag_Mort_Rider_Charge*(AT359&gt;0))</f>
        <v>0</v>
      </c>
      <c r="AO359" s="50">
        <f t="shared" ca="1" si="268"/>
        <v>0</v>
      </c>
      <c r="AP359" s="50">
        <f t="shared" ca="1" si="275"/>
        <v>0</v>
      </c>
      <c r="AQ359" s="50">
        <f t="shared" ca="1" si="248"/>
        <v>0</v>
      </c>
      <c r="AR359" s="50">
        <f t="shared" ca="1" si="249"/>
        <v>0</v>
      </c>
      <c r="AS359" s="50">
        <f t="shared" si="250"/>
        <v>0</v>
      </c>
      <c r="AT359" s="50">
        <f ca="1">(MAX((MAX(AS359,105%*SUM($AJ$7:AJ359))-AM359*Flag_UL_Type),0)*B359)</f>
        <v>0</v>
      </c>
      <c r="AU359" s="50">
        <f ca="1">(MAX(AS359,AR359,105%*SUM($AJ$7:AJ359))*B359)</f>
        <v>0</v>
      </c>
      <c r="AV359" s="125"/>
      <c r="AW359" s="13"/>
      <c r="AX359" s="13"/>
      <c r="AY359" s="13"/>
      <c r="AZ359" s="13"/>
      <c r="BA359" s="13"/>
      <c r="BG359" s="51">
        <f t="shared" si="251"/>
        <v>0</v>
      </c>
      <c r="BH359" s="51">
        <f t="shared" si="252"/>
        <v>0</v>
      </c>
      <c r="BI359" s="51">
        <f t="shared" ca="1" si="253"/>
        <v>0</v>
      </c>
      <c r="BJ359" s="51">
        <f t="shared" ca="1" si="254"/>
        <v>0</v>
      </c>
      <c r="BK359" s="51">
        <f t="shared" si="255"/>
        <v>0</v>
      </c>
      <c r="BL359" s="51">
        <f t="shared" ca="1" si="256"/>
        <v>0</v>
      </c>
      <c r="BM359" s="51">
        <f t="shared" si="257"/>
        <v>0</v>
      </c>
      <c r="BN359" s="51">
        <f t="shared" si="258"/>
        <v>0</v>
      </c>
      <c r="BO359" s="51">
        <f t="shared" ca="1" si="259"/>
        <v>0</v>
      </c>
      <c r="BP359" s="51">
        <f t="shared" ca="1" si="260"/>
        <v>0</v>
      </c>
      <c r="BQ359" s="120"/>
      <c r="BR359" s="32"/>
      <c r="BS359" s="126"/>
      <c r="BT359" s="16"/>
      <c r="BU359" s="58"/>
      <c r="BW359" s="51">
        <f>VLOOKUP(H359,Charges!$AT$4:$AU$33,2,FALSE)*I359</f>
        <v>0</v>
      </c>
      <c r="BX359" s="51">
        <f t="shared" si="261"/>
        <v>0</v>
      </c>
      <c r="BY359" s="51">
        <f t="shared" si="269"/>
        <v>0</v>
      </c>
      <c r="BZ359" s="151"/>
      <c r="CA359" s="151"/>
      <c r="CB359" s="32"/>
      <c r="CC359" s="16">
        <f ca="1">SUM($N$7:$N359)</f>
        <v>0</v>
      </c>
      <c r="CD359" s="16">
        <f t="shared" ca="1" si="262"/>
        <v>0</v>
      </c>
      <c r="CE359" s="16">
        <f t="shared" ca="1" si="263"/>
        <v>0</v>
      </c>
      <c r="CF359" s="7">
        <f t="shared" ca="1" si="270"/>
        <v>0</v>
      </c>
    </row>
    <row r="360" spans="1:84" s="7" customFormat="1" x14ac:dyDescent="0.2">
      <c r="A360" s="149"/>
      <c r="B360" s="14">
        <f t="shared" si="232"/>
        <v>0</v>
      </c>
      <c r="C360" s="12">
        <f t="shared" si="233"/>
        <v>0</v>
      </c>
      <c r="D360" s="17">
        <f t="shared" si="271"/>
        <v>354</v>
      </c>
      <c r="E360" s="17">
        <f t="shared" ca="1" si="234"/>
        <v>89</v>
      </c>
      <c r="F360" s="12">
        <f t="shared" si="273"/>
        <v>5</v>
      </c>
      <c r="G360" s="12">
        <f t="shared" si="272"/>
        <v>59</v>
      </c>
      <c r="H360" s="17">
        <f t="shared" si="274"/>
        <v>30</v>
      </c>
      <c r="I360" s="29">
        <f t="shared" si="235"/>
        <v>0</v>
      </c>
      <c r="J360" s="211">
        <f>IFERROR(VLOOKUP(H360,Charges!$T$6:$U$35,2,0)*C360,0)</f>
        <v>0</v>
      </c>
      <c r="K360" s="29">
        <f t="shared" si="236"/>
        <v>0</v>
      </c>
      <c r="L360" s="29">
        <f t="shared" si="237"/>
        <v>0</v>
      </c>
      <c r="M360" s="147">
        <f t="shared" ca="1" si="238"/>
        <v>0</v>
      </c>
      <c r="N360" s="148">
        <f ca="1">IF(AND(Option_SPW="Y",Z359&gt;=SPW_Start_Min_FV,H360&gt;=Lock_In_Period,Z359&gt;SPW_Amount_pa+IF(option="Single",1/5*pr,2*pr),H360&gt;=SPW_Start_Year,H360&lt;=SPW_Start_Year+SPW_Duration-1,F360=0,age+H360&gt;=Legal_Age),SPW_Amount_pa,0)+IFERROR(VLOOKUP(H360,Input!$B$68:$C$74,2,0),0)*(F360=0)*(Option_PW="Y")*(Option_SPW="N")*(age+H360&gt;=Legal_Age)</f>
        <v>0</v>
      </c>
      <c r="O360" s="148">
        <f t="shared" ca="1" si="264"/>
        <v>0</v>
      </c>
      <c r="P360" s="14">
        <f ca="1">(MAX(MAX(sa-CF359*Flag_UL_Type,105%*SUM($I$7:I360))-(AD359+L360-N360)*Flag_UL_Type,0)*B360)</f>
        <v>0</v>
      </c>
      <c r="Q360" s="213">
        <f t="shared" si="239"/>
        <v>0</v>
      </c>
      <c r="R360" s="14">
        <f t="shared" ca="1" si="240"/>
        <v>0</v>
      </c>
      <c r="S360" s="14">
        <f t="shared" ca="1" si="241"/>
        <v>0</v>
      </c>
      <c r="T360" s="14">
        <f>IFERROR(IF(WoP_Flag="Y",IF(fq=1,VLOOKUP(ppt*fq-H360,Charges!$AN$41:$AO$59,2,FALSE),IF(fq=2,VLOOKUP(ppt*fq-G360,Charges!$AP$41:$AQ$79,2,FALSE),VLOOKUP(ppt*fq-D360,Charges!$AR$41:$AS$279,2,FALSE)))*pr/fq,0),0)</f>
        <v>0</v>
      </c>
      <c r="U360" s="14">
        <f ca="1">IFERROR(((T360*(VLOOKUP(Input!$D$18+H360-1,Tab_Mort_Charge,IF(Gender_2="M",2,3),FALSE)*(1+_emr2)+_rpm2)/IF(Model_Type="LA_PQIS",1000/0.0833,(12*1000))))*Flag_Mort_Rider_Charge*(T360&gt;0),0)</f>
        <v>0</v>
      </c>
      <c r="V360" s="34">
        <f>ROUND(MIN(IF(H360&gt;=7,Charges!$C$12*(1+Charges!$C$14)^((H360-7+1)),VLOOKUP(H360,Charges!$B$7:$C$12,2,0))*pr,Charges!$C$13)*B360,Round)</f>
        <v>0</v>
      </c>
      <c r="W360" s="14">
        <f t="shared" ca="1" si="242"/>
        <v>0</v>
      </c>
      <c r="X360" s="14">
        <f t="shared" ca="1" si="243"/>
        <v>0</v>
      </c>
      <c r="Y360" s="213">
        <f t="shared" ca="1" si="265"/>
        <v>0</v>
      </c>
      <c r="Z360" s="14">
        <f t="shared" ca="1" si="244"/>
        <v>0</v>
      </c>
      <c r="AA360" s="14">
        <f>IF(AND($H360=pt,$F360=11),SUM($K$7:K360)*VLOOKUP(pt,ROC,2,FALSE),0)</f>
        <v>0</v>
      </c>
      <c r="AB360" s="14">
        <f>IF(AND($H360=pt,$F360=11),SUM($V$7:V360)*VLOOKUP(pt,ROC,2,FALSE),0)</f>
        <v>0</v>
      </c>
      <c r="AC360" s="14">
        <f>IF(AND($H360=pt,$F360=11),SUM($Q$7:Q360)*VLOOKUP(pt,ROC,2,FALSE),0)</f>
        <v>0</v>
      </c>
      <c r="AD360" s="14">
        <f t="shared" ca="1" si="266"/>
        <v>0</v>
      </c>
      <c r="AE360" s="14">
        <f ca="1">(MAX(sa-CF359*Flag_UL_Type,105%*SUM($I$7:I360),Z360)+AU360)*B360</f>
        <v>0</v>
      </c>
      <c r="AF360" s="136"/>
      <c r="AG360" s="18">
        <v>354</v>
      </c>
      <c r="AH360" s="30">
        <f t="shared" ca="1" si="245"/>
        <v>0</v>
      </c>
      <c r="AI360" s="58"/>
      <c r="AJ360" s="50">
        <f>IF(AND(Option_Sys_TopUp&gt;="Y",H360&gt;=sytp,H360&lt;=(dtp+sytp-1),F360=0,H360&lt;=ppt+1),atp,0)+IFERROR(VLOOKUP(H360,Input!$B$55:$C$61,2,0),0)*(F360=0)*(Option_TopUP="Y")*(Option_Sys_TopUp="N")*B360*(pt&gt;=H360+5)</f>
        <v>0</v>
      </c>
      <c r="AK360" s="50">
        <f t="shared" si="246"/>
        <v>0</v>
      </c>
      <c r="AL360" s="50">
        <f t="shared" si="267"/>
        <v>0</v>
      </c>
      <c r="AM360" s="50">
        <f t="shared" ca="1" si="247"/>
        <v>0</v>
      </c>
      <c r="AN360" s="50">
        <f>IF(B360=0,0,AT360*(_rpm1+(1+_emr1)*VLOOKUP(E360,Tab_Mort_Charge,IF(Input!$C$12="M",2,3),0))*(0.001*0.0833)*Flag_Mort_Rider_Charge*(AT360&gt;0))</f>
        <v>0</v>
      </c>
      <c r="AO360" s="50">
        <f t="shared" ca="1" si="268"/>
        <v>0</v>
      </c>
      <c r="AP360" s="50">
        <f t="shared" ca="1" si="275"/>
        <v>0</v>
      </c>
      <c r="AQ360" s="50">
        <f t="shared" ca="1" si="248"/>
        <v>0</v>
      </c>
      <c r="AR360" s="50">
        <f t="shared" ca="1" si="249"/>
        <v>0</v>
      </c>
      <c r="AS360" s="50">
        <f t="shared" si="250"/>
        <v>0</v>
      </c>
      <c r="AT360" s="50">
        <f ca="1">(MAX((MAX(AS360,105%*SUM($AJ$7:AJ360))-AM360*Flag_UL_Type),0)*B360)</f>
        <v>0</v>
      </c>
      <c r="AU360" s="50">
        <f ca="1">(MAX(AS360,AR360,105%*SUM($AJ$7:AJ360))*B360)</f>
        <v>0</v>
      </c>
      <c r="AV360" s="125"/>
      <c r="AW360" s="13"/>
      <c r="AX360" s="13"/>
      <c r="AY360" s="13"/>
      <c r="AZ360" s="13"/>
      <c r="BA360" s="13"/>
      <c r="BG360" s="51">
        <f t="shared" si="251"/>
        <v>0</v>
      </c>
      <c r="BH360" s="51">
        <f t="shared" si="252"/>
        <v>0</v>
      </c>
      <c r="BI360" s="51">
        <f t="shared" ca="1" si="253"/>
        <v>0</v>
      </c>
      <c r="BJ360" s="51">
        <f t="shared" ca="1" si="254"/>
        <v>0</v>
      </c>
      <c r="BK360" s="51">
        <f t="shared" si="255"/>
        <v>0</v>
      </c>
      <c r="BL360" s="51">
        <f t="shared" ca="1" si="256"/>
        <v>0</v>
      </c>
      <c r="BM360" s="51">
        <f t="shared" si="257"/>
        <v>0</v>
      </c>
      <c r="BN360" s="51">
        <f t="shared" si="258"/>
        <v>0</v>
      </c>
      <c r="BO360" s="51">
        <f t="shared" ca="1" si="259"/>
        <v>0</v>
      </c>
      <c r="BP360" s="51">
        <f t="shared" ca="1" si="260"/>
        <v>0</v>
      </c>
      <c r="BQ360" s="120"/>
      <c r="BR360" s="32"/>
      <c r="BS360" s="126"/>
      <c r="BT360" s="16"/>
      <c r="BU360" s="58"/>
      <c r="BW360" s="51">
        <f>VLOOKUP(H360,Charges!$AT$4:$AU$33,2,FALSE)*I360</f>
        <v>0</v>
      </c>
      <c r="BX360" s="51">
        <f t="shared" si="261"/>
        <v>0</v>
      </c>
      <c r="BY360" s="51">
        <f t="shared" si="269"/>
        <v>0</v>
      </c>
      <c r="BZ360" s="151"/>
      <c r="CA360" s="151"/>
      <c r="CB360" s="32"/>
      <c r="CC360" s="16">
        <f ca="1">SUM($N$7:$N360)</f>
        <v>0</v>
      </c>
      <c r="CD360" s="16">
        <f t="shared" ca="1" si="262"/>
        <v>0</v>
      </c>
      <c r="CE360" s="16">
        <f t="shared" ca="1" si="263"/>
        <v>0</v>
      </c>
      <c r="CF360" s="7">
        <f t="shared" ca="1" si="270"/>
        <v>0</v>
      </c>
    </row>
    <row r="361" spans="1:84" s="7" customFormat="1" x14ac:dyDescent="0.2">
      <c r="A361" s="149"/>
      <c r="B361" s="14">
        <f t="shared" si="232"/>
        <v>0</v>
      </c>
      <c r="C361" s="12">
        <f t="shared" si="233"/>
        <v>0</v>
      </c>
      <c r="D361" s="17">
        <f t="shared" si="271"/>
        <v>355</v>
      </c>
      <c r="E361" s="17">
        <f t="shared" ca="1" si="234"/>
        <v>89</v>
      </c>
      <c r="F361" s="12">
        <f t="shared" si="273"/>
        <v>6</v>
      </c>
      <c r="G361" s="12">
        <f t="shared" si="272"/>
        <v>60</v>
      </c>
      <c r="H361" s="17">
        <f t="shared" si="274"/>
        <v>30</v>
      </c>
      <c r="I361" s="29">
        <f t="shared" si="235"/>
        <v>0</v>
      </c>
      <c r="J361" s="211">
        <f>IFERROR(VLOOKUP(H361,Charges!$T$6:$U$35,2,0)*C361,0)</f>
        <v>0</v>
      </c>
      <c r="K361" s="29">
        <f t="shared" si="236"/>
        <v>0</v>
      </c>
      <c r="L361" s="29">
        <f t="shared" si="237"/>
        <v>0</v>
      </c>
      <c r="M361" s="147">
        <f t="shared" ca="1" si="238"/>
        <v>0</v>
      </c>
      <c r="N361" s="148">
        <f ca="1">IF(AND(Option_SPW="Y",Z360&gt;=SPW_Start_Min_FV,H361&gt;=Lock_In_Period,Z360&gt;SPW_Amount_pa+IF(option="Single",1/5*pr,2*pr),H361&gt;=SPW_Start_Year,H361&lt;=SPW_Start_Year+SPW_Duration-1,F361=0,age+H361&gt;=Legal_Age),SPW_Amount_pa,0)+IFERROR(VLOOKUP(H361,Input!$B$68:$C$74,2,0),0)*(F361=0)*(Option_PW="Y")*(Option_SPW="N")*(age+H361&gt;=Legal_Age)</f>
        <v>0</v>
      </c>
      <c r="O361" s="148">
        <f t="shared" ca="1" si="264"/>
        <v>0</v>
      </c>
      <c r="P361" s="14">
        <f ca="1">(MAX(MAX(sa-CF360*Flag_UL_Type,105%*SUM($I$7:I361))-(AD360+L361-N361)*Flag_UL_Type,0)*B361)</f>
        <v>0</v>
      </c>
      <c r="Q361" s="213">
        <f t="shared" si="239"/>
        <v>0</v>
      </c>
      <c r="R361" s="14">
        <f t="shared" ca="1" si="240"/>
        <v>0</v>
      </c>
      <c r="S361" s="14">
        <f t="shared" ca="1" si="241"/>
        <v>0</v>
      </c>
      <c r="T361" s="14">
        <f>IFERROR(IF(WoP_Flag="Y",IF(fq=1,VLOOKUP(ppt*fq-H361,Charges!$AN$41:$AO$59,2,FALSE),IF(fq=2,VLOOKUP(ppt*fq-G361,Charges!$AP$41:$AQ$79,2,FALSE),VLOOKUP(ppt*fq-D361,Charges!$AR$41:$AS$279,2,FALSE)))*pr/fq,0),0)</f>
        <v>0</v>
      </c>
      <c r="U361" s="14">
        <f ca="1">IFERROR(((T361*(VLOOKUP(Input!$D$18+H361-1,Tab_Mort_Charge,IF(Gender_2="M",2,3),FALSE)*(1+_emr2)+_rpm2)/IF(Model_Type="LA_PQIS",1000/0.0833,(12*1000))))*Flag_Mort_Rider_Charge*(T361&gt;0),0)</f>
        <v>0</v>
      </c>
      <c r="V361" s="34">
        <f>ROUND(MIN(IF(H361&gt;=7,Charges!$C$12*(1+Charges!$C$14)^((H361-7+1)),VLOOKUP(H361,Charges!$B$7:$C$12,2,0))*pr,Charges!$C$13)*B361,Round)</f>
        <v>0</v>
      </c>
      <c r="W361" s="14">
        <f t="shared" ca="1" si="242"/>
        <v>0</v>
      </c>
      <c r="X361" s="14">
        <f t="shared" ca="1" si="243"/>
        <v>0</v>
      </c>
      <c r="Y361" s="213">
        <f t="shared" ca="1" si="265"/>
        <v>0</v>
      </c>
      <c r="Z361" s="14">
        <f t="shared" ca="1" si="244"/>
        <v>0</v>
      </c>
      <c r="AA361" s="14">
        <f>IF(AND($H361=pt,$F361=11),SUM($K$7:K361)*VLOOKUP(pt,ROC,2,FALSE),0)</f>
        <v>0</v>
      </c>
      <c r="AB361" s="14">
        <f>IF(AND($H361=pt,$F361=11),SUM($V$7:V361)*VLOOKUP(pt,ROC,2,FALSE),0)</f>
        <v>0</v>
      </c>
      <c r="AC361" s="14">
        <f>IF(AND($H361=pt,$F361=11),SUM($Q$7:Q361)*VLOOKUP(pt,ROC,2,FALSE),0)</f>
        <v>0</v>
      </c>
      <c r="AD361" s="14">
        <f t="shared" ca="1" si="266"/>
        <v>0</v>
      </c>
      <c r="AE361" s="14">
        <f ca="1">(MAX(sa-CF360*Flag_UL_Type,105%*SUM($I$7:I361),Z361)+AU361)*B361</f>
        <v>0</v>
      </c>
      <c r="AF361" s="136"/>
      <c r="AG361" s="18">
        <v>355</v>
      </c>
      <c r="AH361" s="30">
        <f t="shared" ca="1" si="245"/>
        <v>0</v>
      </c>
      <c r="AI361" s="58"/>
      <c r="AJ361" s="50">
        <f>IF(AND(Option_Sys_TopUp&gt;="Y",H361&gt;=sytp,H361&lt;=(dtp+sytp-1),F361=0,H361&lt;=ppt+1),atp,0)+IFERROR(VLOOKUP(H361,Input!$B$55:$C$61,2,0),0)*(F361=0)*(Option_TopUP="Y")*(Option_Sys_TopUp="N")*B361*(pt&gt;=H361+5)</f>
        <v>0</v>
      </c>
      <c r="AK361" s="50">
        <f t="shared" si="246"/>
        <v>0</v>
      </c>
      <c r="AL361" s="50">
        <f t="shared" si="267"/>
        <v>0</v>
      </c>
      <c r="AM361" s="50">
        <f t="shared" ca="1" si="247"/>
        <v>0</v>
      </c>
      <c r="AN361" s="50">
        <f>IF(B361=0,0,AT361*(_rpm1+(1+_emr1)*VLOOKUP(E361,Tab_Mort_Charge,IF(Input!$C$12="M",2,3),0))*(0.001*0.0833)*Flag_Mort_Rider_Charge*(AT361&gt;0))</f>
        <v>0</v>
      </c>
      <c r="AO361" s="50">
        <f t="shared" ca="1" si="268"/>
        <v>0</v>
      </c>
      <c r="AP361" s="50">
        <f t="shared" ca="1" si="275"/>
        <v>0</v>
      </c>
      <c r="AQ361" s="50">
        <f t="shared" ca="1" si="248"/>
        <v>0</v>
      </c>
      <c r="AR361" s="50">
        <f t="shared" ca="1" si="249"/>
        <v>0</v>
      </c>
      <c r="AS361" s="50">
        <f t="shared" si="250"/>
        <v>0</v>
      </c>
      <c r="AT361" s="50">
        <f ca="1">(MAX((MAX(AS361,105%*SUM($AJ$7:AJ361))-AM361*Flag_UL_Type),0)*B361)</f>
        <v>0</v>
      </c>
      <c r="AU361" s="50">
        <f ca="1">(MAX(AS361,AR361,105%*SUM($AJ$7:AJ361))*B361)</f>
        <v>0</v>
      </c>
      <c r="AV361" s="125"/>
      <c r="AW361" s="13"/>
      <c r="AX361" s="13"/>
      <c r="AY361" s="13"/>
      <c r="AZ361" s="13"/>
      <c r="BA361" s="13"/>
      <c r="BG361" s="51">
        <f t="shared" si="251"/>
        <v>0</v>
      </c>
      <c r="BH361" s="51">
        <f t="shared" si="252"/>
        <v>0</v>
      </c>
      <c r="BI361" s="51">
        <f t="shared" ca="1" si="253"/>
        <v>0</v>
      </c>
      <c r="BJ361" s="51">
        <f t="shared" ca="1" si="254"/>
        <v>0</v>
      </c>
      <c r="BK361" s="51">
        <f t="shared" si="255"/>
        <v>0</v>
      </c>
      <c r="BL361" s="51">
        <f t="shared" ca="1" si="256"/>
        <v>0</v>
      </c>
      <c r="BM361" s="51">
        <f t="shared" si="257"/>
        <v>0</v>
      </c>
      <c r="BN361" s="51">
        <f t="shared" si="258"/>
        <v>0</v>
      </c>
      <c r="BO361" s="51">
        <f t="shared" ca="1" si="259"/>
        <v>0</v>
      </c>
      <c r="BP361" s="51">
        <f t="shared" ca="1" si="260"/>
        <v>0</v>
      </c>
      <c r="BQ361" s="120"/>
      <c r="BR361" s="32"/>
      <c r="BS361" s="126"/>
      <c r="BT361" s="16"/>
      <c r="BU361" s="58"/>
      <c r="BW361" s="51">
        <f>VLOOKUP(H361,Charges!$AT$4:$AU$33,2,FALSE)*I361</f>
        <v>0</v>
      </c>
      <c r="BX361" s="51">
        <f t="shared" si="261"/>
        <v>0</v>
      </c>
      <c r="BY361" s="51">
        <f t="shared" si="269"/>
        <v>0</v>
      </c>
      <c r="BZ361" s="151"/>
      <c r="CA361" s="151"/>
      <c r="CB361" s="32"/>
      <c r="CC361" s="16">
        <f ca="1">SUM($N$7:$N361)</f>
        <v>0</v>
      </c>
      <c r="CD361" s="16">
        <f t="shared" ca="1" si="262"/>
        <v>0</v>
      </c>
      <c r="CE361" s="16">
        <f t="shared" ca="1" si="263"/>
        <v>0</v>
      </c>
      <c r="CF361" s="7">
        <f t="shared" ca="1" si="270"/>
        <v>0</v>
      </c>
    </row>
    <row r="362" spans="1:84" s="7" customFormat="1" x14ac:dyDescent="0.2">
      <c r="A362" s="149"/>
      <c r="B362" s="14">
        <f t="shared" si="232"/>
        <v>0</v>
      </c>
      <c r="C362" s="12">
        <f t="shared" si="233"/>
        <v>0</v>
      </c>
      <c r="D362" s="17">
        <f t="shared" si="271"/>
        <v>356</v>
      </c>
      <c r="E362" s="17">
        <f t="shared" ca="1" si="234"/>
        <v>89</v>
      </c>
      <c r="F362" s="12">
        <f t="shared" si="273"/>
        <v>7</v>
      </c>
      <c r="G362" s="12">
        <f t="shared" si="272"/>
        <v>60</v>
      </c>
      <c r="H362" s="17">
        <f t="shared" si="274"/>
        <v>30</v>
      </c>
      <c r="I362" s="29">
        <f t="shared" si="235"/>
        <v>0</v>
      </c>
      <c r="J362" s="211">
        <f>IFERROR(VLOOKUP(H362,Charges!$T$6:$U$35,2,0)*C362,0)</f>
        <v>0</v>
      </c>
      <c r="K362" s="29">
        <f t="shared" si="236"/>
        <v>0</v>
      </c>
      <c r="L362" s="29">
        <f t="shared" si="237"/>
        <v>0</v>
      </c>
      <c r="M362" s="147">
        <f t="shared" ca="1" si="238"/>
        <v>0</v>
      </c>
      <c r="N362" s="148">
        <f ca="1">IF(AND(Option_SPW="Y",Z361&gt;=SPW_Start_Min_FV,H362&gt;=Lock_In_Period,Z361&gt;SPW_Amount_pa+IF(option="Single",1/5*pr,2*pr),H362&gt;=SPW_Start_Year,H362&lt;=SPW_Start_Year+SPW_Duration-1,F362=0,age+H362&gt;=Legal_Age),SPW_Amount_pa,0)+IFERROR(VLOOKUP(H362,Input!$B$68:$C$74,2,0),0)*(F362=0)*(Option_PW="Y")*(Option_SPW="N")*(age+H362&gt;=Legal_Age)</f>
        <v>0</v>
      </c>
      <c r="O362" s="148">
        <f t="shared" ca="1" si="264"/>
        <v>0</v>
      </c>
      <c r="P362" s="14">
        <f ca="1">(MAX(MAX(sa-CF361*Flag_UL_Type,105%*SUM($I$7:I362))-(AD361+L362-N362)*Flag_UL_Type,0)*B362)</f>
        <v>0</v>
      </c>
      <c r="Q362" s="213">
        <f t="shared" si="239"/>
        <v>0</v>
      </c>
      <c r="R362" s="14">
        <f t="shared" ca="1" si="240"/>
        <v>0</v>
      </c>
      <c r="S362" s="14">
        <f t="shared" ca="1" si="241"/>
        <v>0</v>
      </c>
      <c r="T362" s="14">
        <f>IFERROR(IF(WoP_Flag="Y",IF(fq=1,VLOOKUP(ppt*fq-H362,Charges!$AN$41:$AO$59,2,FALSE),IF(fq=2,VLOOKUP(ppt*fq-G362,Charges!$AP$41:$AQ$79,2,FALSE),VLOOKUP(ppt*fq-D362,Charges!$AR$41:$AS$279,2,FALSE)))*pr/fq,0),0)</f>
        <v>0</v>
      </c>
      <c r="U362" s="14">
        <f ca="1">IFERROR(((T362*(VLOOKUP(Input!$D$18+H362-1,Tab_Mort_Charge,IF(Gender_2="M",2,3),FALSE)*(1+_emr2)+_rpm2)/IF(Model_Type="LA_PQIS",1000/0.0833,(12*1000))))*Flag_Mort_Rider_Charge*(T362&gt;0),0)</f>
        <v>0</v>
      </c>
      <c r="V362" s="34">
        <f>ROUND(MIN(IF(H362&gt;=7,Charges!$C$12*(1+Charges!$C$14)^((H362-7+1)),VLOOKUP(H362,Charges!$B$7:$C$12,2,0))*pr,Charges!$C$13)*B362,Round)</f>
        <v>0</v>
      </c>
      <c r="W362" s="14">
        <f t="shared" ca="1" si="242"/>
        <v>0</v>
      </c>
      <c r="X362" s="14">
        <f t="shared" ca="1" si="243"/>
        <v>0</v>
      </c>
      <c r="Y362" s="213">
        <f t="shared" ca="1" si="265"/>
        <v>0</v>
      </c>
      <c r="Z362" s="14">
        <f t="shared" ca="1" si="244"/>
        <v>0</v>
      </c>
      <c r="AA362" s="14">
        <f>IF(AND($H362=pt,$F362=11),SUM($K$7:K362)*VLOOKUP(pt,ROC,2,FALSE),0)</f>
        <v>0</v>
      </c>
      <c r="AB362" s="14">
        <f>IF(AND($H362=pt,$F362=11),SUM($V$7:V362)*VLOOKUP(pt,ROC,2,FALSE),0)</f>
        <v>0</v>
      </c>
      <c r="AC362" s="14">
        <f>IF(AND($H362=pt,$F362=11),SUM($Q$7:Q362)*VLOOKUP(pt,ROC,2,FALSE),0)</f>
        <v>0</v>
      </c>
      <c r="AD362" s="14">
        <f t="shared" ca="1" si="266"/>
        <v>0</v>
      </c>
      <c r="AE362" s="14">
        <f ca="1">(MAX(sa-CF361*Flag_UL_Type,105%*SUM($I$7:I362),Z362)+AU362)*B362</f>
        <v>0</v>
      </c>
      <c r="AF362" s="136"/>
      <c r="AG362" s="18">
        <v>356</v>
      </c>
      <c r="AH362" s="30">
        <f t="shared" ca="1" si="245"/>
        <v>0</v>
      </c>
      <c r="AI362" s="58"/>
      <c r="AJ362" s="50">
        <f>IF(AND(Option_Sys_TopUp&gt;="Y",H362&gt;=sytp,H362&lt;=(dtp+sytp-1),F362=0,H362&lt;=ppt+1),atp,0)+IFERROR(VLOOKUP(H362,Input!$B$55:$C$61,2,0),0)*(F362=0)*(Option_TopUP="Y")*(Option_Sys_TopUp="N")*B362*(pt&gt;=H362+5)</f>
        <v>0</v>
      </c>
      <c r="AK362" s="50">
        <f t="shared" si="246"/>
        <v>0</v>
      </c>
      <c r="AL362" s="50">
        <f t="shared" si="267"/>
        <v>0</v>
      </c>
      <c r="AM362" s="50">
        <f t="shared" ca="1" si="247"/>
        <v>0</v>
      </c>
      <c r="AN362" s="50">
        <f>IF(B362=0,0,AT362*(_rpm1+(1+_emr1)*VLOOKUP(E362,Tab_Mort_Charge,IF(Input!$C$12="M",2,3),0))*(0.001*0.0833)*Flag_Mort_Rider_Charge*(AT362&gt;0))</f>
        <v>0</v>
      </c>
      <c r="AO362" s="50">
        <f t="shared" ca="1" si="268"/>
        <v>0</v>
      </c>
      <c r="AP362" s="50">
        <f t="shared" ca="1" si="275"/>
        <v>0</v>
      </c>
      <c r="AQ362" s="50">
        <f t="shared" ca="1" si="248"/>
        <v>0</v>
      </c>
      <c r="AR362" s="50">
        <f t="shared" ca="1" si="249"/>
        <v>0</v>
      </c>
      <c r="AS362" s="50">
        <f t="shared" si="250"/>
        <v>0</v>
      </c>
      <c r="AT362" s="50">
        <f ca="1">(MAX((MAX(AS362,105%*SUM($AJ$7:AJ362))-AM362*Flag_UL_Type),0)*B362)</f>
        <v>0</v>
      </c>
      <c r="AU362" s="50">
        <f ca="1">(MAX(AS362,AR362,105%*SUM($AJ$7:AJ362))*B362)</f>
        <v>0</v>
      </c>
      <c r="AV362" s="125"/>
      <c r="AW362" s="13"/>
      <c r="AX362" s="13"/>
      <c r="AY362" s="13"/>
      <c r="AZ362" s="13"/>
      <c r="BA362" s="13"/>
      <c r="BG362" s="51">
        <f t="shared" si="251"/>
        <v>0</v>
      </c>
      <c r="BH362" s="51">
        <f t="shared" si="252"/>
        <v>0</v>
      </c>
      <c r="BI362" s="51">
        <f t="shared" ca="1" si="253"/>
        <v>0</v>
      </c>
      <c r="BJ362" s="51">
        <f t="shared" ca="1" si="254"/>
        <v>0</v>
      </c>
      <c r="BK362" s="51">
        <f t="shared" si="255"/>
        <v>0</v>
      </c>
      <c r="BL362" s="51">
        <f t="shared" ca="1" si="256"/>
        <v>0</v>
      </c>
      <c r="BM362" s="51">
        <f t="shared" si="257"/>
        <v>0</v>
      </c>
      <c r="BN362" s="51">
        <f t="shared" si="258"/>
        <v>0</v>
      </c>
      <c r="BO362" s="51">
        <f t="shared" ca="1" si="259"/>
        <v>0</v>
      </c>
      <c r="BP362" s="51">
        <f t="shared" ca="1" si="260"/>
        <v>0</v>
      </c>
      <c r="BQ362" s="120"/>
      <c r="BR362" s="32"/>
      <c r="BS362" s="126"/>
      <c r="BT362" s="16"/>
      <c r="BU362" s="58"/>
      <c r="BW362" s="51">
        <f>VLOOKUP(H362,Charges!$AT$4:$AU$33,2,FALSE)*I362</f>
        <v>0</v>
      </c>
      <c r="BX362" s="51">
        <f t="shared" si="261"/>
        <v>0</v>
      </c>
      <c r="BY362" s="51">
        <f t="shared" si="269"/>
        <v>0</v>
      </c>
      <c r="BZ362" s="151"/>
      <c r="CA362" s="151"/>
      <c r="CB362" s="32"/>
      <c r="CC362" s="16">
        <f ca="1">SUM($N$7:$N362)</f>
        <v>0</v>
      </c>
      <c r="CD362" s="16">
        <f t="shared" ca="1" si="262"/>
        <v>0</v>
      </c>
      <c r="CE362" s="16">
        <f t="shared" ca="1" si="263"/>
        <v>0</v>
      </c>
      <c r="CF362" s="7">
        <f t="shared" ca="1" si="270"/>
        <v>0</v>
      </c>
    </row>
    <row r="363" spans="1:84" s="7" customFormat="1" x14ac:dyDescent="0.2">
      <c r="A363" s="149"/>
      <c r="B363" s="14">
        <f t="shared" si="232"/>
        <v>0</v>
      </c>
      <c r="C363" s="12">
        <f t="shared" si="233"/>
        <v>0</v>
      </c>
      <c r="D363" s="17">
        <f t="shared" si="271"/>
        <v>357</v>
      </c>
      <c r="E363" s="17">
        <f t="shared" ca="1" si="234"/>
        <v>89</v>
      </c>
      <c r="F363" s="12">
        <f t="shared" si="273"/>
        <v>8</v>
      </c>
      <c r="G363" s="12">
        <f t="shared" si="272"/>
        <v>60</v>
      </c>
      <c r="H363" s="17">
        <f t="shared" si="274"/>
        <v>30</v>
      </c>
      <c r="I363" s="29">
        <f t="shared" si="235"/>
        <v>0</v>
      </c>
      <c r="J363" s="211">
        <f>IFERROR(VLOOKUP(H363,Charges!$T$6:$U$35,2,0)*C363,0)</f>
        <v>0</v>
      </c>
      <c r="K363" s="29">
        <f t="shared" si="236"/>
        <v>0</v>
      </c>
      <c r="L363" s="29">
        <f t="shared" si="237"/>
        <v>0</v>
      </c>
      <c r="M363" s="147">
        <f t="shared" ca="1" si="238"/>
        <v>0</v>
      </c>
      <c r="N363" s="148">
        <f ca="1">IF(AND(Option_SPW="Y",Z362&gt;=SPW_Start_Min_FV,H363&gt;=Lock_In_Period,Z362&gt;SPW_Amount_pa+IF(option="Single",1/5*pr,2*pr),H363&gt;=SPW_Start_Year,H363&lt;=SPW_Start_Year+SPW_Duration-1,F363=0,age+H363&gt;=Legal_Age),SPW_Amount_pa,0)+IFERROR(VLOOKUP(H363,Input!$B$68:$C$74,2,0),0)*(F363=0)*(Option_PW="Y")*(Option_SPW="N")*(age+H363&gt;=Legal_Age)</f>
        <v>0</v>
      </c>
      <c r="O363" s="148">
        <f t="shared" ca="1" si="264"/>
        <v>0</v>
      </c>
      <c r="P363" s="14">
        <f ca="1">(MAX(MAX(sa-CF362*Flag_UL_Type,105%*SUM($I$7:I363))-(AD362+L363-N363)*Flag_UL_Type,0)*B363)</f>
        <v>0</v>
      </c>
      <c r="Q363" s="213">
        <f t="shared" si="239"/>
        <v>0</v>
      </c>
      <c r="R363" s="14">
        <f t="shared" ca="1" si="240"/>
        <v>0</v>
      </c>
      <c r="S363" s="14">
        <f t="shared" ca="1" si="241"/>
        <v>0</v>
      </c>
      <c r="T363" s="14">
        <f>IFERROR(IF(WoP_Flag="Y",IF(fq=1,VLOOKUP(ppt*fq-H363,Charges!$AN$41:$AO$59,2,FALSE),IF(fq=2,VLOOKUP(ppt*fq-G363,Charges!$AP$41:$AQ$79,2,FALSE),VLOOKUP(ppt*fq-D363,Charges!$AR$41:$AS$279,2,FALSE)))*pr/fq,0),0)</f>
        <v>0</v>
      </c>
      <c r="U363" s="14">
        <f ca="1">IFERROR(((T363*(VLOOKUP(Input!$D$18+H363-1,Tab_Mort_Charge,IF(Gender_2="M",2,3),FALSE)*(1+_emr2)+_rpm2)/IF(Model_Type="LA_PQIS",1000/0.0833,(12*1000))))*Flag_Mort_Rider_Charge*(T363&gt;0),0)</f>
        <v>0</v>
      </c>
      <c r="V363" s="34">
        <f>ROUND(MIN(IF(H363&gt;=7,Charges!$C$12*(1+Charges!$C$14)^((H363-7+1)),VLOOKUP(H363,Charges!$B$7:$C$12,2,0))*pr,Charges!$C$13)*B363,Round)</f>
        <v>0</v>
      </c>
      <c r="W363" s="14">
        <f t="shared" ca="1" si="242"/>
        <v>0</v>
      </c>
      <c r="X363" s="14">
        <f t="shared" ca="1" si="243"/>
        <v>0</v>
      </c>
      <c r="Y363" s="213">
        <f t="shared" ca="1" si="265"/>
        <v>0</v>
      </c>
      <c r="Z363" s="14">
        <f t="shared" ca="1" si="244"/>
        <v>0</v>
      </c>
      <c r="AA363" s="14">
        <f>IF(AND($H363=pt,$F363=11),SUM($K$7:K363)*VLOOKUP(pt,ROC,2,FALSE),0)</f>
        <v>0</v>
      </c>
      <c r="AB363" s="14">
        <f>IF(AND($H363=pt,$F363=11),SUM($V$7:V363)*VLOOKUP(pt,ROC,2,FALSE),0)</f>
        <v>0</v>
      </c>
      <c r="AC363" s="14">
        <f>IF(AND($H363=pt,$F363=11),SUM($Q$7:Q363)*VLOOKUP(pt,ROC,2,FALSE),0)</f>
        <v>0</v>
      </c>
      <c r="AD363" s="14">
        <f t="shared" ca="1" si="266"/>
        <v>0</v>
      </c>
      <c r="AE363" s="14">
        <f ca="1">(MAX(sa-CF362*Flag_UL_Type,105%*SUM($I$7:I363),Z363)+AU363)*B363</f>
        <v>0</v>
      </c>
      <c r="AF363" s="136"/>
      <c r="AG363" s="18">
        <v>357</v>
      </c>
      <c r="AH363" s="30">
        <f t="shared" ca="1" si="245"/>
        <v>0</v>
      </c>
      <c r="AI363" s="58"/>
      <c r="AJ363" s="50">
        <f>IF(AND(Option_Sys_TopUp&gt;="Y",H363&gt;=sytp,H363&lt;=(dtp+sytp-1),F363=0,H363&lt;=ppt+1),atp,0)+IFERROR(VLOOKUP(H363,Input!$B$55:$C$61,2,0),0)*(F363=0)*(Option_TopUP="Y")*(Option_Sys_TopUp="N")*B363*(pt&gt;=H363+5)</f>
        <v>0</v>
      </c>
      <c r="AK363" s="50">
        <f t="shared" si="246"/>
        <v>0</v>
      </c>
      <c r="AL363" s="50">
        <f t="shared" si="267"/>
        <v>0</v>
      </c>
      <c r="AM363" s="50">
        <f t="shared" ca="1" si="247"/>
        <v>0</v>
      </c>
      <c r="AN363" s="50">
        <f>IF(B363=0,0,AT363*(_rpm1+(1+_emr1)*VLOOKUP(E363,Tab_Mort_Charge,IF(Input!$C$12="M",2,3),0))*(0.001*0.0833)*Flag_Mort_Rider_Charge*(AT363&gt;0))</f>
        <v>0</v>
      </c>
      <c r="AO363" s="50">
        <f t="shared" ca="1" si="268"/>
        <v>0</v>
      </c>
      <c r="AP363" s="50">
        <f t="shared" ca="1" si="275"/>
        <v>0</v>
      </c>
      <c r="AQ363" s="50">
        <f t="shared" ca="1" si="248"/>
        <v>0</v>
      </c>
      <c r="AR363" s="50">
        <f t="shared" ca="1" si="249"/>
        <v>0</v>
      </c>
      <c r="AS363" s="50">
        <f t="shared" si="250"/>
        <v>0</v>
      </c>
      <c r="AT363" s="50">
        <f ca="1">(MAX((MAX(AS363,105%*SUM($AJ$7:AJ363))-AM363*Flag_UL_Type),0)*B363)</f>
        <v>0</v>
      </c>
      <c r="AU363" s="50">
        <f ca="1">(MAX(AS363,AR363,105%*SUM($AJ$7:AJ363))*B363)</f>
        <v>0</v>
      </c>
      <c r="AV363" s="125"/>
      <c r="AW363" s="13"/>
      <c r="AX363" s="13"/>
      <c r="AY363" s="13"/>
      <c r="AZ363" s="13"/>
      <c r="BA363" s="13"/>
      <c r="BG363" s="51">
        <f t="shared" si="251"/>
        <v>0</v>
      </c>
      <c r="BH363" s="51">
        <f t="shared" si="252"/>
        <v>0</v>
      </c>
      <c r="BI363" s="51">
        <f t="shared" ca="1" si="253"/>
        <v>0</v>
      </c>
      <c r="BJ363" s="51">
        <f t="shared" ca="1" si="254"/>
        <v>0</v>
      </c>
      <c r="BK363" s="51">
        <f t="shared" si="255"/>
        <v>0</v>
      </c>
      <c r="BL363" s="51">
        <f t="shared" ca="1" si="256"/>
        <v>0</v>
      </c>
      <c r="BM363" s="51">
        <f t="shared" si="257"/>
        <v>0</v>
      </c>
      <c r="BN363" s="51">
        <f t="shared" si="258"/>
        <v>0</v>
      </c>
      <c r="BO363" s="51">
        <f t="shared" ca="1" si="259"/>
        <v>0</v>
      </c>
      <c r="BP363" s="51">
        <f t="shared" ca="1" si="260"/>
        <v>0</v>
      </c>
      <c r="BQ363" s="120"/>
      <c r="BR363" s="32"/>
      <c r="BS363" s="126"/>
      <c r="BT363" s="16"/>
      <c r="BU363" s="58"/>
      <c r="BW363" s="51">
        <f>VLOOKUP(H363,Charges!$AT$4:$AU$33,2,FALSE)*I363</f>
        <v>0</v>
      </c>
      <c r="BX363" s="51">
        <f t="shared" si="261"/>
        <v>0</v>
      </c>
      <c r="BY363" s="51">
        <f t="shared" si="269"/>
        <v>0</v>
      </c>
      <c r="BZ363" s="151"/>
      <c r="CA363" s="151"/>
      <c r="CB363" s="32"/>
      <c r="CC363" s="16">
        <f ca="1">SUM($N$7:$N363)</f>
        <v>0</v>
      </c>
      <c r="CD363" s="16">
        <f t="shared" ca="1" si="262"/>
        <v>0</v>
      </c>
      <c r="CE363" s="16">
        <f t="shared" ca="1" si="263"/>
        <v>0</v>
      </c>
      <c r="CF363" s="7">
        <f t="shared" ca="1" si="270"/>
        <v>0</v>
      </c>
    </row>
    <row r="364" spans="1:84" s="7" customFormat="1" x14ac:dyDescent="0.2">
      <c r="A364" s="149"/>
      <c r="B364" s="14">
        <f t="shared" si="232"/>
        <v>0</v>
      </c>
      <c r="C364" s="12">
        <f t="shared" si="233"/>
        <v>0</v>
      </c>
      <c r="D364" s="17">
        <f t="shared" si="271"/>
        <v>358</v>
      </c>
      <c r="E364" s="17">
        <f t="shared" ca="1" si="234"/>
        <v>89</v>
      </c>
      <c r="F364" s="12">
        <f t="shared" si="273"/>
        <v>9</v>
      </c>
      <c r="G364" s="12">
        <f t="shared" si="272"/>
        <v>60</v>
      </c>
      <c r="H364" s="17">
        <f t="shared" si="274"/>
        <v>30</v>
      </c>
      <c r="I364" s="29">
        <f t="shared" si="235"/>
        <v>0</v>
      </c>
      <c r="J364" s="211">
        <f>IFERROR(VLOOKUP(H364,Charges!$T$6:$U$35,2,0)*C364,0)</f>
        <v>0</v>
      </c>
      <c r="K364" s="29">
        <f t="shared" si="236"/>
        <v>0</v>
      </c>
      <c r="L364" s="29">
        <f t="shared" si="237"/>
        <v>0</v>
      </c>
      <c r="M364" s="147">
        <f t="shared" ca="1" si="238"/>
        <v>0</v>
      </c>
      <c r="N364" s="148">
        <f ca="1">IF(AND(Option_SPW="Y",Z363&gt;=SPW_Start_Min_FV,H364&gt;=Lock_In_Period,Z363&gt;SPW_Amount_pa+IF(option="Single",1/5*pr,2*pr),H364&gt;=SPW_Start_Year,H364&lt;=SPW_Start_Year+SPW_Duration-1,F364=0,age+H364&gt;=Legal_Age),SPW_Amount_pa,0)+IFERROR(VLOOKUP(H364,Input!$B$68:$C$74,2,0),0)*(F364=0)*(Option_PW="Y")*(Option_SPW="N")*(age+H364&gt;=Legal_Age)</f>
        <v>0</v>
      </c>
      <c r="O364" s="148">
        <f t="shared" ca="1" si="264"/>
        <v>0</v>
      </c>
      <c r="P364" s="14">
        <f ca="1">(MAX(MAX(sa-CF363*Flag_UL_Type,105%*SUM($I$7:I364))-(AD363+L364-N364)*Flag_UL_Type,0)*B364)</f>
        <v>0</v>
      </c>
      <c r="Q364" s="213">
        <f t="shared" si="239"/>
        <v>0</v>
      </c>
      <c r="R364" s="14">
        <f t="shared" ca="1" si="240"/>
        <v>0</v>
      </c>
      <c r="S364" s="14">
        <f t="shared" ca="1" si="241"/>
        <v>0</v>
      </c>
      <c r="T364" s="14">
        <f>IFERROR(IF(WoP_Flag="Y",IF(fq=1,VLOOKUP(ppt*fq-H364,Charges!$AN$41:$AO$59,2,FALSE),IF(fq=2,VLOOKUP(ppt*fq-G364,Charges!$AP$41:$AQ$79,2,FALSE),VLOOKUP(ppt*fq-D364,Charges!$AR$41:$AS$279,2,FALSE)))*pr/fq,0),0)</f>
        <v>0</v>
      </c>
      <c r="U364" s="14">
        <f ca="1">IFERROR(((T364*(VLOOKUP(Input!$D$18+H364-1,Tab_Mort_Charge,IF(Gender_2="M",2,3),FALSE)*(1+_emr2)+_rpm2)/IF(Model_Type="LA_PQIS",1000/0.0833,(12*1000))))*Flag_Mort_Rider_Charge*(T364&gt;0),0)</f>
        <v>0</v>
      </c>
      <c r="V364" s="34">
        <f>ROUND(MIN(IF(H364&gt;=7,Charges!$C$12*(1+Charges!$C$14)^((H364-7+1)),VLOOKUP(H364,Charges!$B$7:$C$12,2,0))*pr,Charges!$C$13)*B364,Round)</f>
        <v>0</v>
      </c>
      <c r="W364" s="14">
        <f t="shared" ca="1" si="242"/>
        <v>0</v>
      </c>
      <c r="X364" s="14">
        <f t="shared" ca="1" si="243"/>
        <v>0</v>
      </c>
      <c r="Y364" s="213">
        <f t="shared" ca="1" si="265"/>
        <v>0</v>
      </c>
      <c r="Z364" s="14">
        <f t="shared" ca="1" si="244"/>
        <v>0</v>
      </c>
      <c r="AA364" s="14">
        <f>IF(AND($H364=pt,$F364=11),SUM($K$7:K364)*VLOOKUP(pt,ROC,2,FALSE),0)</f>
        <v>0</v>
      </c>
      <c r="AB364" s="14">
        <f>IF(AND($H364=pt,$F364=11),SUM($V$7:V364)*VLOOKUP(pt,ROC,2,FALSE),0)</f>
        <v>0</v>
      </c>
      <c r="AC364" s="14">
        <f>IF(AND($H364=pt,$F364=11),SUM($Q$7:Q364)*VLOOKUP(pt,ROC,2,FALSE),0)</f>
        <v>0</v>
      </c>
      <c r="AD364" s="14">
        <f t="shared" ca="1" si="266"/>
        <v>0</v>
      </c>
      <c r="AE364" s="14">
        <f ca="1">(MAX(sa-CF363*Flag_UL_Type,105%*SUM($I$7:I364),Z364)+AU364)*B364</f>
        <v>0</v>
      </c>
      <c r="AF364" s="136"/>
      <c r="AG364" s="18">
        <v>358</v>
      </c>
      <c r="AH364" s="30">
        <f t="shared" ca="1" si="245"/>
        <v>0</v>
      </c>
      <c r="AI364" s="58"/>
      <c r="AJ364" s="50">
        <f>IF(AND(Option_Sys_TopUp&gt;="Y",H364&gt;=sytp,H364&lt;=(dtp+sytp-1),F364=0,H364&lt;=ppt+1),atp,0)+IFERROR(VLOOKUP(H364,Input!$B$55:$C$61,2,0),0)*(F364=0)*(Option_TopUP="Y")*(Option_Sys_TopUp="N")*B364*(pt&gt;=H364+5)</f>
        <v>0</v>
      </c>
      <c r="AK364" s="50">
        <f t="shared" si="246"/>
        <v>0</v>
      </c>
      <c r="AL364" s="50">
        <f t="shared" si="267"/>
        <v>0</v>
      </c>
      <c r="AM364" s="50">
        <f t="shared" ca="1" si="247"/>
        <v>0</v>
      </c>
      <c r="AN364" s="50">
        <f>IF(B364=0,0,AT364*(_rpm1+(1+_emr1)*VLOOKUP(E364,Tab_Mort_Charge,IF(Input!$C$12="M",2,3),0))*(0.001*0.0833)*Flag_Mort_Rider_Charge*(AT364&gt;0))</f>
        <v>0</v>
      </c>
      <c r="AO364" s="50">
        <f t="shared" ca="1" si="268"/>
        <v>0</v>
      </c>
      <c r="AP364" s="50">
        <f t="shared" ca="1" si="275"/>
        <v>0</v>
      </c>
      <c r="AQ364" s="50">
        <f t="shared" ca="1" si="248"/>
        <v>0</v>
      </c>
      <c r="AR364" s="50">
        <f t="shared" ca="1" si="249"/>
        <v>0</v>
      </c>
      <c r="AS364" s="50">
        <f t="shared" si="250"/>
        <v>0</v>
      </c>
      <c r="AT364" s="50">
        <f ca="1">(MAX((MAX(AS364,105%*SUM($AJ$7:AJ364))-AM364*Flag_UL_Type),0)*B364)</f>
        <v>0</v>
      </c>
      <c r="AU364" s="50">
        <f ca="1">(MAX(AS364,AR364,105%*SUM($AJ$7:AJ364))*B364)</f>
        <v>0</v>
      </c>
      <c r="AV364" s="125"/>
      <c r="AW364" s="13"/>
      <c r="AX364" s="13"/>
      <c r="AY364" s="13"/>
      <c r="AZ364" s="13"/>
      <c r="BA364" s="13"/>
      <c r="BG364" s="51">
        <f t="shared" si="251"/>
        <v>0</v>
      </c>
      <c r="BH364" s="51">
        <f t="shared" si="252"/>
        <v>0</v>
      </c>
      <c r="BI364" s="51">
        <f t="shared" ca="1" si="253"/>
        <v>0</v>
      </c>
      <c r="BJ364" s="51">
        <f t="shared" ca="1" si="254"/>
        <v>0</v>
      </c>
      <c r="BK364" s="51">
        <f t="shared" si="255"/>
        <v>0</v>
      </c>
      <c r="BL364" s="51">
        <f t="shared" ca="1" si="256"/>
        <v>0</v>
      </c>
      <c r="BM364" s="51">
        <f t="shared" si="257"/>
        <v>0</v>
      </c>
      <c r="BN364" s="51">
        <f t="shared" si="258"/>
        <v>0</v>
      </c>
      <c r="BO364" s="51">
        <f t="shared" ca="1" si="259"/>
        <v>0</v>
      </c>
      <c r="BP364" s="51">
        <f t="shared" ca="1" si="260"/>
        <v>0</v>
      </c>
      <c r="BQ364" s="120"/>
      <c r="BR364" s="32"/>
      <c r="BS364" s="126"/>
      <c r="BT364" s="16"/>
      <c r="BU364" s="58"/>
      <c r="BW364" s="51">
        <f>VLOOKUP(H364,Charges!$AT$4:$AU$33,2,FALSE)*I364</f>
        <v>0</v>
      </c>
      <c r="BX364" s="51">
        <f t="shared" si="261"/>
        <v>0</v>
      </c>
      <c r="BY364" s="51">
        <f t="shared" si="269"/>
        <v>0</v>
      </c>
      <c r="BZ364" s="151"/>
      <c r="CA364" s="151"/>
      <c r="CB364" s="32"/>
      <c r="CC364" s="16">
        <f ca="1">SUM($N$7:$N364)</f>
        <v>0</v>
      </c>
      <c r="CD364" s="16">
        <f t="shared" ca="1" si="262"/>
        <v>0</v>
      </c>
      <c r="CE364" s="16">
        <f t="shared" ca="1" si="263"/>
        <v>0</v>
      </c>
      <c r="CF364" s="7">
        <f t="shared" ca="1" si="270"/>
        <v>0</v>
      </c>
    </row>
    <row r="365" spans="1:84" s="7" customFormat="1" x14ac:dyDescent="0.2">
      <c r="A365" s="149"/>
      <c r="B365" s="14">
        <f t="shared" si="232"/>
        <v>0</v>
      </c>
      <c r="C365" s="12">
        <f t="shared" si="233"/>
        <v>0</v>
      </c>
      <c r="D365" s="17">
        <f t="shared" si="271"/>
        <v>359</v>
      </c>
      <c r="E365" s="17">
        <f t="shared" ca="1" si="234"/>
        <v>89</v>
      </c>
      <c r="F365" s="12">
        <f t="shared" si="273"/>
        <v>10</v>
      </c>
      <c r="G365" s="12">
        <f t="shared" si="272"/>
        <v>60</v>
      </c>
      <c r="H365" s="17">
        <f t="shared" si="274"/>
        <v>30</v>
      </c>
      <c r="I365" s="29">
        <f t="shared" si="235"/>
        <v>0</v>
      </c>
      <c r="J365" s="211">
        <f>IFERROR(VLOOKUP(H365,Charges!$T$6:$U$35,2,0)*C365,0)</f>
        <v>0</v>
      </c>
      <c r="K365" s="29">
        <f t="shared" si="236"/>
        <v>0</v>
      </c>
      <c r="L365" s="29">
        <f t="shared" si="237"/>
        <v>0</v>
      </c>
      <c r="M365" s="147">
        <f t="shared" ca="1" si="238"/>
        <v>0</v>
      </c>
      <c r="N365" s="148">
        <f ca="1">IF(AND(Option_SPW="Y",Z364&gt;=SPW_Start_Min_FV,H365&gt;=Lock_In_Period,Z364&gt;SPW_Amount_pa+IF(option="Single",1/5*pr,2*pr),H365&gt;=SPW_Start_Year,H365&lt;=SPW_Start_Year+SPW_Duration-1,F365=0,age+H365&gt;=Legal_Age),SPW_Amount_pa,0)+IFERROR(VLOOKUP(H365,Input!$B$68:$C$74,2,0),0)*(F365=0)*(Option_PW="Y")*(Option_SPW="N")*(age+H365&gt;=Legal_Age)</f>
        <v>0</v>
      </c>
      <c r="O365" s="148">
        <f t="shared" ca="1" si="264"/>
        <v>0</v>
      </c>
      <c r="P365" s="14">
        <f ca="1">(MAX(MAX(sa-CF364*Flag_UL_Type,105%*SUM($I$7:I365))-(AD364+L365-N365)*Flag_UL_Type,0)*B365)</f>
        <v>0</v>
      </c>
      <c r="Q365" s="213">
        <f t="shared" si="239"/>
        <v>0</v>
      </c>
      <c r="R365" s="14">
        <f t="shared" ca="1" si="240"/>
        <v>0</v>
      </c>
      <c r="S365" s="14">
        <f t="shared" ca="1" si="241"/>
        <v>0</v>
      </c>
      <c r="T365" s="14">
        <f>IFERROR(IF(WoP_Flag="Y",IF(fq=1,VLOOKUP(ppt*fq-H365,Charges!$AN$41:$AO$59,2,FALSE),IF(fq=2,VLOOKUP(ppt*fq-G365,Charges!$AP$41:$AQ$79,2,FALSE),VLOOKUP(ppt*fq-D365,Charges!$AR$41:$AS$279,2,FALSE)))*pr/fq,0),0)</f>
        <v>0</v>
      </c>
      <c r="U365" s="14">
        <f ca="1">IFERROR(((T365*(VLOOKUP(Input!$D$18+H365-1,Tab_Mort_Charge,IF(Gender_2="M",2,3),FALSE)*(1+_emr2)+_rpm2)/IF(Model_Type="LA_PQIS",1000/0.0833,(12*1000))))*Flag_Mort_Rider_Charge*(T365&gt;0),0)</f>
        <v>0</v>
      </c>
      <c r="V365" s="34">
        <f>ROUND(MIN(IF(H365&gt;=7,Charges!$C$12*(1+Charges!$C$14)^((H365-7+1)),VLOOKUP(H365,Charges!$B$7:$C$12,2,0))*pr,Charges!$C$13)*B365,Round)</f>
        <v>0</v>
      </c>
      <c r="W365" s="14">
        <f t="shared" ca="1" si="242"/>
        <v>0</v>
      </c>
      <c r="X365" s="14">
        <f t="shared" ca="1" si="243"/>
        <v>0</v>
      </c>
      <c r="Y365" s="213">
        <f t="shared" ca="1" si="265"/>
        <v>0</v>
      </c>
      <c r="Z365" s="14">
        <f t="shared" ca="1" si="244"/>
        <v>0</v>
      </c>
      <c r="AA365" s="14">
        <f>IF(AND($H365=pt,$F365=11),SUM($K$7:K365)*VLOOKUP(pt,ROC,2,FALSE),0)</f>
        <v>0</v>
      </c>
      <c r="AB365" s="14">
        <f>IF(AND($H365=pt,$F365=11),SUM($V$7:V365)*VLOOKUP(pt,ROC,2,FALSE),0)</f>
        <v>0</v>
      </c>
      <c r="AC365" s="14">
        <f>IF(AND($H365=pt,$F365=11),SUM($Q$7:Q365)*VLOOKUP(pt,ROC,2,FALSE),0)</f>
        <v>0</v>
      </c>
      <c r="AD365" s="14">
        <f t="shared" ca="1" si="266"/>
        <v>0</v>
      </c>
      <c r="AE365" s="14">
        <f ca="1">(MAX(sa-CF364*Flag_UL_Type,105%*SUM($I$7:I365),Z365)+AU365)*B365</f>
        <v>0</v>
      </c>
      <c r="AF365" s="136"/>
      <c r="AG365" s="18">
        <v>359</v>
      </c>
      <c r="AH365" s="30">
        <f t="shared" ca="1" si="245"/>
        <v>0</v>
      </c>
      <c r="AI365" s="58"/>
      <c r="AJ365" s="50">
        <f>IF(AND(Option_Sys_TopUp&gt;="Y",H365&gt;=sytp,H365&lt;=(dtp+sytp-1),F365=0,H365&lt;=ppt+1),atp,0)+IFERROR(VLOOKUP(H365,Input!$B$55:$C$61,2,0),0)*(F365=0)*(Option_TopUP="Y")*(Option_Sys_TopUp="N")*B365*(pt&gt;=H365+5)</f>
        <v>0</v>
      </c>
      <c r="AK365" s="50">
        <f t="shared" si="246"/>
        <v>0</v>
      </c>
      <c r="AL365" s="50">
        <f t="shared" si="267"/>
        <v>0</v>
      </c>
      <c r="AM365" s="50">
        <f t="shared" ca="1" si="247"/>
        <v>0</v>
      </c>
      <c r="AN365" s="50">
        <f>IF(B365=0,0,AT365*(_rpm1+(1+_emr1)*VLOOKUP(E365,Tab_Mort_Charge,IF(Input!$C$12="M",2,3),0))*(0.001*0.0833)*Flag_Mort_Rider_Charge*(AT365&gt;0))</f>
        <v>0</v>
      </c>
      <c r="AO365" s="50">
        <f t="shared" ca="1" si="268"/>
        <v>0</v>
      </c>
      <c r="AP365" s="50">
        <f t="shared" ca="1" si="275"/>
        <v>0</v>
      </c>
      <c r="AQ365" s="50">
        <f t="shared" ca="1" si="248"/>
        <v>0</v>
      </c>
      <c r="AR365" s="50">
        <f t="shared" ca="1" si="249"/>
        <v>0</v>
      </c>
      <c r="AS365" s="50">
        <f t="shared" si="250"/>
        <v>0</v>
      </c>
      <c r="AT365" s="50">
        <f ca="1">(MAX((MAX(AS365,105%*SUM($AJ$7:AJ365))-AM365*Flag_UL_Type),0)*B365)</f>
        <v>0</v>
      </c>
      <c r="AU365" s="50">
        <f ca="1">(MAX(AS365,AR365,105%*SUM($AJ$7:AJ365))*B365)</f>
        <v>0</v>
      </c>
      <c r="AV365" s="125"/>
      <c r="AW365" s="13"/>
      <c r="AX365" s="13"/>
      <c r="AY365" s="13"/>
      <c r="AZ365" s="13"/>
      <c r="BA365" s="13"/>
      <c r="BG365" s="51">
        <f t="shared" si="251"/>
        <v>0</v>
      </c>
      <c r="BH365" s="51">
        <f t="shared" si="252"/>
        <v>0</v>
      </c>
      <c r="BI365" s="51">
        <f t="shared" ca="1" si="253"/>
        <v>0</v>
      </c>
      <c r="BJ365" s="51">
        <f t="shared" ca="1" si="254"/>
        <v>0</v>
      </c>
      <c r="BK365" s="51">
        <f t="shared" si="255"/>
        <v>0</v>
      </c>
      <c r="BL365" s="51">
        <f t="shared" ca="1" si="256"/>
        <v>0</v>
      </c>
      <c r="BM365" s="51">
        <f t="shared" si="257"/>
        <v>0</v>
      </c>
      <c r="BN365" s="51">
        <f t="shared" si="258"/>
        <v>0</v>
      </c>
      <c r="BO365" s="51">
        <f t="shared" ca="1" si="259"/>
        <v>0</v>
      </c>
      <c r="BP365" s="51">
        <f t="shared" ca="1" si="260"/>
        <v>0</v>
      </c>
      <c r="BQ365" s="120"/>
      <c r="BR365" s="32"/>
      <c r="BS365" s="126"/>
      <c r="BT365" s="16"/>
      <c r="BU365" s="58"/>
      <c r="BW365" s="51">
        <f>VLOOKUP(H365,Charges!$AT$4:$AU$33,2,FALSE)*I365</f>
        <v>0</v>
      </c>
      <c r="BX365" s="51">
        <f t="shared" si="261"/>
        <v>0</v>
      </c>
      <c r="BY365" s="51">
        <f t="shared" si="269"/>
        <v>0</v>
      </c>
      <c r="BZ365" s="151"/>
      <c r="CA365" s="151"/>
      <c r="CB365" s="32"/>
      <c r="CC365" s="16">
        <f ca="1">SUM($N$7:$N365)</f>
        <v>0</v>
      </c>
      <c r="CD365" s="16">
        <f t="shared" ca="1" si="262"/>
        <v>0</v>
      </c>
      <c r="CE365" s="16">
        <f t="shared" ca="1" si="263"/>
        <v>0</v>
      </c>
      <c r="CF365" s="7">
        <f t="shared" ca="1" si="270"/>
        <v>0</v>
      </c>
    </row>
    <row r="366" spans="1:84" s="7" customFormat="1" x14ac:dyDescent="0.2">
      <c r="A366" s="149"/>
      <c r="B366" s="14">
        <f t="shared" si="232"/>
        <v>0</v>
      </c>
      <c r="C366" s="12">
        <f t="shared" si="233"/>
        <v>0</v>
      </c>
      <c r="D366" s="17">
        <f t="shared" si="271"/>
        <v>360</v>
      </c>
      <c r="E366" s="17">
        <f t="shared" ca="1" si="234"/>
        <v>89</v>
      </c>
      <c r="F366" s="12">
        <f t="shared" si="273"/>
        <v>11</v>
      </c>
      <c r="G366" s="12">
        <f t="shared" si="272"/>
        <v>60</v>
      </c>
      <c r="H366" s="17">
        <f t="shared" si="274"/>
        <v>30</v>
      </c>
      <c r="I366" s="29">
        <f t="shared" si="235"/>
        <v>0</v>
      </c>
      <c r="J366" s="211">
        <f>IFERROR(VLOOKUP(H366,Charges!$T$6:$U$35,2,0)*C366,0)</f>
        <v>0</v>
      </c>
      <c r="K366" s="29">
        <f t="shared" si="236"/>
        <v>0</v>
      </c>
      <c r="L366" s="29">
        <f t="shared" si="237"/>
        <v>0</v>
      </c>
      <c r="M366" s="147">
        <f t="shared" ca="1" si="238"/>
        <v>0</v>
      </c>
      <c r="N366" s="148">
        <f ca="1">IF(AND(Option_SPW="Y",Z365&gt;=SPW_Start_Min_FV,H366&gt;=Lock_In_Period,Z365&gt;SPW_Amount_pa+IF(option="Single",1/5*pr,2*pr),H366&gt;=SPW_Start_Year,H366&lt;=SPW_Start_Year+SPW_Duration-1,F366=0,age+H366&gt;=Legal_Age),SPW_Amount_pa,0)+IFERROR(VLOOKUP(H366,Input!$B$68:$C$74,2,0),0)*(F366=0)*(Option_PW="Y")*(Option_SPW="N")*(age+H366&gt;=Legal_Age)</f>
        <v>0</v>
      </c>
      <c r="O366" s="148">
        <f t="shared" ca="1" si="264"/>
        <v>0</v>
      </c>
      <c r="P366" s="14">
        <f ca="1">(MAX(MAX(sa-CF365*Flag_UL_Type,105%*SUM($I$7:I366))-(AD365+L366-N366)*Flag_UL_Type,0)*B366)</f>
        <v>0</v>
      </c>
      <c r="Q366" s="213">
        <f t="shared" si="239"/>
        <v>0</v>
      </c>
      <c r="R366" s="14">
        <f t="shared" ca="1" si="240"/>
        <v>0</v>
      </c>
      <c r="S366" s="14">
        <f t="shared" ca="1" si="241"/>
        <v>0</v>
      </c>
      <c r="T366" s="14">
        <f>IFERROR(IF(WoP_Flag="Y",IF(fq=1,VLOOKUP(ppt*fq-H366,Charges!$AN$41:$AO$59,2,FALSE),IF(fq=2,VLOOKUP(ppt*fq-G366,Charges!$AP$41:$AQ$79,2,FALSE),VLOOKUP(ppt*fq-D366,Charges!$AR$41:$AS$279,2,FALSE)))*pr/fq,0),0)</f>
        <v>0</v>
      </c>
      <c r="U366" s="14">
        <f ca="1">IFERROR(((T366*(VLOOKUP(Input!$D$18+H366-1,Tab_Mort_Charge,IF(Gender_2="M",2,3),FALSE)*(1+_emr2)+_rpm2)/IF(Model_Type="LA_PQIS",1000/0.0833,(12*1000))))*Flag_Mort_Rider_Charge*(T366&gt;0),0)</f>
        <v>0</v>
      </c>
      <c r="V366" s="34">
        <f>ROUND(MIN(IF(H366&gt;=7,Charges!$C$12*(1+Charges!$C$14)^((H366-7+1)),VLOOKUP(H366,Charges!$B$7:$C$12,2,0))*pr,Charges!$C$13)*B366,Round)</f>
        <v>0</v>
      </c>
      <c r="W366" s="14">
        <f t="shared" ca="1" si="242"/>
        <v>0</v>
      </c>
      <c r="X366" s="14">
        <f t="shared" ca="1" si="243"/>
        <v>0</v>
      </c>
      <c r="Y366" s="213">
        <f t="shared" ca="1" si="265"/>
        <v>0</v>
      </c>
      <c r="Z366" s="14">
        <f t="shared" ca="1" si="244"/>
        <v>0</v>
      </c>
      <c r="AA366" s="14">
        <f>IF(AND($H366=pt,$F366=11),SUM($K$7:K366)*VLOOKUP(pt,ROC,2,FALSE),0)</f>
        <v>0</v>
      </c>
      <c r="AB366" s="14">
        <f>IF(AND($H366=pt,$F366=11),SUM($V$7:V366)*VLOOKUP(pt,ROC,2,FALSE),0)</f>
        <v>0</v>
      </c>
      <c r="AC366" s="14">
        <f>IF(AND($H366=pt,$F366=11),SUM($Q$7:Q366)*VLOOKUP(pt,ROC,2,FALSE),0)</f>
        <v>0</v>
      </c>
      <c r="AD366" s="14">
        <f t="shared" ca="1" si="266"/>
        <v>0</v>
      </c>
      <c r="AE366" s="14">
        <f ca="1">(MAX(sa-CF365*Flag_UL_Type,105%*SUM($I$7:I366),Z366)+AU366)*B366</f>
        <v>0</v>
      </c>
      <c r="AF366" s="136"/>
      <c r="AG366" s="18">
        <v>360</v>
      </c>
      <c r="AH366" s="30">
        <f t="shared" ca="1" si="245"/>
        <v>0</v>
      </c>
      <c r="AI366" s="58"/>
      <c r="AJ366" s="50">
        <f>IF(AND(Option_Sys_TopUp&gt;="Y",H366&gt;=sytp,H366&lt;=(dtp+sytp-1),F366=0,H366&lt;=ppt+1),atp,0)+IFERROR(VLOOKUP(H366,Input!$B$55:$C$61,2,0),0)*(F366=0)*(Option_TopUP="Y")*(Option_Sys_TopUp="N")*B366*(pt&gt;=H366+5)</f>
        <v>0</v>
      </c>
      <c r="AK366" s="50">
        <f t="shared" si="246"/>
        <v>0</v>
      </c>
      <c r="AL366" s="50">
        <f t="shared" si="267"/>
        <v>0</v>
      </c>
      <c r="AM366" s="50">
        <f t="shared" ca="1" si="247"/>
        <v>0</v>
      </c>
      <c r="AN366" s="50">
        <f>IF(B366=0,0,AT366*(_rpm1+(1+_emr1)*VLOOKUP(E366,Tab_Mort_Charge,IF(Input!$C$12="M",2,3),0))*(0.001*0.0833)*Flag_Mort_Rider_Charge*(AT366&gt;0))</f>
        <v>0</v>
      </c>
      <c r="AO366" s="50">
        <f t="shared" ca="1" si="268"/>
        <v>0</v>
      </c>
      <c r="AP366" s="50">
        <f t="shared" ca="1" si="275"/>
        <v>0</v>
      </c>
      <c r="AQ366" s="50">
        <f t="shared" ca="1" si="248"/>
        <v>0</v>
      </c>
      <c r="AR366" s="50">
        <f t="shared" ca="1" si="249"/>
        <v>0</v>
      </c>
      <c r="AS366" s="50">
        <f t="shared" si="250"/>
        <v>0</v>
      </c>
      <c r="AT366" s="50">
        <f ca="1">(MAX((MAX(AS366,105%*SUM($AJ$7:AJ366))-AM366*Flag_UL_Type),0)*B366)</f>
        <v>0</v>
      </c>
      <c r="AU366" s="50">
        <f ca="1">(MAX(AS366,AR366,105%*SUM($AJ$7:AJ366))*B366)</f>
        <v>0</v>
      </c>
      <c r="AV366" s="125"/>
      <c r="AW366" s="13"/>
      <c r="AX366" s="13"/>
      <c r="AY366" s="13"/>
      <c r="AZ366" s="13"/>
      <c r="BA366" s="13"/>
      <c r="BG366" s="51">
        <f t="shared" si="251"/>
        <v>0</v>
      </c>
      <c r="BH366" s="51">
        <f t="shared" si="252"/>
        <v>0</v>
      </c>
      <c r="BI366" s="51">
        <f t="shared" ca="1" si="253"/>
        <v>0</v>
      </c>
      <c r="BJ366" s="51">
        <f t="shared" ca="1" si="254"/>
        <v>0</v>
      </c>
      <c r="BK366" s="51">
        <f t="shared" si="255"/>
        <v>0</v>
      </c>
      <c r="BL366" s="51">
        <f t="shared" ca="1" si="256"/>
        <v>0</v>
      </c>
      <c r="BM366" s="51">
        <f t="shared" si="257"/>
        <v>0</v>
      </c>
      <c r="BN366" s="51">
        <f t="shared" si="258"/>
        <v>0</v>
      </c>
      <c r="BO366" s="51">
        <f t="shared" ca="1" si="259"/>
        <v>0</v>
      </c>
      <c r="BP366" s="51">
        <f t="shared" ca="1" si="260"/>
        <v>0</v>
      </c>
      <c r="BQ366" s="120"/>
      <c r="BR366" s="32"/>
      <c r="BS366" s="126"/>
      <c r="BT366" s="16"/>
      <c r="BU366" s="58"/>
      <c r="BW366" s="51">
        <f>VLOOKUP(H366,Charges!$AT$4:$AU$33,2,FALSE)*I366</f>
        <v>0</v>
      </c>
      <c r="BX366" s="51">
        <f t="shared" si="261"/>
        <v>0</v>
      </c>
      <c r="BY366" s="51">
        <f t="shared" si="269"/>
        <v>0</v>
      </c>
      <c r="BZ366" s="151"/>
      <c r="CA366" s="151"/>
      <c r="CB366" s="32"/>
      <c r="CC366" s="16">
        <f ca="1">SUM($N$7:$N366)</f>
        <v>0</v>
      </c>
      <c r="CD366" s="16">
        <f t="shared" ca="1" si="262"/>
        <v>0</v>
      </c>
      <c r="CE366" s="16">
        <f t="shared" ca="1" si="263"/>
        <v>0</v>
      </c>
      <c r="CF366" s="7">
        <f t="shared" ca="1" si="270"/>
        <v>0</v>
      </c>
    </row>
    <row r="367" spans="1:84" s="7" customFormat="1" x14ac:dyDescent="0.2">
      <c r="A367" s="149"/>
      <c r="B367" s="14">
        <f t="shared" si="232"/>
        <v>0</v>
      </c>
      <c r="C367" s="12">
        <f t="shared" si="233"/>
        <v>0</v>
      </c>
      <c r="D367" s="17">
        <f t="shared" si="271"/>
        <v>361</v>
      </c>
      <c r="E367" s="17">
        <f t="shared" ca="1" si="234"/>
        <v>90</v>
      </c>
      <c r="F367" s="12">
        <f t="shared" si="273"/>
        <v>0</v>
      </c>
      <c r="G367" s="12">
        <f t="shared" si="272"/>
        <v>61</v>
      </c>
      <c r="H367" s="17">
        <f t="shared" si="274"/>
        <v>31</v>
      </c>
      <c r="I367" s="29">
        <f t="shared" si="235"/>
        <v>0</v>
      </c>
      <c r="J367" s="211">
        <f>IFERROR(VLOOKUP(H367,Charges!$T$6:$U$35,2,0)*C367,0)</f>
        <v>0</v>
      </c>
      <c r="K367" s="29">
        <f t="shared" si="236"/>
        <v>0</v>
      </c>
      <c r="L367" s="29">
        <f t="shared" si="237"/>
        <v>0</v>
      </c>
      <c r="M367" s="147">
        <f t="shared" ca="1" si="238"/>
        <v>0</v>
      </c>
      <c r="N367" s="148">
        <f ca="1">IF(AND(Option_SPW="Y",Z366&gt;=SPW_Start_Min_FV,H367&gt;=Lock_In_Period,Z366&gt;SPW_Amount_pa+IF(option="Single",1/5*pr,2*pr),H367&gt;=SPW_Start_Year,H367&lt;=SPW_Start_Year+SPW_Duration-1,F367=0,age+H367&gt;=Legal_Age),SPW_Amount_pa,0)+IFERROR(VLOOKUP(H367,Input!$B$68:$C$74,2,0),0)*(F367=0)*(Option_PW="Y")*(Option_SPW="N")*(age+H367&gt;=Legal_Age)</f>
        <v>0</v>
      </c>
      <c r="O367" s="148">
        <f t="shared" ca="1" si="264"/>
        <v>0</v>
      </c>
      <c r="P367" s="14">
        <f ca="1">(MAX(MAX(sa-CF366*Flag_UL_Type,105%*SUM($I$7:I367))-(AD366+L367-N367)*Flag_UL_Type,0)*B367)</f>
        <v>0</v>
      </c>
      <c r="Q367" s="213">
        <f t="shared" si="239"/>
        <v>0</v>
      </c>
      <c r="R367" s="14">
        <f t="shared" ca="1" si="240"/>
        <v>0</v>
      </c>
      <c r="S367" s="14">
        <f t="shared" ca="1" si="241"/>
        <v>0</v>
      </c>
      <c r="T367" s="14">
        <f>IFERROR(IF(WoP_Flag="Y",IF(fq=1,VLOOKUP(ppt*fq-H367,Charges!$AN$41:$AO$59,2,FALSE),IF(fq=2,VLOOKUP(ppt*fq-G367,Charges!$AP$41:$AQ$79,2,FALSE),VLOOKUP(ppt*fq-D367,Charges!$AR$41:$AS$279,2,FALSE)))*pr/fq,0),0)</f>
        <v>0</v>
      </c>
      <c r="U367" s="14">
        <f ca="1">IFERROR(((T367*(VLOOKUP(Input!$D$18+H367-1,Tab_Mort_Charge,IF(Gender_2="M",2,3),FALSE)*(1+_emr2)+_rpm2)/IF(Model_Type="LA_PQIS",1000/0.0833,(12*1000))))*Flag_Mort_Rider_Charge*(T367&gt;0),0)</f>
        <v>0</v>
      </c>
      <c r="V367" s="34">
        <f>ROUND(MIN(IF(H367&gt;=7,Charges!$C$12*(1+Charges!$C$14)^((H367-7+1)),VLOOKUP(H367,Charges!$B$7:$C$12,2,0))*pr,Charges!$C$13)*B367,Round)</f>
        <v>0</v>
      </c>
      <c r="W367" s="14">
        <f t="shared" ca="1" si="242"/>
        <v>0</v>
      </c>
      <c r="X367" s="14">
        <f t="shared" ca="1" si="243"/>
        <v>0</v>
      </c>
      <c r="Y367" s="213">
        <f t="shared" ca="1" si="265"/>
        <v>0</v>
      </c>
      <c r="Z367" s="14">
        <f t="shared" ca="1" si="244"/>
        <v>0</v>
      </c>
      <c r="AA367" s="14">
        <f>IF(AND($H367=pt,$F367=11),SUM($K$7:K367)*VLOOKUP(pt,ROC,2,FALSE),0)</f>
        <v>0</v>
      </c>
      <c r="AB367" s="14">
        <f>IF(AND($H367=pt,$F367=11),SUM($V$7:V367)*VLOOKUP(pt,ROC,2,FALSE),0)</f>
        <v>0</v>
      </c>
      <c r="AC367" s="14">
        <f>IF(AND($H367=pt,$F367=11),SUM($Q$7:Q367)*VLOOKUP(pt,ROC,2,FALSE),0)</f>
        <v>0</v>
      </c>
      <c r="AD367" s="14">
        <f t="shared" ca="1" si="266"/>
        <v>0</v>
      </c>
      <c r="AE367" s="14">
        <f ca="1">(MAX(sa-CF366*Flag_UL_Type,105%*SUM($I$7:I367),Z367)+AU367)*B367</f>
        <v>0</v>
      </c>
      <c r="AF367" s="136"/>
      <c r="AG367" s="18">
        <v>361</v>
      </c>
      <c r="AH367" s="30">
        <f t="shared" ca="1" si="245"/>
        <v>0</v>
      </c>
      <c r="AI367" s="58"/>
      <c r="AJ367" s="50">
        <f>IF(AND(Option_Sys_TopUp&gt;="Y",H367&gt;=sytp,H367&lt;=(dtp+sytp-1),F367=0,H367&lt;=ppt+1),atp,0)+IFERROR(VLOOKUP(H367,Input!$B$55:$C$61,2,0),0)*(F367=0)*(Option_TopUP="Y")*(Option_Sys_TopUp="N")*B367*(pt&gt;=H367+5)</f>
        <v>0</v>
      </c>
      <c r="AK367" s="50">
        <f t="shared" si="246"/>
        <v>0</v>
      </c>
      <c r="AL367" s="50">
        <f t="shared" si="267"/>
        <v>0</v>
      </c>
      <c r="AM367" s="50">
        <f t="shared" ca="1" si="247"/>
        <v>0</v>
      </c>
      <c r="AN367" s="50">
        <f>IF(B367=0,0,AT367*(_rpm1+(1+_emr1)*VLOOKUP(E367,Tab_Mort_Charge,IF(Input!$C$12="M",2,3),0))*(0.001*0.0833)*Flag_Mort_Rider_Charge*(AT367&gt;0))</f>
        <v>0</v>
      </c>
      <c r="AO367" s="50">
        <f t="shared" ca="1" si="268"/>
        <v>0</v>
      </c>
      <c r="AP367" s="50">
        <f t="shared" ca="1" si="275"/>
        <v>0</v>
      </c>
      <c r="AQ367" s="50">
        <f t="shared" ca="1" si="248"/>
        <v>0</v>
      </c>
      <c r="AR367" s="50">
        <f t="shared" ca="1" si="249"/>
        <v>0</v>
      </c>
      <c r="AS367" s="50">
        <f t="shared" si="250"/>
        <v>0</v>
      </c>
      <c r="AT367" s="50">
        <f ca="1">(MAX((MAX(AS367,105%*SUM($AJ$7:AJ367))-AM367*Flag_UL_Type),0)*B367)</f>
        <v>0</v>
      </c>
      <c r="AU367" s="50">
        <f ca="1">(MAX(AS367,AR367,105%*SUM($AJ$7:AJ367))*B367)</f>
        <v>0</v>
      </c>
      <c r="AV367" s="125"/>
      <c r="AW367" s="13"/>
      <c r="AX367" s="13"/>
      <c r="AY367" s="13"/>
      <c r="AZ367" s="13"/>
      <c r="BA367" s="13"/>
      <c r="BG367" s="51">
        <f t="shared" si="251"/>
        <v>0</v>
      </c>
      <c r="BH367" s="51">
        <f t="shared" si="252"/>
        <v>0</v>
      </c>
      <c r="BI367" s="51">
        <f t="shared" ca="1" si="253"/>
        <v>0</v>
      </c>
      <c r="BJ367" s="51">
        <f t="shared" ca="1" si="254"/>
        <v>0</v>
      </c>
      <c r="BK367" s="51">
        <f t="shared" si="255"/>
        <v>0</v>
      </c>
      <c r="BL367" s="51">
        <f t="shared" ca="1" si="256"/>
        <v>0</v>
      </c>
      <c r="BM367" s="51">
        <f t="shared" si="257"/>
        <v>0</v>
      </c>
      <c r="BN367" s="51">
        <f t="shared" si="258"/>
        <v>0</v>
      </c>
      <c r="BO367" s="51">
        <f t="shared" ca="1" si="259"/>
        <v>0</v>
      </c>
      <c r="BP367" s="51">
        <f t="shared" ca="1" si="260"/>
        <v>0</v>
      </c>
      <c r="BQ367" s="120"/>
      <c r="BR367" s="32"/>
      <c r="BS367" s="126"/>
      <c r="BT367" s="16"/>
      <c r="BU367" s="58"/>
      <c r="BW367" s="51" t="e">
        <f>VLOOKUP(H367,Charges!$AT$4:$AU$33,2,FALSE)*I367</f>
        <v>#N/A</v>
      </c>
      <c r="BX367" s="51">
        <f t="shared" si="261"/>
        <v>0</v>
      </c>
      <c r="BY367" s="51" t="e">
        <f t="shared" si="269"/>
        <v>#N/A</v>
      </c>
      <c r="BZ367" s="151"/>
      <c r="CA367" s="151"/>
      <c r="CB367" s="32"/>
      <c r="CC367" s="16">
        <f ca="1">SUM($N$7:$N367)</f>
        <v>0</v>
      </c>
      <c r="CD367" s="16">
        <f t="shared" ca="1" si="262"/>
        <v>0</v>
      </c>
      <c r="CE367" s="16">
        <f t="shared" ca="1" si="263"/>
        <v>0</v>
      </c>
      <c r="CF367" s="7">
        <f t="shared" ca="1" si="270"/>
        <v>0</v>
      </c>
    </row>
    <row r="368" spans="1:84" s="7" customFormat="1" x14ac:dyDescent="0.2">
      <c r="D368" s="32"/>
      <c r="P368" s="16"/>
      <c r="Q368" s="38"/>
      <c r="V368" s="39"/>
      <c r="W368" s="6"/>
      <c r="X368" s="16"/>
      <c r="AP368" s="16"/>
      <c r="AQ368" s="16"/>
      <c r="AR368" s="16"/>
    </row>
    <row r="369" spans="4:44" s="7" customFormat="1" x14ac:dyDescent="0.2">
      <c r="D369" s="32"/>
      <c r="H369" s="7">
        <f>1.025^24</f>
        <v>1.8087259495825889</v>
      </c>
      <c r="I369" s="119">
        <v>2E-3</v>
      </c>
      <c r="J369" s="7">
        <f>pr</f>
        <v>300000</v>
      </c>
      <c r="P369" s="16"/>
      <c r="Q369" s="38"/>
      <c r="V369" s="39"/>
      <c r="W369" s="6"/>
      <c r="X369" s="16"/>
      <c r="AP369" s="16"/>
      <c r="AQ369" s="16"/>
      <c r="AR369" s="16"/>
    </row>
    <row r="370" spans="4:44" s="7" customFormat="1" x14ac:dyDescent="0.2">
      <c r="D370" s="32"/>
      <c r="J370" s="7">
        <f>+J369*H369*I369</f>
        <v>1085.2355697495534</v>
      </c>
      <c r="P370" s="16"/>
      <c r="Q370" s="38"/>
      <c r="V370" s="39"/>
      <c r="W370" s="6"/>
      <c r="X370" s="16"/>
      <c r="AP370" s="16"/>
      <c r="AQ370" s="16"/>
      <c r="AR370" s="16"/>
    </row>
    <row r="371" spans="4:44" s="7" customFormat="1" x14ac:dyDescent="0.2">
      <c r="D371" s="32"/>
      <c r="P371" s="16"/>
      <c r="Q371" s="38"/>
      <c r="V371" s="39"/>
      <c r="W371" s="6"/>
      <c r="X371" s="16"/>
      <c r="AP371" s="16"/>
      <c r="AQ371" s="16"/>
      <c r="AR371" s="16"/>
    </row>
    <row r="372" spans="4:44" s="7" customFormat="1" x14ac:dyDescent="0.2">
      <c r="D372" s="32"/>
      <c r="P372" s="16"/>
      <c r="Q372" s="38"/>
      <c r="V372" s="39"/>
      <c r="W372" s="6"/>
      <c r="X372" s="16"/>
      <c r="AP372" s="16"/>
      <c r="AQ372" s="16"/>
      <c r="AR372" s="16"/>
    </row>
    <row r="373" spans="4:44" s="7" customFormat="1" x14ac:dyDescent="0.2">
      <c r="D373" s="32"/>
      <c r="P373" s="16"/>
      <c r="Q373" s="38"/>
      <c r="V373" s="39"/>
      <c r="W373" s="6"/>
      <c r="X373" s="16"/>
      <c r="AP373" s="16"/>
      <c r="AQ373" s="16"/>
      <c r="AR373" s="16"/>
    </row>
    <row r="374" spans="4:44" s="7" customFormat="1" x14ac:dyDescent="0.2">
      <c r="D374" s="32"/>
      <c r="P374" s="16"/>
      <c r="Q374" s="38"/>
      <c r="V374" s="39"/>
      <c r="W374" s="6"/>
      <c r="X374" s="16"/>
      <c r="AP374" s="16"/>
      <c r="AQ374" s="16"/>
      <c r="AR374" s="16"/>
    </row>
    <row r="375" spans="4:44" s="7" customFormat="1" x14ac:dyDescent="0.2">
      <c r="D375" s="32"/>
      <c r="P375" s="16"/>
      <c r="Q375" s="38"/>
      <c r="V375" s="39"/>
      <c r="W375" s="6"/>
      <c r="X375" s="16"/>
      <c r="AP375" s="16"/>
      <c r="AQ375" s="16"/>
      <c r="AR375" s="16"/>
    </row>
    <row r="376" spans="4:44" s="7" customFormat="1" x14ac:dyDescent="0.2">
      <c r="D376" s="32"/>
      <c r="P376" s="16"/>
      <c r="Q376" s="38"/>
      <c r="V376" s="39"/>
      <c r="W376" s="6"/>
      <c r="X376" s="16"/>
      <c r="AP376" s="16"/>
      <c r="AQ376" s="16"/>
      <c r="AR376" s="16"/>
    </row>
    <row r="377" spans="4:44" s="7" customFormat="1" x14ac:dyDescent="0.2">
      <c r="D377" s="32"/>
      <c r="P377" s="16"/>
      <c r="Q377" s="38"/>
      <c r="V377" s="39"/>
      <c r="W377" s="6"/>
      <c r="X377" s="16"/>
      <c r="AP377" s="16"/>
      <c r="AQ377" s="16"/>
      <c r="AR377" s="16"/>
    </row>
    <row r="378" spans="4:44" s="7" customFormat="1" x14ac:dyDescent="0.2">
      <c r="D378" s="32"/>
      <c r="P378" s="16"/>
      <c r="Q378" s="38"/>
      <c r="V378" s="39"/>
      <c r="W378" s="6"/>
      <c r="X378" s="16"/>
      <c r="AP378" s="16"/>
      <c r="AQ378" s="16"/>
      <c r="AR378" s="16"/>
    </row>
    <row r="379" spans="4:44" s="7" customFormat="1" x14ac:dyDescent="0.2">
      <c r="D379" s="32"/>
      <c r="P379" s="16"/>
      <c r="Q379" s="38"/>
      <c r="V379" s="39"/>
      <c r="W379" s="6"/>
      <c r="X379" s="16"/>
      <c r="AP379" s="16"/>
      <c r="AQ379" s="16"/>
      <c r="AR379" s="16"/>
    </row>
    <row r="380" spans="4:44" s="7" customFormat="1" x14ac:dyDescent="0.2">
      <c r="D380" s="32"/>
      <c r="P380" s="16"/>
      <c r="Q380" s="38"/>
      <c r="V380" s="39"/>
      <c r="W380" s="6"/>
      <c r="X380" s="16"/>
      <c r="AP380" s="16"/>
      <c r="AQ380" s="16"/>
      <c r="AR380" s="16"/>
    </row>
    <row r="381" spans="4:44" s="7" customFormat="1" x14ac:dyDescent="0.2">
      <c r="D381" s="32"/>
      <c r="P381" s="16"/>
      <c r="Q381" s="38"/>
      <c r="V381" s="39"/>
      <c r="W381" s="6"/>
      <c r="X381" s="16"/>
      <c r="AP381" s="16"/>
      <c r="AQ381" s="16"/>
      <c r="AR381" s="16"/>
    </row>
    <row r="382" spans="4:44" s="7" customFormat="1" x14ac:dyDescent="0.2">
      <c r="D382" s="32"/>
      <c r="P382" s="16"/>
      <c r="Q382" s="38"/>
      <c r="V382" s="39"/>
      <c r="W382" s="6"/>
      <c r="X382" s="16"/>
      <c r="AP382" s="16"/>
      <c r="AQ382" s="16"/>
      <c r="AR382" s="16"/>
    </row>
    <row r="383" spans="4:44" s="7" customFormat="1" x14ac:dyDescent="0.2">
      <c r="D383" s="32"/>
      <c r="P383" s="16"/>
      <c r="Q383" s="38"/>
      <c r="V383" s="39"/>
      <c r="W383" s="6"/>
      <c r="X383" s="16"/>
      <c r="AP383" s="16"/>
      <c r="AQ383" s="16"/>
      <c r="AR383" s="16"/>
    </row>
    <row r="384" spans="4:44" s="7" customFormat="1" x14ac:dyDescent="0.2">
      <c r="D384" s="32"/>
      <c r="P384" s="16"/>
      <c r="Q384" s="38"/>
      <c r="V384" s="39"/>
      <c r="W384" s="6"/>
      <c r="X384" s="16"/>
      <c r="AP384" s="16"/>
      <c r="AQ384" s="16"/>
      <c r="AR384" s="16"/>
    </row>
    <row r="385" spans="4:44" s="7" customFormat="1" x14ac:dyDescent="0.2">
      <c r="D385" s="32"/>
      <c r="P385" s="16"/>
      <c r="Q385" s="38"/>
      <c r="V385" s="39"/>
      <c r="W385" s="6"/>
      <c r="X385" s="16"/>
      <c r="AP385" s="16"/>
      <c r="AQ385" s="16"/>
      <c r="AR385" s="16"/>
    </row>
    <row r="386" spans="4:44" s="7" customFormat="1" x14ac:dyDescent="0.2">
      <c r="D386" s="32"/>
      <c r="P386" s="16"/>
      <c r="Q386" s="38"/>
      <c r="V386" s="39"/>
      <c r="W386" s="6"/>
      <c r="X386" s="16"/>
      <c r="AP386" s="16"/>
      <c r="AQ386" s="16"/>
      <c r="AR386" s="16"/>
    </row>
    <row r="387" spans="4:44" s="7" customFormat="1" x14ac:dyDescent="0.2">
      <c r="D387" s="32"/>
      <c r="P387" s="16"/>
      <c r="Q387" s="38"/>
      <c r="V387" s="39"/>
      <c r="W387" s="6"/>
      <c r="X387" s="16"/>
      <c r="AP387" s="16"/>
      <c r="AQ387" s="16"/>
      <c r="AR387" s="16"/>
    </row>
    <row r="388" spans="4:44" s="7" customFormat="1" x14ac:dyDescent="0.2">
      <c r="D388" s="32"/>
      <c r="P388" s="16"/>
      <c r="Q388" s="38"/>
      <c r="V388" s="39"/>
      <c r="W388" s="6"/>
      <c r="X388" s="16"/>
      <c r="AP388" s="16"/>
      <c r="AQ388" s="16"/>
      <c r="AR388" s="16"/>
    </row>
    <row r="389" spans="4:44" x14ac:dyDescent="0.2">
      <c r="Q389" s="40"/>
      <c r="V389" s="41"/>
      <c r="W389" s="6"/>
      <c r="AA389" s="7"/>
      <c r="AB389" s="7"/>
      <c r="AC389" s="7"/>
      <c r="AD389" s="7"/>
    </row>
    <row r="390" spans="4:44" x14ac:dyDescent="0.2">
      <c r="Q390" s="40"/>
      <c r="V390" s="41"/>
      <c r="W390" s="6"/>
      <c r="AA390" s="7"/>
      <c r="AB390" s="7"/>
      <c r="AC390" s="7"/>
      <c r="AD390" s="7"/>
    </row>
    <row r="391" spans="4:44" x14ac:dyDescent="0.2">
      <c r="Q391" s="40"/>
      <c r="V391" s="41"/>
      <c r="W391" s="6"/>
      <c r="AA391" s="7"/>
      <c r="AB391" s="7"/>
      <c r="AC391" s="7"/>
      <c r="AD391" s="7"/>
    </row>
    <row r="392" spans="4:44" x14ac:dyDescent="0.2">
      <c r="Q392" s="40"/>
      <c r="V392" s="41"/>
      <c r="W392" s="6"/>
      <c r="AA392" s="7"/>
      <c r="AB392" s="7"/>
      <c r="AC392" s="7"/>
      <c r="AD392" s="7"/>
    </row>
    <row r="393" spans="4:44" x14ac:dyDescent="0.2">
      <c r="Q393" s="40"/>
      <c r="V393" s="41"/>
      <c r="W393" s="6"/>
      <c r="AA393" s="7"/>
      <c r="AB393" s="7"/>
      <c r="AC393" s="7"/>
      <c r="AD393" s="7"/>
    </row>
    <row r="394" spans="4:44" x14ac:dyDescent="0.2">
      <c r="Q394" s="40"/>
      <c r="V394" s="41"/>
      <c r="W394" s="6"/>
      <c r="AA394" s="7"/>
      <c r="AB394" s="7"/>
      <c r="AC394" s="7"/>
      <c r="AD394" s="7"/>
    </row>
    <row r="395" spans="4:44" x14ac:dyDescent="0.2">
      <c r="Q395" s="40"/>
      <c r="V395" s="41"/>
      <c r="W395" s="6"/>
      <c r="AA395" s="7"/>
      <c r="AB395" s="7"/>
      <c r="AC395" s="7"/>
      <c r="AD395" s="7"/>
    </row>
    <row r="396" spans="4:44" x14ac:dyDescent="0.2">
      <c r="Q396" s="40"/>
      <c r="V396" s="41"/>
      <c r="W396" s="6"/>
      <c r="AA396" s="7"/>
      <c r="AB396" s="7"/>
      <c r="AC396" s="7"/>
      <c r="AD396" s="7"/>
    </row>
    <row r="397" spans="4:44" x14ac:dyDescent="0.2">
      <c r="Q397" s="40"/>
      <c r="V397" s="41"/>
      <c r="W397" s="6"/>
      <c r="AA397" s="7"/>
      <c r="AB397" s="7"/>
      <c r="AC397" s="7"/>
      <c r="AD397" s="7"/>
    </row>
    <row r="398" spans="4:44" x14ac:dyDescent="0.2">
      <c r="Q398" s="40"/>
      <c r="V398" s="41"/>
      <c r="W398" s="6"/>
      <c r="AA398" s="7"/>
      <c r="AB398" s="7"/>
      <c r="AC398" s="7"/>
      <c r="AD398" s="7"/>
    </row>
    <row r="399" spans="4:44" x14ac:dyDescent="0.2">
      <c r="Q399" s="40"/>
      <c r="V399" s="41"/>
      <c r="W399" s="6"/>
      <c r="AA399" s="7"/>
      <c r="AB399" s="7"/>
      <c r="AC399" s="7"/>
      <c r="AD399" s="7"/>
    </row>
    <row r="400" spans="4:44" x14ac:dyDescent="0.2">
      <c r="Q400" s="40"/>
      <c r="V400" s="41"/>
      <c r="W400" s="6"/>
      <c r="AA400" s="7"/>
      <c r="AB400" s="7"/>
      <c r="AC400" s="7"/>
      <c r="AD400" s="7"/>
    </row>
    <row r="401" spans="17:30" x14ac:dyDescent="0.2">
      <c r="Q401" s="40"/>
      <c r="V401" s="41"/>
      <c r="W401" s="6"/>
      <c r="AA401" s="7"/>
      <c r="AB401" s="7"/>
      <c r="AC401" s="7"/>
      <c r="AD401" s="7"/>
    </row>
    <row r="402" spans="17:30" x14ac:dyDescent="0.2">
      <c r="Q402" s="40"/>
      <c r="V402" s="41"/>
      <c r="W402" s="6"/>
      <c r="AA402" s="7"/>
      <c r="AB402" s="7"/>
      <c r="AC402" s="7"/>
      <c r="AD402" s="7"/>
    </row>
    <row r="403" spans="17:30" x14ac:dyDescent="0.2">
      <c r="Q403" s="40"/>
      <c r="V403" s="41"/>
      <c r="W403" s="6"/>
      <c r="AA403" s="7"/>
      <c r="AB403" s="7"/>
      <c r="AC403" s="7"/>
      <c r="AD403" s="7"/>
    </row>
    <row r="404" spans="17:30" x14ac:dyDescent="0.2">
      <c r="Q404" s="40"/>
      <c r="V404" s="41"/>
      <c r="W404" s="6"/>
      <c r="AA404" s="7"/>
      <c r="AB404" s="7"/>
      <c r="AC404" s="7"/>
      <c r="AD404" s="7"/>
    </row>
    <row r="405" spans="17:30" x14ac:dyDescent="0.2">
      <c r="Q405" s="40"/>
      <c r="V405" s="41"/>
      <c r="W405" s="6"/>
      <c r="AA405" s="7"/>
      <c r="AB405" s="7"/>
      <c r="AC405" s="7"/>
      <c r="AD405" s="7"/>
    </row>
    <row r="406" spans="17:30" x14ac:dyDescent="0.2">
      <c r="Q406" s="40"/>
      <c r="V406" s="41"/>
      <c r="W406" s="6"/>
      <c r="AA406" s="7"/>
      <c r="AB406" s="7"/>
      <c r="AC406" s="7"/>
      <c r="AD406" s="7"/>
    </row>
    <row r="407" spans="17:30" x14ac:dyDescent="0.2">
      <c r="Q407" s="40"/>
      <c r="V407" s="41"/>
      <c r="W407" s="6"/>
      <c r="AA407" s="7"/>
      <c r="AB407" s="7"/>
      <c r="AC407" s="7"/>
      <c r="AD407" s="7"/>
    </row>
    <row r="408" spans="17:30" x14ac:dyDescent="0.2">
      <c r="Q408" s="40"/>
      <c r="V408" s="41"/>
      <c r="W408" s="6"/>
      <c r="AA408" s="7"/>
      <c r="AB408" s="7"/>
      <c r="AC408" s="7"/>
      <c r="AD408" s="7"/>
    </row>
    <row r="409" spans="17:30" x14ac:dyDescent="0.2">
      <c r="Q409" s="40"/>
      <c r="V409" s="41"/>
      <c r="W409" s="6"/>
      <c r="AA409" s="7"/>
      <c r="AB409" s="7"/>
      <c r="AC409" s="7"/>
      <c r="AD409" s="7"/>
    </row>
    <row r="410" spans="17:30" x14ac:dyDescent="0.2">
      <c r="Q410" s="40"/>
      <c r="V410" s="41"/>
      <c r="W410" s="6"/>
      <c r="AA410" s="7"/>
      <c r="AB410" s="7"/>
      <c r="AC410" s="7"/>
      <c r="AD410" s="7"/>
    </row>
    <row r="411" spans="17:30" x14ac:dyDescent="0.2">
      <c r="Q411" s="40"/>
      <c r="V411" s="41"/>
      <c r="W411" s="6"/>
      <c r="AA411" s="7"/>
      <c r="AB411" s="7"/>
      <c r="AC411" s="7"/>
      <c r="AD411" s="7"/>
    </row>
    <row r="412" spans="17:30" x14ac:dyDescent="0.2">
      <c r="Q412" s="40"/>
      <c r="V412" s="41"/>
      <c r="W412" s="6"/>
      <c r="AA412" s="7"/>
      <c r="AB412" s="7"/>
      <c r="AC412" s="7"/>
      <c r="AD412" s="7"/>
    </row>
    <row r="413" spans="17:30" x14ac:dyDescent="0.2">
      <c r="Q413" s="40"/>
      <c r="V413" s="41"/>
      <c r="W413" s="6"/>
      <c r="AA413" s="7"/>
      <c r="AB413" s="7"/>
      <c r="AC413" s="7"/>
      <c r="AD413" s="7"/>
    </row>
    <row r="414" spans="17:30" x14ac:dyDescent="0.2">
      <c r="Q414" s="40"/>
      <c r="V414" s="41"/>
      <c r="W414" s="6"/>
      <c r="AA414" s="7"/>
      <c r="AB414" s="7"/>
      <c r="AC414" s="7"/>
      <c r="AD414" s="7"/>
    </row>
    <row r="415" spans="17:30" x14ac:dyDescent="0.2">
      <c r="Q415" s="40"/>
      <c r="V415" s="41"/>
      <c r="W415" s="6"/>
      <c r="AA415" s="7"/>
      <c r="AB415" s="7"/>
      <c r="AC415" s="7"/>
      <c r="AD415" s="7"/>
    </row>
    <row r="416" spans="17:30" x14ac:dyDescent="0.2">
      <c r="Q416" s="40"/>
      <c r="V416" s="41"/>
      <c r="W416" s="6"/>
      <c r="AA416" s="7"/>
      <c r="AB416" s="7"/>
      <c r="AC416" s="7"/>
      <c r="AD416" s="7"/>
    </row>
    <row r="417" spans="17:30" x14ac:dyDescent="0.2">
      <c r="Q417" s="40"/>
      <c r="V417" s="41"/>
      <c r="W417" s="6"/>
      <c r="AA417" s="7"/>
      <c r="AB417" s="7"/>
      <c r="AC417" s="7"/>
      <c r="AD417" s="7"/>
    </row>
    <row r="418" spans="17:30" x14ac:dyDescent="0.2">
      <c r="Q418" s="40"/>
      <c r="V418" s="41"/>
      <c r="W418" s="6"/>
      <c r="AA418" s="7"/>
      <c r="AB418" s="7"/>
      <c r="AC418" s="7"/>
      <c r="AD418" s="7"/>
    </row>
    <row r="419" spans="17:30" x14ac:dyDescent="0.2">
      <c r="Q419" s="40"/>
      <c r="V419" s="41"/>
      <c r="W419" s="6"/>
      <c r="AA419" s="7"/>
      <c r="AB419" s="7"/>
      <c r="AC419" s="7"/>
      <c r="AD419" s="7"/>
    </row>
    <row r="420" spans="17:30" x14ac:dyDescent="0.2">
      <c r="Q420" s="40"/>
      <c r="V420" s="41"/>
      <c r="W420" s="6"/>
      <c r="AA420" s="7"/>
      <c r="AB420" s="7"/>
      <c r="AC420" s="7"/>
      <c r="AD420" s="7"/>
    </row>
    <row r="421" spans="17:30" x14ac:dyDescent="0.2">
      <c r="Q421" s="40"/>
      <c r="V421" s="41"/>
      <c r="W421" s="6"/>
      <c r="AA421" s="7"/>
      <c r="AB421" s="7"/>
      <c r="AC421" s="7"/>
      <c r="AD421" s="7"/>
    </row>
    <row r="422" spans="17:30" x14ac:dyDescent="0.2">
      <c r="Q422" s="40"/>
      <c r="V422" s="41"/>
      <c r="W422" s="6"/>
      <c r="AA422" s="7"/>
      <c r="AB422" s="7"/>
      <c r="AC422" s="7"/>
      <c r="AD422" s="7"/>
    </row>
    <row r="423" spans="17:30" x14ac:dyDescent="0.2">
      <c r="Q423" s="40"/>
      <c r="V423" s="41"/>
      <c r="W423" s="6"/>
      <c r="AA423" s="7"/>
      <c r="AB423" s="7"/>
      <c r="AC423" s="7"/>
      <c r="AD423" s="7"/>
    </row>
    <row r="424" spans="17:30" x14ac:dyDescent="0.2">
      <c r="Q424" s="40"/>
      <c r="V424" s="41"/>
      <c r="W424" s="6"/>
      <c r="AA424" s="7"/>
      <c r="AB424" s="7"/>
      <c r="AC424" s="7"/>
      <c r="AD424" s="7"/>
    </row>
    <row r="425" spans="17:30" x14ac:dyDescent="0.2">
      <c r="Q425" s="40"/>
      <c r="V425" s="41"/>
      <c r="W425" s="6"/>
      <c r="AA425" s="7"/>
      <c r="AB425" s="7"/>
      <c r="AC425" s="7"/>
      <c r="AD425" s="7"/>
    </row>
    <row r="426" spans="17:30" x14ac:dyDescent="0.2">
      <c r="Q426" s="40"/>
      <c r="V426" s="41"/>
      <c r="W426" s="6"/>
      <c r="AA426" s="7"/>
      <c r="AB426" s="7"/>
      <c r="AC426" s="7"/>
      <c r="AD426" s="7"/>
    </row>
    <row r="427" spans="17:30" x14ac:dyDescent="0.2">
      <c r="Q427" s="40"/>
      <c r="V427" s="41"/>
      <c r="W427" s="6"/>
      <c r="AA427" s="7"/>
      <c r="AB427" s="7"/>
      <c r="AC427" s="7"/>
      <c r="AD427" s="7"/>
    </row>
    <row r="428" spans="17:30" x14ac:dyDescent="0.2">
      <c r="Q428" s="40"/>
      <c r="V428" s="41"/>
      <c r="W428" s="6"/>
      <c r="AA428" s="7"/>
      <c r="AB428" s="7"/>
      <c r="AC428" s="7"/>
      <c r="AD428" s="7"/>
    </row>
    <row r="429" spans="17:30" x14ac:dyDescent="0.2">
      <c r="Q429" s="40"/>
      <c r="V429" s="41"/>
      <c r="W429" s="6"/>
      <c r="AA429" s="7"/>
      <c r="AB429" s="7"/>
      <c r="AC429" s="7"/>
      <c r="AD429" s="7"/>
    </row>
    <row r="430" spans="17:30" x14ac:dyDescent="0.2">
      <c r="Q430" s="40"/>
      <c r="V430" s="41"/>
      <c r="W430" s="6"/>
      <c r="AA430" s="7"/>
      <c r="AB430" s="7"/>
      <c r="AC430" s="7"/>
      <c r="AD430" s="7"/>
    </row>
    <row r="431" spans="17:30" x14ac:dyDescent="0.2">
      <c r="Q431" s="40"/>
      <c r="V431" s="41"/>
      <c r="W431" s="6"/>
      <c r="AA431" s="7"/>
      <c r="AB431" s="7"/>
      <c r="AC431" s="7"/>
      <c r="AD431" s="7"/>
    </row>
    <row r="432" spans="17:30" x14ac:dyDescent="0.2">
      <c r="Q432" s="40"/>
      <c r="V432" s="41"/>
      <c r="W432" s="6"/>
      <c r="AA432" s="7"/>
      <c r="AB432" s="7"/>
      <c r="AC432" s="7"/>
      <c r="AD432" s="7"/>
    </row>
    <row r="433" spans="17:30" x14ac:dyDescent="0.2">
      <c r="Q433" s="40"/>
      <c r="V433" s="41"/>
      <c r="W433" s="6"/>
      <c r="AA433" s="7"/>
      <c r="AB433" s="7"/>
      <c r="AC433" s="7"/>
      <c r="AD433" s="7"/>
    </row>
    <row r="434" spans="17:30" x14ac:dyDescent="0.2">
      <c r="Q434" s="40"/>
      <c r="V434" s="41"/>
      <c r="W434" s="6"/>
      <c r="AA434" s="7"/>
      <c r="AB434" s="7"/>
      <c r="AC434" s="7"/>
      <c r="AD434" s="7"/>
    </row>
    <row r="435" spans="17:30" x14ac:dyDescent="0.2">
      <c r="Q435" s="40"/>
      <c r="V435" s="41"/>
      <c r="W435" s="6"/>
      <c r="AA435" s="7"/>
      <c r="AB435" s="7"/>
      <c r="AC435" s="7"/>
      <c r="AD435" s="7"/>
    </row>
    <row r="436" spans="17:30" x14ac:dyDescent="0.2">
      <c r="Q436" s="40"/>
      <c r="V436" s="41"/>
      <c r="W436" s="6"/>
      <c r="AA436" s="7"/>
      <c r="AB436" s="7"/>
      <c r="AC436" s="7"/>
      <c r="AD436" s="7"/>
    </row>
    <row r="437" spans="17:30" x14ac:dyDescent="0.2">
      <c r="Q437" s="40"/>
      <c r="V437" s="41"/>
      <c r="W437" s="6"/>
      <c r="AA437" s="7"/>
      <c r="AB437" s="7"/>
      <c r="AC437" s="7"/>
      <c r="AD437" s="7"/>
    </row>
    <row r="438" spans="17:30" x14ac:dyDescent="0.2">
      <c r="Q438" s="40"/>
      <c r="V438" s="41"/>
      <c r="W438" s="6"/>
      <c r="AA438" s="7"/>
      <c r="AB438" s="7"/>
      <c r="AC438" s="7"/>
      <c r="AD438" s="7"/>
    </row>
    <row r="439" spans="17:30" x14ac:dyDescent="0.2">
      <c r="Q439" s="40"/>
      <c r="V439" s="41"/>
      <c r="W439" s="6"/>
      <c r="AA439" s="7"/>
      <c r="AB439" s="7"/>
      <c r="AC439" s="7"/>
      <c r="AD439" s="7"/>
    </row>
    <row r="440" spans="17:30" x14ac:dyDescent="0.2">
      <c r="Q440" s="40"/>
      <c r="V440" s="41"/>
      <c r="W440" s="6"/>
      <c r="AA440" s="7"/>
      <c r="AB440" s="7"/>
      <c r="AC440" s="7"/>
      <c r="AD440" s="7"/>
    </row>
    <row r="441" spans="17:30" x14ac:dyDescent="0.2">
      <c r="Q441" s="40"/>
      <c r="V441" s="41"/>
      <c r="W441" s="6"/>
      <c r="AA441" s="7"/>
      <c r="AB441" s="7"/>
      <c r="AC441" s="7"/>
      <c r="AD441" s="7"/>
    </row>
    <row r="442" spans="17:30" x14ac:dyDescent="0.2">
      <c r="Q442" s="40"/>
      <c r="V442" s="41"/>
      <c r="W442" s="6"/>
      <c r="AA442" s="7"/>
      <c r="AB442" s="7"/>
      <c r="AC442" s="7"/>
      <c r="AD442" s="7"/>
    </row>
    <row r="443" spans="17:30" x14ac:dyDescent="0.2">
      <c r="Q443" s="40"/>
      <c r="V443" s="41"/>
      <c r="W443" s="6"/>
      <c r="AA443" s="7"/>
      <c r="AB443" s="7"/>
      <c r="AC443" s="7"/>
      <c r="AD443" s="7"/>
    </row>
    <row r="444" spans="17:30" x14ac:dyDescent="0.2">
      <c r="Q444" s="40"/>
      <c r="V444" s="41"/>
      <c r="W444" s="6"/>
      <c r="AA444" s="7"/>
      <c r="AB444" s="7"/>
      <c r="AC444" s="7"/>
      <c r="AD444" s="7"/>
    </row>
    <row r="445" spans="17:30" x14ac:dyDescent="0.2">
      <c r="Q445" s="40"/>
      <c r="V445" s="41"/>
      <c r="W445" s="6"/>
      <c r="AA445" s="7"/>
      <c r="AB445" s="7"/>
      <c r="AC445" s="7"/>
      <c r="AD445" s="7"/>
    </row>
    <row r="446" spans="17:30" x14ac:dyDescent="0.2">
      <c r="Q446" s="40"/>
      <c r="V446" s="41"/>
      <c r="W446" s="6"/>
      <c r="AA446" s="7"/>
      <c r="AB446" s="7"/>
      <c r="AC446" s="7"/>
      <c r="AD446" s="7"/>
    </row>
    <row r="447" spans="17:30" x14ac:dyDescent="0.2">
      <c r="Q447" s="40"/>
      <c r="V447" s="41"/>
      <c r="W447" s="6"/>
      <c r="AA447" s="7"/>
      <c r="AB447" s="7"/>
      <c r="AC447" s="7"/>
      <c r="AD447" s="7"/>
    </row>
    <row r="448" spans="17:30" x14ac:dyDescent="0.2">
      <c r="Q448" s="40"/>
      <c r="V448" s="41"/>
      <c r="W448" s="6"/>
      <c r="AA448" s="7"/>
      <c r="AB448" s="7"/>
      <c r="AC448" s="7"/>
      <c r="AD448" s="7"/>
    </row>
    <row r="449" spans="17:30" x14ac:dyDescent="0.2">
      <c r="Q449" s="40"/>
      <c r="V449" s="41"/>
      <c r="W449" s="6"/>
      <c r="AA449" s="7"/>
      <c r="AB449" s="7"/>
      <c r="AC449" s="7"/>
      <c r="AD449" s="7"/>
    </row>
    <row r="450" spans="17:30" x14ac:dyDescent="0.2">
      <c r="Q450" s="40"/>
      <c r="V450" s="41"/>
      <c r="W450" s="6"/>
      <c r="AA450" s="7"/>
      <c r="AB450" s="7"/>
      <c r="AC450" s="7"/>
      <c r="AD450" s="7"/>
    </row>
    <row r="451" spans="17:30" x14ac:dyDescent="0.2">
      <c r="Q451" s="40"/>
      <c r="V451" s="41"/>
      <c r="W451" s="6"/>
      <c r="AA451" s="7"/>
      <c r="AB451" s="7"/>
      <c r="AC451" s="7"/>
      <c r="AD451" s="7"/>
    </row>
    <row r="452" spans="17:30" x14ac:dyDescent="0.2">
      <c r="Q452" s="40"/>
      <c r="V452" s="41"/>
      <c r="W452" s="6"/>
      <c r="AA452" s="7"/>
      <c r="AB452" s="7"/>
      <c r="AC452" s="7"/>
      <c r="AD452" s="7"/>
    </row>
    <row r="453" spans="17:30" x14ac:dyDescent="0.2">
      <c r="Q453" s="40"/>
      <c r="V453" s="41"/>
      <c r="W453" s="6"/>
      <c r="AA453" s="7"/>
      <c r="AB453" s="7"/>
      <c r="AC453" s="7"/>
      <c r="AD453" s="7"/>
    </row>
    <row r="454" spans="17:30" x14ac:dyDescent="0.2">
      <c r="Q454" s="40"/>
      <c r="V454" s="41"/>
      <c r="W454" s="6"/>
      <c r="AA454" s="7"/>
      <c r="AB454" s="7"/>
      <c r="AC454" s="7"/>
      <c r="AD454" s="7"/>
    </row>
    <row r="455" spans="17:30" x14ac:dyDescent="0.2">
      <c r="Q455" s="40"/>
      <c r="V455" s="41"/>
      <c r="W455" s="6"/>
      <c r="AA455" s="7"/>
      <c r="AB455" s="7"/>
      <c r="AC455" s="7"/>
      <c r="AD455" s="7"/>
    </row>
    <row r="456" spans="17:30" x14ac:dyDescent="0.2">
      <c r="Q456" s="40"/>
      <c r="V456" s="41"/>
      <c r="W456" s="6"/>
      <c r="AA456" s="7"/>
      <c r="AB456" s="7"/>
      <c r="AC456" s="7"/>
      <c r="AD456" s="7"/>
    </row>
    <row r="457" spans="17:30" x14ac:dyDescent="0.2">
      <c r="Q457" s="40"/>
      <c r="V457" s="41"/>
      <c r="W457" s="6"/>
      <c r="AA457" s="7"/>
      <c r="AB457" s="7"/>
      <c r="AC457" s="7"/>
      <c r="AD457" s="7"/>
    </row>
    <row r="458" spans="17:30" x14ac:dyDescent="0.2">
      <c r="Q458" s="40"/>
      <c r="V458" s="41"/>
      <c r="W458" s="6"/>
      <c r="AA458" s="7"/>
      <c r="AB458" s="7"/>
      <c r="AC458" s="7"/>
      <c r="AD458" s="7"/>
    </row>
    <row r="459" spans="17:30" x14ac:dyDescent="0.2">
      <c r="Q459" s="40"/>
      <c r="V459" s="41"/>
      <c r="W459" s="6"/>
      <c r="AA459" s="7"/>
      <c r="AB459" s="7"/>
      <c r="AC459" s="7"/>
      <c r="AD459" s="7"/>
    </row>
    <row r="460" spans="17:30" x14ac:dyDescent="0.2">
      <c r="Q460" s="40"/>
      <c r="V460" s="41"/>
      <c r="W460" s="6"/>
      <c r="AA460" s="7"/>
      <c r="AB460" s="7"/>
      <c r="AC460" s="7"/>
      <c r="AD460" s="7"/>
    </row>
    <row r="461" spans="17:30" x14ac:dyDescent="0.2">
      <c r="Q461" s="40"/>
      <c r="V461" s="41"/>
      <c r="W461" s="6"/>
      <c r="AA461" s="7"/>
      <c r="AB461" s="7"/>
      <c r="AC461" s="7"/>
      <c r="AD461" s="7"/>
    </row>
    <row r="462" spans="17:30" x14ac:dyDescent="0.2">
      <c r="Q462" s="40"/>
      <c r="V462" s="41"/>
      <c r="W462" s="6"/>
      <c r="AA462" s="7"/>
      <c r="AB462" s="7"/>
      <c r="AC462" s="7"/>
      <c r="AD462" s="7"/>
    </row>
    <row r="463" spans="17:30" x14ac:dyDescent="0.2">
      <c r="Q463" s="40"/>
      <c r="V463" s="41"/>
      <c r="W463" s="6"/>
      <c r="AA463" s="7"/>
      <c r="AB463" s="7"/>
      <c r="AC463" s="7"/>
      <c r="AD463" s="7"/>
    </row>
    <row r="464" spans="17:30" x14ac:dyDescent="0.2">
      <c r="Q464" s="40"/>
      <c r="V464" s="41"/>
      <c r="W464" s="6"/>
      <c r="AA464" s="7"/>
      <c r="AB464" s="7"/>
      <c r="AC464" s="7"/>
      <c r="AD464" s="7"/>
    </row>
    <row r="465" spans="17:30" x14ac:dyDescent="0.2">
      <c r="Q465" s="40"/>
      <c r="V465" s="41"/>
      <c r="W465" s="6"/>
      <c r="AA465" s="7"/>
      <c r="AB465" s="7"/>
      <c r="AC465" s="7"/>
      <c r="AD465" s="7"/>
    </row>
    <row r="466" spans="17:30" x14ac:dyDescent="0.2">
      <c r="Q466" s="40"/>
      <c r="V466" s="41"/>
      <c r="W466" s="6"/>
      <c r="AA466" s="7"/>
      <c r="AB466" s="7"/>
      <c r="AC466" s="7"/>
      <c r="AD466" s="7"/>
    </row>
    <row r="467" spans="17:30" x14ac:dyDescent="0.2">
      <c r="Q467" s="40"/>
      <c r="V467" s="41"/>
      <c r="W467" s="6"/>
      <c r="AA467" s="7"/>
      <c r="AB467" s="7"/>
      <c r="AC467" s="7"/>
      <c r="AD467" s="7"/>
    </row>
    <row r="468" spans="17:30" x14ac:dyDescent="0.2">
      <c r="Q468" s="40"/>
      <c r="V468" s="41"/>
      <c r="W468" s="6"/>
      <c r="AA468" s="7"/>
      <c r="AB468" s="7"/>
      <c r="AC468" s="7"/>
      <c r="AD468" s="7"/>
    </row>
    <row r="469" spans="17:30" x14ac:dyDescent="0.2">
      <c r="Q469" s="40"/>
      <c r="V469" s="41"/>
      <c r="W469" s="6"/>
      <c r="AA469" s="7"/>
      <c r="AB469" s="7"/>
      <c r="AC469" s="7"/>
      <c r="AD469" s="7"/>
    </row>
    <row r="470" spans="17:30" x14ac:dyDescent="0.2">
      <c r="Q470" s="40"/>
      <c r="V470" s="41"/>
      <c r="W470" s="6"/>
      <c r="AA470" s="7"/>
      <c r="AB470" s="7"/>
      <c r="AC470" s="7"/>
      <c r="AD470" s="7"/>
    </row>
    <row r="471" spans="17:30" x14ac:dyDescent="0.2">
      <c r="Q471" s="40"/>
      <c r="V471" s="41"/>
      <c r="W471" s="6"/>
      <c r="AA471" s="7"/>
      <c r="AB471" s="7"/>
      <c r="AC471" s="7"/>
      <c r="AD471" s="7"/>
    </row>
    <row r="472" spans="17:30" x14ac:dyDescent="0.2">
      <c r="Q472" s="40"/>
      <c r="V472" s="41"/>
      <c r="W472" s="6"/>
      <c r="AA472" s="7"/>
      <c r="AB472" s="7"/>
      <c r="AC472" s="7"/>
      <c r="AD472" s="7"/>
    </row>
    <row r="473" spans="17:30" x14ac:dyDescent="0.2">
      <c r="Q473" s="40"/>
      <c r="V473" s="41"/>
      <c r="W473" s="6"/>
      <c r="AA473" s="7"/>
      <c r="AB473" s="7"/>
      <c r="AC473" s="7"/>
      <c r="AD473" s="7"/>
    </row>
    <row r="474" spans="17:30" x14ac:dyDescent="0.2">
      <c r="Q474" s="40"/>
      <c r="V474" s="41"/>
      <c r="W474" s="6"/>
      <c r="AA474" s="7"/>
      <c r="AB474" s="7"/>
      <c r="AC474" s="7"/>
      <c r="AD474" s="7"/>
    </row>
    <row r="475" spans="17:30" x14ac:dyDescent="0.2">
      <c r="Q475" s="40"/>
      <c r="V475" s="41"/>
      <c r="W475" s="6"/>
      <c r="AA475" s="7"/>
      <c r="AB475" s="7"/>
      <c r="AC475" s="7"/>
      <c r="AD475" s="7"/>
    </row>
    <row r="476" spans="17:30" x14ac:dyDescent="0.2">
      <c r="Q476" s="40"/>
      <c r="V476" s="41"/>
      <c r="W476" s="6"/>
      <c r="AA476" s="7"/>
      <c r="AB476" s="7"/>
      <c r="AC476" s="7"/>
      <c r="AD476" s="7"/>
    </row>
    <row r="477" spans="17:30" x14ac:dyDescent="0.2">
      <c r="Q477" s="40"/>
      <c r="V477" s="41"/>
      <c r="W477" s="6"/>
      <c r="AA477" s="7"/>
      <c r="AB477" s="7"/>
      <c r="AC477" s="7"/>
      <c r="AD477" s="7"/>
    </row>
    <row r="478" spans="17:30" x14ac:dyDescent="0.2">
      <c r="Q478" s="40"/>
      <c r="V478" s="41"/>
      <c r="W478" s="6"/>
      <c r="AA478" s="7"/>
      <c r="AB478" s="7"/>
      <c r="AC478" s="7"/>
      <c r="AD478" s="7"/>
    </row>
    <row r="479" spans="17:30" x14ac:dyDescent="0.2">
      <c r="Q479" s="40"/>
      <c r="V479" s="41"/>
      <c r="W479" s="6"/>
      <c r="AA479" s="7"/>
      <c r="AB479" s="7"/>
      <c r="AC479" s="7"/>
      <c r="AD479" s="7"/>
    </row>
    <row r="480" spans="17:30" x14ac:dyDescent="0.2">
      <c r="Q480" s="40"/>
      <c r="V480" s="41"/>
      <c r="W480" s="6"/>
      <c r="AA480" s="7"/>
      <c r="AB480" s="7"/>
      <c r="AC480" s="7"/>
      <c r="AD480" s="7"/>
    </row>
    <row r="481" spans="17:30" x14ac:dyDescent="0.2">
      <c r="Q481" s="40"/>
      <c r="V481" s="41"/>
      <c r="W481" s="6"/>
      <c r="AA481" s="7"/>
      <c r="AB481" s="7"/>
      <c r="AC481" s="7"/>
      <c r="AD481" s="7"/>
    </row>
    <row r="482" spans="17:30" x14ac:dyDescent="0.2">
      <c r="Q482" s="40"/>
      <c r="V482" s="41"/>
      <c r="W482" s="6"/>
      <c r="AA482" s="7"/>
      <c r="AB482" s="7"/>
      <c r="AC482" s="7"/>
      <c r="AD482" s="7"/>
    </row>
    <row r="483" spans="17:30" x14ac:dyDescent="0.2">
      <c r="Q483" s="40"/>
      <c r="V483" s="41"/>
      <c r="W483" s="6"/>
      <c r="AA483" s="7"/>
      <c r="AB483" s="7"/>
      <c r="AC483" s="7"/>
      <c r="AD483" s="7"/>
    </row>
    <row r="484" spans="17:30" x14ac:dyDescent="0.2">
      <c r="Q484" s="40"/>
      <c r="V484" s="41"/>
      <c r="W484" s="6"/>
      <c r="AA484" s="7"/>
      <c r="AB484" s="7"/>
      <c r="AC484" s="7"/>
      <c r="AD484" s="7"/>
    </row>
    <row r="485" spans="17:30" x14ac:dyDescent="0.2">
      <c r="Q485" s="40"/>
      <c r="V485" s="41"/>
      <c r="W485" s="6"/>
      <c r="AA485" s="7"/>
      <c r="AB485" s="7"/>
      <c r="AC485" s="7"/>
      <c r="AD485" s="7"/>
    </row>
    <row r="486" spans="17:30" x14ac:dyDescent="0.2">
      <c r="Q486" s="40"/>
      <c r="V486" s="41"/>
      <c r="W486" s="6"/>
      <c r="AA486" s="7"/>
      <c r="AB486" s="7"/>
      <c r="AC486" s="7"/>
      <c r="AD486" s="7"/>
    </row>
    <row r="487" spans="17:30" x14ac:dyDescent="0.2">
      <c r="Q487" s="40"/>
      <c r="V487" s="41"/>
      <c r="W487" s="6"/>
      <c r="AA487" s="7"/>
      <c r="AB487" s="7"/>
      <c r="AC487" s="7"/>
      <c r="AD487" s="7"/>
    </row>
    <row r="488" spans="17:30" x14ac:dyDescent="0.2">
      <c r="Q488" s="40"/>
      <c r="V488" s="41"/>
      <c r="W488" s="6"/>
      <c r="AA488" s="7"/>
      <c r="AB488" s="7"/>
      <c r="AC488" s="7"/>
      <c r="AD488" s="7"/>
    </row>
    <row r="489" spans="17:30" x14ac:dyDescent="0.2">
      <c r="Q489" s="40"/>
      <c r="V489" s="41"/>
      <c r="W489" s="6"/>
      <c r="AA489" s="7"/>
      <c r="AB489" s="7"/>
      <c r="AC489" s="7"/>
      <c r="AD489" s="7"/>
    </row>
    <row r="490" spans="17:30" x14ac:dyDescent="0.2">
      <c r="Q490" s="40"/>
      <c r="V490" s="41"/>
      <c r="W490" s="6"/>
      <c r="AA490" s="7"/>
      <c r="AB490" s="7"/>
      <c r="AC490" s="7"/>
      <c r="AD490" s="7"/>
    </row>
    <row r="491" spans="17:30" x14ac:dyDescent="0.2">
      <c r="Q491" s="40"/>
      <c r="V491" s="41"/>
      <c r="W491" s="6"/>
      <c r="AA491" s="7"/>
      <c r="AB491" s="7"/>
      <c r="AC491" s="7"/>
      <c r="AD491" s="7"/>
    </row>
    <row r="492" spans="17:30" x14ac:dyDescent="0.2">
      <c r="Q492" s="40"/>
      <c r="V492" s="41"/>
      <c r="W492" s="6"/>
      <c r="AA492" s="7"/>
      <c r="AB492" s="7"/>
      <c r="AC492" s="7"/>
      <c r="AD492" s="7"/>
    </row>
    <row r="493" spans="17:30" x14ac:dyDescent="0.2">
      <c r="Q493" s="40"/>
      <c r="V493" s="41"/>
      <c r="W493" s="6"/>
      <c r="AA493" s="7"/>
      <c r="AB493" s="7"/>
      <c r="AC493" s="7"/>
      <c r="AD493" s="7"/>
    </row>
    <row r="494" spans="17:30" x14ac:dyDescent="0.2">
      <c r="Q494" s="40"/>
      <c r="V494" s="41"/>
      <c r="W494" s="6"/>
      <c r="AA494" s="7"/>
      <c r="AB494" s="7"/>
      <c r="AC494" s="7"/>
      <c r="AD494" s="7"/>
    </row>
    <row r="495" spans="17:30" x14ac:dyDescent="0.2">
      <c r="Q495" s="40"/>
      <c r="V495" s="41"/>
      <c r="W495" s="6"/>
      <c r="AA495" s="7"/>
      <c r="AB495" s="7"/>
      <c r="AC495" s="7"/>
      <c r="AD495" s="7"/>
    </row>
    <row r="496" spans="17:30" x14ac:dyDescent="0.2">
      <c r="Q496" s="40"/>
      <c r="V496" s="41"/>
      <c r="W496" s="6"/>
      <c r="AA496" s="7"/>
      <c r="AB496" s="7"/>
      <c r="AC496" s="7"/>
      <c r="AD496" s="7"/>
    </row>
    <row r="497" spans="17:30" x14ac:dyDescent="0.2">
      <c r="Q497" s="40"/>
      <c r="V497" s="41"/>
      <c r="W497" s="6"/>
      <c r="AA497" s="7"/>
      <c r="AB497" s="7"/>
      <c r="AC497" s="7"/>
      <c r="AD497" s="7"/>
    </row>
    <row r="498" spans="17:30" x14ac:dyDescent="0.2">
      <c r="Q498" s="40"/>
      <c r="V498" s="41"/>
      <c r="W498" s="6"/>
      <c r="AA498" s="7"/>
      <c r="AB498" s="7"/>
      <c r="AC498" s="7"/>
      <c r="AD498" s="7"/>
    </row>
    <row r="499" spans="17:30" x14ac:dyDescent="0.2">
      <c r="Q499" s="40"/>
      <c r="V499" s="41"/>
      <c r="W499" s="6"/>
      <c r="AA499" s="7"/>
      <c r="AB499" s="7"/>
      <c r="AC499" s="7"/>
      <c r="AD499" s="7"/>
    </row>
    <row r="500" spans="17:30" x14ac:dyDescent="0.2">
      <c r="Q500" s="40"/>
      <c r="V500" s="41"/>
      <c r="W500" s="6"/>
      <c r="AA500" s="7"/>
      <c r="AB500" s="7"/>
      <c r="AC500" s="7"/>
      <c r="AD500" s="7"/>
    </row>
    <row r="501" spans="17:30" x14ac:dyDescent="0.2">
      <c r="Q501" s="40"/>
      <c r="V501" s="41"/>
      <c r="W501" s="6"/>
      <c r="AA501" s="7"/>
      <c r="AB501" s="7"/>
      <c r="AC501" s="7"/>
      <c r="AD501" s="7"/>
    </row>
    <row r="502" spans="17:30" x14ac:dyDescent="0.2">
      <c r="Q502" s="40"/>
      <c r="V502" s="41"/>
      <c r="W502" s="6"/>
      <c r="AA502" s="7"/>
      <c r="AB502" s="7"/>
      <c r="AC502" s="7"/>
      <c r="AD502" s="7"/>
    </row>
    <row r="503" spans="17:30" x14ac:dyDescent="0.2">
      <c r="Q503" s="40"/>
      <c r="V503" s="41"/>
      <c r="W503" s="6"/>
      <c r="AA503" s="7"/>
      <c r="AB503" s="7"/>
      <c r="AC503" s="7"/>
      <c r="AD503" s="7"/>
    </row>
    <row r="504" spans="17:30" x14ac:dyDescent="0.2">
      <c r="Q504" s="40"/>
      <c r="V504" s="41"/>
      <c r="W504" s="6"/>
      <c r="AA504" s="7"/>
      <c r="AB504" s="7"/>
      <c r="AC504" s="7"/>
      <c r="AD504" s="7"/>
    </row>
    <row r="505" spans="17:30" x14ac:dyDescent="0.2">
      <c r="Q505" s="40"/>
      <c r="V505" s="41"/>
      <c r="W505" s="6"/>
      <c r="AA505" s="7"/>
      <c r="AB505" s="7"/>
      <c r="AC505" s="7"/>
      <c r="AD505" s="7"/>
    </row>
    <row r="506" spans="17:30" x14ac:dyDescent="0.2">
      <c r="Q506" s="40"/>
      <c r="V506" s="41"/>
      <c r="W506" s="6"/>
      <c r="AA506" s="7"/>
      <c r="AB506" s="7"/>
      <c r="AC506" s="7"/>
      <c r="AD506" s="7"/>
    </row>
    <row r="507" spans="17:30" x14ac:dyDescent="0.2">
      <c r="Q507" s="40"/>
      <c r="V507" s="41"/>
      <c r="W507" s="6"/>
      <c r="AA507" s="7"/>
      <c r="AB507" s="7"/>
      <c r="AC507" s="7"/>
      <c r="AD507" s="7"/>
    </row>
    <row r="508" spans="17:30" x14ac:dyDescent="0.2">
      <c r="Q508" s="40"/>
      <c r="V508" s="41"/>
      <c r="W508" s="6"/>
      <c r="AA508" s="7"/>
      <c r="AB508" s="7"/>
      <c r="AC508" s="7"/>
      <c r="AD508" s="7"/>
    </row>
    <row r="509" spans="17:30" x14ac:dyDescent="0.2">
      <c r="Q509" s="40"/>
      <c r="V509" s="41"/>
      <c r="W509" s="6"/>
      <c r="AA509" s="7"/>
      <c r="AB509" s="7"/>
      <c r="AC509" s="7"/>
      <c r="AD509" s="7"/>
    </row>
    <row r="510" spans="17:30" x14ac:dyDescent="0.2">
      <c r="Q510" s="40"/>
      <c r="V510" s="41"/>
      <c r="W510" s="6"/>
      <c r="AA510" s="7"/>
      <c r="AB510" s="7"/>
      <c r="AC510" s="7"/>
      <c r="AD510" s="7"/>
    </row>
    <row r="511" spans="17:30" x14ac:dyDescent="0.2">
      <c r="Q511" s="40"/>
      <c r="V511" s="41"/>
      <c r="W511" s="6"/>
      <c r="AA511" s="7"/>
      <c r="AB511" s="7"/>
      <c r="AC511" s="7"/>
      <c r="AD511" s="7"/>
    </row>
    <row r="512" spans="17:30" x14ac:dyDescent="0.2">
      <c r="Q512" s="40"/>
      <c r="V512" s="41"/>
      <c r="W512" s="6"/>
      <c r="AA512" s="7"/>
      <c r="AB512" s="7"/>
      <c r="AC512" s="7"/>
      <c r="AD512" s="7"/>
    </row>
    <row r="513" spans="17:30" x14ac:dyDescent="0.2">
      <c r="Q513" s="40"/>
      <c r="V513" s="41"/>
      <c r="W513" s="6"/>
      <c r="AA513" s="7"/>
      <c r="AB513" s="7"/>
      <c r="AC513" s="7"/>
      <c r="AD513" s="7"/>
    </row>
    <row r="514" spans="17:30" x14ac:dyDescent="0.2">
      <c r="Q514" s="40"/>
      <c r="V514" s="41"/>
      <c r="W514" s="6"/>
      <c r="AA514" s="7"/>
      <c r="AB514" s="7"/>
      <c r="AC514" s="7"/>
      <c r="AD514" s="7"/>
    </row>
    <row r="515" spans="17:30" x14ac:dyDescent="0.2">
      <c r="Q515" s="40"/>
      <c r="V515" s="41"/>
      <c r="W515" s="6"/>
      <c r="AA515" s="7"/>
      <c r="AB515" s="7"/>
      <c r="AC515" s="7"/>
      <c r="AD515" s="7"/>
    </row>
    <row r="516" spans="17:30" x14ac:dyDescent="0.2">
      <c r="Q516" s="40"/>
      <c r="V516" s="41"/>
      <c r="W516" s="6"/>
      <c r="AA516" s="7"/>
      <c r="AB516" s="7"/>
      <c r="AC516" s="7"/>
      <c r="AD516" s="7"/>
    </row>
    <row r="517" spans="17:30" x14ac:dyDescent="0.2">
      <c r="Q517" s="40"/>
      <c r="V517" s="41"/>
      <c r="W517" s="6"/>
      <c r="AA517" s="7"/>
      <c r="AB517" s="7"/>
      <c r="AC517" s="7"/>
      <c r="AD517" s="7"/>
    </row>
    <row r="518" spans="17:30" x14ac:dyDescent="0.2">
      <c r="Q518" s="40"/>
      <c r="V518" s="41"/>
      <c r="W518" s="6"/>
      <c r="AA518" s="7"/>
      <c r="AB518" s="7"/>
      <c r="AC518" s="7"/>
      <c r="AD518" s="7"/>
    </row>
    <row r="519" spans="17:30" x14ac:dyDescent="0.2">
      <c r="Q519" s="40"/>
      <c r="V519" s="41"/>
      <c r="W519" s="6"/>
      <c r="AA519" s="7"/>
      <c r="AB519" s="7"/>
      <c r="AC519" s="7"/>
      <c r="AD519" s="7"/>
    </row>
    <row r="520" spans="17:30" x14ac:dyDescent="0.2">
      <c r="Q520" s="40"/>
      <c r="V520" s="41"/>
      <c r="W520" s="6"/>
      <c r="AA520" s="7"/>
      <c r="AB520" s="7"/>
      <c r="AC520" s="7"/>
      <c r="AD520" s="7"/>
    </row>
    <row r="521" spans="17:30" x14ac:dyDescent="0.2">
      <c r="Q521" s="40"/>
      <c r="V521" s="41"/>
      <c r="W521" s="6"/>
      <c r="AA521" s="7"/>
      <c r="AB521" s="7"/>
      <c r="AC521" s="7"/>
      <c r="AD521" s="7"/>
    </row>
    <row r="522" spans="17:30" x14ac:dyDescent="0.2">
      <c r="Q522" s="40"/>
      <c r="V522" s="41"/>
      <c r="W522" s="6"/>
      <c r="AA522" s="7"/>
      <c r="AB522" s="7"/>
      <c r="AC522" s="7"/>
      <c r="AD522" s="7"/>
    </row>
    <row r="523" spans="17:30" x14ac:dyDescent="0.2">
      <c r="Q523" s="40"/>
      <c r="V523" s="41"/>
      <c r="W523" s="6"/>
      <c r="AA523" s="7"/>
      <c r="AB523" s="7"/>
      <c r="AC523" s="7"/>
      <c r="AD523" s="7"/>
    </row>
    <row r="524" spans="17:30" x14ac:dyDescent="0.2">
      <c r="Q524" s="40"/>
      <c r="V524" s="41"/>
      <c r="W524" s="6"/>
      <c r="AA524" s="7"/>
      <c r="AB524" s="7"/>
      <c r="AC524" s="7"/>
      <c r="AD524" s="7"/>
    </row>
    <row r="525" spans="17:30" x14ac:dyDescent="0.2">
      <c r="Q525" s="40"/>
      <c r="V525" s="41"/>
      <c r="W525" s="6"/>
      <c r="AA525" s="7"/>
      <c r="AB525" s="7"/>
      <c r="AC525" s="7"/>
      <c r="AD525" s="7"/>
    </row>
    <row r="526" spans="17:30" x14ac:dyDescent="0.2">
      <c r="Q526" s="40"/>
      <c r="V526" s="41"/>
      <c r="W526" s="6"/>
      <c r="AA526" s="7"/>
      <c r="AB526" s="7"/>
      <c r="AC526" s="7"/>
      <c r="AD526" s="7"/>
    </row>
    <row r="527" spans="17:30" x14ac:dyDescent="0.2">
      <c r="Q527" s="40"/>
      <c r="V527" s="41"/>
      <c r="W527" s="6"/>
      <c r="AA527" s="7"/>
      <c r="AB527" s="7"/>
      <c r="AC527" s="7"/>
      <c r="AD527" s="7"/>
    </row>
    <row r="528" spans="17:30" x14ac:dyDescent="0.2">
      <c r="Q528" s="40"/>
      <c r="V528" s="41"/>
      <c r="W528" s="6"/>
      <c r="AA528" s="7"/>
      <c r="AB528" s="7"/>
      <c r="AC528" s="7"/>
      <c r="AD528" s="7"/>
    </row>
    <row r="529" spans="17:30" x14ac:dyDescent="0.2">
      <c r="Q529" s="40"/>
      <c r="V529" s="41"/>
      <c r="W529" s="6"/>
      <c r="AA529" s="7"/>
      <c r="AB529" s="7"/>
      <c r="AC529" s="7"/>
      <c r="AD529" s="7"/>
    </row>
    <row r="530" spans="17:30" x14ac:dyDescent="0.2">
      <c r="Q530" s="40"/>
      <c r="V530" s="41"/>
      <c r="W530" s="6"/>
      <c r="AA530" s="7"/>
      <c r="AB530" s="7"/>
      <c r="AC530" s="7"/>
      <c r="AD530" s="7"/>
    </row>
    <row r="531" spans="17:30" x14ac:dyDescent="0.2">
      <c r="Q531" s="40"/>
      <c r="V531" s="41"/>
      <c r="W531" s="6"/>
      <c r="AA531" s="7"/>
      <c r="AB531" s="7"/>
      <c r="AC531" s="7"/>
      <c r="AD531" s="7"/>
    </row>
    <row r="532" spans="17:30" x14ac:dyDescent="0.2">
      <c r="Q532" s="40"/>
      <c r="V532" s="41"/>
      <c r="W532" s="6"/>
      <c r="AA532" s="7"/>
      <c r="AB532" s="7"/>
      <c r="AC532" s="7"/>
      <c r="AD532" s="7"/>
    </row>
    <row r="533" spans="17:30" x14ac:dyDescent="0.2">
      <c r="Q533" s="40"/>
      <c r="V533" s="41"/>
      <c r="W533" s="6"/>
      <c r="AA533" s="7"/>
      <c r="AB533" s="7"/>
      <c r="AC533" s="7"/>
      <c r="AD533" s="7"/>
    </row>
    <row r="534" spans="17:30" x14ac:dyDescent="0.2">
      <c r="Q534" s="40"/>
      <c r="V534" s="41"/>
      <c r="W534" s="6"/>
      <c r="AA534" s="7"/>
      <c r="AB534" s="7"/>
      <c r="AC534" s="7"/>
      <c r="AD534" s="7"/>
    </row>
    <row r="535" spans="17:30" x14ac:dyDescent="0.2">
      <c r="Q535" s="40"/>
      <c r="V535" s="41"/>
      <c r="W535" s="6"/>
      <c r="AA535" s="7"/>
      <c r="AB535" s="7"/>
      <c r="AC535" s="7"/>
      <c r="AD535" s="7"/>
    </row>
    <row r="536" spans="17:30" x14ac:dyDescent="0.2">
      <c r="Q536" s="40"/>
      <c r="V536" s="41"/>
      <c r="W536" s="6"/>
      <c r="AA536" s="7"/>
      <c r="AB536" s="7"/>
      <c r="AC536" s="7"/>
      <c r="AD536" s="7"/>
    </row>
    <row r="537" spans="17:30" x14ac:dyDescent="0.2">
      <c r="Q537" s="40"/>
      <c r="V537" s="41"/>
      <c r="W537" s="6"/>
      <c r="AA537" s="7"/>
      <c r="AB537" s="7"/>
      <c r="AC537" s="7"/>
      <c r="AD537" s="7"/>
    </row>
    <row r="538" spans="17:30" x14ac:dyDescent="0.2">
      <c r="Q538" s="40"/>
      <c r="V538" s="41"/>
      <c r="W538" s="6"/>
      <c r="AA538" s="7"/>
      <c r="AB538" s="7"/>
      <c r="AC538" s="7"/>
      <c r="AD538" s="7"/>
    </row>
    <row r="539" spans="17:30" x14ac:dyDescent="0.2">
      <c r="Q539" s="40"/>
      <c r="V539" s="41"/>
      <c r="W539" s="6"/>
      <c r="AA539" s="7"/>
      <c r="AB539" s="7"/>
      <c r="AC539" s="7"/>
      <c r="AD539" s="7"/>
    </row>
    <row r="540" spans="17:30" x14ac:dyDescent="0.2">
      <c r="Q540" s="40"/>
      <c r="V540" s="41"/>
      <c r="W540" s="6"/>
      <c r="AA540" s="7"/>
      <c r="AB540" s="7"/>
      <c r="AC540" s="7"/>
      <c r="AD540" s="7"/>
    </row>
    <row r="541" spans="17:30" x14ac:dyDescent="0.2">
      <c r="Q541" s="40"/>
      <c r="V541" s="41"/>
      <c r="W541" s="6"/>
      <c r="AA541" s="7"/>
      <c r="AB541" s="7"/>
      <c r="AC541" s="7"/>
      <c r="AD541" s="7"/>
    </row>
    <row r="542" spans="17:30" x14ac:dyDescent="0.2">
      <c r="Q542" s="40"/>
      <c r="V542" s="41"/>
      <c r="W542" s="6"/>
      <c r="AA542" s="7"/>
      <c r="AB542" s="7"/>
      <c r="AC542" s="7"/>
      <c r="AD542" s="7"/>
    </row>
    <row r="543" spans="17:30" x14ac:dyDescent="0.2">
      <c r="Q543" s="40"/>
      <c r="V543" s="41"/>
      <c r="W543" s="6"/>
      <c r="AA543" s="7"/>
      <c r="AB543" s="7"/>
      <c r="AC543" s="7"/>
      <c r="AD543" s="7"/>
    </row>
    <row r="544" spans="17:30" x14ac:dyDescent="0.2">
      <c r="Q544" s="40"/>
      <c r="V544" s="41"/>
      <c r="W544" s="6"/>
      <c r="AA544" s="7"/>
      <c r="AB544" s="7"/>
      <c r="AC544" s="7"/>
      <c r="AD544" s="7"/>
    </row>
    <row r="545" spans="17:30" x14ac:dyDescent="0.2">
      <c r="Q545" s="40"/>
      <c r="V545" s="41"/>
      <c r="W545" s="6"/>
      <c r="AA545" s="7"/>
      <c r="AB545" s="7"/>
      <c r="AC545" s="7"/>
      <c r="AD545" s="7"/>
    </row>
    <row r="546" spans="17:30" x14ac:dyDescent="0.2">
      <c r="Q546" s="40"/>
      <c r="V546" s="41"/>
      <c r="W546" s="6"/>
      <c r="AA546" s="7"/>
      <c r="AB546" s="7"/>
      <c r="AC546" s="7"/>
      <c r="AD546" s="7"/>
    </row>
    <row r="547" spans="17:30" x14ac:dyDescent="0.2">
      <c r="Q547" s="40"/>
      <c r="V547" s="41"/>
      <c r="W547" s="6"/>
      <c r="AA547" s="7"/>
      <c r="AB547" s="7"/>
      <c r="AC547" s="7"/>
      <c r="AD547" s="7"/>
    </row>
    <row r="548" spans="17:30" x14ac:dyDescent="0.2">
      <c r="Q548" s="40"/>
      <c r="V548" s="41"/>
      <c r="W548" s="6"/>
      <c r="AA548" s="7"/>
      <c r="AB548" s="7"/>
      <c r="AC548" s="7"/>
      <c r="AD548" s="7"/>
    </row>
    <row r="549" spans="17:30" x14ac:dyDescent="0.2">
      <c r="Q549" s="40"/>
      <c r="V549" s="41"/>
      <c r="W549" s="6"/>
      <c r="AA549" s="7"/>
      <c r="AB549" s="7"/>
      <c r="AC549" s="7"/>
      <c r="AD549" s="7"/>
    </row>
    <row r="550" spans="17:30" x14ac:dyDescent="0.2">
      <c r="Q550" s="40"/>
      <c r="V550" s="41"/>
      <c r="W550" s="6"/>
      <c r="AA550" s="7"/>
      <c r="AB550" s="7"/>
      <c r="AC550" s="7"/>
      <c r="AD550" s="7"/>
    </row>
    <row r="551" spans="17:30" x14ac:dyDescent="0.2">
      <c r="Q551" s="40"/>
      <c r="V551" s="41"/>
      <c r="W551" s="6"/>
      <c r="AA551" s="7"/>
      <c r="AB551" s="7"/>
      <c r="AC551" s="7"/>
      <c r="AD551" s="7"/>
    </row>
    <row r="552" spans="17:30" x14ac:dyDescent="0.2">
      <c r="Q552" s="40"/>
      <c r="V552" s="41"/>
      <c r="W552" s="6"/>
      <c r="AA552" s="7"/>
      <c r="AB552" s="7"/>
      <c r="AC552" s="7"/>
      <c r="AD552" s="7"/>
    </row>
    <row r="553" spans="17:30" x14ac:dyDescent="0.2">
      <c r="Q553" s="40"/>
      <c r="V553" s="41"/>
      <c r="W553" s="6"/>
      <c r="AA553" s="7"/>
      <c r="AB553" s="7"/>
      <c r="AC553" s="7"/>
      <c r="AD553" s="7"/>
    </row>
    <row r="554" spans="17:30" x14ac:dyDescent="0.2">
      <c r="Q554" s="40"/>
      <c r="V554" s="41"/>
      <c r="W554" s="6"/>
      <c r="AA554" s="7"/>
      <c r="AB554" s="7"/>
      <c r="AC554" s="7"/>
      <c r="AD554" s="7"/>
    </row>
    <row r="555" spans="17:30" x14ac:dyDescent="0.2">
      <c r="Q555" s="40"/>
      <c r="V555" s="41"/>
      <c r="W555" s="6"/>
      <c r="AA555" s="7"/>
      <c r="AB555" s="7"/>
      <c r="AC555" s="7"/>
      <c r="AD555" s="7"/>
    </row>
    <row r="556" spans="17:30" x14ac:dyDescent="0.2">
      <c r="Q556" s="40"/>
      <c r="V556" s="41"/>
      <c r="W556" s="6"/>
      <c r="AA556" s="7"/>
      <c r="AB556" s="7"/>
      <c r="AC556" s="7"/>
      <c r="AD556" s="7"/>
    </row>
    <row r="557" spans="17:30" x14ac:dyDescent="0.2">
      <c r="Q557" s="40"/>
      <c r="V557" s="41"/>
      <c r="W557" s="6"/>
      <c r="AA557" s="7"/>
      <c r="AB557" s="7"/>
      <c r="AC557" s="7"/>
      <c r="AD557" s="7"/>
    </row>
    <row r="558" spans="17:30" x14ac:dyDescent="0.2">
      <c r="Q558" s="40"/>
      <c r="V558" s="41"/>
      <c r="W558" s="6"/>
      <c r="AA558" s="7"/>
      <c r="AB558" s="7"/>
      <c r="AC558" s="7"/>
      <c r="AD558" s="7"/>
    </row>
    <row r="559" spans="17:30" x14ac:dyDescent="0.2">
      <c r="Q559" s="40"/>
      <c r="V559" s="41"/>
      <c r="W559" s="6"/>
      <c r="AA559" s="7"/>
      <c r="AB559" s="7"/>
      <c r="AC559" s="7"/>
      <c r="AD559" s="7"/>
    </row>
    <row r="560" spans="17:30" x14ac:dyDescent="0.2">
      <c r="Q560" s="40"/>
      <c r="V560" s="41"/>
      <c r="W560" s="6"/>
      <c r="AA560" s="7"/>
      <c r="AB560" s="7"/>
      <c r="AC560" s="7"/>
      <c r="AD560" s="7"/>
    </row>
    <row r="561" spans="17:30" x14ac:dyDescent="0.2">
      <c r="Q561" s="40"/>
      <c r="V561" s="41"/>
      <c r="W561" s="6"/>
      <c r="AA561" s="7"/>
      <c r="AB561" s="7"/>
      <c r="AC561" s="7"/>
      <c r="AD561" s="7"/>
    </row>
    <row r="562" spans="17:30" x14ac:dyDescent="0.2">
      <c r="Q562" s="40"/>
      <c r="V562" s="41"/>
      <c r="W562" s="6"/>
      <c r="AA562" s="7"/>
      <c r="AB562" s="7"/>
      <c r="AC562" s="7"/>
      <c r="AD562" s="7"/>
    </row>
    <row r="563" spans="17:30" x14ac:dyDescent="0.2">
      <c r="Q563" s="40"/>
      <c r="V563" s="41"/>
      <c r="W563" s="6"/>
      <c r="AA563" s="7"/>
      <c r="AB563" s="7"/>
      <c r="AC563" s="7"/>
      <c r="AD563" s="7"/>
    </row>
    <row r="564" spans="17:30" x14ac:dyDescent="0.2">
      <c r="Q564" s="40"/>
      <c r="V564" s="41"/>
      <c r="W564" s="6"/>
      <c r="AA564" s="7"/>
      <c r="AB564" s="7"/>
      <c r="AC564" s="7"/>
      <c r="AD564" s="7"/>
    </row>
    <row r="565" spans="17:30" x14ac:dyDescent="0.2">
      <c r="Q565" s="40"/>
      <c r="V565" s="41"/>
      <c r="W565" s="6"/>
      <c r="AA565" s="7"/>
      <c r="AB565" s="7"/>
      <c r="AC565" s="7"/>
      <c r="AD565" s="7"/>
    </row>
    <row r="566" spans="17:30" x14ac:dyDescent="0.2">
      <c r="Q566" s="40"/>
      <c r="V566" s="41"/>
      <c r="W566" s="6"/>
      <c r="AA566" s="7"/>
      <c r="AB566" s="7"/>
      <c r="AC566" s="7"/>
      <c r="AD566" s="7"/>
    </row>
    <row r="567" spans="17:30" x14ac:dyDescent="0.2">
      <c r="Q567" s="40"/>
      <c r="V567" s="41"/>
      <c r="W567" s="6"/>
      <c r="AA567" s="7"/>
      <c r="AB567" s="7"/>
      <c r="AC567" s="7"/>
      <c r="AD567" s="7"/>
    </row>
    <row r="568" spans="17:30" x14ac:dyDescent="0.2">
      <c r="Q568" s="40"/>
      <c r="V568" s="41"/>
      <c r="W568" s="6"/>
      <c r="AA568" s="7"/>
      <c r="AB568" s="7"/>
      <c r="AC568" s="7"/>
      <c r="AD568" s="7"/>
    </row>
    <row r="569" spans="17:30" x14ac:dyDescent="0.2">
      <c r="Q569" s="40"/>
      <c r="V569" s="41"/>
      <c r="W569" s="6"/>
      <c r="AA569" s="7"/>
      <c r="AB569" s="7"/>
      <c r="AC569" s="7"/>
      <c r="AD569" s="7"/>
    </row>
    <row r="570" spans="17:30" x14ac:dyDescent="0.2">
      <c r="Q570" s="40"/>
      <c r="V570" s="41"/>
      <c r="W570" s="6"/>
      <c r="AA570" s="7"/>
      <c r="AB570" s="7"/>
      <c r="AC570" s="7"/>
      <c r="AD570" s="7"/>
    </row>
    <row r="571" spans="17:30" x14ac:dyDescent="0.2">
      <c r="Q571" s="40"/>
      <c r="V571" s="41"/>
      <c r="W571" s="6"/>
      <c r="AA571" s="7"/>
      <c r="AB571" s="7"/>
      <c r="AC571" s="7"/>
      <c r="AD571" s="7"/>
    </row>
    <row r="572" spans="17:30" x14ac:dyDescent="0.2">
      <c r="Q572" s="40"/>
      <c r="V572" s="41"/>
      <c r="W572" s="6"/>
      <c r="AA572" s="7"/>
      <c r="AB572" s="7"/>
      <c r="AC572" s="7"/>
      <c r="AD572" s="7"/>
    </row>
    <row r="573" spans="17:30" x14ac:dyDescent="0.2">
      <c r="Q573" s="40"/>
      <c r="V573" s="41"/>
      <c r="W573" s="6"/>
      <c r="AA573" s="7"/>
      <c r="AB573" s="7"/>
      <c r="AC573" s="7"/>
      <c r="AD573" s="7"/>
    </row>
    <row r="574" spans="17:30" x14ac:dyDescent="0.2">
      <c r="Q574" s="40"/>
      <c r="V574" s="41"/>
      <c r="W574" s="6"/>
      <c r="AA574" s="7"/>
      <c r="AB574" s="7"/>
      <c r="AC574" s="7"/>
      <c r="AD574" s="7"/>
    </row>
    <row r="575" spans="17:30" x14ac:dyDescent="0.2">
      <c r="Q575" s="40"/>
      <c r="V575" s="41"/>
      <c r="W575" s="6"/>
      <c r="AA575" s="7"/>
      <c r="AB575" s="7"/>
      <c r="AC575" s="7"/>
      <c r="AD575" s="7"/>
    </row>
    <row r="576" spans="17:30" x14ac:dyDescent="0.2">
      <c r="Q576" s="40"/>
      <c r="V576" s="41"/>
      <c r="W576" s="6"/>
      <c r="AA576" s="7"/>
      <c r="AB576" s="7"/>
      <c r="AC576" s="7"/>
      <c r="AD576" s="7"/>
    </row>
    <row r="577" spans="17:30" x14ac:dyDescent="0.2">
      <c r="Q577" s="40"/>
      <c r="V577" s="41"/>
      <c r="W577" s="6"/>
      <c r="AA577" s="7"/>
      <c r="AB577" s="7"/>
      <c r="AC577" s="7"/>
      <c r="AD577" s="7"/>
    </row>
    <row r="578" spans="17:30" x14ac:dyDescent="0.2">
      <c r="Q578" s="40"/>
      <c r="V578" s="41"/>
      <c r="W578" s="6"/>
      <c r="AA578" s="7"/>
      <c r="AB578" s="7"/>
      <c r="AC578" s="7"/>
      <c r="AD578" s="7"/>
    </row>
    <row r="579" spans="17:30" x14ac:dyDescent="0.2">
      <c r="Q579" s="40"/>
      <c r="V579" s="41"/>
      <c r="W579" s="6"/>
      <c r="AA579" s="7"/>
      <c r="AB579" s="7"/>
      <c r="AC579" s="7"/>
      <c r="AD579" s="7"/>
    </row>
    <row r="580" spans="17:30" x14ac:dyDescent="0.2">
      <c r="Q580" s="40"/>
      <c r="V580" s="41"/>
      <c r="W580" s="6"/>
      <c r="AA580" s="7"/>
      <c r="AB580" s="7"/>
      <c r="AC580" s="7"/>
      <c r="AD580" s="7"/>
    </row>
    <row r="581" spans="17:30" x14ac:dyDescent="0.2">
      <c r="Q581" s="40"/>
      <c r="V581" s="41"/>
      <c r="W581" s="6"/>
      <c r="AA581" s="7"/>
      <c r="AB581" s="7"/>
      <c r="AC581" s="7"/>
      <c r="AD581" s="7"/>
    </row>
    <row r="582" spans="17:30" x14ac:dyDescent="0.2">
      <c r="Q582" s="40"/>
      <c r="V582" s="41"/>
      <c r="W582" s="6"/>
      <c r="AA582" s="7"/>
      <c r="AB582" s="7"/>
      <c r="AC582" s="7"/>
      <c r="AD582" s="7"/>
    </row>
    <row r="583" spans="17:30" x14ac:dyDescent="0.2">
      <c r="Q583" s="40"/>
      <c r="V583" s="41"/>
      <c r="W583" s="6"/>
      <c r="AA583" s="7"/>
      <c r="AB583" s="7"/>
      <c r="AC583" s="7"/>
      <c r="AD583" s="7"/>
    </row>
    <row r="584" spans="17:30" x14ac:dyDescent="0.2">
      <c r="Q584" s="40"/>
      <c r="V584" s="41"/>
      <c r="W584" s="6"/>
      <c r="AA584" s="7"/>
      <c r="AB584" s="7"/>
      <c r="AC584" s="7"/>
      <c r="AD584" s="7"/>
    </row>
    <row r="585" spans="17:30" x14ac:dyDescent="0.2">
      <c r="Q585" s="40"/>
      <c r="V585" s="41"/>
      <c r="W585" s="6"/>
      <c r="AA585" s="7"/>
      <c r="AB585" s="7"/>
      <c r="AC585" s="7"/>
      <c r="AD585" s="7"/>
    </row>
    <row r="586" spans="17:30" x14ac:dyDescent="0.2">
      <c r="Q586" s="40"/>
      <c r="V586" s="41"/>
      <c r="W586" s="6"/>
      <c r="AA586" s="7"/>
      <c r="AB586" s="7"/>
      <c r="AC586" s="7"/>
      <c r="AD586" s="7"/>
    </row>
    <row r="587" spans="17:30" x14ac:dyDescent="0.2">
      <c r="Q587" s="40"/>
      <c r="V587" s="41"/>
      <c r="W587" s="6"/>
      <c r="AA587" s="7"/>
      <c r="AB587" s="7"/>
      <c r="AC587" s="7"/>
      <c r="AD587" s="7"/>
    </row>
    <row r="588" spans="17:30" x14ac:dyDescent="0.2">
      <c r="Q588" s="40"/>
      <c r="V588" s="41"/>
      <c r="W588" s="6"/>
      <c r="AA588" s="7"/>
      <c r="AB588" s="7"/>
      <c r="AC588" s="7"/>
      <c r="AD588" s="7"/>
    </row>
    <row r="589" spans="17:30" x14ac:dyDescent="0.2">
      <c r="Q589" s="40"/>
      <c r="V589" s="41"/>
      <c r="W589" s="6"/>
      <c r="AA589" s="7"/>
      <c r="AB589" s="7"/>
      <c r="AC589" s="7"/>
      <c r="AD589" s="7"/>
    </row>
    <row r="590" spans="17:30" x14ac:dyDescent="0.2">
      <c r="Q590" s="40"/>
      <c r="V590" s="41"/>
      <c r="W590" s="6"/>
      <c r="AA590" s="7"/>
      <c r="AB590" s="7"/>
      <c r="AC590" s="7"/>
      <c r="AD590" s="7"/>
    </row>
    <row r="591" spans="17:30" x14ac:dyDescent="0.2">
      <c r="Q591" s="40"/>
      <c r="V591" s="41"/>
      <c r="W591" s="6"/>
      <c r="AA591" s="7"/>
      <c r="AB591" s="7"/>
      <c r="AC591" s="7"/>
      <c r="AD591" s="7"/>
    </row>
    <row r="592" spans="17:30" x14ac:dyDescent="0.2">
      <c r="Q592" s="40"/>
      <c r="V592" s="41"/>
      <c r="W592" s="6"/>
      <c r="AA592" s="7"/>
      <c r="AB592" s="7"/>
      <c r="AC592" s="7"/>
      <c r="AD592" s="7"/>
    </row>
    <row r="593" spans="17:30" x14ac:dyDescent="0.2">
      <c r="Q593" s="40"/>
      <c r="V593" s="41"/>
      <c r="W593" s="6"/>
      <c r="AA593" s="7"/>
      <c r="AB593" s="7"/>
      <c r="AC593" s="7"/>
      <c r="AD593" s="7"/>
    </row>
    <row r="594" spans="17:30" x14ac:dyDescent="0.2">
      <c r="Q594" s="40"/>
      <c r="V594" s="41"/>
      <c r="W594" s="6"/>
      <c r="AA594" s="7"/>
      <c r="AB594" s="7"/>
      <c r="AC594" s="7"/>
      <c r="AD594" s="7"/>
    </row>
    <row r="595" spans="17:30" x14ac:dyDescent="0.2">
      <c r="Q595" s="40"/>
      <c r="V595" s="41"/>
      <c r="W595" s="6"/>
      <c r="AA595" s="7"/>
      <c r="AB595" s="7"/>
      <c r="AC595" s="7"/>
      <c r="AD595" s="7"/>
    </row>
    <row r="596" spans="17:30" x14ac:dyDescent="0.2">
      <c r="Q596" s="40"/>
      <c r="V596" s="41"/>
      <c r="W596" s="6"/>
      <c r="AA596" s="7"/>
      <c r="AB596" s="7"/>
      <c r="AC596" s="7"/>
      <c r="AD596" s="7"/>
    </row>
    <row r="597" spans="17:30" x14ac:dyDescent="0.2">
      <c r="Q597" s="40"/>
      <c r="V597" s="41"/>
      <c r="W597" s="6"/>
      <c r="AA597" s="7"/>
      <c r="AB597" s="7"/>
      <c r="AC597" s="7"/>
      <c r="AD597" s="7"/>
    </row>
    <row r="598" spans="17:30" x14ac:dyDescent="0.2">
      <c r="Q598" s="40"/>
      <c r="V598" s="41"/>
      <c r="W598" s="6"/>
      <c r="AA598" s="7"/>
      <c r="AB598" s="7"/>
      <c r="AC598" s="7"/>
      <c r="AD598" s="7"/>
    </row>
    <row r="599" spans="17:30" x14ac:dyDescent="0.2">
      <c r="Q599" s="40"/>
      <c r="V599" s="41"/>
      <c r="W599" s="6"/>
      <c r="AA599" s="7"/>
      <c r="AB599" s="7"/>
      <c r="AC599" s="7"/>
      <c r="AD599" s="7"/>
    </row>
    <row r="600" spans="17:30" x14ac:dyDescent="0.2">
      <c r="Q600" s="40"/>
      <c r="V600" s="41"/>
      <c r="W600" s="6"/>
      <c r="AA600" s="7"/>
      <c r="AB600" s="7"/>
      <c r="AC600" s="7"/>
      <c r="AD600" s="7"/>
    </row>
    <row r="601" spans="17:30" x14ac:dyDescent="0.2">
      <c r="Q601" s="40"/>
      <c r="V601" s="41"/>
      <c r="W601" s="6"/>
      <c r="AA601" s="7"/>
      <c r="AB601" s="7"/>
      <c r="AC601" s="7"/>
      <c r="AD601" s="7"/>
    </row>
    <row r="602" spans="17:30" x14ac:dyDescent="0.2">
      <c r="Q602" s="40"/>
      <c r="V602" s="41"/>
      <c r="W602" s="6"/>
      <c r="AA602" s="7"/>
      <c r="AB602" s="7"/>
      <c r="AC602" s="7"/>
      <c r="AD602" s="7"/>
    </row>
    <row r="603" spans="17:30" x14ac:dyDescent="0.2">
      <c r="Q603" s="40"/>
      <c r="V603" s="41"/>
      <c r="W603" s="6"/>
      <c r="AA603" s="7"/>
      <c r="AB603" s="7"/>
      <c r="AC603" s="7"/>
      <c r="AD603" s="7"/>
    </row>
    <row r="604" spans="17:30" x14ac:dyDescent="0.2">
      <c r="Q604" s="40"/>
      <c r="V604" s="41"/>
      <c r="W604" s="6"/>
      <c r="AA604" s="7"/>
      <c r="AB604" s="7"/>
      <c r="AC604" s="7"/>
      <c r="AD604" s="7"/>
    </row>
    <row r="605" spans="17:30" x14ac:dyDescent="0.2">
      <c r="Q605" s="40"/>
      <c r="V605" s="41"/>
      <c r="W605" s="6"/>
      <c r="AA605" s="7"/>
      <c r="AB605" s="7"/>
      <c r="AC605" s="7"/>
      <c r="AD605" s="7"/>
    </row>
    <row r="606" spans="17:30" x14ac:dyDescent="0.2">
      <c r="Q606" s="40"/>
      <c r="V606" s="41"/>
      <c r="W606" s="6"/>
      <c r="AA606" s="7"/>
      <c r="AB606" s="7"/>
      <c r="AC606" s="7"/>
      <c r="AD606" s="7"/>
    </row>
    <row r="607" spans="17:30" x14ac:dyDescent="0.2">
      <c r="Q607" s="40"/>
      <c r="V607" s="41"/>
      <c r="W607" s="6"/>
      <c r="AA607" s="7"/>
      <c r="AB607" s="7"/>
      <c r="AC607" s="7"/>
      <c r="AD607" s="7"/>
    </row>
    <row r="608" spans="17:30" x14ac:dyDescent="0.2">
      <c r="Q608" s="40"/>
      <c r="V608" s="41"/>
      <c r="W608" s="6"/>
      <c r="AA608" s="7"/>
      <c r="AB608" s="7"/>
      <c r="AC608" s="7"/>
      <c r="AD608" s="7"/>
    </row>
    <row r="609" spans="17:30" x14ac:dyDescent="0.2">
      <c r="Q609" s="40"/>
      <c r="V609" s="41"/>
      <c r="W609" s="6"/>
      <c r="AA609" s="7"/>
      <c r="AB609" s="7"/>
      <c r="AC609" s="7"/>
      <c r="AD609" s="7"/>
    </row>
    <row r="610" spans="17:30" x14ac:dyDescent="0.2">
      <c r="Q610" s="40"/>
      <c r="V610" s="41"/>
      <c r="W610" s="6"/>
      <c r="AA610" s="7"/>
      <c r="AB610" s="7"/>
      <c r="AC610" s="7"/>
      <c r="AD610" s="7"/>
    </row>
    <row r="611" spans="17:30" x14ac:dyDescent="0.2">
      <c r="Q611" s="40"/>
      <c r="V611" s="41"/>
      <c r="W611" s="6"/>
      <c r="AA611" s="7"/>
      <c r="AB611" s="7"/>
      <c r="AC611" s="7"/>
      <c r="AD611" s="7"/>
    </row>
    <row r="612" spans="17:30" x14ac:dyDescent="0.2">
      <c r="Q612" s="40"/>
      <c r="V612" s="41"/>
      <c r="W612" s="6"/>
      <c r="AA612" s="7"/>
      <c r="AB612" s="7"/>
      <c r="AC612" s="7"/>
      <c r="AD612" s="7"/>
    </row>
    <row r="613" spans="17:30" x14ac:dyDescent="0.2">
      <c r="Q613" s="40"/>
      <c r="V613" s="41"/>
      <c r="W613" s="6"/>
      <c r="AA613" s="7"/>
      <c r="AB613" s="7"/>
      <c r="AC613" s="7"/>
      <c r="AD613" s="7"/>
    </row>
    <row r="614" spans="17:30" x14ac:dyDescent="0.2">
      <c r="Q614" s="40"/>
      <c r="V614" s="41"/>
      <c r="W614" s="6"/>
      <c r="AA614" s="7"/>
      <c r="AB614" s="7"/>
      <c r="AC614" s="7"/>
      <c r="AD614" s="7"/>
    </row>
    <row r="615" spans="17:30" x14ac:dyDescent="0.2">
      <c r="Q615" s="40"/>
      <c r="V615" s="41"/>
      <c r="W615" s="6"/>
      <c r="AA615" s="7"/>
      <c r="AB615" s="7"/>
      <c r="AC615" s="7"/>
      <c r="AD615" s="7"/>
    </row>
    <row r="616" spans="17:30" x14ac:dyDescent="0.2">
      <c r="Q616" s="40"/>
      <c r="V616" s="41"/>
      <c r="W616" s="6"/>
      <c r="AA616" s="7"/>
      <c r="AB616" s="7"/>
      <c r="AC616" s="7"/>
      <c r="AD616" s="7"/>
    </row>
    <row r="617" spans="17:30" x14ac:dyDescent="0.2">
      <c r="Q617" s="40"/>
      <c r="V617" s="41"/>
      <c r="W617" s="6"/>
      <c r="AA617" s="7"/>
      <c r="AB617" s="7"/>
      <c r="AC617" s="7"/>
      <c r="AD617" s="7"/>
    </row>
    <row r="618" spans="17:30" x14ac:dyDescent="0.2">
      <c r="Q618" s="40"/>
      <c r="V618" s="41"/>
      <c r="W618" s="6"/>
      <c r="AA618" s="7"/>
      <c r="AB618" s="7"/>
      <c r="AC618" s="7"/>
      <c r="AD618" s="7"/>
    </row>
    <row r="619" spans="17:30" x14ac:dyDescent="0.2">
      <c r="Q619" s="40"/>
      <c r="V619" s="41"/>
      <c r="W619" s="6"/>
      <c r="AA619" s="7"/>
      <c r="AB619" s="7"/>
      <c r="AC619" s="7"/>
      <c r="AD619" s="7"/>
    </row>
    <row r="620" spans="17:30" x14ac:dyDescent="0.2">
      <c r="Q620" s="40"/>
      <c r="V620" s="41"/>
      <c r="W620" s="6"/>
      <c r="AA620" s="7"/>
      <c r="AB620" s="7"/>
      <c r="AC620" s="7"/>
      <c r="AD620" s="7"/>
    </row>
    <row r="621" spans="17:30" x14ac:dyDescent="0.2">
      <c r="Q621" s="40"/>
      <c r="V621" s="41"/>
      <c r="W621" s="6"/>
      <c r="AA621" s="7"/>
      <c r="AB621" s="7"/>
      <c r="AC621" s="7"/>
      <c r="AD621" s="7"/>
    </row>
    <row r="622" spans="17:30" x14ac:dyDescent="0.2">
      <c r="Q622" s="40"/>
      <c r="V622" s="41"/>
      <c r="W622" s="6"/>
      <c r="AA622" s="7"/>
      <c r="AB622" s="7"/>
      <c r="AC622" s="7"/>
      <c r="AD622" s="7"/>
    </row>
    <row r="623" spans="17:30" x14ac:dyDescent="0.2">
      <c r="Q623" s="40"/>
      <c r="V623" s="41"/>
      <c r="W623" s="6"/>
      <c r="AA623" s="7"/>
      <c r="AB623" s="7"/>
      <c r="AC623" s="7"/>
      <c r="AD623" s="7"/>
    </row>
    <row r="624" spans="17:30" x14ac:dyDescent="0.2">
      <c r="Q624" s="40"/>
      <c r="V624" s="41"/>
      <c r="W624" s="6"/>
      <c r="AA624" s="7"/>
      <c r="AB624" s="7"/>
      <c r="AC624" s="7"/>
      <c r="AD624" s="7"/>
    </row>
    <row r="625" spans="17:30" x14ac:dyDescent="0.2">
      <c r="Q625" s="40"/>
      <c r="V625" s="41"/>
      <c r="W625" s="6"/>
      <c r="AA625" s="7"/>
      <c r="AB625" s="7"/>
      <c r="AC625" s="7"/>
      <c r="AD625" s="7"/>
    </row>
    <row r="626" spans="17:30" x14ac:dyDescent="0.2">
      <c r="Q626" s="40"/>
      <c r="V626" s="41"/>
      <c r="W626" s="6"/>
      <c r="AA626" s="7"/>
      <c r="AB626" s="7"/>
      <c r="AC626" s="7"/>
      <c r="AD626" s="7"/>
    </row>
    <row r="627" spans="17:30" x14ac:dyDescent="0.2">
      <c r="Q627" s="40"/>
      <c r="V627" s="41"/>
      <c r="W627" s="6"/>
      <c r="AA627" s="7"/>
      <c r="AB627" s="7"/>
      <c r="AC627" s="7"/>
      <c r="AD627" s="7"/>
    </row>
    <row r="628" spans="17:30" x14ac:dyDescent="0.2">
      <c r="Q628" s="40"/>
      <c r="V628" s="41"/>
      <c r="W628" s="6"/>
      <c r="AA628" s="7"/>
      <c r="AB628" s="7"/>
      <c r="AC628" s="7"/>
      <c r="AD628" s="7"/>
    </row>
    <row r="629" spans="17:30" x14ac:dyDescent="0.2">
      <c r="Q629" s="40"/>
      <c r="V629" s="41"/>
      <c r="W629" s="6"/>
      <c r="AA629" s="7"/>
      <c r="AB629" s="7"/>
      <c r="AC629" s="7"/>
      <c r="AD629" s="7"/>
    </row>
    <row r="630" spans="17:30" x14ac:dyDescent="0.2">
      <c r="Q630" s="40"/>
      <c r="V630" s="41"/>
      <c r="W630" s="6"/>
      <c r="AA630" s="7"/>
      <c r="AB630" s="7"/>
      <c r="AC630" s="7"/>
      <c r="AD630" s="7"/>
    </row>
    <row r="631" spans="17:30" x14ac:dyDescent="0.2">
      <c r="Q631" s="40"/>
      <c r="V631" s="41"/>
      <c r="W631" s="6"/>
      <c r="AA631" s="7"/>
      <c r="AB631" s="7"/>
      <c r="AC631" s="7"/>
      <c r="AD631" s="7"/>
    </row>
    <row r="632" spans="17:30" x14ac:dyDescent="0.2">
      <c r="Q632" s="40"/>
      <c r="V632" s="41"/>
      <c r="W632" s="6"/>
      <c r="AA632" s="7"/>
      <c r="AB632" s="7"/>
      <c r="AC632" s="7"/>
      <c r="AD632" s="7"/>
    </row>
    <row r="633" spans="17:30" x14ac:dyDescent="0.2">
      <c r="Q633" s="40"/>
      <c r="V633" s="41"/>
      <c r="W633" s="6"/>
      <c r="AA633" s="7"/>
      <c r="AB633" s="7"/>
      <c r="AC633" s="7"/>
      <c r="AD633" s="7"/>
    </row>
    <row r="634" spans="17:30" x14ac:dyDescent="0.2">
      <c r="Q634" s="40"/>
      <c r="V634" s="41"/>
      <c r="W634" s="6"/>
      <c r="AA634" s="7"/>
      <c r="AB634" s="7"/>
      <c r="AC634" s="7"/>
      <c r="AD634" s="7"/>
    </row>
    <row r="635" spans="17:30" x14ac:dyDescent="0.2">
      <c r="Q635" s="40"/>
      <c r="V635" s="41"/>
      <c r="W635" s="6"/>
      <c r="AA635" s="7"/>
      <c r="AB635" s="7"/>
      <c r="AC635" s="7"/>
      <c r="AD635" s="7"/>
    </row>
    <row r="636" spans="17:30" x14ac:dyDescent="0.2">
      <c r="Q636" s="40"/>
      <c r="V636" s="41"/>
      <c r="W636" s="6"/>
      <c r="AA636" s="7"/>
      <c r="AB636" s="7"/>
      <c r="AC636" s="7"/>
      <c r="AD636" s="7"/>
    </row>
    <row r="637" spans="17:30" x14ac:dyDescent="0.2">
      <c r="Q637" s="40"/>
      <c r="V637" s="41"/>
      <c r="W637" s="6"/>
      <c r="AA637" s="7"/>
      <c r="AB637" s="7"/>
      <c r="AC637" s="7"/>
      <c r="AD637" s="7"/>
    </row>
    <row r="638" spans="17:30" x14ac:dyDescent="0.2">
      <c r="Q638" s="40"/>
      <c r="V638" s="41"/>
      <c r="W638" s="6"/>
      <c r="AA638" s="7"/>
      <c r="AB638" s="7"/>
      <c r="AC638" s="7"/>
      <c r="AD638" s="7"/>
    </row>
    <row r="639" spans="17:30" x14ac:dyDescent="0.2">
      <c r="Q639" s="40"/>
      <c r="V639" s="41"/>
      <c r="W639" s="6"/>
      <c r="AA639" s="7"/>
      <c r="AB639" s="7"/>
      <c r="AC639" s="7"/>
      <c r="AD639" s="7"/>
    </row>
    <row r="640" spans="17:30" x14ac:dyDescent="0.2">
      <c r="Q640" s="40"/>
      <c r="V640" s="41"/>
      <c r="W640" s="6"/>
      <c r="AA640" s="7"/>
      <c r="AB640" s="7"/>
      <c r="AC640" s="7"/>
      <c r="AD640" s="7"/>
    </row>
    <row r="641" spans="17:30" x14ac:dyDescent="0.2">
      <c r="Q641" s="40"/>
      <c r="V641" s="41"/>
      <c r="W641" s="6"/>
      <c r="AA641" s="7"/>
      <c r="AB641" s="7"/>
      <c r="AC641" s="7"/>
      <c r="AD641" s="7"/>
    </row>
    <row r="642" spans="17:30" x14ac:dyDescent="0.2">
      <c r="Q642" s="40"/>
      <c r="V642" s="41"/>
      <c r="W642" s="6"/>
      <c r="AA642" s="7"/>
      <c r="AB642" s="7"/>
      <c r="AC642" s="7"/>
      <c r="AD642" s="7"/>
    </row>
    <row r="643" spans="17:30" x14ac:dyDescent="0.2">
      <c r="Q643" s="40"/>
      <c r="V643" s="41"/>
      <c r="W643" s="6"/>
      <c r="AA643" s="7"/>
      <c r="AB643" s="7"/>
      <c r="AC643" s="7"/>
      <c r="AD643" s="7"/>
    </row>
    <row r="644" spans="17:30" x14ac:dyDescent="0.2">
      <c r="Q644" s="40"/>
      <c r="V644" s="41"/>
      <c r="W644" s="6"/>
      <c r="AA644" s="7"/>
      <c r="AB644" s="7"/>
      <c r="AC644" s="7"/>
      <c r="AD644" s="7"/>
    </row>
    <row r="645" spans="17:30" x14ac:dyDescent="0.2">
      <c r="Q645" s="40"/>
      <c r="V645" s="41"/>
      <c r="W645" s="6"/>
      <c r="AA645" s="7"/>
      <c r="AB645" s="7"/>
      <c r="AC645" s="7"/>
      <c r="AD645" s="7"/>
    </row>
    <row r="646" spans="17:30" x14ac:dyDescent="0.2">
      <c r="Q646" s="40"/>
      <c r="V646" s="41"/>
      <c r="W646" s="6"/>
      <c r="AA646" s="7"/>
      <c r="AB646" s="7"/>
      <c r="AC646" s="7"/>
      <c r="AD646" s="7"/>
    </row>
    <row r="647" spans="17:30" x14ac:dyDescent="0.2">
      <c r="Q647" s="40"/>
      <c r="V647" s="41"/>
      <c r="W647" s="6"/>
      <c r="AA647" s="7"/>
      <c r="AB647" s="7"/>
      <c r="AC647" s="7"/>
      <c r="AD647" s="7"/>
    </row>
    <row r="648" spans="17:30" x14ac:dyDescent="0.2">
      <c r="Q648" s="40"/>
      <c r="V648" s="41"/>
      <c r="W648" s="6"/>
      <c r="AA648" s="7"/>
      <c r="AB648" s="7"/>
      <c r="AC648" s="7"/>
      <c r="AD648" s="7"/>
    </row>
    <row r="649" spans="17:30" x14ac:dyDescent="0.2">
      <c r="Q649" s="40"/>
      <c r="V649" s="41"/>
      <c r="W649" s="6"/>
      <c r="AA649" s="7"/>
      <c r="AB649" s="7"/>
      <c r="AC649" s="7"/>
      <c r="AD649" s="7"/>
    </row>
    <row r="650" spans="17:30" x14ac:dyDescent="0.2">
      <c r="Q650" s="40"/>
      <c r="V650" s="41"/>
      <c r="W650" s="6"/>
      <c r="AA650" s="7"/>
      <c r="AB650" s="7"/>
      <c r="AC650" s="7"/>
      <c r="AD650" s="7"/>
    </row>
    <row r="651" spans="17:30" x14ac:dyDescent="0.2">
      <c r="Q651" s="40"/>
      <c r="V651" s="41"/>
      <c r="W651" s="6"/>
      <c r="AA651" s="7"/>
      <c r="AB651" s="7"/>
      <c r="AC651" s="7"/>
      <c r="AD651" s="7"/>
    </row>
    <row r="652" spans="17:30" x14ac:dyDescent="0.2">
      <c r="Q652" s="40"/>
      <c r="V652" s="41"/>
      <c r="W652" s="6"/>
      <c r="AA652" s="7"/>
      <c r="AB652" s="7"/>
      <c r="AC652" s="7"/>
      <c r="AD652" s="7"/>
    </row>
    <row r="653" spans="17:30" x14ac:dyDescent="0.2">
      <c r="Q653" s="40"/>
      <c r="V653" s="41"/>
      <c r="W653" s="6"/>
      <c r="AA653" s="7"/>
      <c r="AB653" s="7"/>
      <c r="AC653" s="7"/>
      <c r="AD653" s="7"/>
    </row>
    <row r="654" spans="17:30" x14ac:dyDescent="0.2">
      <c r="Q654" s="40"/>
      <c r="V654" s="41"/>
      <c r="W654" s="6"/>
      <c r="AA654" s="7"/>
      <c r="AB654" s="7"/>
      <c r="AC654" s="7"/>
      <c r="AD654" s="7"/>
    </row>
    <row r="655" spans="17:30" x14ac:dyDescent="0.2">
      <c r="Q655" s="40"/>
      <c r="V655" s="41"/>
      <c r="W655" s="6"/>
      <c r="AA655" s="7"/>
      <c r="AB655" s="7"/>
      <c r="AC655" s="7"/>
      <c r="AD655" s="7"/>
    </row>
    <row r="656" spans="17:30" x14ac:dyDescent="0.2">
      <c r="Q656" s="40"/>
      <c r="V656" s="41"/>
      <c r="W656" s="6"/>
      <c r="AA656" s="7"/>
      <c r="AB656" s="7"/>
      <c r="AC656" s="7"/>
      <c r="AD656" s="7"/>
    </row>
    <row r="657" spans="17:30" x14ac:dyDescent="0.2">
      <c r="Q657" s="40"/>
      <c r="V657" s="41"/>
      <c r="W657" s="6"/>
      <c r="AA657" s="7"/>
      <c r="AB657" s="7"/>
      <c r="AC657" s="7"/>
      <c r="AD657" s="7"/>
    </row>
    <row r="658" spans="17:30" x14ac:dyDescent="0.2">
      <c r="Q658" s="40"/>
      <c r="V658" s="41"/>
      <c r="W658" s="6"/>
      <c r="AA658" s="7"/>
      <c r="AB658" s="7"/>
      <c r="AC658" s="7"/>
      <c r="AD658" s="7"/>
    </row>
    <row r="659" spans="17:30" x14ac:dyDescent="0.2">
      <c r="Q659" s="40"/>
      <c r="V659" s="41"/>
      <c r="W659" s="6"/>
      <c r="AA659" s="7"/>
      <c r="AB659" s="7"/>
      <c r="AC659" s="7"/>
      <c r="AD659" s="7"/>
    </row>
    <row r="660" spans="17:30" x14ac:dyDescent="0.2">
      <c r="Q660" s="40"/>
      <c r="V660" s="41"/>
      <c r="W660" s="6"/>
      <c r="AA660" s="7"/>
      <c r="AB660" s="7"/>
      <c r="AC660" s="7"/>
      <c r="AD660" s="7"/>
    </row>
    <row r="661" spans="17:30" x14ac:dyDescent="0.2">
      <c r="Q661" s="40"/>
      <c r="V661" s="41"/>
      <c r="W661" s="6"/>
      <c r="AA661" s="7"/>
      <c r="AB661" s="7"/>
      <c r="AC661" s="7"/>
      <c r="AD661" s="7"/>
    </row>
    <row r="662" spans="17:30" x14ac:dyDescent="0.2">
      <c r="Q662" s="40"/>
      <c r="V662" s="41"/>
      <c r="W662" s="6"/>
      <c r="AA662" s="7"/>
      <c r="AB662" s="7"/>
      <c r="AC662" s="7"/>
      <c r="AD662" s="7"/>
    </row>
    <row r="663" spans="17:30" x14ac:dyDescent="0.2">
      <c r="Q663" s="40"/>
      <c r="V663" s="41"/>
      <c r="W663" s="6"/>
      <c r="AA663" s="7"/>
      <c r="AB663" s="7"/>
      <c r="AC663" s="7"/>
      <c r="AD663" s="7"/>
    </row>
    <row r="664" spans="17:30" x14ac:dyDescent="0.2">
      <c r="Q664" s="40"/>
      <c r="V664" s="41"/>
      <c r="W664" s="6"/>
      <c r="AA664" s="7"/>
      <c r="AB664" s="7"/>
      <c r="AC664" s="7"/>
      <c r="AD664" s="7"/>
    </row>
    <row r="665" spans="17:30" x14ac:dyDescent="0.2">
      <c r="Q665" s="40"/>
      <c r="V665" s="41"/>
      <c r="W665" s="6"/>
      <c r="AA665" s="7"/>
      <c r="AB665" s="7"/>
      <c r="AC665" s="7"/>
      <c r="AD665" s="7"/>
    </row>
    <row r="666" spans="17:30" x14ac:dyDescent="0.2">
      <c r="Q666" s="40"/>
      <c r="V666" s="41"/>
      <c r="W666" s="6"/>
      <c r="AA666" s="7"/>
      <c r="AB666" s="7"/>
      <c r="AC666" s="7"/>
      <c r="AD666" s="7"/>
    </row>
    <row r="667" spans="17:30" x14ac:dyDescent="0.2">
      <c r="Q667" s="40"/>
      <c r="V667" s="41"/>
      <c r="W667" s="6"/>
      <c r="AA667" s="7"/>
      <c r="AB667" s="7"/>
      <c r="AC667" s="7"/>
      <c r="AD667" s="7"/>
    </row>
    <row r="668" spans="17:30" x14ac:dyDescent="0.2">
      <c r="Q668" s="40"/>
      <c r="V668" s="41"/>
      <c r="W668" s="6"/>
      <c r="AA668" s="7"/>
      <c r="AB668" s="7"/>
      <c r="AC668" s="7"/>
      <c r="AD668" s="7"/>
    </row>
    <row r="669" spans="17:30" x14ac:dyDescent="0.2">
      <c r="Q669" s="40"/>
      <c r="V669" s="41"/>
      <c r="W669" s="6"/>
      <c r="AA669" s="7"/>
      <c r="AB669" s="7"/>
      <c r="AC669" s="7"/>
      <c r="AD669" s="7"/>
    </row>
    <row r="670" spans="17:30" x14ac:dyDescent="0.2">
      <c r="Q670" s="40"/>
      <c r="V670" s="41"/>
      <c r="W670" s="6"/>
      <c r="AA670" s="7"/>
      <c r="AB670" s="7"/>
      <c r="AC670" s="7"/>
      <c r="AD670" s="7"/>
    </row>
    <row r="671" spans="17:30" x14ac:dyDescent="0.2">
      <c r="Q671" s="40"/>
      <c r="V671" s="41"/>
      <c r="W671" s="6"/>
      <c r="AA671" s="7"/>
      <c r="AB671" s="7"/>
      <c r="AC671" s="7"/>
      <c r="AD671" s="7"/>
    </row>
    <row r="672" spans="17:30" x14ac:dyDescent="0.2">
      <c r="Q672" s="40"/>
      <c r="V672" s="41"/>
      <c r="W672" s="6"/>
      <c r="AA672" s="7"/>
      <c r="AB672" s="7"/>
      <c r="AC672" s="7"/>
      <c r="AD672" s="7"/>
    </row>
    <row r="673" spans="17:30" x14ac:dyDescent="0.2">
      <c r="Q673" s="40"/>
      <c r="V673" s="41"/>
      <c r="W673" s="6"/>
      <c r="AA673" s="7"/>
      <c r="AB673" s="7"/>
      <c r="AC673" s="7"/>
      <c r="AD673" s="7"/>
    </row>
    <row r="674" spans="17:30" x14ac:dyDescent="0.2">
      <c r="Q674" s="40"/>
      <c r="V674" s="41"/>
      <c r="W674" s="6"/>
      <c r="AA674" s="7"/>
      <c r="AB674" s="7"/>
      <c r="AC674" s="7"/>
      <c r="AD674" s="7"/>
    </row>
    <row r="675" spans="17:30" x14ac:dyDescent="0.2">
      <c r="Q675" s="40"/>
      <c r="V675" s="41"/>
      <c r="W675" s="6"/>
      <c r="AA675" s="7"/>
      <c r="AB675" s="7"/>
      <c r="AC675" s="7"/>
      <c r="AD675" s="7"/>
    </row>
    <row r="676" spans="17:30" x14ac:dyDescent="0.2">
      <c r="Q676" s="40"/>
      <c r="V676" s="41"/>
      <c r="W676" s="6"/>
      <c r="AA676" s="7"/>
      <c r="AB676" s="7"/>
      <c r="AC676" s="7"/>
      <c r="AD676" s="7"/>
    </row>
    <row r="677" spans="17:30" x14ac:dyDescent="0.2">
      <c r="Q677" s="40"/>
      <c r="V677" s="41"/>
      <c r="W677" s="6"/>
      <c r="AA677" s="7"/>
      <c r="AB677" s="7"/>
      <c r="AC677" s="7"/>
      <c r="AD677" s="7"/>
    </row>
    <row r="678" spans="17:30" x14ac:dyDescent="0.2">
      <c r="Q678" s="40"/>
      <c r="V678" s="41"/>
      <c r="W678" s="6"/>
      <c r="AA678" s="7"/>
      <c r="AB678" s="7"/>
      <c r="AC678" s="7"/>
      <c r="AD678" s="7"/>
    </row>
    <row r="679" spans="17:30" x14ac:dyDescent="0.2">
      <c r="Q679" s="40"/>
      <c r="V679" s="41"/>
      <c r="W679" s="6"/>
      <c r="AA679" s="7"/>
      <c r="AB679" s="7"/>
      <c r="AC679" s="7"/>
      <c r="AD679" s="7"/>
    </row>
    <row r="680" spans="17:30" x14ac:dyDescent="0.2">
      <c r="Q680" s="40"/>
      <c r="V680" s="41"/>
      <c r="W680" s="6"/>
      <c r="AA680" s="7"/>
      <c r="AB680" s="7"/>
      <c r="AC680" s="7"/>
      <c r="AD680" s="7"/>
    </row>
    <row r="681" spans="17:30" x14ac:dyDescent="0.2">
      <c r="Q681" s="40"/>
      <c r="V681" s="41"/>
      <c r="W681" s="6"/>
      <c r="AA681" s="7"/>
      <c r="AB681" s="7"/>
      <c r="AC681" s="7"/>
      <c r="AD681" s="7"/>
    </row>
    <row r="682" spans="17:30" x14ac:dyDescent="0.2">
      <c r="Q682" s="40"/>
      <c r="V682" s="41"/>
      <c r="W682" s="6"/>
      <c r="AA682" s="7"/>
      <c r="AB682" s="7"/>
      <c r="AC682" s="7"/>
      <c r="AD682" s="7"/>
    </row>
    <row r="683" spans="17:30" x14ac:dyDescent="0.2">
      <c r="Q683" s="40"/>
      <c r="V683" s="41"/>
      <c r="W683" s="6"/>
      <c r="AA683" s="7"/>
      <c r="AB683" s="7"/>
      <c r="AC683" s="7"/>
      <c r="AD683" s="7"/>
    </row>
    <row r="684" spans="17:30" x14ac:dyDescent="0.2">
      <c r="Q684" s="40"/>
      <c r="V684" s="41"/>
      <c r="W684" s="6"/>
      <c r="AA684" s="7"/>
      <c r="AB684" s="7"/>
      <c r="AC684" s="7"/>
      <c r="AD684" s="7"/>
    </row>
    <row r="685" spans="17:30" x14ac:dyDescent="0.2">
      <c r="Q685" s="40"/>
      <c r="V685" s="41"/>
      <c r="W685" s="6"/>
      <c r="AA685" s="7"/>
      <c r="AB685" s="7"/>
      <c r="AC685" s="7"/>
      <c r="AD685" s="7"/>
    </row>
    <row r="686" spans="17:30" x14ac:dyDescent="0.2">
      <c r="Q686" s="40"/>
      <c r="V686" s="41"/>
      <c r="W686" s="6"/>
      <c r="AA686" s="7"/>
      <c r="AB686" s="7"/>
      <c r="AC686" s="7"/>
      <c r="AD686" s="7"/>
    </row>
    <row r="687" spans="17:30" x14ac:dyDescent="0.2">
      <c r="Q687" s="40"/>
      <c r="V687" s="41"/>
      <c r="W687" s="6"/>
      <c r="AA687" s="7"/>
      <c r="AB687" s="7"/>
      <c r="AC687" s="7"/>
      <c r="AD687" s="7"/>
    </row>
    <row r="688" spans="17:30" x14ac:dyDescent="0.2">
      <c r="Q688" s="40"/>
      <c r="V688" s="41"/>
      <c r="W688" s="6"/>
      <c r="AA688" s="7"/>
      <c r="AB688" s="7"/>
      <c r="AC688" s="7"/>
      <c r="AD688" s="7"/>
    </row>
    <row r="689" spans="17:30" x14ac:dyDescent="0.2">
      <c r="Q689" s="40"/>
      <c r="V689" s="41"/>
      <c r="W689" s="6"/>
      <c r="AA689" s="7"/>
      <c r="AB689" s="7"/>
      <c r="AC689" s="7"/>
      <c r="AD689" s="7"/>
    </row>
    <row r="690" spans="17:30" x14ac:dyDescent="0.2">
      <c r="Q690" s="40"/>
      <c r="V690" s="41"/>
      <c r="W690" s="6"/>
      <c r="AA690" s="7"/>
      <c r="AB690" s="7"/>
      <c r="AC690" s="7"/>
      <c r="AD690" s="7"/>
    </row>
    <row r="691" spans="17:30" x14ac:dyDescent="0.2">
      <c r="Q691" s="40"/>
      <c r="V691" s="41"/>
      <c r="W691" s="6"/>
      <c r="AA691" s="7"/>
      <c r="AB691" s="7"/>
      <c r="AC691" s="7"/>
      <c r="AD691" s="7"/>
    </row>
    <row r="692" spans="17:30" x14ac:dyDescent="0.2">
      <c r="Q692" s="40"/>
      <c r="V692" s="41"/>
      <c r="W692" s="6"/>
      <c r="AA692" s="7"/>
      <c r="AB692" s="7"/>
      <c r="AC692" s="7"/>
      <c r="AD692" s="7"/>
    </row>
    <row r="693" spans="17:30" x14ac:dyDescent="0.2">
      <c r="Q693" s="40"/>
      <c r="V693" s="41"/>
      <c r="W693" s="6"/>
      <c r="AA693" s="7"/>
      <c r="AB693" s="7"/>
      <c r="AC693" s="7"/>
      <c r="AD693" s="7"/>
    </row>
    <row r="694" spans="17:30" x14ac:dyDescent="0.2">
      <c r="Q694" s="40"/>
      <c r="V694" s="41"/>
      <c r="W694" s="6"/>
      <c r="AA694" s="7"/>
      <c r="AB694" s="7"/>
      <c r="AC694" s="7"/>
      <c r="AD694" s="7"/>
    </row>
    <row r="695" spans="17:30" x14ac:dyDescent="0.2">
      <c r="Q695" s="40"/>
      <c r="V695" s="41"/>
      <c r="W695" s="6"/>
      <c r="AA695" s="7"/>
      <c r="AB695" s="7"/>
      <c r="AC695" s="7"/>
      <c r="AD695" s="7"/>
    </row>
    <row r="696" spans="17:30" x14ac:dyDescent="0.2">
      <c r="Q696" s="40"/>
      <c r="V696" s="41"/>
      <c r="W696" s="6"/>
      <c r="AA696" s="7"/>
      <c r="AB696" s="7"/>
      <c r="AC696" s="7"/>
      <c r="AD696" s="7"/>
    </row>
    <row r="697" spans="17:30" x14ac:dyDescent="0.2">
      <c r="Q697" s="40"/>
      <c r="V697" s="41"/>
      <c r="W697" s="6"/>
      <c r="AA697" s="7"/>
      <c r="AB697" s="7"/>
      <c r="AC697" s="7"/>
      <c r="AD697" s="7"/>
    </row>
    <row r="698" spans="17:30" x14ac:dyDescent="0.2">
      <c r="Q698" s="40"/>
      <c r="V698" s="41"/>
      <c r="W698" s="6"/>
      <c r="AA698" s="7"/>
      <c r="AB698" s="7"/>
      <c r="AC698" s="7"/>
      <c r="AD698" s="7"/>
    </row>
    <row r="699" spans="17:30" x14ac:dyDescent="0.2">
      <c r="Q699" s="40"/>
      <c r="V699" s="41"/>
      <c r="W699" s="6"/>
      <c r="AA699" s="7"/>
      <c r="AB699" s="7"/>
      <c r="AC699" s="7"/>
      <c r="AD699" s="7"/>
    </row>
    <row r="700" spans="17:30" x14ac:dyDescent="0.2">
      <c r="Q700" s="40"/>
      <c r="V700" s="41"/>
      <c r="W700" s="6"/>
      <c r="AA700" s="7"/>
      <c r="AB700" s="7"/>
      <c r="AC700" s="7"/>
      <c r="AD700" s="7"/>
    </row>
    <row r="701" spans="17:30" x14ac:dyDescent="0.2">
      <c r="Q701" s="40"/>
      <c r="V701" s="41"/>
      <c r="W701" s="6"/>
      <c r="AA701" s="7"/>
      <c r="AB701" s="7"/>
      <c r="AC701" s="7"/>
      <c r="AD701" s="7"/>
    </row>
    <row r="702" spans="17:30" x14ac:dyDescent="0.2">
      <c r="Q702" s="40"/>
      <c r="V702" s="41"/>
      <c r="W702" s="6"/>
      <c r="AA702" s="7"/>
      <c r="AB702" s="7"/>
      <c r="AC702" s="7"/>
      <c r="AD702" s="7"/>
    </row>
    <row r="703" spans="17:30" x14ac:dyDescent="0.2">
      <c r="Q703" s="40"/>
      <c r="V703" s="41"/>
      <c r="W703" s="6"/>
      <c r="AA703" s="7"/>
      <c r="AB703" s="7"/>
      <c r="AC703" s="7"/>
      <c r="AD703" s="7"/>
    </row>
    <row r="704" spans="17:30" x14ac:dyDescent="0.2">
      <c r="Q704" s="40"/>
      <c r="V704" s="41"/>
      <c r="W704" s="6"/>
      <c r="AA704" s="7"/>
      <c r="AB704" s="7"/>
      <c r="AC704" s="7"/>
      <c r="AD704" s="7"/>
    </row>
    <row r="705" spans="17:30" x14ac:dyDescent="0.2">
      <c r="Q705" s="40"/>
      <c r="V705" s="41"/>
      <c r="W705" s="6"/>
      <c r="AA705" s="7"/>
      <c r="AB705" s="7"/>
      <c r="AC705" s="7"/>
      <c r="AD705" s="7"/>
    </row>
    <row r="706" spans="17:30" x14ac:dyDescent="0.2">
      <c r="Q706" s="40"/>
      <c r="V706" s="41"/>
      <c r="W706" s="6"/>
      <c r="AA706" s="7"/>
      <c r="AB706" s="7"/>
      <c r="AC706" s="7"/>
      <c r="AD706" s="7"/>
    </row>
    <row r="707" spans="17:30" x14ac:dyDescent="0.2">
      <c r="Q707" s="40"/>
      <c r="V707" s="41"/>
      <c r="W707" s="6"/>
      <c r="AA707" s="7"/>
      <c r="AB707" s="7"/>
      <c r="AC707" s="7"/>
      <c r="AD707" s="7"/>
    </row>
    <row r="708" spans="17:30" x14ac:dyDescent="0.2">
      <c r="Q708" s="40"/>
      <c r="V708" s="41"/>
      <c r="W708" s="6"/>
      <c r="AA708" s="7"/>
      <c r="AB708" s="7"/>
      <c r="AC708" s="7"/>
      <c r="AD708" s="7"/>
    </row>
    <row r="709" spans="17:30" x14ac:dyDescent="0.2">
      <c r="Q709" s="40"/>
      <c r="V709" s="41"/>
      <c r="W709" s="6"/>
      <c r="AA709" s="7"/>
      <c r="AB709" s="7"/>
      <c r="AC709" s="7"/>
      <c r="AD709" s="7"/>
    </row>
    <row r="710" spans="17:30" x14ac:dyDescent="0.2">
      <c r="Q710" s="40"/>
      <c r="V710" s="41"/>
      <c r="W710" s="6"/>
      <c r="AA710" s="7"/>
      <c r="AB710" s="7"/>
      <c r="AC710" s="7"/>
      <c r="AD710" s="7"/>
    </row>
    <row r="711" spans="17:30" x14ac:dyDescent="0.2">
      <c r="Q711" s="40"/>
      <c r="V711" s="41"/>
      <c r="W711" s="6"/>
      <c r="AA711" s="7"/>
      <c r="AB711" s="7"/>
      <c r="AC711" s="7"/>
      <c r="AD711" s="7"/>
    </row>
    <row r="712" spans="17:30" x14ac:dyDescent="0.2">
      <c r="Q712" s="40"/>
      <c r="V712" s="41"/>
      <c r="W712" s="6"/>
      <c r="AA712" s="7"/>
      <c r="AB712" s="7"/>
      <c r="AC712" s="7"/>
      <c r="AD712" s="7"/>
    </row>
    <row r="713" spans="17:30" x14ac:dyDescent="0.2">
      <c r="Q713" s="40"/>
      <c r="V713" s="41"/>
      <c r="W713" s="6"/>
      <c r="AA713" s="7"/>
      <c r="AB713" s="7"/>
      <c r="AC713" s="7"/>
      <c r="AD713" s="7"/>
    </row>
    <row r="714" spans="17:30" x14ac:dyDescent="0.2">
      <c r="Q714" s="40"/>
      <c r="V714" s="41"/>
      <c r="W714" s="6"/>
      <c r="AA714" s="7"/>
      <c r="AB714" s="7"/>
      <c r="AC714" s="7"/>
      <c r="AD714" s="7"/>
    </row>
    <row r="715" spans="17:30" x14ac:dyDescent="0.2">
      <c r="Q715" s="40"/>
      <c r="V715" s="41"/>
      <c r="W715" s="6"/>
      <c r="AA715" s="7"/>
      <c r="AB715" s="7"/>
      <c r="AC715" s="7"/>
      <c r="AD715" s="7"/>
    </row>
    <row r="716" spans="17:30" x14ac:dyDescent="0.2">
      <c r="Q716" s="40"/>
      <c r="V716" s="41"/>
      <c r="W716" s="6"/>
      <c r="AA716" s="7"/>
      <c r="AB716" s="7"/>
      <c r="AC716" s="7"/>
      <c r="AD716" s="7"/>
    </row>
    <row r="717" spans="17:30" x14ac:dyDescent="0.2">
      <c r="Q717" s="40"/>
      <c r="V717" s="41"/>
      <c r="W717" s="6"/>
      <c r="AA717" s="7"/>
      <c r="AB717" s="7"/>
      <c r="AC717" s="7"/>
      <c r="AD717" s="7"/>
    </row>
    <row r="718" spans="17:30" x14ac:dyDescent="0.2">
      <c r="Q718" s="40"/>
      <c r="V718" s="41"/>
      <c r="W718" s="6"/>
      <c r="AA718" s="7"/>
      <c r="AB718" s="7"/>
      <c r="AC718" s="7"/>
      <c r="AD718" s="7"/>
    </row>
    <row r="719" spans="17:30" x14ac:dyDescent="0.2">
      <c r="Q719" s="40"/>
      <c r="V719" s="41"/>
      <c r="W719" s="6"/>
      <c r="AA719" s="7"/>
      <c r="AB719" s="7"/>
      <c r="AC719" s="7"/>
      <c r="AD719" s="7"/>
    </row>
    <row r="720" spans="17:30" x14ac:dyDescent="0.2">
      <c r="Q720" s="40"/>
      <c r="V720" s="41"/>
      <c r="W720" s="6"/>
      <c r="AA720" s="7"/>
      <c r="AB720" s="7"/>
      <c r="AC720" s="7"/>
      <c r="AD720" s="7"/>
    </row>
    <row r="721" spans="17:30" x14ac:dyDescent="0.2">
      <c r="Q721" s="40"/>
      <c r="V721" s="41"/>
      <c r="W721" s="6"/>
      <c r="AA721" s="7"/>
      <c r="AB721" s="7"/>
      <c r="AC721" s="7"/>
      <c r="AD721" s="7"/>
    </row>
    <row r="722" spans="17:30" x14ac:dyDescent="0.2">
      <c r="Q722" s="40"/>
      <c r="V722" s="41"/>
      <c r="W722" s="6"/>
      <c r="AA722" s="7"/>
      <c r="AB722" s="7"/>
      <c r="AC722" s="7"/>
      <c r="AD722" s="7"/>
    </row>
    <row r="723" spans="17:30" x14ac:dyDescent="0.2">
      <c r="Q723" s="40"/>
      <c r="V723" s="41"/>
      <c r="W723" s="6"/>
      <c r="AA723" s="7"/>
      <c r="AB723" s="7"/>
      <c r="AC723" s="7"/>
      <c r="AD723" s="7"/>
    </row>
    <row r="724" spans="17:30" x14ac:dyDescent="0.2">
      <c r="Q724" s="40"/>
      <c r="V724" s="41"/>
      <c r="W724" s="6"/>
      <c r="AA724" s="7"/>
      <c r="AB724" s="7"/>
      <c r="AC724" s="7"/>
      <c r="AD724" s="7"/>
    </row>
    <row r="725" spans="17:30" x14ac:dyDescent="0.2">
      <c r="Q725" s="40"/>
      <c r="V725" s="41"/>
      <c r="W725" s="6"/>
      <c r="AA725" s="7"/>
      <c r="AB725" s="7"/>
      <c r="AC725" s="7"/>
      <c r="AD725" s="7"/>
    </row>
    <row r="726" spans="17:30" x14ac:dyDescent="0.2">
      <c r="Q726" s="40"/>
      <c r="V726" s="41"/>
      <c r="W726" s="6"/>
      <c r="AA726" s="7"/>
      <c r="AB726" s="7"/>
      <c r="AC726" s="7"/>
      <c r="AD726" s="7"/>
    </row>
    <row r="727" spans="17:30" x14ac:dyDescent="0.2">
      <c r="Q727" s="40"/>
      <c r="V727" s="41"/>
      <c r="W727" s="6"/>
      <c r="AA727" s="7"/>
      <c r="AB727" s="7"/>
      <c r="AC727" s="7"/>
      <c r="AD727" s="7"/>
    </row>
    <row r="728" spans="17:30" x14ac:dyDescent="0.2">
      <c r="Q728" s="40"/>
      <c r="V728" s="41"/>
      <c r="W728" s="6"/>
      <c r="AA728" s="7"/>
      <c r="AB728" s="7"/>
      <c r="AC728" s="7"/>
      <c r="AD728" s="7"/>
    </row>
    <row r="729" spans="17:30" x14ac:dyDescent="0.2">
      <c r="Q729" s="40"/>
      <c r="V729" s="41"/>
      <c r="W729" s="6"/>
      <c r="AA729" s="7"/>
      <c r="AB729" s="7"/>
      <c r="AC729" s="7"/>
      <c r="AD729" s="7"/>
    </row>
    <row r="730" spans="17:30" x14ac:dyDescent="0.2">
      <c r="Q730" s="40"/>
      <c r="V730" s="41"/>
      <c r="W730" s="6"/>
      <c r="AA730" s="7"/>
      <c r="AB730" s="7"/>
      <c r="AC730" s="7"/>
      <c r="AD730" s="7"/>
    </row>
    <row r="731" spans="17:30" x14ac:dyDescent="0.2">
      <c r="Q731" s="40"/>
      <c r="V731" s="41"/>
      <c r="W731" s="6"/>
      <c r="AA731" s="7"/>
      <c r="AB731" s="7"/>
      <c r="AC731" s="7"/>
      <c r="AD731" s="7"/>
    </row>
    <row r="732" spans="17:30" x14ac:dyDescent="0.2">
      <c r="Q732" s="40"/>
      <c r="V732" s="41"/>
      <c r="W732" s="6"/>
      <c r="AA732" s="7"/>
      <c r="AB732" s="7"/>
      <c r="AC732" s="7"/>
      <c r="AD732" s="7"/>
    </row>
    <row r="733" spans="17:30" x14ac:dyDescent="0.2">
      <c r="Q733" s="40"/>
      <c r="V733" s="41"/>
      <c r="W733" s="6"/>
      <c r="AA733" s="7"/>
      <c r="AB733" s="7"/>
      <c r="AC733" s="7"/>
      <c r="AD733" s="7"/>
    </row>
    <row r="734" spans="17:30" x14ac:dyDescent="0.2">
      <c r="Q734" s="40"/>
      <c r="V734" s="41"/>
      <c r="W734" s="6"/>
      <c r="AA734" s="7"/>
      <c r="AB734" s="7"/>
      <c r="AC734" s="7"/>
      <c r="AD734" s="7"/>
    </row>
    <row r="735" spans="17:30" x14ac:dyDescent="0.2">
      <c r="Q735" s="40"/>
      <c r="V735" s="41"/>
      <c r="W735" s="6"/>
      <c r="AA735" s="7"/>
      <c r="AB735" s="7"/>
      <c r="AC735" s="7"/>
      <c r="AD735" s="7"/>
    </row>
    <row r="736" spans="17:30" x14ac:dyDescent="0.2">
      <c r="Q736" s="40"/>
      <c r="V736" s="41"/>
      <c r="W736" s="6"/>
      <c r="AA736" s="7"/>
      <c r="AB736" s="7"/>
      <c r="AC736" s="7"/>
      <c r="AD736" s="7"/>
    </row>
    <row r="737" spans="17:30" x14ac:dyDescent="0.2">
      <c r="Q737" s="40"/>
      <c r="V737" s="41"/>
      <c r="W737" s="6"/>
      <c r="AA737" s="7"/>
      <c r="AB737" s="7"/>
      <c r="AC737" s="7"/>
      <c r="AD737" s="7"/>
    </row>
    <row r="738" spans="17:30" x14ac:dyDescent="0.2">
      <c r="Q738" s="40"/>
      <c r="V738" s="41"/>
      <c r="W738" s="6"/>
      <c r="AA738" s="7"/>
      <c r="AB738" s="7"/>
      <c r="AC738" s="7"/>
      <c r="AD738" s="7"/>
    </row>
    <row r="739" spans="17:30" x14ac:dyDescent="0.2">
      <c r="Q739" s="40"/>
      <c r="V739" s="41"/>
      <c r="W739" s="6"/>
      <c r="AA739" s="7"/>
      <c r="AB739" s="7"/>
      <c r="AC739" s="7"/>
      <c r="AD739" s="7"/>
    </row>
    <row r="740" spans="17:30" x14ac:dyDescent="0.2">
      <c r="Q740" s="40"/>
      <c r="V740" s="41"/>
      <c r="W740" s="6"/>
      <c r="AA740" s="7"/>
      <c r="AB740" s="7"/>
      <c r="AC740" s="7"/>
      <c r="AD740" s="7"/>
    </row>
    <row r="741" spans="17:30" x14ac:dyDescent="0.2">
      <c r="Q741" s="40"/>
      <c r="V741" s="41"/>
      <c r="W741" s="6"/>
      <c r="AA741" s="7"/>
      <c r="AB741" s="7"/>
      <c r="AC741" s="7"/>
      <c r="AD741" s="7"/>
    </row>
    <row r="742" spans="17:30" x14ac:dyDescent="0.2">
      <c r="Q742" s="40"/>
      <c r="V742" s="41"/>
      <c r="W742" s="6"/>
      <c r="AA742" s="7"/>
      <c r="AB742" s="7"/>
      <c r="AC742" s="7"/>
      <c r="AD742" s="7"/>
    </row>
    <row r="743" spans="17:30" x14ac:dyDescent="0.2">
      <c r="Q743" s="40"/>
      <c r="V743" s="41"/>
      <c r="W743" s="6"/>
      <c r="AA743" s="7"/>
      <c r="AB743" s="7"/>
      <c r="AC743" s="7"/>
      <c r="AD743" s="7"/>
    </row>
    <row r="744" spans="17:30" x14ac:dyDescent="0.2">
      <c r="Q744" s="40"/>
      <c r="V744" s="41"/>
      <c r="W744" s="6"/>
      <c r="AA744" s="7"/>
      <c r="AB744" s="7"/>
      <c r="AC744" s="7"/>
      <c r="AD744" s="7"/>
    </row>
    <row r="745" spans="17:30" x14ac:dyDescent="0.2">
      <c r="Q745" s="40"/>
      <c r="V745" s="41"/>
      <c r="W745" s="6"/>
      <c r="AA745" s="7"/>
      <c r="AB745" s="7"/>
      <c r="AC745" s="7"/>
      <c r="AD745" s="7"/>
    </row>
    <row r="746" spans="17:30" x14ac:dyDescent="0.2">
      <c r="Q746" s="40"/>
      <c r="V746" s="41"/>
      <c r="W746" s="6"/>
      <c r="AA746" s="7"/>
      <c r="AB746" s="7"/>
      <c r="AC746" s="7"/>
      <c r="AD746" s="7"/>
    </row>
    <row r="747" spans="17:30" x14ac:dyDescent="0.2">
      <c r="Q747" s="40"/>
      <c r="V747" s="41"/>
      <c r="W747" s="6"/>
      <c r="AA747" s="7"/>
      <c r="AB747" s="7"/>
      <c r="AC747" s="7"/>
      <c r="AD747" s="7"/>
    </row>
    <row r="748" spans="17:30" x14ac:dyDescent="0.2">
      <c r="Q748" s="40"/>
      <c r="V748" s="41"/>
      <c r="W748" s="6"/>
      <c r="AA748" s="7"/>
      <c r="AB748" s="7"/>
      <c r="AC748" s="7"/>
      <c r="AD748" s="7"/>
    </row>
    <row r="749" spans="17:30" x14ac:dyDescent="0.2">
      <c r="Q749" s="40"/>
      <c r="V749" s="41"/>
      <c r="W749" s="6"/>
      <c r="AA749" s="7"/>
      <c r="AB749" s="7"/>
      <c r="AC749" s="7"/>
      <c r="AD749" s="7"/>
    </row>
    <row r="750" spans="17:30" x14ac:dyDescent="0.2">
      <c r="Q750" s="40"/>
      <c r="V750" s="41"/>
      <c r="W750" s="6"/>
      <c r="AA750" s="7"/>
      <c r="AB750" s="7"/>
      <c r="AC750" s="7"/>
      <c r="AD750" s="7"/>
    </row>
    <row r="751" spans="17:30" x14ac:dyDescent="0.2">
      <c r="Q751" s="40"/>
      <c r="V751" s="41"/>
      <c r="W751" s="6"/>
      <c r="AA751" s="7"/>
      <c r="AB751" s="7"/>
      <c r="AC751" s="7"/>
      <c r="AD751" s="7"/>
    </row>
    <row r="752" spans="17:30" x14ac:dyDescent="0.2">
      <c r="Q752" s="40"/>
      <c r="V752" s="41"/>
      <c r="W752" s="6"/>
      <c r="AA752" s="7"/>
      <c r="AB752" s="7"/>
      <c r="AC752" s="7"/>
      <c r="AD752" s="7"/>
    </row>
    <row r="753" spans="17:30" x14ac:dyDescent="0.2">
      <c r="Q753" s="40"/>
      <c r="V753" s="41"/>
      <c r="W753" s="6"/>
      <c r="AA753" s="7"/>
      <c r="AB753" s="7"/>
      <c r="AC753" s="7"/>
      <c r="AD753" s="7"/>
    </row>
    <row r="754" spans="17:30" x14ac:dyDescent="0.2">
      <c r="Q754" s="40"/>
      <c r="V754" s="41"/>
      <c r="W754" s="6"/>
      <c r="AA754" s="7"/>
      <c r="AB754" s="7"/>
      <c r="AC754" s="7"/>
      <c r="AD754" s="7"/>
    </row>
    <row r="755" spans="17:30" x14ac:dyDescent="0.2">
      <c r="Q755" s="40"/>
      <c r="V755" s="41"/>
      <c r="W755" s="6"/>
      <c r="AA755" s="7"/>
      <c r="AB755" s="7"/>
      <c r="AC755" s="7"/>
      <c r="AD755" s="7"/>
    </row>
    <row r="756" spans="17:30" x14ac:dyDescent="0.2">
      <c r="Q756" s="40"/>
      <c r="V756" s="41"/>
      <c r="W756" s="6"/>
      <c r="AA756" s="7"/>
      <c r="AB756" s="7"/>
      <c r="AC756" s="7"/>
      <c r="AD756" s="7"/>
    </row>
    <row r="757" spans="17:30" x14ac:dyDescent="0.2">
      <c r="Q757" s="40"/>
      <c r="V757" s="41"/>
      <c r="W757" s="6"/>
      <c r="AA757" s="7"/>
      <c r="AB757" s="7"/>
      <c r="AC757" s="7"/>
      <c r="AD757" s="7"/>
    </row>
    <row r="758" spans="17:30" x14ac:dyDescent="0.2">
      <c r="Q758" s="40"/>
      <c r="V758" s="41"/>
      <c r="W758" s="6"/>
      <c r="AA758" s="7"/>
      <c r="AB758" s="7"/>
      <c r="AC758" s="7"/>
      <c r="AD758" s="7"/>
    </row>
    <row r="759" spans="17:30" x14ac:dyDescent="0.2">
      <c r="Q759" s="40"/>
      <c r="V759" s="41"/>
      <c r="W759" s="6"/>
      <c r="AA759" s="7"/>
      <c r="AB759" s="7"/>
      <c r="AC759" s="7"/>
      <c r="AD759" s="7"/>
    </row>
    <row r="760" spans="17:30" x14ac:dyDescent="0.2">
      <c r="Q760" s="40"/>
      <c r="V760" s="41"/>
      <c r="W760" s="6"/>
      <c r="AA760" s="7"/>
      <c r="AB760" s="7"/>
      <c r="AC760" s="7"/>
      <c r="AD760" s="7"/>
    </row>
    <row r="761" spans="17:30" x14ac:dyDescent="0.2">
      <c r="Q761" s="40"/>
      <c r="V761" s="41"/>
      <c r="W761" s="6"/>
      <c r="AA761" s="7"/>
      <c r="AB761" s="7"/>
      <c r="AC761" s="7"/>
      <c r="AD761" s="7"/>
    </row>
    <row r="762" spans="17:30" x14ac:dyDescent="0.2">
      <c r="Q762" s="40"/>
      <c r="V762" s="41"/>
      <c r="W762" s="6"/>
      <c r="AA762" s="7"/>
      <c r="AB762" s="7"/>
      <c r="AC762" s="7"/>
      <c r="AD762" s="7"/>
    </row>
    <row r="763" spans="17:30" x14ac:dyDescent="0.2">
      <c r="Q763" s="40"/>
      <c r="V763" s="41"/>
      <c r="W763" s="6"/>
      <c r="AA763" s="7"/>
      <c r="AB763" s="7"/>
      <c r="AC763" s="7"/>
      <c r="AD763" s="7"/>
    </row>
    <row r="764" spans="17:30" x14ac:dyDescent="0.2">
      <c r="Q764" s="40"/>
      <c r="V764" s="41"/>
      <c r="W764" s="6"/>
      <c r="AA764" s="7"/>
      <c r="AB764" s="7"/>
      <c r="AC764" s="7"/>
      <c r="AD764" s="7"/>
    </row>
    <row r="765" spans="17:30" x14ac:dyDescent="0.2">
      <c r="Q765" s="40"/>
      <c r="V765" s="41"/>
      <c r="W765" s="6"/>
      <c r="AA765" s="7"/>
      <c r="AB765" s="7"/>
      <c r="AC765" s="7"/>
      <c r="AD765" s="7"/>
    </row>
    <row r="766" spans="17:30" x14ac:dyDescent="0.2">
      <c r="Q766" s="40"/>
      <c r="V766" s="41"/>
      <c r="W766" s="6"/>
      <c r="AA766" s="7"/>
      <c r="AB766" s="7"/>
      <c r="AC766" s="7"/>
      <c r="AD766" s="7"/>
    </row>
    <row r="767" spans="17:30" x14ac:dyDescent="0.2">
      <c r="Q767" s="40"/>
      <c r="V767" s="41"/>
      <c r="W767" s="6"/>
      <c r="AA767" s="7"/>
      <c r="AB767" s="7"/>
      <c r="AC767" s="7"/>
      <c r="AD767" s="7"/>
    </row>
    <row r="768" spans="17:30" x14ac:dyDescent="0.2">
      <c r="Q768" s="40"/>
      <c r="V768" s="41"/>
      <c r="W768" s="6"/>
      <c r="AA768" s="7"/>
      <c r="AB768" s="7"/>
      <c r="AC768" s="7"/>
      <c r="AD768" s="7"/>
    </row>
    <row r="769" spans="17:30" x14ac:dyDescent="0.2">
      <c r="Q769" s="40"/>
      <c r="V769" s="41"/>
      <c r="W769" s="6"/>
      <c r="AA769" s="7"/>
      <c r="AB769" s="7"/>
      <c r="AC769" s="7"/>
      <c r="AD769" s="7"/>
    </row>
    <row r="770" spans="17:30" x14ac:dyDescent="0.2">
      <c r="Q770" s="40"/>
      <c r="V770" s="41"/>
      <c r="W770" s="6"/>
      <c r="AA770" s="7"/>
      <c r="AB770" s="7"/>
      <c r="AC770" s="7"/>
      <c r="AD770" s="7"/>
    </row>
    <row r="771" spans="17:30" x14ac:dyDescent="0.2">
      <c r="Q771" s="40"/>
      <c r="V771" s="41"/>
      <c r="W771" s="6"/>
      <c r="AA771" s="7"/>
      <c r="AB771" s="7"/>
      <c r="AC771" s="7"/>
      <c r="AD771" s="7"/>
    </row>
    <row r="772" spans="17:30" x14ac:dyDescent="0.2">
      <c r="Q772" s="40"/>
      <c r="V772" s="41"/>
      <c r="W772" s="6"/>
      <c r="AA772" s="7"/>
      <c r="AB772" s="7"/>
      <c r="AC772" s="7"/>
      <c r="AD772" s="7"/>
    </row>
    <row r="773" spans="17:30" x14ac:dyDescent="0.2">
      <c r="Q773" s="40"/>
      <c r="V773" s="41"/>
      <c r="W773" s="6"/>
      <c r="AA773" s="7"/>
      <c r="AB773" s="7"/>
      <c r="AC773" s="7"/>
      <c r="AD773" s="7"/>
    </row>
    <row r="774" spans="17:30" x14ac:dyDescent="0.2">
      <c r="Q774" s="40"/>
      <c r="V774" s="41"/>
      <c r="W774" s="6"/>
      <c r="AA774" s="7"/>
      <c r="AB774" s="7"/>
      <c r="AC774" s="7"/>
      <c r="AD774" s="7"/>
    </row>
    <row r="775" spans="17:30" x14ac:dyDescent="0.2">
      <c r="Q775" s="40"/>
      <c r="V775" s="41"/>
      <c r="W775" s="6"/>
      <c r="AA775" s="7"/>
      <c r="AB775" s="7"/>
      <c r="AC775" s="7"/>
      <c r="AD775" s="7"/>
    </row>
    <row r="776" spans="17:30" x14ac:dyDescent="0.2">
      <c r="Q776" s="40"/>
      <c r="V776" s="41"/>
      <c r="W776" s="6"/>
      <c r="AA776" s="7"/>
      <c r="AB776" s="7"/>
      <c r="AC776" s="7"/>
      <c r="AD776" s="7"/>
    </row>
    <row r="777" spans="17:30" x14ac:dyDescent="0.2">
      <c r="Q777" s="40"/>
      <c r="V777" s="41"/>
      <c r="W777" s="6"/>
      <c r="AA777" s="7"/>
      <c r="AB777" s="7"/>
      <c r="AC777" s="7"/>
      <c r="AD777" s="7"/>
    </row>
    <row r="778" spans="17:30" x14ac:dyDescent="0.2">
      <c r="Q778" s="40"/>
      <c r="V778" s="41"/>
      <c r="W778" s="6"/>
      <c r="AA778" s="7"/>
      <c r="AB778" s="7"/>
      <c r="AC778" s="7"/>
      <c r="AD778" s="7"/>
    </row>
    <row r="779" spans="17:30" x14ac:dyDescent="0.2">
      <c r="Q779" s="40"/>
      <c r="V779" s="41"/>
      <c r="W779" s="6"/>
      <c r="AA779" s="7"/>
      <c r="AB779" s="7"/>
      <c r="AC779" s="7"/>
      <c r="AD779" s="7"/>
    </row>
    <row r="780" spans="17:30" x14ac:dyDescent="0.2">
      <c r="Q780" s="40"/>
      <c r="V780" s="41"/>
      <c r="W780" s="6"/>
      <c r="AA780" s="7"/>
      <c r="AB780" s="7"/>
      <c r="AC780" s="7"/>
      <c r="AD780" s="7"/>
    </row>
    <row r="781" spans="17:30" x14ac:dyDescent="0.2">
      <c r="Q781" s="40"/>
      <c r="V781" s="41"/>
      <c r="W781" s="6"/>
      <c r="AA781" s="7"/>
      <c r="AB781" s="7"/>
      <c r="AC781" s="7"/>
      <c r="AD781" s="7"/>
    </row>
    <row r="782" spans="17:30" x14ac:dyDescent="0.2">
      <c r="Q782" s="40"/>
      <c r="V782" s="41"/>
      <c r="W782" s="6"/>
      <c r="AA782" s="7"/>
      <c r="AB782" s="7"/>
      <c r="AC782" s="7"/>
      <c r="AD782" s="7"/>
    </row>
    <row r="783" spans="17:30" x14ac:dyDescent="0.2">
      <c r="Q783" s="40"/>
      <c r="V783" s="41"/>
      <c r="W783" s="6"/>
      <c r="AA783" s="7"/>
      <c r="AB783" s="7"/>
      <c r="AC783" s="7"/>
      <c r="AD783" s="7"/>
    </row>
    <row r="784" spans="17:30" x14ac:dyDescent="0.2">
      <c r="Q784" s="40"/>
      <c r="V784" s="41"/>
      <c r="W784" s="6"/>
      <c r="AA784" s="7"/>
      <c r="AB784" s="7"/>
      <c r="AC784" s="7"/>
      <c r="AD784" s="7"/>
    </row>
    <row r="785" spans="17:30" x14ac:dyDescent="0.2">
      <c r="Q785" s="40"/>
      <c r="V785" s="41"/>
      <c r="W785" s="6"/>
      <c r="AA785" s="7"/>
      <c r="AB785" s="7"/>
      <c r="AC785" s="7"/>
      <c r="AD785" s="7"/>
    </row>
    <row r="786" spans="17:30" x14ac:dyDescent="0.2">
      <c r="Q786" s="40"/>
      <c r="V786" s="41"/>
      <c r="W786" s="6"/>
      <c r="AA786" s="7"/>
      <c r="AB786" s="7"/>
      <c r="AC786" s="7"/>
      <c r="AD786" s="7"/>
    </row>
    <row r="787" spans="17:30" x14ac:dyDescent="0.2">
      <c r="Q787" s="40"/>
      <c r="V787" s="41"/>
      <c r="W787" s="6"/>
      <c r="AA787" s="7"/>
      <c r="AB787" s="7"/>
      <c r="AC787" s="7"/>
      <c r="AD787" s="7"/>
    </row>
    <row r="788" spans="17:30" x14ac:dyDescent="0.2">
      <c r="Q788" s="40"/>
      <c r="V788" s="41"/>
      <c r="W788" s="6"/>
      <c r="AA788" s="7"/>
      <c r="AB788" s="7"/>
      <c r="AC788" s="7"/>
      <c r="AD788" s="7"/>
    </row>
    <row r="789" spans="17:30" x14ac:dyDescent="0.2">
      <c r="Q789" s="40"/>
      <c r="V789" s="41"/>
      <c r="W789" s="6"/>
      <c r="AA789" s="7"/>
      <c r="AB789" s="7"/>
      <c r="AC789" s="7"/>
      <c r="AD789" s="7"/>
    </row>
  </sheetData>
  <autoFilter ref="B5:AE367"/>
  <mergeCells count="3">
    <mergeCell ref="D2:E3"/>
    <mergeCell ref="AG2:AH2"/>
    <mergeCell ref="BS4:BU4"/>
  </mergeCells>
  <dataValidations count="1">
    <dataValidation type="list" allowBlank="1" showInputMessage="1" showErrorMessage="1" sqref="Q2 BH2">
      <formula1>"0,1"</formula1>
    </dataValidation>
  </dataValidations>
  <pageMargins left="0.75" right="0.75" top="1" bottom="1" header="0.5" footer="0.5"/>
  <pageSetup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6"/>
  <sheetViews>
    <sheetView workbookViewId="0">
      <selection activeCell="D4" sqref="D4"/>
    </sheetView>
  </sheetViews>
  <sheetFormatPr defaultRowHeight="12.75" x14ac:dyDescent="0.2"/>
  <cols>
    <col min="1" max="1" width="9.140625" style="1"/>
  </cols>
  <sheetData>
    <row r="2" spans="1:3" x14ac:dyDescent="0.2">
      <c r="A2" s="1">
        <v>1</v>
      </c>
      <c r="B2" s="60" t="s">
        <v>110</v>
      </c>
    </row>
    <row r="3" spans="1:3" x14ac:dyDescent="0.2">
      <c r="A3" s="1">
        <v>2</v>
      </c>
      <c r="B3" s="60" t="s">
        <v>111</v>
      </c>
    </row>
    <row r="4" spans="1:3" x14ac:dyDescent="0.2">
      <c r="A4" s="1">
        <v>3</v>
      </c>
      <c r="B4" s="60" t="s">
        <v>118</v>
      </c>
    </row>
    <row r="5" spans="1:3" x14ac:dyDescent="0.2">
      <c r="A5" s="1">
        <v>4</v>
      </c>
      <c r="B5" s="111" t="s">
        <v>119</v>
      </c>
      <c r="C5" s="60"/>
    </row>
    <row r="6" spans="1:3" x14ac:dyDescent="0.2">
      <c r="B6" s="61"/>
      <c r="C6" s="6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98</vt:i4>
      </vt:variant>
    </vt:vector>
  </HeadingPairs>
  <TitlesOfParts>
    <vt:vector size="100" baseType="lpstr">
      <vt:lpstr>Input</vt:lpstr>
      <vt:lpstr>Table A</vt:lpstr>
      <vt:lpstr>_emr1</vt:lpstr>
      <vt:lpstr>_emr2</vt:lpstr>
      <vt:lpstr>_rpm1</vt:lpstr>
      <vt:lpstr>_rpm2</vt:lpstr>
      <vt:lpstr>ADB_Charge</vt:lpstr>
      <vt:lpstr>adb_emr</vt:lpstr>
      <vt:lpstr>ADB_Flag</vt:lpstr>
      <vt:lpstr>ADB_MAX_AGE</vt:lpstr>
      <vt:lpstr>ADB_MIN_AGE</vt:lpstr>
      <vt:lpstr>adb_rate</vt:lpstr>
      <vt:lpstr>adb_rpm</vt:lpstr>
      <vt:lpstr>age</vt:lpstr>
      <vt:lpstr>age_2</vt:lpstr>
      <vt:lpstr>allctp</vt:lpstr>
      <vt:lpstr>Alloc_Table_RP_LP_Off</vt:lpstr>
      <vt:lpstr>Alloc_Table_RP_LP_On</vt:lpstr>
      <vt:lpstr>atp</vt:lpstr>
      <vt:lpstr>Cess1_Rate</vt:lpstr>
      <vt:lpstr>Cess2_Rate</vt:lpstr>
      <vt:lpstr>channel</vt:lpstr>
      <vt:lpstr>cl</vt:lpstr>
      <vt:lpstr>cl_chosen</vt:lpstr>
      <vt:lpstr>Commission_TOPUP</vt:lpstr>
      <vt:lpstr>dtp</vt:lpstr>
      <vt:lpstr>Flag_ADB</vt:lpstr>
      <vt:lpstr>Flag_Joint_Life</vt:lpstr>
      <vt:lpstr>'Calculation IRDA Circular'!Flag_Mort_Rider_Charge</vt:lpstr>
      <vt:lpstr>'Calculation_4%'!Flag_Mort_Rider_Charge</vt:lpstr>
      <vt:lpstr>'Calculation_8%'!Flag_Mort_Rider_Charge</vt:lpstr>
      <vt:lpstr>Flag_Rating</vt:lpstr>
      <vt:lpstr>'Calculation IRDA Circular'!Flag_Service_Tax</vt:lpstr>
      <vt:lpstr>'Calculation_4%'!Flag_Service_Tax</vt:lpstr>
      <vt:lpstr>'Calculation_8%'!Flag_Service_Tax</vt:lpstr>
      <vt:lpstr>Flag_UL_Type</vt:lpstr>
      <vt:lpstr>fq</vt:lpstr>
      <vt:lpstr>Gender</vt:lpstr>
      <vt:lpstr>Gender_2</vt:lpstr>
      <vt:lpstr>icounter</vt:lpstr>
      <vt:lpstr>Legal_Age</vt:lpstr>
      <vt:lpstr>Lock_In_Period</vt:lpstr>
      <vt:lpstr>Max_Cover_Level</vt:lpstr>
      <vt:lpstr>Max_Entry_Age</vt:lpstr>
      <vt:lpstr>Max_Maturity_Age</vt:lpstr>
      <vt:lpstr>Max_PT</vt:lpstr>
      <vt:lpstr>Max_sa_adb</vt:lpstr>
      <vt:lpstr>Max_Sum_Assured</vt:lpstr>
      <vt:lpstr>Min_Cover_Level</vt:lpstr>
      <vt:lpstr>Min_Entry_Age</vt:lpstr>
      <vt:lpstr>Min_Maturity_Age</vt:lpstr>
      <vt:lpstr>min_PPT</vt:lpstr>
      <vt:lpstr>Min_PT</vt:lpstr>
      <vt:lpstr>Min_PW_Amount</vt:lpstr>
      <vt:lpstr>Min_Sum_Assured</vt:lpstr>
      <vt:lpstr>Min_SWP_Amount_pa</vt:lpstr>
      <vt:lpstr>Min_SWP_Period</vt:lpstr>
      <vt:lpstr>Minimum_Premium</vt:lpstr>
      <vt:lpstr>Minimum_Top_Up_Premium</vt:lpstr>
      <vt:lpstr>Model_Type</vt:lpstr>
      <vt:lpstr>Mort_Charge_Table</vt:lpstr>
      <vt:lpstr>option</vt:lpstr>
      <vt:lpstr>Option_PW</vt:lpstr>
      <vt:lpstr>Option_SPW</vt:lpstr>
      <vt:lpstr>Option_Sys_TopUp</vt:lpstr>
      <vt:lpstr>Option_TopUP</vt:lpstr>
      <vt:lpstr>Partial_Withdrawal_Year</vt:lpstr>
      <vt:lpstr>pay_option</vt:lpstr>
      <vt:lpstr>ppt</vt:lpstr>
      <vt:lpstr>PQIS_NAME</vt:lpstr>
      <vt:lpstr>pr</vt:lpstr>
      <vt:lpstr>'Table A'!Print_Area</vt:lpstr>
      <vt:lpstr>pt</vt:lpstr>
      <vt:lpstr>ROC</vt:lpstr>
      <vt:lpstr>Round</vt:lpstr>
      <vt:lpstr>sa</vt:lpstr>
      <vt:lpstr>sa_adb</vt:lpstr>
      <vt:lpstr>Service_Tax_Rate</vt:lpstr>
      <vt:lpstr>SPW_Amount_pa</vt:lpstr>
      <vt:lpstr>SPW_Duration</vt:lpstr>
      <vt:lpstr>SPW_Payout_Freq</vt:lpstr>
      <vt:lpstr>SPW_Start_Date_FV</vt:lpstr>
      <vt:lpstr>SPW_Start_Min_FV</vt:lpstr>
      <vt:lpstr>SPW_Start_Year</vt:lpstr>
      <vt:lpstr>sytp</vt:lpstr>
      <vt:lpstr>Tab_Mort_Charge</vt:lpstr>
      <vt:lpstr>top</vt:lpstr>
      <vt:lpstr>TOPUP_Cover_Level</vt:lpstr>
      <vt:lpstr>UL_Type</vt:lpstr>
      <vt:lpstr>'Calculation IRDA Circular'!Validation1_PW</vt:lpstr>
      <vt:lpstr>'Calculation_4%'!Validation1_PW</vt:lpstr>
      <vt:lpstr>Validation1_PW</vt:lpstr>
      <vt:lpstr>'Calculation IRDA Circular'!Validation2_PW</vt:lpstr>
      <vt:lpstr>'Calculation_4%'!Validation2_PW</vt:lpstr>
      <vt:lpstr>Validation2_PW</vt:lpstr>
      <vt:lpstr>Validation3_SPW</vt:lpstr>
      <vt:lpstr>wfmc</vt:lpstr>
      <vt:lpstr>WoP_Flag</vt:lpstr>
      <vt:lpstr>WoP_Max_Age</vt:lpstr>
      <vt:lpstr>WoP_Min_Age</vt:lpstr>
    </vt:vector>
  </TitlesOfParts>
  <Company>Aviva Life Insurance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32259</dc:creator>
  <cp:lastModifiedBy>Suhel Humayun</cp:lastModifiedBy>
  <cp:lastPrinted>2021-06-30T07:16:19Z</cp:lastPrinted>
  <dcterms:created xsi:type="dcterms:W3CDTF">2007-07-27T09:02:43Z</dcterms:created>
  <dcterms:modified xsi:type="dcterms:W3CDTF">2021-07-01T05:32:04Z</dcterms:modified>
</cp:coreProperties>
</file>